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MP\lemumi_s\budzets\"/>
    </mc:Choice>
  </mc:AlternateContent>
  <bookViews>
    <workbookView xWindow="0" yWindow="0" windowWidth="28800" windowHeight="12435"/>
  </bookViews>
  <sheets>
    <sheet name="Izdevumi" sheetId="1" r:id="rId1"/>
    <sheet name="Ienemumi" sheetId="4" r:id="rId2"/>
  </sheets>
  <definedNames>
    <definedName name="_xlnm._FilterDatabase" localSheetId="0" hidden="1">Izdevumi!$A$10:$AW$259</definedName>
    <definedName name="_xlnm.Print_Area" localSheetId="1">Ienemumi!$C$1:$U$185</definedName>
    <definedName name="_xlnm.Print_Area" localSheetId="0">Izdevumi!$A$1:$AW$256</definedName>
    <definedName name="_xlnm.Print_Titles" localSheetId="1">Ienemumi!$8:$8</definedName>
    <definedName name="_xlnm.Print_Titles" localSheetId="0">Izdevumi!$7:$10</definedName>
    <definedName name="Z_C32C0FCD_AE7D_41A3_975E_D7367DDEA994_.wvu.PrintArea" localSheetId="1" hidden="1">Ienemumi!$D$5:$K$185</definedName>
    <definedName name="Z_C32C0FCD_AE7D_41A3_975E_D7367DDEA994_.wvu.PrintArea" localSheetId="0" hidden="1">Izdevumi!$B$5:$AW$256</definedName>
    <definedName name="Z_C32C0FCD_AE7D_41A3_975E_D7367DDEA994_.wvu.PrintTitles" localSheetId="1" hidden="1">Ienemumi!$8:$9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Ienemumi!#REF!,Ienemumi!#REF!,Ienemumi!$173:$183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P254" i="1" l="1"/>
  <c r="P23" i="1"/>
  <c r="I71" i="1" l="1"/>
  <c r="J71" i="1"/>
  <c r="J70" i="1"/>
  <c r="G71" i="1" l="1"/>
  <c r="P143" i="1"/>
  <c r="M109" i="4" l="1"/>
  <c r="O254" i="1" l="1"/>
  <c r="L147" i="4"/>
  <c r="AE94" i="1"/>
  <c r="AD94" i="1" s="1"/>
  <c r="J94" i="1"/>
  <c r="I94" i="1" s="1"/>
  <c r="G94" i="1" l="1"/>
  <c r="P207" i="1" l="1"/>
  <c r="O77" i="1"/>
  <c r="O142" i="1"/>
  <c r="O143" i="1"/>
  <c r="AH254" i="1"/>
  <c r="P46" i="1" l="1"/>
  <c r="P142" i="1"/>
  <c r="P77" i="1"/>
  <c r="AH169" i="1"/>
  <c r="X189" i="1"/>
  <c r="X171" i="1"/>
  <c r="U118" i="1"/>
  <c r="U119" i="1"/>
  <c r="U123" i="1"/>
  <c r="V117" i="1"/>
  <c r="U117" i="1" s="1"/>
  <c r="V118" i="1"/>
  <c r="V119" i="1"/>
  <c r="V120" i="1"/>
  <c r="U120" i="1" s="1"/>
  <c r="V121" i="1"/>
  <c r="U121" i="1" s="1"/>
  <c r="V122" i="1"/>
  <c r="U122" i="1" s="1"/>
  <c r="V123" i="1"/>
  <c r="V124" i="1"/>
  <c r="U124" i="1" s="1"/>
  <c r="V125" i="1"/>
  <c r="U125" i="1" s="1"/>
  <c r="V126" i="1"/>
  <c r="U126" i="1" s="1"/>
  <c r="V127" i="1"/>
  <c r="U127" i="1" s="1"/>
  <c r="V128" i="1"/>
  <c r="U128" i="1" s="1"/>
  <c r="V129" i="1"/>
  <c r="U129" i="1" s="1"/>
  <c r="V130" i="1"/>
  <c r="U130" i="1" s="1"/>
  <c r="V131" i="1"/>
  <c r="U131" i="1" s="1"/>
  <c r="V132" i="1"/>
  <c r="U132" i="1" s="1"/>
  <c r="V133" i="1"/>
  <c r="U133" i="1" s="1"/>
  <c r="V134" i="1"/>
  <c r="X177" i="1"/>
  <c r="X183" i="1"/>
  <c r="X181" i="1"/>
  <c r="X161" i="1"/>
  <c r="X212" i="1"/>
  <c r="X163" i="1"/>
  <c r="X164" i="1"/>
  <c r="X204" i="1"/>
  <c r="X205" i="1"/>
  <c r="AH152" i="1"/>
  <c r="AH172" i="1"/>
  <c r="AH207" i="1"/>
  <c r="AH163" i="1"/>
  <c r="AH80" i="1"/>
  <c r="AH28" i="1"/>
  <c r="AH13" i="1"/>
  <c r="AH192" i="1"/>
  <c r="AH190" i="1"/>
  <c r="AH189" i="1"/>
  <c r="AH185" i="1"/>
  <c r="AH183" i="1"/>
  <c r="AH181" i="1"/>
  <c r="AH177" i="1"/>
  <c r="AH130" i="1"/>
  <c r="P130" i="1"/>
  <c r="AH129" i="1"/>
  <c r="AE129" i="1" s="1"/>
  <c r="AD129" i="1" s="1"/>
  <c r="P129" i="1"/>
  <c r="J129" i="1" s="1"/>
  <c r="I129" i="1" s="1"/>
  <c r="P128" i="1"/>
  <c r="AL136" i="1"/>
  <c r="AR136" i="1"/>
  <c r="AS136" i="1"/>
  <c r="AT136" i="1"/>
  <c r="AU136" i="1"/>
  <c r="AP136" i="1"/>
  <c r="AI136" i="1"/>
  <c r="AJ136" i="1"/>
  <c r="AK136" i="1"/>
  <c r="AF136" i="1"/>
  <c r="Y136" i="1"/>
  <c r="Z136" i="1"/>
  <c r="AA136" i="1"/>
  <c r="AB136" i="1"/>
  <c r="L136" i="1"/>
  <c r="K136" i="1"/>
  <c r="AH119" i="1"/>
  <c r="P119" i="1"/>
  <c r="P97" i="1" s="1"/>
  <c r="AH173" i="1"/>
  <c r="P173" i="1"/>
  <c r="AH136" i="1" l="1"/>
  <c r="X136" i="1"/>
  <c r="G129" i="1"/>
  <c r="P171" i="1"/>
  <c r="P152" i="1"/>
  <c r="P204" i="1"/>
  <c r="P163" i="1"/>
  <c r="P161" i="1"/>
  <c r="P192" i="1"/>
  <c r="P190" i="1"/>
  <c r="P185" i="1"/>
  <c r="P183" i="1"/>
  <c r="P181" i="1"/>
  <c r="P177" i="1"/>
  <c r="AQ192" i="1"/>
  <c r="AQ136" i="1" s="1"/>
  <c r="M181" i="4"/>
  <c r="X254" i="1"/>
  <c r="AL58" i="1"/>
  <c r="M148" i="4" l="1"/>
  <c r="AE249" i="1" l="1"/>
  <c r="AD249" i="1" s="1"/>
  <c r="AE248" i="1"/>
  <c r="AD248" i="1" s="1"/>
  <c r="AE247" i="1"/>
  <c r="AD247" i="1" s="1"/>
  <c r="AE245" i="1"/>
  <c r="AD245" i="1" s="1"/>
  <c r="AE243" i="1"/>
  <c r="AD243" i="1"/>
  <c r="AE242" i="1"/>
  <c r="AD242" i="1" s="1"/>
  <c r="AE241" i="1"/>
  <c r="AD241" i="1" s="1"/>
  <c r="AE240" i="1"/>
  <c r="AD240" i="1" s="1"/>
  <c r="AE239" i="1"/>
  <c r="AD239" i="1"/>
  <c r="AE238" i="1"/>
  <c r="AD238" i="1" s="1"/>
  <c r="AE235" i="1"/>
  <c r="AD235" i="1" s="1"/>
  <c r="AE234" i="1"/>
  <c r="AD234" i="1" s="1"/>
  <c r="AE233" i="1"/>
  <c r="AD233" i="1" s="1"/>
  <c r="AE232" i="1"/>
  <c r="AD232" i="1" s="1"/>
  <c r="AE231" i="1"/>
  <c r="AD231" i="1" s="1"/>
  <c r="AE229" i="1"/>
  <c r="AD229" i="1" s="1"/>
  <c r="AE228" i="1"/>
  <c r="AD228" i="1" s="1"/>
  <c r="AE227" i="1"/>
  <c r="AD227" i="1" s="1"/>
  <c r="AE226" i="1"/>
  <c r="AD226" i="1" s="1"/>
  <c r="AE210" i="1"/>
  <c r="AD210" i="1" s="1"/>
  <c r="AE205" i="1"/>
  <c r="AD205" i="1" s="1"/>
  <c r="AE203" i="1"/>
  <c r="AD203" i="1" s="1"/>
  <c r="AE201" i="1"/>
  <c r="AD201" i="1" s="1"/>
  <c r="AE199" i="1"/>
  <c r="AD199" i="1" s="1"/>
  <c r="AE197" i="1"/>
  <c r="AD197" i="1" s="1"/>
  <c r="AE196" i="1"/>
  <c r="AD196" i="1" s="1"/>
  <c r="AE195" i="1"/>
  <c r="AD195" i="1" s="1"/>
  <c r="AE193" i="1"/>
  <c r="AD193" i="1" s="1"/>
  <c r="AE191" i="1"/>
  <c r="AD191" i="1" s="1"/>
  <c r="AE188" i="1"/>
  <c r="AD188" i="1" s="1"/>
  <c r="AE186" i="1"/>
  <c r="AD186" i="1" s="1"/>
  <c r="AE184" i="1"/>
  <c r="AD184" i="1" s="1"/>
  <c r="AE182" i="1"/>
  <c r="AD182" i="1" s="1"/>
  <c r="AE180" i="1"/>
  <c r="AD180" i="1" s="1"/>
  <c r="AE178" i="1"/>
  <c r="AD178" i="1" s="1"/>
  <c r="AE176" i="1"/>
  <c r="AD176" i="1" s="1"/>
  <c r="AE170" i="1"/>
  <c r="AD170" i="1" s="1"/>
  <c r="AE167" i="1"/>
  <c r="AD167" i="1" s="1"/>
  <c r="AE166" i="1"/>
  <c r="AD166" i="1" s="1"/>
  <c r="AE164" i="1"/>
  <c r="AD164" i="1" s="1"/>
  <c r="AE162" i="1"/>
  <c r="AD162" i="1" s="1"/>
  <c r="AE160" i="1"/>
  <c r="AD160" i="1" s="1"/>
  <c r="AE158" i="1"/>
  <c r="AD158" i="1" s="1"/>
  <c r="AE157" i="1"/>
  <c r="AD157" i="1" s="1"/>
  <c r="AE156" i="1"/>
  <c r="AD156" i="1" s="1"/>
  <c r="AE154" i="1"/>
  <c r="AD154" i="1" s="1"/>
  <c r="AE153" i="1"/>
  <c r="AD153" i="1" s="1"/>
  <c r="AE151" i="1"/>
  <c r="AD151" i="1" s="1"/>
  <c r="AE150" i="1"/>
  <c r="AD150" i="1" s="1"/>
  <c r="AE148" i="1"/>
  <c r="AD148" i="1" s="1"/>
  <c r="AE146" i="1"/>
  <c r="AD146" i="1" s="1"/>
  <c r="AE145" i="1"/>
  <c r="AD145" i="1" s="1"/>
  <c r="AE144" i="1"/>
  <c r="AD144" i="1" s="1"/>
  <c r="AE143" i="1"/>
  <c r="AD143" i="1" s="1"/>
  <c r="AE142" i="1"/>
  <c r="AD142" i="1" s="1"/>
  <c r="AE141" i="1"/>
  <c r="AD141" i="1" s="1"/>
  <c r="AE140" i="1"/>
  <c r="AD140" i="1" s="1"/>
  <c r="AE139" i="1"/>
  <c r="AD139" i="1" s="1"/>
  <c r="AE138" i="1"/>
  <c r="AD138" i="1" s="1"/>
  <c r="AE137" i="1"/>
  <c r="AD137" i="1" s="1"/>
  <c r="W97" i="1"/>
  <c r="AE127" i="1"/>
  <c r="AD127" i="1" s="1"/>
  <c r="AE126" i="1"/>
  <c r="AD126" i="1" s="1"/>
  <c r="AE125" i="1"/>
  <c r="AD125" i="1" s="1"/>
  <c r="AE124" i="1"/>
  <c r="AD124" i="1" s="1"/>
  <c r="AE123" i="1"/>
  <c r="AD123" i="1" s="1"/>
  <c r="AE122" i="1"/>
  <c r="AD122" i="1" s="1"/>
  <c r="AE121" i="1"/>
  <c r="AD121" i="1" s="1"/>
  <c r="AE115" i="1"/>
  <c r="AD115" i="1" s="1"/>
  <c r="AE114" i="1"/>
  <c r="AD114" i="1" s="1"/>
  <c r="AE113" i="1"/>
  <c r="AD113" i="1"/>
  <c r="AE112" i="1"/>
  <c r="AD112" i="1" s="1"/>
  <c r="AE111" i="1"/>
  <c r="AD111" i="1" s="1"/>
  <c r="AE110" i="1"/>
  <c r="AD110" i="1" s="1"/>
  <c r="AE109" i="1"/>
  <c r="AD109" i="1" s="1"/>
  <c r="AE108" i="1"/>
  <c r="AD108" i="1" s="1"/>
  <c r="AE107" i="1"/>
  <c r="AD107" i="1" s="1"/>
  <c r="AE106" i="1"/>
  <c r="AD106" i="1" s="1"/>
  <c r="AE105" i="1"/>
  <c r="AD105" i="1" s="1"/>
  <c r="AE104" i="1"/>
  <c r="AD104" i="1" s="1"/>
  <c r="AE103" i="1"/>
  <c r="AD103" i="1" s="1"/>
  <c r="AE102" i="1"/>
  <c r="AD102" i="1" s="1"/>
  <c r="AE101" i="1"/>
  <c r="AD101" i="1" s="1"/>
  <c r="AE100" i="1"/>
  <c r="AD100" i="1" s="1"/>
  <c r="AE99" i="1"/>
  <c r="AD99" i="1" s="1"/>
  <c r="AE98" i="1"/>
  <c r="AD98" i="1" s="1"/>
  <c r="AE95" i="1"/>
  <c r="AD95" i="1" s="1"/>
  <c r="AE92" i="1"/>
  <c r="AD92" i="1" s="1"/>
  <c r="AE91" i="1"/>
  <c r="AD91" i="1" s="1"/>
  <c r="AE90" i="1"/>
  <c r="AD90" i="1" s="1"/>
  <c r="AE89" i="1"/>
  <c r="AD89" i="1" s="1"/>
  <c r="AE83" i="1"/>
  <c r="AD83" i="1" s="1"/>
  <c r="AE82" i="1"/>
  <c r="AD82" i="1" s="1"/>
  <c r="AE81" i="1"/>
  <c r="AD81" i="1" s="1"/>
  <c r="AE79" i="1"/>
  <c r="AD79" i="1" s="1"/>
  <c r="AE78" i="1"/>
  <c r="AD78" i="1" s="1"/>
  <c r="AE77" i="1"/>
  <c r="AD77" i="1" s="1"/>
  <c r="AE76" i="1"/>
  <c r="AD76" i="1" s="1"/>
  <c r="AE70" i="1"/>
  <c r="AD70" i="1" s="1"/>
  <c r="AE69" i="1"/>
  <c r="AD69" i="1" s="1"/>
  <c r="AE68" i="1"/>
  <c r="AD68" i="1" s="1"/>
  <c r="AE67" i="1"/>
  <c r="AD67" i="1" s="1"/>
  <c r="AE66" i="1"/>
  <c r="AD66" i="1" s="1"/>
  <c r="AE65" i="1"/>
  <c r="AD65" i="1" s="1"/>
  <c r="AE64" i="1"/>
  <c r="AD64" i="1" s="1"/>
  <c r="AE63" i="1"/>
  <c r="AD63" i="1" s="1"/>
  <c r="AE62" i="1"/>
  <c r="AD62" i="1" s="1"/>
  <c r="AE61" i="1"/>
  <c r="AD61" i="1" s="1"/>
  <c r="AE52" i="1"/>
  <c r="AD52" i="1" s="1"/>
  <c r="AE51" i="1"/>
  <c r="AD51" i="1"/>
  <c r="AE50" i="1"/>
  <c r="AD50" i="1" s="1"/>
  <c r="AE49" i="1"/>
  <c r="AD49" i="1" s="1"/>
  <c r="AE48" i="1"/>
  <c r="AD48" i="1" s="1"/>
  <c r="AE47" i="1"/>
  <c r="AD47" i="1" s="1"/>
  <c r="AE46" i="1"/>
  <c r="AD46" i="1" s="1"/>
  <c r="AE45" i="1"/>
  <c r="AD45" i="1" s="1"/>
  <c r="AE42" i="1"/>
  <c r="AD42" i="1" s="1"/>
  <c r="AE41" i="1"/>
  <c r="AD41" i="1" s="1"/>
  <c r="AE40" i="1"/>
  <c r="AD40" i="1" s="1"/>
  <c r="AE39" i="1"/>
  <c r="AD39" i="1" s="1"/>
  <c r="AE38" i="1"/>
  <c r="AD38" i="1" s="1"/>
  <c r="AE37" i="1"/>
  <c r="AD37" i="1" s="1"/>
  <c r="AE36" i="1"/>
  <c r="AD36" i="1" s="1"/>
  <c r="AE35" i="1"/>
  <c r="AD35" i="1" s="1"/>
  <c r="AE32" i="1"/>
  <c r="AD32" i="1" s="1"/>
  <c r="AE30" i="1"/>
  <c r="AD30" i="1" s="1"/>
  <c r="AE29" i="1"/>
  <c r="AD29" i="1" s="1"/>
  <c r="AE27" i="1"/>
  <c r="AD27" i="1" s="1"/>
  <c r="AE14" i="1"/>
  <c r="AD14" i="1" s="1"/>
  <c r="AE15" i="1"/>
  <c r="AD15" i="1" s="1"/>
  <c r="AE16" i="1"/>
  <c r="AD16" i="1" s="1"/>
  <c r="AE17" i="1"/>
  <c r="AD17" i="1" s="1"/>
  <c r="AE18" i="1"/>
  <c r="AD18" i="1" s="1"/>
  <c r="AE130" i="1"/>
  <c r="AD130" i="1" s="1"/>
  <c r="AE128" i="1"/>
  <c r="AD128" i="1" s="1"/>
  <c r="J216" i="1"/>
  <c r="J217" i="1"/>
  <c r="J218" i="1"/>
  <c r="J128" i="1"/>
  <c r="I128" i="1" s="1"/>
  <c r="J130" i="1"/>
  <c r="I130" i="1" s="1"/>
  <c r="J127" i="1"/>
  <c r="G128" i="1" l="1"/>
  <c r="G130" i="1"/>
  <c r="M137" i="4"/>
  <c r="N14" i="1" l="1"/>
  <c r="N23" i="1"/>
  <c r="L253" i="1"/>
  <c r="L225" i="1"/>
  <c r="L97" i="1"/>
  <c r="L88" i="1"/>
  <c r="L74" i="1"/>
  <c r="L60" i="1"/>
  <c r="L34" i="1"/>
  <c r="L26" i="1"/>
  <c r="L19" i="1"/>
  <c r="L12" i="1" s="1"/>
  <c r="M253" i="1"/>
  <c r="M225" i="1"/>
  <c r="M215" i="1"/>
  <c r="M136" i="1" s="1"/>
  <c r="M97" i="1"/>
  <c r="M88" i="1"/>
  <c r="M74" i="1"/>
  <c r="M60" i="1"/>
  <c r="M34" i="1"/>
  <c r="M26" i="1"/>
  <c r="M23" i="1"/>
  <c r="M19" i="1"/>
  <c r="M12" i="1" s="1"/>
  <c r="L256" i="1" l="1"/>
  <c r="L255" i="1"/>
  <c r="M256" i="1"/>
  <c r="M255" i="1"/>
  <c r="H166" i="4" l="1"/>
  <c r="H164" i="4"/>
  <c r="H162" i="4"/>
  <c r="H157" i="4"/>
  <c r="H156" i="4"/>
  <c r="H155" i="4"/>
  <c r="H151" i="4"/>
  <c r="H149" i="4"/>
  <c r="H148" i="4"/>
  <c r="H147" i="4"/>
  <c r="H181" i="4"/>
  <c r="H179" i="4" s="1"/>
  <c r="H178" i="4" s="1"/>
  <c r="H180" i="4"/>
  <c r="H175" i="4"/>
  <c r="H142" i="4"/>
  <c r="H141" i="4"/>
  <c r="H138" i="4"/>
  <c r="H137" i="4"/>
  <c r="H136" i="4"/>
  <c r="H134" i="4"/>
  <c r="H133" i="4"/>
  <c r="H132" i="4"/>
  <c r="H131" i="4"/>
  <c r="H130" i="4"/>
  <c r="H125" i="4"/>
  <c r="H122" i="4" s="1"/>
  <c r="H114" i="4"/>
  <c r="H113" i="4"/>
  <c r="H109" i="4"/>
  <c r="H106" i="4"/>
  <c r="H105" i="4"/>
  <c r="H102" i="4"/>
  <c r="H101" i="4"/>
  <c r="H99" i="4"/>
  <c r="H97" i="4"/>
  <c r="H96" i="4"/>
  <c r="H95" i="4"/>
  <c r="H88" i="4"/>
  <c r="H86" i="4" s="1"/>
  <c r="H84" i="4" s="1"/>
  <c r="H87" i="4"/>
  <c r="H83" i="4"/>
  <c r="H82" i="4"/>
  <c r="H81" i="4"/>
  <c r="H78" i="4"/>
  <c r="H77" i="4"/>
  <c r="H76" i="4"/>
  <c r="H71" i="4"/>
  <c r="H70" i="4" s="1"/>
  <c r="H67" i="4"/>
  <c r="H66" i="4"/>
  <c r="H60" i="4"/>
  <c r="H57" i="4"/>
  <c r="H55" i="4"/>
  <c r="H52" i="4"/>
  <c r="H50" i="4"/>
  <c r="H49" i="4"/>
  <c r="H48" i="4"/>
  <c r="H45" i="4"/>
  <c r="H44" i="4"/>
  <c r="H41" i="4"/>
  <c r="H39" i="4"/>
  <c r="H35" i="4"/>
  <c r="H34" i="4" s="1"/>
  <c r="H30" i="4"/>
  <c r="H27" i="4"/>
  <c r="H24" i="4"/>
  <c r="H23" i="4"/>
  <c r="H21" i="4"/>
  <c r="H20" i="4"/>
  <c r="H16" i="4"/>
  <c r="H15" i="4"/>
  <c r="H173" i="4"/>
  <c r="H111" i="4"/>
  <c r="H100" i="4"/>
  <c r="H98" i="4"/>
  <c r="H90" i="4"/>
  <c r="H62" i="4"/>
  <c r="H54" i="4"/>
  <c r="H38" i="4"/>
  <c r="H32" i="4"/>
  <c r="H29" i="4"/>
  <c r="H28" i="4" s="1"/>
  <c r="H26" i="4"/>
  <c r="J20" i="4"/>
  <c r="AP254" i="1"/>
  <c r="H65" i="4" l="1"/>
  <c r="H46" i="4"/>
  <c r="H75" i="4"/>
  <c r="H68" i="4" s="1"/>
  <c r="I20" i="4"/>
  <c r="H40" i="4"/>
  <c r="H53" i="4"/>
  <c r="H14" i="4"/>
  <c r="H13" i="4" s="1"/>
  <c r="H12" i="4" s="1"/>
  <c r="H43" i="4"/>
  <c r="H59" i="4"/>
  <c r="H110" i="4"/>
  <c r="H22" i="4"/>
  <c r="H80" i="4"/>
  <c r="H79" i="4" s="1"/>
  <c r="H128" i="4"/>
  <c r="H121" i="4" s="1"/>
  <c r="H120" i="4" s="1"/>
  <c r="H104" i="4"/>
  <c r="H94" i="4"/>
  <c r="H61" i="4"/>
  <c r="H42" i="4"/>
  <c r="H37" i="4"/>
  <c r="H31" i="4" s="1"/>
  <c r="H25" i="4"/>
  <c r="H19" i="4"/>
  <c r="H171" i="4"/>
  <c r="H93" i="4"/>
  <c r="H89" i="4" s="1"/>
  <c r="H58" i="4" l="1"/>
  <c r="H18" i="4"/>
  <c r="H17" i="4" s="1"/>
  <c r="H118" i="4" s="1"/>
  <c r="H75" i="1"/>
  <c r="H184" i="4" l="1"/>
  <c r="AO120" i="1"/>
  <c r="AN120" i="1" s="1"/>
  <c r="H13" i="1" l="1"/>
  <c r="S74" i="1"/>
  <c r="R74" i="1"/>
  <c r="Q74" i="1"/>
  <c r="P74" i="1"/>
  <c r="O74" i="1"/>
  <c r="N74" i="1"/>
  <c r="K74" i="1"/>
  <c r="H84" i="1"/>
  <c r="H218" i="1"/>
  <c r="I218" i="1" s="1"/>
  <c r="G218" i="1" s="1"/>
  <c r="H217" i="1"/>
  <c r="I217" i="1" s="1"/>
  <c r="G217" i="1" s="1"/>
  <c r="H216" i="1"/>
  <c r="I216" i="1" s="1"/>
  <c r="G216" i="1" s="1"/>
  <c r="AM254" i="1"/>
  <c r="AM253" i="1" s="1"/>
  <c r="AM246" i="1"/>
  <c r="AM225" i="1" s="1"/>
  <c r="AM209" i="1"/>
  <c r="AM168" i="1"/>
  <c r="AM149" i="1"/>
  <c r="AO105" i="1"/>
  <c r="AN105" i="1" s="1"/>
  <c r="AO28" i="1"/>
  <c r="AN28" i="1" s="1"/>
  <c r="AO254" i="1"/>
  <c r="AN254" i="1" s="1"/>
  <c r="AO246" i="1"/>
  <c r="AO236" i="1"/>
  <c r="AO225" i="1" s="1"/>
  <c r="AO209" i="1"/>
  <c r="AO198" i="1"/>
  <c r="AN198" i="1" s="1"/>
  <c r="AO192" i="1"/>
  <c r="AO172" i="1"/>
  <c r="AN172" i="1" s="1"/>
  <c r="AO171" i="1"/>
  <c r="AO168" i="1"/>
  <c r="AN168" i="1" s="1"/>
  <c r="AO149" i="1"/>
  <c r="AO118" i="1"/>
  <c r="AN118" i="1" s="1"/>
  <c r="AO93" i="1"/>
  <c r="AO88" i="1" s="1"/>
  <c r="AO80" i="1"/>
  <c r="AO75" i="1"/>
  <c r="AO60" i="1"/>
  <c r="AO34" i="1"/>
  <c r="AO31" i="1"/>
  <c r="AN31" i="1" s="1"/>
  <c r="AO19" i="1"/>
  <c r="AO12" i="1" s="1"/>
  <c r="AU253" i="1"/>
  <c r="AT253" i="1"/>
  <c r="AS253" i="1"/>
  <c r="AR253" i="1"/>
  <c r="AQ253" i="1"/>
  <c r="AP253" i="1"/>
  <c r="AU225" i="1"/>
  <c r="AT225" i="1"/>
  <c r="AS225" i="1"/>
  <c r="AR225" i="1"/>
  <c r="AQ225" i="1"/>
  <c r="AP225" i="1"/>
  <c r="AU97" i="1"/>
  <c r="AT97" i="1"/>
  <c r="AS97" i="1"/>
  <c r="AR97" i="1"/>
  <c r="AQ97" i="1"/>
  <c r="AP97" i="1"/>
  <c r="AU88" i="1"/>
  <c r="AT88" i="1"/>
  <c r="AS88" i="1"/>
  <c r="AR88" i="1"/>
  <c r="AQ88" i="1"/>
  <c r="AP88" i="1"/>
  <c r="AU74" i="1"/>
  <c r="AT74" i="1"/>
  <c r="AS74" i="1"/>
  <c r="AR74" i="1"/>
  <c r="AQ74" i="1"/>
  <c r="AP74" i="1"/>
  <c r="AU60" i="1"/>
  <c r="AT60" i="1"/>
  <c r="AS60" i="1"/>
  <c r="AR60" i="1"/>
  <c r="AQ60" i="1"/>
  <c r="AP60" i="1"/>
  <c r="AU34" i="1"/>
  <c r="AT34" i="1"/>
  <c r="AS34" i="1"/>
  <c r="AR34" i="1"/>
  <c r="AQ34" i="1"/>
  <c r="AP34" i="1"/>
  <c r="AU26" i="1"/>
  <c r="AT26" i="1"/>
  <c r="AS26" i="1"/>
  <c r="AR26" i="1"/>
  <c r="AQ26" i="1"/>
  <c r="AP26" i="1"/>
  <c r="AU19" i="1"/>
  <c r="AU12" i="1" s="1"/>
  <c r="AT19" i="1"/>
  <c r="AT12" i="1" s="1"/>
  <c r="AS19" i="1"/>
  <c r="AR19" i="1"/>
  <c r="AQ19" i="1"/>
  <c r="AQ12" i="1" s="1"/>
  <c r="AP19" i="1"/>
  <c r="AP12" i="1" s="1"/>
  <c r="AS12" i="1"/>
  <c r="AR12" i="1"/>
  <c r="AM97" i="1"/>
  <c r="AM88" i="1"/>
  <c r="AM74" i="1"/>
  <c r="AM60" i="1"/>
  <c r="AM34" i="1"/>
  <c r="AM26" i="1"/>
  <c r="AM19" i="1"/>
  <c r="AM12" i="1" s="1"/>
  <c r="AO136" i="1" l="1"/>
  <c r="AN246" i="1"/>
  <c r="AN149" i="1"/>
  <c r="AM136" i="1"/>
  <c r="AO74" i="1"/>
  <c r="AN192" i="1"/>
  <c r="AN97" i="1"/>
  <c r="AN209" i="1"/>
  <c r="AN26" i="1"/>
  <c r="AO26" i="1"/>
  <c r="AN236" i="1"/>
  <c r="AN225" i="1" s="1"/>
  <c r="AN171" i="1"/>
  <c r="AO253" i="1"/>
  <c r="AP256" i="1"/>
  <c r="AO97" i="1"/>
  <c r="AM256" i="1"/>
  <c r="AP255" i="1"/>
  <c r="AR255" i="1"/>
  <c r="AS255" i="1"/>
  <c r="AT256" i="1"/>
  <c r="AT255" i="1"/>
  <c r="AQ256" i="1"/>
  <c r="AQ255" i="1"/>
  <c r="AU256" i="1"/>
  <c r="AU255" i="1"/>
  <c r="AR256" i="1"/>
  <c r="AS256" i="1"/>
  <c r="AM255" i="1"/>
  <c r="AN136" i="1" l="1"/>
  <c r="AO256" i="1"/>
  <c r="AO255" i="1"/>
  <c r="AC254" i="1" l="1"/>
  <c r="AC236" i="1"/>
  <c r="AC225" i="1" s="1"/>
  <c r="AC209" i="1"/>
  <c r="AC208" i="1"/>
  <c r="AC207" i="1"/>
  <c r="AC206" i="1"/>
  <c r="AC204" i="1"/>
  <c r="AC202" i="1"/>
  <c r="AC200" i="1"/>
  <c r="AC198" i="1"/>
  <c r="AC194" i="1"/>
  <c r="AC192" i="1"/>
  <c r="AC190" i="1"/>
  <c r="AC189" i="1"/>
  <c r="AC185" i="1"/>
  <c r="AC183" i="1"/>
  <c r="AC181" i="1"/>
  <c r="AC179" i="1"/>
  <c r="AC177" i="1"/>
  <c r="AC175" i="1"/>
  <c r="AC174" i="1"/>
  <c r="AC173" i="1"/>
  <c r="AC172" i="1"/>
  <c r="AC171" i="1"/>
  <c r="AC169" i="1"/>
  <c r="AC168" i="1"/>
  <c r="AC165" i="1"/>
  <c r="AC163" i="1"/>
  <c r="AC161" i="1"/>
  <c r="AC159" i="1"/>
  <c r="AC155" i="1"/>
  <c r="AC152" i="1"/>
  <c r="AC149" i="1"/>
  <c r="AC147" i="1"/>
  <c r="AC120" i="1"/>
  <c r="AC119" i="1"/>
  <c r="AC118" i="1"/>
  <c r="AC117" i="1"/>
  <c r="AC116" i="1"/>
  <c r="AC93" i="1"/>
  <c r="AC88" i="1" s="1"/>
  <c r="AC80" i="1"/>
  <c r="AC75" i="1"/>
  <c r="AC74" i="1" s="1"/>
  <c r="AC44" i="1"/>
  <c r="AC43" i="1"/>
  <c r="AC31" i="1"/>
  <c r="AC28" i="1"/>
  <c r="AC13" i="1"/>
  <c r="AC253" i="1"/>
  <c r="AC60" i="1"/>
  <c r="AC26" i="1"/>
  <c r="AC19" i="1"/>
  <c r="T254" i="1"/>
  <c r="T253" i="1" s="1"/>
  <c r="T236" i="1"/>
  <c r="T229" i="1"/>
  <c r="T228" i="1"/>
  <c r="T214" i="1"/>
  <c r="T212" i="1"/>
  <c r="T210" i="1"/>
  <c r="T209" i="1"/>
  <c r="T207" i="1"/>
  <c r="T206" i="1"/>
  <c r="T205" i="1"/>
  <c r="T204" i="1"/>
  <c r="T203" i="1"/>
  <c r="T202" i="1"/>
  <c r="T201" i="1"/>
  <c r="T200" i="1"/>
  <c r="T199" i="1"/>
  <c r="T198" i="1"/>
  <c r="T195" i="1"/>
  <c r="T194" i="1"/>
  <c r="T192" i="1"/>
  <c r="T190" i="1"/>
  <c r="T189" i="1"/>
  <c r="T187" i="1"/>
  <c r="T185" i="1"/>
  <c r="T183" i="1"/>
  <c r="T181" i="1"/>
  <c r="T179" i="1"/>
  <c r="T177" i="1"/>
  <c r="T175" i="1"/>
  <c r="T172" i="1"/>
  <c r="T171" i="1"/>
  <c r="T170" i="1"/>
  <c r="T169" i="1"/>
  <c r="T168" i="1"/>
  <c r="T166" i="1"/>
  <c r="T165" i="1"/>
  <c r="T164" i="1"/>
  <c r="T163" i="1"/>
  <c r="T162" i="1"/>
  <c r="T161" i="1"/>
  <c r="T160" i="1"/>
  <c r="T159" i="1"/>
  <c r="T156" i="1"/>
  <c r="T155" i="1"/>
  <c r="T152" i="1"/>
  <c r="T150" i="1"/>
  <c r="T149" i="1"/>
  <c r="T148" i="1"/>
  <c r="T147" i="1"/>
  <c r="T105" i="1"/>
  <c r="T97" i="1" s="1"/>
  <c r="T65" i="1"/>
  <c r="T60" i="1" s="1"/>
  <c r="T42" i="1"/>
  <c r="T41" i="1"/>
  <c r="T88" i="1"/>
  <c r="T74" i="1"/>
  <c r="T26" i="1"/>
  <c r="T19" i="1"/>
  <c r="T12" i="1" s="1"/>
  <c r="H254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13" i="1"/>
  <c r="H212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5" i="1"/>
  <c r="H154" i="1"/>
  <c r="H153" i="1"/>
  <c r="H152" i="1"/>
  <c r="H150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27" i="1"/>
  <c r="I127" i="1" s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5" i="1"/>
  <c r="H93" i="1"/>
  <c r="H92" i="1"/>
  <c r="H91" i="1"/>
  <c r="H90" i="1"/>
  <c r="H89" i="1"/>
  <c r="H83" i="1"/>
  <c r="H82" i="1"/>
  <c r="H81" i="1"/>
  <c r="H80" i="1"/>
  <c r="H79" i="1"/>
  <c r="H78" i="1"/>
  <c r="H77" i="1"/>
  <c r="H76" i="1"/>
  <c r="H70" i="1"/>
  <c r="I70" i="1" s="1"/>
  <c r="H69" i="1"/>
  <c r="H67" i="1"/>
  <c r="H66" i="1"/>
  <c r="H65" i="1"/>
  <c r="H64" i="1"/>
  <c r="H63" i="1"/>
  <c r="H62" i="1"/>
  <c r="H61" i="1"/>
  <c r="H55" i="1"/>
  <c r="H54" i="1"/>
  <c r="H53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2" i="1"/>
  <c r="H31" i="1"/>
  <c r="H30" i="1"/>
  <c r="H29" i="1"/>
  <c r="H27" i="1"/>
  <c r="H23" i="1"/>
  <c r="H22" i="1"/>
  <c r="H21" i="1"/>
  <c r="H20" i="1"/>
  <c r="H18" i="1"/>
  <c r="H17" i="1"/>
  <c r="H16" i="1"/>
  <c r="H15" i="1"/>
  <c r="T34" i="1" l="1"/>
  <c r="T136" i="1"/>
  <c r="AC34" i="1"/>
  <c r="AC136" i="1"/>
  <c r="H97" i="1"/>
  <c r="H74" i="1"/>
  <c r="AC12" i="1"/>
  <c r="T225" i="1"/>
  <c r="AC97" i="1"/>
  <c r="H14" i="1"/>
  <c r="H253" i="1"/>
  <c r="H225" i="1"/>
  <c r="H88" i="1"/>
  <c r="H60" i="1"/>
  <c r="H34" i="1"/>
  <c r="H26" i="1"/>
  <c r="H19" i="1"/>
  <c r="T256" i="1" l="1"/>
  <c r="T255" i="1"/>
  <c r="AC256" i="1"/>
  <c r="H12" i="1"/>
  <c r="AC255" i="1"/>
  <c r="N254" i="1" l="1"/>
  <c r="AE254" i="1" l="1"/>
  <c r="AD254" i="1" s="1"/>
  <c r="W194" i="1" l="1"/>
  <c r="W202" i="1"/>
  <c r="T179" i="4" l="1"/>
  <c r="T178" i="4" s="1"/>
  <c r="S179" i="4"/>
  <c r="S178" i="4" s="1"/>
  <c r="R179" i="4"/>
  <c r="Q179" i="4"/>
  <c r="Q178" i="4" s="1"/>
  <c r="P179" i="4"/>
  <c r="O179" i="4"/>
  <c r="O178" i="4" s="1"/>
  <c r="N179" i="4"/>
  <c r="N178" i="4" s="1"/>
  <c r="M179" i="4"/>
  <c r="M178" i="4" s="1"/>
  <c r="K179" i="4"/>
  <c r="K178" i="4" s="1"/>
  <c r="R178" i="4"/>
  <c r="R171" i="4" s="1"/>
  <c r="P178" i="4"/>
  <c r="T173" i="4"/>
  <c r="T171" i="4" s="1"/>
  <c r="S173" i="4"/>
  <c r="R173" i="4"/>
  <c r="Q173" i="4"/>
  <c r="P173" i="4"/>
  <c r="O173" i="4"/>
  <c r="N173" i="4"/>
  <c r="M173" i="4"/>
  <c r="L173" i="4"/>
  <c r="K173" i="4"/>
  <c r="T146" i="4"/>
  <c r="S146" i="4"/>
  <c r="R146" i="4"/>
  <c r="Q146" i="4"/>
  <c r="P146" i="4"/>
  <c r="O146" i="4"/>
  <c r="N146" i="4"/>
  <c r="M146" i="4"/>
  <c r="K146" i="4"/>
  <c r="T128" i="4"/>
  <c r="S128" i="4"/>
  <c r="R128" i="4"/>
  <c r="Q128" i="4"/>
  <c r="P128" i="4"/>
  <c r="O128" i="4"/>
  <c r="N128" i="4"/>
  <c r="M128" i="4"/>
  <c r="L128" i="4"/>
  <c r="K128" i="4"/>
  <c r="T122" i="4"/>
  <c r="S122" i="4"/>
  <c r="R122" i="4"/>
  <c r="Q122" i="4"/>
  <c r="P122" i="4"/>
  <c r="O122" i="4"/>
  <c r="N122" i="4"/>
  <c r="M122" i="4"/>
  <c r="L122" i="4"/>
  <c r="K122" i="4"/>
  <c r="K121" i="4" s="1"/>
  <c r="K120" i="4" s="1"/>
  <c r="T111" i="4"/>
  <c r="T110" i="4" s="1"/>
  <c r="S111" i="4"/>
  <c r="S110" i="4" s="1"/>
  <c r="R111" i="4"/>
  <c r="R110" i="4" s="1"/>
  <c r="Q111" i="4"/>
  <c r="Q110" i="4" s="1"/>
  <c r="P111" i="4"/>
  <c r="P110" i="4" s="1"/>
  <c r="O111" i="4"/>
  <c r="O110" i="4" s="1"/>
  <c r="N111" i="4"/>
  <c r="N110" i="4" s="1"/>
  <c r="M111" i="4"/>
  <c r="M110" i="4" s="1"/>
  <c r="L111" i="4"/>
  <c r="K111" i="4"/>
  <c r="K110" i="4" s="1"/>
  <c r="T104" i="4"/>
  <c r="S104" i="4"/>
  <c r="R104" i="4"/>
  <c r="Q104" i="4"/>
  <c r="P104" i="4"/>
  <c r="O104" i="4"/>
  <c r="N104" i="4"/>
  <c r="M104" i="4"/>
  <c r="K104" i="4"/>
  <c r="T100" i="4"/>
  <c r="S100" i="4"/>
  <c r="R100" i="4"/>
  <c r="Q100" i="4"/>
  <c r="P100" i="4"/>
  <c r="O100" i="4"/>
  <c r="N100" i="4"/>
  <c r="M100" i="4"/>
  <c r="K100" i="4"/>
  <c r="T98" i="4"/>
  <c r="S98" i="4"/>
  <c r="R98" i="4"/>
  <c r="Q98" i="4"/>
  <c r="P98" i="4"/>
  <c r="O98" i="4"/>
  <c r="N98" i="4"/>
  <c r="M98" i="4"/>
  <c r="L98" i="4"/>
  <c r="K98" i="4"/>
  <c r="T94" i="4"/>
  <c r="S94" i="4"/>
  <c r="R94" i="4"/>
  <c r="Q94" i="4"/>
  <c r="P94" i="4"/>
  <c r="O94" i="4"/>
  <c r="N94" i="4"/>
  <c r="N93" i="4" s="1"/>
  <c r="M94" i="4"/>
  <c r="K94" i="4"/>
  <c r="T90" i="4"/>
  <c r="S90" i="4"/>
  <c r="R90" i="4"/>
  <c r="Q90" i="4"/>
  <c r="P90" i="4"/>
  <c r="O90" i="4"/>
  <c r="N90" i="4"/>
  <c r="M90" i="4"/>
  <c r="L90" i="4"/>
  <c r="K90" i="4"/>
  <c r="T86" i="4"/>
  <c r="T84" i="4" s="1"/>
  <c r="S86" i="4"/>
  <c r="S84" i="4" s="1"/>
  <c r="R86" i="4"/>
  <c r="Q86" i="4"/>
  <c r="P86" i="4"/>
  <c r="P84" i="4" s="1"/>
  <c r="O86" i="4"/>
  <c r="O84" i="4" s="1"/>
  <c r="N86" i="4"/>
  <c r="N84" i="4" s="1"/>
  <c r="M86" i="4"/>
  <c r="M84" i="4" s="1"/>
  <c r="L86" i="4"/>
  <c r="L84" i="4" s="1"/>
  <c r="K86" i="4"/>
  <c r="K84" i="4" s="1"/>
  <c r="R84" i="4"/>
  <c r="Q84" i="4"/>
  <c r="T80" i="4"/>
  <c r="T79" i="4" s="1"/>
  <c r="S80" i="4"/>
  <c r="R80" i="4"/>
  <c r="R79" i="4" s="1"/>
  <c r="Q80" i="4"/>
  <c r="Q79" i="4" s="1"/>
  <c r="P80" i="4"/>
  <c r="P79" i="4" s="1"/>
  <c r="O80" i="4"/>
  <c r="O79" i="4" s="1"/>
  <c r="N80" i="4"/>
  <c r="N79" i="4" s="1"/>
  <c r="M80" i="4"/>
  <c r="K80" i="4"/>
  <c r="K79" i="4" s="1"/>
  <c r="S79" i="4"/>
  <c r="M79" i="4"/>
  <c r="T75" i="4"/>
  <c r="S75" i="4"/>
  <c r="R75" i="4"/>
  <c r="Q75" i="4"/>
  <c r="P75" i="4"/>
  <c r="O75" i="4"/>
  <c r="N75" i="4"/>
  <c r="M75" i="4"/>
  <c r="L75" i="4"/>
  <c r="K75" i="4"/>
  <c r="T70" i="4"/>
  <c r="S70" i="4"/>
  <c r="R70" i="4"/>
  <c r="Q70" i="4"/>
  <c r="P70" i="4"/>
  <c r="O70" i="4"/>
  <c r="N70" i="4"/>
  <c r="M70" i="4"/>
  <c r="L70" i="4"/>
  <c r="K70" i="4"/>
  <c r="T65" i="4"/>
  <c r="S65" i="4"/>
  <c r="R65" i="4"/>
  <c r="Q65" i="4"/>
  <c r="P65" i="4"/>
  <c r="O65" i="4"/>
  <c r="N65" i="4"/>
  <c r="N61" i="4" s="1"/>
  <c r="M65" i="4"/>
  <c r="K65" i="4"/>
  <c r="K61" i="4" s="1"/>
  <c r="T62" i="4"/>
  <c r="S62" i="4"/>
  <c r="R62" i="4"/>
  <c r="Q62" i="4"/>
  <c r="Q61" i="4" s="1"/>
  <c r="Q58" i="4" s="1"/>
  <c r="P62" i="4"/>
  <c r="O62" i="4"/>
  <c r="N62" i="4"/>
  <c r="M62" i="4"/>
  <c r="M61" i="4" s="1"/>
  <c r="M58" i="4" s="1"/>
  <c r="K62" i="4"/>
  <c r="R61" i="4"/>
  <c r="T59" i="4"/>
  <c r="S59" i="4"/>
  <c r="R59" i="4"/>
  <c r="Q59" i="4"/>
  <c r="P59" i="4"/>
  <c r="O59" i="4"/>
  <c r="N59" i="4"/>
  <c r="M59" i="4"/>
  <c r="L59" i="4"/>
  <c r="K59" i="4"/>
  <c r="T54" i="4"/>
  <c r="T53" i="4" s="1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O53" i="4"/>
  <c r="K53" i="4"/>
  <c r="T46" i="4"/>
  <c r="S46" i="4"/>
  <c r="R46" i="4"/>
  <c r="Q46" i="4"/>
  <c r="P46" i="4"/>
  <c r="O46" i="4"/>
  <c r="N46" i="4"/>
  <c r="M46" i="4"/>
  <c r="L46" i="4"/>
  <c r="K46" i="4"/>
  <c r="T43" i="4"/>
  <c r="T42" i="4" s="1"/>
  <c r="S43" i="4"/>
  <c r="R43" i="4"/>
  <c r="Q43" i="4"/>
  <c r="P43" i="4"/>
  <c r="O43" i="4"/>
  <c r="O42" i="4" s="1"/>
  <c r="N43" i="4"/>
  <c r="M43" i="4"/>
  <c r="L43" i="4"/>
  <c r="K43" i="4"/>
  <c r="K42" i="4" s="1"/>
  <c r="T40" i="4"/>
  <c r="S40" i="4"/>
  <c r="R40" i="4"/>
  <c r="Q40" i="4"/>
  <c r="P40" i="4"/>
  <c r="O40" i="4"/>
  <c r="O37" i="4" s="1"/>
  <c r="N40" i="4"/>
  <c r="M40" i="4"/>
  <c r="L40" i="4"/>
  <c r="K40" i="4"/>
  <c r="K37" i="4" s="1"/>
  <c r="T38" i="4"/>
  <c r="S38" i="4"/>
  <c r="R38" i="4"/>
  <c r="Q38" i="4"/>
  <c r="P38" i="4"/>
  <c r="O38" i="4"/>
  <c r="N38" i="4"/>
  <c r="M38" i="4"/>
  <c r="L38" i="4"/>
  <c r="K38" i="4"/>
  <c r="L37" i="4"/>
  <c r="T35" i="4"/>
  <c r="T34" i="4" s="1"/>
  <c r="S35" i="4"/>
  <c r="S34" i="4" s="1"/>
  <c r="R35" i="4"/>
  <c r="R34" i="4" s="1"/>
  <c r="Q35" i="4"/>
  <c r="Q34" i="4" s="1"/>
  <c r="P35" i="4"/>
  <c r="P34" i="4" s="1"/>
  <c r="O35" i="4"/>
  <c r="O34" i="4" s="1"/>
  <c r="N35" i="4"/>
  <c r="N34" i="4" s="1"/>
  <c r="M35" i="4"/>
  <c r="M34" i="4" s="1"/>
  <c r="L35" i="4"/>
  <c r="L34" i="4" s="1"/>
  <c r="K35" i="4"/>
  <c r="K34" i="4" s="1"/>
  <c r="T32" i="4"/>
  <c r="S32" i="4"/>
  <c r="R32" i="4"/>
  <c r="Q32" i="4"/>
  <c r="P32" i="4"/>
  <c r="O32" i="4"/>
  <c r="N32" i="4"/>
  <c r="M32" i="4"/>
  <c r="L32" i="4"/>
  <c r="K32" i="4"/>
  <c r="T29" i="4"/>
  <c r="T28" i="4" s="1"/>
  <c r="S29" i="4"/>
  <c r="S28" i="4" s="1"/>
  <c r="R29" i="4"/>
  <c r="Q29" i="4"/>
  <c r="P29" i="4"/>
  <c r="P28" i="4" s="1"/>
  <c r="O29" i="4"/>
  <c r="O28" i="4" s="1"/>
  <c r="N29" i="4"/>
  <c r="N28" i="4" s="1"/>
  <c r="M29" i="4"/>
  <c r="M28" i="4" s="1"/>
  <c r="L29" i="4"/>
  <c r="L28" i="4" s="1"/>
  <c r="K29" i="4"/>
  <c r="K28" i="4" s="1"/>
  <c r="R28" i="4"/>
  <c r="Q28" i="4"/>
  <c r="T26" i="4"/>
  <c r="S26" i="4"/>
  <c r="R26" i="4"/>
  <c r="Q26" i="4"/>
  <c r="P26" i="4"/>
  <c r="O26" i="4"/>
  <c r="N26" i="4"/>
  <c r="M26" i="4"/>
  <c r="L26" i="4"/>
  <c r="K26" i="4"/>
  <c r="T22" i="4"/>
  <c r="S22" i="4"/>
  <c r="R22" i="4"/>
  <c r="R18" i="4" s="1"/>
  <c r="R17" i="4" s="1"/>
  <c r="Q22" i="4"/>
  <c r="P22" i="4"/>
  <c r="O22" i="4"/>
  <c r="N22" i="4"/>
  <c r="M22" i="4"/>
  <c r="L22" i="4"/>
  <c r="K22" i="4"/>
  <c r="T19" i="4"/>
  <c r="S19" i="4"/>
  <c r="R19" i="4"/>
  <c r="Q19" i="4"/>
  <c r="Q18" i="4" s="1"/>
  <c r="Q17" i="4" s="1"/>
  <c r="P19" i="4"/>
  <c r="O19" i="4"/>
  <c r="N19" i="4"/>
  <c r="M19" i="4"/>
  <c r="M18" i="4" s="1"/>
  <c r="M17" i="4" s="1"/>
  <c r="L19" i="4"/>
  <c r="K19" i="4"/>
  <c r="T14" i="4"/>
  <c r="T13" i="4" s="1"/>
  <c r="T12" i="4" s="1"/>
  <c r="S14" i="4"/>
  <c r="S13" i="4" s="1"/>
  <c r="S12" i="4" s="1"/>
  <c r="R14" i="4"/>
  <c r="Q14" i="4"/>
  <c r="P14" i="4"/>
  <c r="P13" i="4" s="1"/>
  <c r="P12" i="4" s="1"/>
  <c r="O14" i="4"/>
  <c r="O13" i="4" s="1"/>
  <c r="O12" i="4" s="1"/>
  <c r="N14" i="4"/>
  <c r="N13" i="4" s="1"/>
  <c r="N12" i="4" s="1"/>
  <c r="M14" i="4"/>
  <c r="L14" i="4"/>
  <c r="L13" i="4" s="1"/>
  <c r="L12" i="4" s="1"/>
  <c r="K14" i="4"/>
  <c r="K13" i="4" s="1"/>
  <c r="K12" i="4" s="1"/>
  <c r="R13" i="4"/>
  <c r="R12" i="4" s="1"/>
  <c r="Q13" i="4"/>
  <c r="Q12" i="4" s="1"/>
  <c r="M13" i="4"/>
  <c r="M12" i="4" s="1"/>
  <c r="J254" i="1"/>
  <c r="I254" i="1" s="1"/>
  <c r="AN253" i="1"/>
  <c r="AL253" i="1"/>
  <c r="AK253" i="1"/>
  <c r="AJ253" i="1"/>
  <c r="AI253" i="1"/>
  <c r="AH253" i="1"/>
  <c r="AG253" i="1"/>
  <c r="AF253" i="1"/>
  <c r="AE253" i="1"/>
  <c r="AD253" i="1"/>
  <c r="AB253" i="1"/>
  <c r="AA253" i="1"/>
  <c r="Z253" i="1"/>
  <c r="Y253" i="1"/>
  <c r="X253" i="1"/>
  <c r="W253" i="1"/>
  <c r="S253" i="1"/>
  <c r="R253" i="1"/>
  <c r="Q253" i="1"/>
  <c r="P253" i="1"/>
  <c r="O253" i="1"/>
  <c r="N253" i="1"/>
  <c r="K253" i="1"/>
  <c r="T37" i="4" l="1"/>
  <c r="N42" i="4"/>
  <c r="R42" i="4"/>
  <c r="L42" i="4"/>
  <c r="P42" i="4"/>
  <c r="L68" i="4"/>
  <c r="P68" i="4"/>
  <c r="T68" i="4"/>
  <c r="N68" i="4"/>
  <c r="R68" i="4"/>
  <c r="L121" i="4"/>
  <c r="L120" i="4" s="1"/>
  <c r="N18" i="4"/>
  <c r="N17" i="4" s="1"/>
  <c r="N25" i="4"/>
  <c r="S37" i="4"/>
  <c r="Q93" i="4"/>
  <c r="P171" i="4"/>
  <c r="S42" i="4"/>
  <c r="M68" i="4"/>
  <c r="Q68" i="4"/>
  <c r="Q25" i="4"/>
  <c r="M25" i="4"/>
  <c r="T61" i="4"/>
  <c r="M93" i="4"/>
  <c r="S121" i="4"/>
  <c r="S120" i="4" s="1"/>
  <c r="T121" i="4"/>
  <c r="T120" i="4" s="1"/>
  <c r="R25" i="4"/>
  <c r="N37" i="4"/>
  <c r="R37" i="4"/>
  <c r="P37" i="4"/>
  <c r="P31" i="4" s="1"/>
  <c r="P61" i="4"/>
  <c r="P58" i="4" s="1"/>
  <c r="K68" i="4"/>
  <c r="O68" i="4"/>
  <c r="S68" i="4"/>
  <c r="K93" i="4"/>
  <c r="K89" i="4" s="1"/>
  <c r="O93" i="4"/>
  <c r="S93" i="4"/>
  <c r="S89" i="4" s="1"/>
  <c r="R93" i="4"/>
  <c r="R89" i="4" s="1"/>
  <c r="Q121" i="4"/>
  <c r="Q120" i="4" s="1"/>
  <c r="O121" i="4"/>
  <c r="O120" i="4" s="1"/>
  <c r="R58" i="4"/>
  <c r="P93" i="4"/>
  <c r="P89" i="4" s="1"/>
  <c r="T93" i="4"/>
  <c r="T89" i="4" s="1"/>
  <c r="N121" i="4"/>
  <c r="N120" i="4" s="1"/>
  <c r="R121" i="4"/>
  <c r="R120" i="4" s="1"/>
  <c r="P121" i="4"/>
  <c r="P120" i="4" s="1"/>
  <c r="N171" i="4"/>
  <c r="N58" i="4"/>
  <c r="M121" i="4"/>
  <c r="M120" i="4" s="1"/>
  <c r="K171" i="4"/>
  <c r="O171" i="4"/>
  <c r="S171" i="4"/>
  <c r="M171" i="4"/>
  <c r="Q171" i="4"/>
  <c r="O89" i="4"/>
  <c r="M89" i="4"/>
  <c r="Q89" i="4"/>
  <c r="N89" i="4"/>
  <c r="O61" i="4"/>
  <c r="O58" i="4" s="1"/>
  <c r="S61" i="4"/>
  <c r="K58" i="4"/>
  <c r="S58" i="4"/>
  <c r="T58" i="4"/>
  <c r="M42" i="4"/>
  <c r="Q42" i="4"/>
  <c r="M37" i="4"/>
  <c r="M31" i="4" s="1"/>
  <c r="M118" i="4" s="1"/>
  <c r="Q37" i="4"/>
  <c r="Q31" i="4" s="1"/>
  <c r="Q118" i="4" s="1"/>
  <c r="K31" i="4"/>
  <c r="O31" i="4"/>
  <c r="S31" i="4"/>
  <c r="T31" i="4"/>
  <c r="N31" i="4"/>
  <c r="R31" i="4"/>
  <c r="L31" i="4"/>
  <c r="K25" i="4"/>
  <c r="O25" i="4"/>
  <c r="S25" i="4"/>
  <c r="L25" i="4"/>
  <c r="P25" i="4"/>
  <c r="T25" i="4"/>
  <c r="K18" i="4"/>
  <c r="K17" i="4" s="1"/>
  <c r="O18" i="4"/>
  <c r="O17" i="4" s="1"/>
  <c r="S18" i="4"/>
  <c r="S17" i="4" s="1"/>
  <c r="S118" i="4" s="1"/>
  <c r="S184" i="4" s="1"/>
  <c r="L18" i="4"/>
  <c r="L17" i="4" s="1"/>
  <c r="P18" i="4"/>
  <c r="P17" i="4" s="1"/>
  <c r="T18" i="4"/>
  <c r="T17" i="4" s="1"/>
  <c r="I253" i="1"/>
  <c r="J253" i="1"/>
  <c r="N118" i="4" l="1"/>
  <c r="T118" i="4"/>
  <c r="T184" i="4" s="1"/>
  <c r="O118" i="4"/>
  <c r="O184" i="4" s="1"/>
  <c r="P118" i="4"/>
  <c r="K118" i="4"/>
  <c r="K184" i="4" s="1"/>
  <c r="R118" i="4"/>
  <c r="R184" i="4" s="1"/>
  <c r="M184" i="4"/>
  <c r="M10" i="4"/>
  <c r="M185" i="4" s="1"/>
  <c r="O10" i="4"/>
  <c r="O185" i="4" s="1"/>
  <c r="R10" i="4"/>
  <c r="R185" i="4" s="1"/>
  <c r="Q184" i="4"/>
  <c r="Q10" i="4"/>
  <c r="Q185" i="4" s="1"/>
  <c r="N184" i="4"/>
  <c r="N10" i="4"/>
  <c r="N185" i="4" s="1"/>
  <c r="S10" i="4"/>
  <c r="S185" i="4" s="1"/>
  <c r="AL225" i="1"/>
  <c r="AK225" i="1"/>
  <c r="AJ225" i="1"/>
  <c r="AI225" i="1"/>
  <c r="AH225" i="1"/>
  <c r="AG225" i="1"/>
  <c r="AF225" i="1"/>
  <c r="AB225" i="1"/>
  <c r="AA225" i="1"/>
  <c r="Z225" i="1"/>
  <c r="Y225" i="1"/>
  <c r="X225" i="1"/>
  <c r="W225" i="1"/>
  <c r="S225" i="1"/>
  <c r="R225" i="1"/>
  <c r="Q225" i="1"/>
  <c r="P225" i="1"/>
  <c r="O225" i="1"/>
  <c r="N225" i="1"/>
  <c r="K225" i="1"/>
  <c r="AL97" i="1"/>
  <c r="AK97" i="1"/>
  <c r="AJ97" i="1"/>
  <c r="AI97" i="1"/>
  <c r="AH97" i="1"/>
  <c r="AF97" i="1"/>
  <c r="AB97" i="1"/>
  <c r="AA97" i="1"/>
  <c r="Z97" i="1"/>
  <c r="Y97" i="1"/>
  <c r="X97" i="1"/>
  <c r="S97" i="1"/>
  <c r="R97" i="1"/>
  <c r="Q97" i="1"/>
  <c r="O97" i="1"/>
  <c r="K97" i="1"/>
  <c r="AN88" i="1"/>
  <c r="AL88" i="1"/>
  <c r="AK88" i="1"/>
  <c r="AJ88" i="1"/>
  <c r="AI88" i="1"/>
  <c r="AH88" i="1"/>
  <c r="AG88" i="1"/>
  <c r="AF88" i="1"/>
  <c r="AB88" i="1"/>
  <c r="AA88" i="1"/>
  <c r="Z88" i="1"/>
  <c r="Y88" i="1"/>
  <c r="X88" i="1"/>
  <c r="W88" i="1"/>
  <c r="V88" i="1"/>
  <c r="U88" i="1"/>
  <c r="S88" i="1"/>
  <c r="R88" i="1"/>
  <c r="Q88" i="1"/>
  <c r="P88" i="1"/>
  <c r="O88" i="1"/>
  <c r="N88" i="1"/>
  <c r="K88" i="1"/>
  <c r="AN74" i="1"/>
  <c r="AL74" i="1"/>
  <c r="AK74" i="1"/>
  <c r="AJ74" i="1"/>
  <c r="AI74" i="1"/>
  <c r="AH74" i="1"/>
  <c r="AG74" i="1"/>
  <c r="AF74" i="1"/>
  <c r="AB74" i="1"/>
  <c r="AA74" i="1"/>
  <c r="Z74" i="1"/>
  <c r="Y74" i="1"/>
  <c r="X74" i="1"/>
  <c r="W74" i="1"/>
  <c r="V74" i="1"/>
  <c r="U74" i="1"/>
  <c r="AN60" i="1"/>
  <c r="AL60" i="1"/>
  <c r="AK60" i="1"/>
  <c r="AJ60" i="1"/>
  <c r="AI60" i="1"/>
  <c r="AH60" i="1"/>
  <c r="AG60" i="1"/>
  <c r="AF60" i="1"/>
  <c r="AE60" i="1"/>
  <c r="AD60" i="1"/>
  <c r="AB60" i="1"/>
  <c r="AA60" i="1"/>
  <c r="Z60" i="1"/>
  <c r="Y60" i="1"/>
  <c r="X60" i="1"/>
  <c r="W60" i="1"/>
  <c r="S60" i="1"/>
  <c r="R60" i="1"/>
  <c r="Q60" i="1"/>
  <c r="P60" i="1"/>
  <c r="O60" i="1"/>
  <c r="N60" i="1"/>
  <c r="K60" i="1"/>
  <c r="AN34" i="1"/>
  <c r="AL34" i="1"/>
  <c r="AK34" i="1"/>
  <c r="AJ34" i="1"/>
  <c r="AI34" i="1"/>
  <c r="AH34" i="1"/>
  <c r="AG34" i="1"/>
  <c r="AF34" i="1"/>
  <c r="AB34" i="1"/>
  <c r="AA34" i="1"/>
  <c r="Z34" i="1"/>
  <c r="Y34" i="1"/>
  <c r="X34" i="1"/>
  <c r="W34" i="1"/>
  <c r="S34" i="1"/>
  <c r="R34" i="1"/>
  <c r="Q34" i="1"/>
  <c r="P34" i="1"/>
  <c r="O34" i="1"/>
  <c r="N34" i="1"/>
  <c r="K34" i="1"/>
  <c r="AL26" i="1"/>
  <c r="AK26" i="1"/>
  <c r="AJ26" i="1"/>
  <c r="AI26" i="1"/>
  <c r="AH26" i="1"/>
  <c r="AG26" i="1"/>
  <c r="AF26" i="1"/>
  <c r="AB26" i="1"/>
  <c r="AA26" i="1"/>
  <c r="Z26" i="1"/>
  <c r="Y26" i="1"/>
  <c r="X26" i="1"/>
  <c r="W26" i="1"/>
  <c r="V26" i="1"/>
  <c r="U26" i="1"/>
  <c r="S26" i="1"/>
  <c r="R26" i="1"/>
  <c r="Q26" i="1"/>
  <c r="P26" i="1"/>
  <c r="O26" i="1"/>
  <c r="N26" i="1"/>
  <c r="K26" i="1"/>
  <c r="AN19" i="1"/>
  <c r="AN12" i="1" s="1"/>
  <c r="AL19" i="1"/>
  <c r="AL12" i="1" s="1"/>
  <c r="AK19" i="1"/>
  <c r="AK12" i="1" s="1"/>
  <c r="AJ19" i="1"/>
  <c r="AJ12" i="1" s="1"/>
  <c r="AI19" i="1"/>
  <c r="AI12" i="1" s="1"/>
  <c r="AH19" i="1"/>
  <c r="AH12" i="1" s="1"/>
  <c r="AG19" i="1"/>
  <c r="AG12" i="1" s="1"/>
  <c r="AF19" i="1"/>
  <c r="AF12" i="1" s="1"/>
  <c r="AE19" i="1"/>
  <c r="AD19" i="1"/>
  <c r="AB19" i="1"/>
  <c r="AB12" i="1" s="1"/>
  <c r="AA19" i="1"/>
  <c r="AA12" i="1" s="1"/>
  <c r="Z19" i="1"/>
  <c r="Z12" i="1" s="1"/>
  <c r="Y19" i="1"/>
  <c r="Y12" i="1" s="1"/>
  <c r="X19" i="1"/>
  <c r="X12" i="1" s="1"/>
  <c r="W19" i="1"/>
  <c r="W12" i="1" s="1"/>
  <c r="V19" i="1"/>
  <c r="V12" i="1" s="1"/>
  <c r="U19" i="1"/>
  <c r="U12" i="1" s="1"/>
  <c r="S19" i="1"/>
  <c r="S12" i="1" s="1"/>
  <c r="R19" i="1"/>
  <c r="R12" i="1" s="1"/>
  <c r="Q19" i="1"/>
  <c r="Q12" i="1" s="1"/>
  <c r="P19" i="1"/>
  <c r="P12" i="1" s="1"/>
  <c r="O19" i="1"/>
  <c r="O12" i="1" s="1"/>
  <c r="N19" i="1"/>
  <c r="T10" i="4" l="1"/>
  <c r="T185" i="4" s="1"/>
  <c r="K10" i="4"/>
  <c r="K185" i="4" s="1"/>
  <c r="P184" i="4"/>
  <c r="P10" i="4"/>
  <c r="P185" i="4" s="1"/>
  <c r="AN256" i="1"/>
  <c r="Z255" i="1"/>
  <c r="Z256" i="1"/>
  <c r="AI255" i="1"/>
  <c r="AI256" i="1"/>
  <c r="AH255" i="1"/>
  <c r="AH256" i="1"/>
  <c r="AF255" i="1"/>
  <c r="AF256" i="1"/>
  <c r="X256" i="1"/>
  <c r="X255" i="1"/>
  <c r="Y255" i="1"/>
  <c r="Y256" i="1"/>
  <c r="AL255" i="1"/>
  <c r="AL256" i="1"/>
  <c r="AB256" i="1"/>
  <c r="AB255" i="1"/>
  <c r="AK255" i="1"/>
  <c r="AK256" i="1"/>
  <c r="AA255" i="1"/>
  <c r="AA256" i="1"/>
  <c r="AJ256" i="1"/>
  <c r="AJ255" i="1"/>
  <c r="AN255" i="1"/>
  <c r="L181" i="4"/>
  <c r="L179" i="4" s="1"/>
  <c r="L178" i="4" s="1"/>
  <c r="L171" i="4" s="1"/>
  <c r="L114" i="4" l="1"/>
  <c r="L110" i="4" s="1"/>
  <c r="L67" i="4" l="1"/>
  <c r="L65" i="4" s="1"/>
  <c r="L81" i="4" l="1"/>
  <c r="J50" i="1"/>
  <c r="I50" i="1" s="1"/>
  <c r="G50" i="1" s="1"/>
  <c r="AE230" i="1"/>
  <c r="AD230" i="1" s="1"/>
  <c r="AE236" i="1"/>
  <c r="AD236" i="1" s="1"/>
  <c r="AE237" i="1"/>
  <c r="AD237" i="1" s="1"/>
  <c r="AE244" i="1"/>
  <c r="AD244" i="1" s="1"/>
  <c r="AE246" i="1"/>
  <c r="AD246" i="1" s="1"/>
  <c r="AE211" i="1"/>
  <c r="AD211" i="1" s="1"/>
  <c r="AE212" i="1"/>
  <c r="AD212" i="1" s="1"/>
  <c r="AE213" i="1"/>
  <c r="AD213" i="1" s="1"/>
  <c r="AE214" i="1"/>
  <c r="AD214" i="1" s="1"/>
  <c r="AE215" i="1"/>
  <c r="AE216" i="1"/>
  <c r="AE217" i="1"/>
  <c r="AE218" i="1"/>
  <c r="W209" i="1"/>
  <c r="W200" i="1"/>
  <c r="W198" i="1"/>
  <c r="AE187" i="1"/>
  <c r="AD187" i="1" s="1"/>
  <c r="W169" i="1"/>
  <c r="W159" i="1"/>
  <c r="W147" i="1"/>
  <c r="W149" i="1"/>
  <c r="AD225" i="1" l="1"/>
  <c r="AE225" i="1"/>
  <c r="L63" i="4"/>
  <c r="L62" i="4" s="1"/>
  <c r="L61" i="4" s="1"/>
  <c r="L58" i="4" s="1"/>
  <c r="L166" i="4"/>
  <c r="L155" i="4" l="1"/>
  <c r="L153" i="4"/>
  <c r="L157" i="4"/>
  <c r="L158" i="4"/>
  <c r="L151" i="4"/>
  <c r="J14" i="1" l="1"/>
  <c r="N12" i="1"/>
  <c r="J151" i="1"/>
  <c r="I151" i="1" s="1"/>
  <c r="G151" i="1" s="1"/>
  <c r="L149" i="4"/>
  <c r="L146" i="4" s="1"/>
  <c r="N149" i="1" l="1"/>
  <c r="N118" i="1"/>
  <c r="L82" i="4"/>
  <c r="L80" i="4" s="1"/>
  <c r="L79" i="4" s="1"/>
  <c r="W214" i="1"/>
  <c r="AG209" i="1"/>
  <c r="AE209" i="1" s="1"/>
  <c r="AD209" i="1" s="1"/>
  <c r="L96" i="4"/>
  <c r="L94" i="4" s="1"/>
  <c r="AG200" i="1"/>
  <c r="AG206" i="1"/>
  <c r="AG202" i="1"/>
  <c r="AG198" i="1" l="1"/>
  <c r="N197" i="1"/>
  <c r="W187" i="1"/>
  <c r="W179" i="1" l="1"/>
  <c r="AG175" i="1"/>
  <c r="W175" i="1"/>
  <c r="AG171" i="1"/>
  <c r="W171" i="1"/>
  <c r="W168" i="1"/>
  <c r="W165" i="1"/>
  <c r="AG159" i="1"/>
  <c r="N157" i="1"/>
  <c r="L109" i="4"/>
  <c r="L104" i="4" s="1"/>
  <c r="L101" i="4"/>
  <c r="L100" i="4" s="1"/>
  <c r="AG155" i="1"/>
  <c r="W155" i="1"/>
  <c r="W136" i="1" s="1"/>
  <c r="AG149" i="1"/>
  <c r="J122" i="1"/>
  <c r="I122" i="1" s="1"/>
  <c r="G122" i="1" s="1"/>
  <c r="AG136" i="1" l="1"/>
  <c r="L93" i="4"/>
  <c r="L89" i="4" s="1"/>
  <c r="L118" i="4" s="1"/>
  <c r="L184" i="4" s="1"/>
  <c r="V106" i="1"/>
  <c r="V107" i="1"/>
  <c r="V108" i="1"/>
  <c r="U108" i="1" s="1"/>
  <c r="V109" i="1"/>
  <c r="U109" i="1" s="1"/>
  <c r="V110" i="1"/>
  <c r="U110" i="1" s="1"/>
  <c r="V111" i="1"/>
  <c r="U111" i="1" s="1"/>
  <c r="V112" i="1"/>
  <c r="U112" i="1" s="1"/>
  <c r="V113" i="1"/>
  <c r="U113" i="1" s="1"/>
  <c r="V114" i="1"/>
  <c r="U114" i="1" s="1"/>
  <c r="V115" i="1"/>
  <c r="U115" i="1" s="1"/>
  <c r="V116" i="1"/>
  <c r="U116" i="1" s="1"/>
  <c r="N108" i="1"/>
  <c r="N97" i="1" s="1"/>
  <c r="AG118" i="1"/>
  <c r="AG117" i="1"/>
  <c r="AG116" i="1"/>
  <c r="L10" i="4" l="1"/>
  <c r="L185" i="4" s="1"/>
  <c r="AG97" i="1"/>
  <c r="W255" i="1"/>
  <c r="W256" i="1"/>
  <c r="J24" i="1"/>
  <c r="I24" i="1" s="1"/>
  <c r="G24" i="1" s="1"/>
  <c r="AG256" i="1" l="1"/>
  <c r="AG255" i="1"/>
  <c r="J51" i="1"/>
  <c r="J49" i="1"/>
  <c r="I49" i="1" s="1"/>
  <c r="I51" i="1" l="1"/>
  <c r="G51" i="1" s="1"/>
  <c r="J146" i="1"/>
  <c r="I146" i="1" s="1"/>
  <c r="G146" i="1" l="1"/>
  <c r="J148" i="4"/>
  <c r="I148" i="4" s="1"/>
  <c r="J181" i="4"/>
  <c r="I181" i="4" s="1"/>
  <c r="J180" i="4"/>
  <c r="I180" i="4" s="1"/>
  <c r="J175" i="4"/>
  <c r="I175" i="4" s="1"/>
  <c r="J174" i="4"/>
  <c r="I174" i="4" s="1"/>
  <c r="J168" i="4"/>
  <c r="I168" i="4" s="1"/>
  <c r="J167" i="4"/>
  <c r="I167" i="4" s="1"/>
  <c r="J166" i="4"/>
  <c r="I166" i="4" s="1"/>
  <c r="J165" i="4"/>
  <c r="I165" i="4" s="1"/>
  <c r="J164" i="4"/>
  <c r="I164" i="4" s="1"/>
  <c r="J163" i="4"/>
  <c r="I163" i="4" s="1"/>
  <c r="J162" i="4"/>
  <c r="I162" i="4" s="1"/>
  <c r="J161" i="4"/>
  <c r="I161" i="4" s="1"/>
  <c r="J160" i="4"/>
  <c r="I160" i="4" s="1"/>
  <c r="J159" i="4"/>
  <c r="I159" i="4" s="1"/>
  <c r="J158" i="4"/>
  <c r="I158" i="4" s="1"/>
  <c r="J157" i="4"/>
  <c r="I157" i="4" s="1"/>
  <c r="J156" i="4"/>
  <c r="I156" i="4" s="1"/>
  <c r="J155" i="4"/>
  <c r="I155" i="4" s="1"/>
  <c r="J154" i="4"/>
  <c r="I154" i="4" s="1"/>
  <c r="J153" i="4"/>
  <c r="I153" i="4" s="1"/>
  <c r="J152" i="4"/>
  <c r="I152" i="4" s="1"/>
  <c r="J151" i="4"/>
  <c r="I151" i="4" s="1"/>
  <c r="J150" i="4"/>
  <c r="I150" i="4" s="1"/>
  <c r="J149" i="4"/>
  <c r="I149" i="4" s="1"/>
  <c r="J147" i="4"/>
  <c r="I147" i="4" s="1"/>
  <c r="J142" i="4"/>
  <c r="I142" i="4" s="1"/>
  <c r="J141" i="4"/>
  <c r="I141" i="4" s="1"/>
  <c r="J140" i="4"/>
  <c r="I140" i="4" s="1"/>
  <c r="J139" i="4"/>
  <c r="I139" i="4" s="1"/>
  <c r="J138" i="4"/>
  <c r="I138" i="4" s="1"/>
  <c r="J137" i="4"/>
  <c r="I137" i="4" s="1"/>
  <c r="J136" i="4"/>
  <c r="I136" i="4" s="1"/>
  <c r="J135" i="4"/>
  <c r="I135" i="4" s="1"/>
  <c r="J134" i="4"/>
  <c r="I134" i="4" s="1"/>
  <c r="J133" i="4"/>
  <c r="I133" i="4" s="1"/>
  <c r="J132" i="4"/>
  <c r="I132" i="4" s="1"/>
  <c r="J131" i="4"/>
  <c r="I131" i="4" s="1"/>
  <c r="J130" i="4"/>
  <c r="I130" i="4" s="1"/>
  <c r="J129" i="4"/>
  <c r="I129" i="4" s="1"/>
  <c r="J126" i="4"/>
  <c r="I126" i="4" s="1"/>
  <c r="J125" i="4"/>
  <c r="I125" i="4" s="1"/>
  <c r="J124" i="4"/>
  <c r="I124" i="4" s="1"/>
  <c r="J114" i="4"/>
  <c r="I114" i="4" s="1"/>
  <c r="J113" i="4"/>
  <c r="J111" i="4"/>
  <c r="J109" i="4"/>
  <c r="I109" i="4" s="1"/>
  <c r="J108" i="4"/>
  <c r="I108" i="4" s="1"/>
  <c r="J107" i="4"/>
  <c r="I107" i="4" s="1"/>
  <c r="J106" i="4"/>
  <c r="I106" i="4" s="1"/>
  <c r="J105" i="4"/>
  <c r="I105" i="4" s="1"/>
  <c r="J103" i="4"/>
  <c r="I103" i="4" s="1"/>
  <c r="J102" i="4"/>
  <c r="I102" i="4" s="1"/>
  <c r="J101" i="4"/>
  <c r="I101" i="4" s="1"/>
  <c r="J99" i="4"/>
  <c r="J97" i="4"/>
  <c r="I97" i="4" s="1"/>
  <c r="J96" i="4"/>
  <c r="I96" i="4" s="1"/>
  <c r="J95" i="4"/>
  <c r="I95" i="4" s="1"/>
  <c r="J92" i="4"/>
  <c r="I92" i="4" s="1"/>
  <c r="J91" i="4"/>
  <c r="I91" i="4" s="1"/>
  <c r="J88" i="4"/>
  <c r="I88" i="4" s="1"/>
  <c r="J87" i="4"/>
  <c r="I87" i="4" s="1"/>
  <c r="J85" i="4"/>
  <c r="I85" i="4" s="1"/>
  <c r="J83" i="4"/>
  <c r="I83" i="4" s="1"/>
  <c r="J82" i="4"/>
  <c r="I82" i="4" s="1"/>
  <c r="J81" i="4"/>
  <c r="I81" i="4" s="1"/>
  <c r="J78" i="4"/>
  <c r="I78" i="4" s="1"/>
  <c r="J77" i="4"/>
  <c r="I77" i="4" s="1"/>
  <c r="J76" i="4"/>
  <c r="J74" i="4"/>
  <c r="I74" i="4" s="1"/>
  <c r="J73" i="4"/>
  <c r="I73" i="4" s="1"/>
  <c r="J72" i="4"/>
  <c r="I72" i="4" s="1"/>
  <c r="J71" i="4"/>
  <c r="J69" i="4"/>
  <c r="I69" i="4" s="1"/>
  <c r="J67" i="4"/>
  <c r="I67" i="4" s="1"/>
  <c r="J66" i="4"/>
  <c r="I66" i="4" s="1"/>
  <c r="J64" i="4"/>
  <c r="I64" i="4" s="1"/>
  <c r="J63" i="4"/>
  <c r="I63" i="4" s="1"/>
  <c r="J62" i="4"/>
  <c r="J60" i="4"/>
  <c r="I60" i="4" s="1"/>
  <c r="J57" i="4"/>
  <c r="I57" i="4" s="1"/>
  <c r="J56" i="4"/>
  <c r="I56" i="4" s="1"/>
  <c r="J55" i="4"/>
  <c r="I55" i="4" s="1"/>
  <c r="J52" i="4"/>
  <c r="I52" i="4" s="1"/>
  <c r="J51" i="4"/>
  <c r="I51" i="4" s="1"/>
  <c r="J50" i="4"/>
  <c r="I50" i="4" s="1"/>
  <c r="J49" i="4"/>
  <c r="I49" i="4" s="1"/>
  <c r="J48" i="4"/>
  <c r="I48" i="4" s="1"/>
  <c r="J47" i="4"/>
  <c r="J45" i="4"/>
  <c r="I45" i="4" s="1"/>
  <c r="J44" i="4"/>
  <c r="J41" i="4"/>
  <c r="J39" i="4"/>
  <c r="J36" i="4"/>
  <c r="I36" i="4" s="1"/>
  <c r="J33" i="4"/>
  <c r="I33" i="4" s="1"/>
  <c r="I32" i="4" s="1"/>
  <c r="J30" i="4"/>
  <c r="J27" i="4"/>
  <c r="J24" i="4"/>
  <c r="I24" i="4" s="1"/>
  <c r="J23" i="4"/>
  <c r="I23" i="4" s="1"/>
  <c r="J21" i="4"/>
  <c r="I21" i="4" s="1"/>
  <c r="J16" i="4"/>
  <c r="I16" i="4" s="1"/>
  <c r="J15" i="4"/>
  <c r="J22" i="4" l="1"/>
  <c r="I173" i="4"/>
  <c r="J35" i="4"/>
  <c r="J34" i="4" s="1"/>
  <c r="J86" i="4"/>
  <c r="J84" i="4" s="1"/>
  <c r="I146" i="4"/>
  <c r="J40" i="4"/>
  <c r="I41" i="4"/>
  <c r="J43" i="4"/>
  <c r="J42" i="4" s="1"/>
  <c r="I44" i="4"/>
  <c r="J98" i="4"/>
  <c r="I99" i="4"/>
  <c r="I98" i="4" s="1"/>
  <c r="J32" i="4"/>
  <c r="J29" i="4"/>
  <c r="J28" i="4" s="1"/>
  <c r="I30" i="4"/>
  <c r="J14" i="4"/>
  <c r="J13" i="4" s="1"/>
  <c r="J12" i="4" s="1"/>
  <c r="I15" i="4"/>
  <c r="J59" i="4"/>
  <c r="J19" i="4"/>
  <c r="J18" i="4" s="1"/>
  <c r="J17" i="4" s="1"/>
  <c r="J26" i="4"/>
  <c r="I27" i="4"/>
  <c r="J38" i="4"/>
  <c r="I39" i="4"/>
  <c r="I113" i="4"/>
  <c r="I111" i="4" s="1"/>
  <c r="I110" i="4" s="1"/>
  <c r="J70" i="4"/>
  <c r="I71" i="4"/>
  <c r="J75" i="4"/>
  <c r="I76" i="4"/>
  <c r="I75" i="4" s="1"/>
  <c r="J90" i="4"/>
  <c r="J46" i="4"/>
  <c r="I47" i="4"/>
  <c r="J54" i="4"/>
  <c r="J53" i="4" s="1"/>
  <c r="J122" i="4"/>
  <c r="I70" i="4"/>
  <c r="I90" i="4"/>
  <c r="J146" i="4"/>
  <c r="J110" i="4"/>
  <c r="J179" i="4"/>
  <c r="J178" i="4" s="1"/>
  <c r="I179" i="4"/>
  <c r="I178" i="4" s="1"/>
  <c r="J100" i="4"/>
  <c r="J65" i="4"/>
  <c r="J61" i="4" s="1"/>
  <c r="J80" i="4"/>
  <c r="J79" i="4" s="1"/>
  <c r="J128" i="4"/>
  <c r="J25" i="4"/>
  <c r="J94" i="4"/>
  <c r="J104" i="4"/>
  <c r="J173" i="4"/>
  <c r="AE208" i="1"/>
  <c r="AD208" i="1" s="1"/>
  <c r="AE207" i="1"/>
  <c r="AD207" i="1" s="1"/>
  <c r="AE206" i="1"/>
  <c r="AD206" i="1" s="1"/>
  <c r="AE204" i="1"/>
  <c r="AD204" i="1" s="1"/>
  <c r="AE202" i="1"/>
  <c r="AD202" i="1" s="1"/>
  <c r="AE200" i="1"/>
  <c r="AD200" i="1" s="1"/>
  <c r="AE198" i="1"/>
  <c r="AD198" i="1" s="1"/>
  <c r="AE194" i="1"/>
  <c r="AD194" i="1" s="1"/>
  <c r="AE192" i="1"/>
  <c r="AD192" i="1" s="1"/>
  <c r="AE190" i="1"/>
  <c r="AD190" i="1" s="1"/>
  <c r="AE189" i="1"/>
  <c r="AD189" i="1" s="1"/>
  <c r="AE185" i="1"/>
  <c r="AD185" i="1" s="1"/>
  <c r="AE183" i="1"/>
  <c r="AD183" i="1" s="1"/>
  <c r="AE181" i="1"/>
  <c r="AD181" i="1" s="1"/>
  <c r="AE179" i="1"/>
  <c r="AD179" i="1" s="1"/>
  <c r="AE177" i="1"/>
  <c r="AE175" i="1"/>
  <c r="AD175" i="1" s="1"/>
  <c r="AE174" i="1"/>
  <c r="AD174" i="1" s="1"/>
  <c r="AE173" i="1"/>
  <c r="AD173" i="1" s="1"/>
  <c r="AE172" i="1"/>
  <c r="AD172" i="1" s="1"/>
  <c r="AE171" i="1"/>
  <c r="AD171" i="1" s="1"/>
  <c r="AE169" i="1"/>
  <c r="AD169" i="1" s="1"/>
  <c r="AE168" i="1"/>
  <c r="AD168" i="1" s="1"/>
  <c r="AE165" i="1"/>
  <c r="AD165" i="1" s="1"/>
  <c r="AE163" i="1"/>
  <c r="AD163" i="1" s="1"/>
  <c r="AE161" i="1"/>
  <c r="AD161" i="1" s="1"/>
  <c r="AE159" i="1"/>
  <c r="AD159" i="1" s="1"/>
  <c r="AE155" i="1"/>
  <c r="AD155" i="1" s="1"/>
  <c r="AE152" i="1"/>
  <c r="AD152" i="1" s="1"/>
  <c r="AE149" i="1"/>
  <c r="AD149" i="1" s="1"/>
  <c r="AE147" i="1"/>
  <c r="AE120" i="1"/>
  <c r="AD120" i="1" s="1"/>
  <c r="AE119" i="1"/>
  <c r="AD119" i="1" s="1"/>
  <c r="AE118" i="1"/>
  <c r="AD118" i="1" s="1"/>
  <c r="AE117" i="1"/>
  <c r="AD117" i="1" s="1"/>
  <c r="AE116" i="1"/>
  <c r="AD116" i="1" s="1"/>
  <c r="AE93" i="1"/>
  <c r="AE80" i="1"/>
  <c r="AD80" i="1" s="1"/>
  <c r="AE75" i="1"/>
  <c r="AE44" i="1"/>
  <c r="AD44" i="1" s="1"/>
  <c r="AE43" i="1"/>
  <c r="AE31" i="1"/>
  <c r="AD31" i="1" s="1"/>
  <c r="AE28" i="1"/>
  <c r="AE13" i="1"/>
  <c r="V254" i="1"/>
  <c r="U254" i="1" s="1"/>
  <c r="V236" i="1"/>
  <c r="U236" i="1" s="1"/>
  <c r="V229" i="1"/>
  <c r="U229" i="1" s="1"/>
  <c r="V228" i="1"/>
  <c r="V214" i="1"/>
  <c r="V212" i="1"/>
  <c r="U212" i="1" s="1"/>
  <c r="V210" i="1"/>
  <c r="U210" i="1" s="1"/>
  <c r="V209" i="1"/>
  <c r="U209" i="1" s="1"/>
  <c r="V207" i="1"/>
  <c r="U207" i="1" s="1"/>
  <c r="V206" i="1"/>
  <c r="U206" i="1" s="1"/>
  <c r="V205" i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5" i="1"/>
  <c r="U195" i="1" s="1"/>
  <c r="V194" i="1"/>
  <c r="U194" i="1" s="1"/>
  <c r="V192" i="1"/>
  <c r="U192" i="1" s="1"/>
  <c r="V190" i="1"/>
  <c r="U190" i="1" s="1"/>
  <c r="V189" i="1"/>
  <c r="U189" i="1" s="1"/>
  <c r="V187" i="1"/>
  <c r="U187" i="1" s="1"/>
  <c r="V185" i="1"/>
  <c r="U185" i="1" s="1"/>
  <c r="V183" i="1"/>
  <c r="U183" i="1" s="1"/>
  <c r="V181" i="1"/>
  <c r="U181" i="1" s="1"/>
  <c r="V179" i="1"/>
  <c r="U179" i="1" s="1"/>
  <c r="V177" i="1"/>
  <c r="U177" i="1" s="1"/>
  <c r="V175" i="1"/>
  <c r="U175" i="1" s="1"/>
  <c r="V172" i="1"/>
  <c r="U172" i="1" s="1"/>
  <c r="V171" i="1"/>
  <c r="U171" i="1" s="1"/>
  <c r="V170" i="1"/>
  <c r="U170" i="1" s="1"/>
  <c r="V169" i="1"/>
  <c r="U169" i="1" s="1"/>
  <c r="V168" i="1"/>
  <c r="U168" i="1" s="1"/>
  <c r="V166" i="1"/>
  <c r="U166" i="1" s="1"/>
  <c r="V165" i="1"/>
  <c r="U165" i="1" s="1"/>
  <c r="V164" i="1"/>
  <c r="U164" i="1" s="1"/>
  <c r="V163" i="1"/>
  <c r="U163" i="1" s="1"/>
  <c r="V162" i="1"/>
  <c r="U162" i="1" s="1"/>
  <c r="V161" i="1"/>
  <c r="U161" i="1" s="1"/>
  <c r="V160" i="1"/>
  <c r="U160" i="1" s="1"/>
  <c r="V159" i="1"/>
  <c r="U159" i="1" s="1"/>
  <c r="V156" i="1"/>
  <c r="V155" i="1"/>
  <c r="U155" i="1" s="1"/>
  <c r="V152" i="1"/>
  <c r="U152" i="1" s="1"/>
  <c r="V150" i="1"/>
  <c r="U150" i="1" s="1"/>
  <c r="V149" i="1"/>
  <c r="U149" i="1" s="1"/>
  <c r="V148" i="1"/>
  <c r="U148" i="1" s="1"/>
  <c r="V147" i="1"/>
  <c r="U147" i="1" s="1"/>
  <c r="V105" i="1"/>
  <c r="V65" i="1"/>
  <c r="V42" i="1"/>
  <c r="U42" i="1" s="1"/>
  <c r="V41" i="1"/>
  <c r="N215" i="1"/>
  <c r="N136" i="1" s="1"/>
  <c r="O215" i="1"/>
  <c r="O136" i="1" s="1"/>
  <c r="P215" i="1"/>
  <c r="P136" i="1" s="1"/>
  <c r="Q215" i="1"/>
  <c r="Q136" i="1" s="1"/>
  <c r="R215" i="1"/>
  <c r="R136" i="1" s="1"/>
  <c r="S215" i="1"/>
  <c r="S136" i="1" s="1"/>
  <c r="J84" i="1"/>
  <c r="I84" i="1" s="1"/>
  <c r="G251" i="1"/>
  <c r="G250" i="1"/>
  <c r="J249" i="1"/>
  <c r="I249" i="1" s="1"/>
  <c r="G249" i="1" s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I229" i="1" s="1"/>
  <c r="J228" i="1"/>
  <c r="I228" i="1" s="1"/>
  <c r="J227" i="1"/>
  <c r="J226" i="1"/>
  <c r="G223" i="1"/>
  <c r="G222" i="1"/>
  <c r="G221" i="1"/>
  <c r="G220" i="1"/>
  <c r="G219" i="1"/>
  <c r="J214" i="1"/>
  <c r="I214" i="1" s="1"/>
  <c r="J213" i="1"/>
  <c r="J212" i="1"/>
  <c r="I212" i="1" s="1"/>
  <c r="J211" i="1"/>
  <c r="J210" i="1"/>
  <c r="I210" i="1" s="1"/>
  <c r="J209" i="1"/>
  <c r="I209" i="1" s="1"/>
  <c r="J208" i="1"/>
  <c r="I208" i="1" s="1"/>
  <c r="G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J196" i="1"/>
  <c r="J195" i="1"/>
  <c r="I195" i="1" s="1"/>
  <c r="J194" i="1"/>
  <c r="I194" i="1" s="1"/>
  <c r="J193" i="1"/>
  <c r="J192" i="1"/>
  <c r="I192" i="1" s="1"/>
  <c r="J191" i="1"/>
  <c r="J190" i="1"/>
  <c r="I190" i="1" s="1"/>
  <c r="J189" i="1"/>
  <c r="I189" i="1" s="1"/>
  <c r="J188" i="1"/>
  <c r="J187" i="1"/>
  <c r="I187" i="1" s="1"/>
  <c r="J186" i="1"/>
  <c r="J185" i="1"/>
  <c r="I185" i="1" s="1"/>
  <c r="J184" i="1"/>
  <c r="J183" i="1"/>
  <c r="I183" i="1" s="1"/>
  <c r="J182" i="1"/>
  <c r="J181" i="1"/>
  <c r="I181" i="1" s="1"/>
  <c r="J180" i="1"/>
  <c r="J179" i="1"/>
  <c r="I179" i="1" s="1"/>
  <c r="J178" i="1"/>
  <c r="J177" i="1"/>
  <c r="I177" i="1" s="1"/>
  <c r="J176" i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J166" i="1"/>
  <c r="I166" i="1" s="1"/>
  <c r="J165" i="1"/>
  <c r="I165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8" i="1"/>
  <c r="J157" i="1"/>
  <c r="J156" i="1"/>
  <c r="I156" i="1" s="1"/>
  <c r="J155" i="1"/>
  <c r="I155" i="1" s="1"/>
  <c r="J154" i="1"/>
  <c r="J153" i="1"/>
  <c r="J152" i="1"/>
  <c r="I152" i="1" s="1"/>
  <c r="J150" i="1"/>
  <c r="I150" i="1" s="1"/>
  <c r="J149" i="1"/>
  <c r="I149" i="1" s="1"/>
  <c r="J148" i="1"/>
  <c r="I148" i="1" s="1"/>
  <c r="J147" i="1"/>
  <c r="I147" i="1" s="1"/>
  <c r="J145" i="1"/>
  <c r="J144" i="1"/>
  <c r="J143" i="1"/>
  <c r="J142" i="1"/>
  <c r="J141" i="1"/>
  <c r="I141" i="1" s="1"/>
  <c r="J140" i="1"/>
  <c r="J139" i="1"/>
  <c r="J138" i="1"/>
  <c r="J137" i="1"/>
  <c r="G134" i="1"/>
  <c r="G133" i="1"/>
  <c r="G132" i="1"/>
  <c r="G131" i="1"/>
  <c r="J126" i="1"/>
  <c r="J125" i="1"/>
  <c r="J124" i="1"/>
  <c r="J123" i="1"/>
  <c r="J121" i="1"/>
  <c r="J120" i="1"/>
  <c r="I120" i="1" s="1"/>
  <c r="J119" i="1"/>
  <c r="I119" i="1" s="1"/>
  <c r="J118" i="1"/>
  <c r="I118" i="1" s="1"/>
  <c r="J117" i="1"/>
  <c r="I117" i="1" s="1"/>
  <c r="G117" i="1" s="1"/>
  <c r="J116" i="1"/>
  <c r="J115" i="1"/>
  <c r="J114" i="1"/>
  <c r="J113" i="1"/>
  <c r="J112" i="1"/>
  <c r="J111" i="1"/>
  <c r="J110" i="1"/>
  <c r="J109" i="1"/>
  <c r="J108" i="1"/>
  <c r="J107" i="1"/>
  <c r="J106" i="1"/>
  <c r="J105" i="1"/>
  <c r="I105" i="1" s="1"/>
  <c r="J104" i="1"/>
  <c r="J103" i="1"/>
  <c r="J102" i="1"/>
  <c r="J101" i="1"/>
  <c r="J100" i="1"/>
  <c r="J99" i="1"/>
  <c r="J98" i="1"/>
  <c r="J95" i="1"/>
  <c r="J93" i="1"/>
  <c r="J92" i="1"/>
  <c r="J91" i="1"/>
  <c r="J90" i="1"/>
  <c r="J89" i="1"/>
  <c r="G86" i="1"/>
  <c r="G85" i="1"/>
  <c r="J83" i="1"/>
  <c r="J82" i="1"/>
  <c r="J81" i="1"/>
  <c r="J80" i="1"/>
  <c r="I80" i="1" s="1"/>
  <c r="J79" i="1"/>
  <c r="J78" i="1"/>
  <c r="J77" i="1"/>
  <c r="J76" i="1"/>
  <c r="J75" i="1"/>
  <c r="I75" i="1" s="1"/>
  <c r="G72" i="1"/>
  <c r="G58" i="1"/>
  <c r="G57" i="1"/>
  <c r="G56" i="1"/>
  <c r="J69" i="1"/>
  <c r="J68" i="1"/>
  <c r="I68" i="1" s="1"/>
  <c r="G68" i="1" s="1"/>
  <c r="J67" i="1"/>
  <c r="J66" i="1"/>
  <c r="J65" i="1"/>
  <c r="J64" i="1"/>
  <c r="J63" i="1"/>
  <c r="J62" i="1"/>
  <c r="J61" i="1"/>
  <c r="J52" i="1"/>
  <c r="I52" i="1" s="1"/>
  <c r="G52" i="1" s="1"/>
  <c r="G49" i="1"/>
  <c r="J55" i="1"/>
  <c r="J54" i="1"/>
  <c r="J53" i="1"/>
  <c r="J48" i="1"/>
  <c r="J47" i="1"/>
  <c r="J46" i="1"/>
  <c r="J45" i="1"/>
  <c r="J44" i="1"/>
  <c r="I44" i="1" s="1"/>
  <c r="J43" i="1"/>
  <c r="I43" i="1" s="1"/>
  <c r="J42" i="1"/>
  <c r="I42" i="1" s="1"/>
  <c r="J41" i="1"/>
  <c r="J40" i="1"/>
  <c r="J39" i="1"/>
  <c r="J38" i="1"/>
  <c r="J37" i="1"/>
  <c r="J36" i="1"/>
  <c r="J35" i="1"/>
  <c r="J32" i="1"/>
  <c r="J31" i="1"/>
  <c r="J30" i="1"/>
  <c r="J29" i="1"/>
  <c r="J28" i="1"/>
  <c r="I28" i="1" s="1"/>
  <c r="J27" i="1"/>
  <c r="J22" i="1"/>
  <c r="J21" i="1"/>
  <c r="J20" i="1"/>
  <c r="I20" i="1" s="1"/>
  <c r="J18" i="1"/>
  <c r="J17" i="1"/>
  <c r="J16" i="1"/>
  <c r="J15" i="1"/>
  <c r="I14" i="1"/>
  <c r="J13" i="1"/>
  <c r="J68" i="4" l="1"/>
  <c r="I171" i="4"/>
  <c r="J37" i="4"/>
  <c r="J31" i="4" s="1"/>
  <c r="U205" i="1"/>
  <c r="V136" i="1"/>
  <c r="AD177" i="1"/>
  <c r="AE136" i="1"/>
  <c r="J215" i="1"/>
  <c r="J136" i="1" s="1"/>
  <c r="J121" i="4"/>
  <c r="J120" i="4" s="1"/>
  <c r="J93" i="4"/>
  <c r="J89" i="4" s="1"/>
  <c r="J58" i="4"/>
  <c r="I68" i="4"/>
  <c r="I13" i="1"/>
  <c r="H146" i="4"/>
  <c r="H10" i="4" s="1"/>
  <c r="H185" i="4" s="1"/>
  <c r="J171" i="4"/>
  <c r="I27" i="1"/>
  <c r="G27" i="1" s="1"/>
  <c r="J26" i="1"/>
  <c r="I37" i="1"/>
  <c r="G37" i="1" s="1"/>
  <c r="I45" i="1"/>
  <c r="G45" i="1" s="1"/>
  <c r="I53" i="1"/>
  <c r="G53" i="1" s="1"/>
  <c r="I67" i="1"/>
  <c r="G67" i="1" s="1"/>
  <c r="I82" i="1"/>
  <c r="G82" i="1" s="1"/>
  <c r="I93" i="1"/>
  <c r="I104" i="1"/>
  <c r="G104" i="1" s="1"/>
  <c r="I112" i="1"/>
  <c r="G112" i="1" s="1"/>
  <c r="I116" i="1"/>
  <c r="G116" i="1" s="1"/>
  <c r="I125" i="1"/>
  <c r="G125" i="1" s="1"/>
  <c r="I138" i="1"/>
  <c r="G138" i="1" s="1"/>
  <c r="I142" i="1"/>
  <c r="G142" i="1" s="1"/>
  <c r="I180" i="1"/>
  <c r="G180" i="1" s="1"/>
  <c r="I196" i="1"/>
  <c r="G196" i="1" s="1"/>
  <c r="N256" i="1"/>
  <c r="N255" i="1"/>
  <c r="U65" i="1"/>
  <c r="U60" i="1" s="1"/>
  <c r="V60" i="1"/>
  <c r="I15" i="1"/>
  <c r="G15" i="1" s="1"/>
  <c r="I32" i="1"/>
  <c r="G32" i="1" s="1"/>
  <c r="I38" i="1"/>
  <c r="G38" i="1" s="1"/>
  <c r="I46" i="1"/>
  <c r="G46" i="1" s="1"/>
  <c r="I54" i="1"/>
  <c r="G54" i="1" s="1"/>
  <c r="I64" i="1"/>
  <c r="G64" i="1" s="1"/>
  <c r="J74" i="1"/>
  <c r="I79" i="1"/>
  <c r="G79" i="1" s="1"/>
  <c r="I90" i="1"/>
  <c r="G90" i="1" s="1"/>
  <c r="I95" i="1"/>
  <c r="G95" i="1" s="1"/>
  <c r="I101" i="1"/>
  <c r="G101" i="1" s="1"/>
  <c r="I109" i="1"/>
  <c r="G109" i="1" s="1"/>
  <c r="I113" i="1"/>
  <c r="G113" i="1" s="1"/>
  <c r="I121" i="1"/>
  <c r="G121" i="1" s="1"/>
  <c r="I126" i="1"/>
  <c r="G126" i="1" s="1"/>
  <c r="I139" i="1"/>
  <c r="G139" i="1" s="1"/>
  <c r="I143" i="1"/>
  <c r="I153" i="1"/>
  <c r="G153" i="1" s="1"/>
  <c r="I157" i="1"/>
  <c r="G157" i="1" s="1"/>
  <c r="I193" i="1"/>
  <c r="G193" i="1" s="1"/>
  <c r="I197" i="1"/>
  <c r="G197" i="1" s="1"/>
  <c r="I213" i="1"/>
  <c r="G213" i="1" s="1"/>
  <c r="I226" i="1"/>
  <c r="G226" i="1" s="1"/>
  <c r="J225" i="1"/>
  <c r="I230" i="1"/>
  <c r="G230" i="1" s="1"/>
  <c r="I234" i="1"/>
  <c r="G234" i="1" s="1"/>
  <c r="I238" i="1"/>
  <c r="G238" i="1" s="1"/>
  <c r="I242" i="1"/>
  <c r="G242" i="1" s="1"/>
  <c r="I246" i="1"/>
  <c r="G246" i="1" s="1"/>
  <c r="Q256" i="1"/>
  <c r="Q255" i="1"/>
  <c r="U105" i="1"/>
  <c r="U97" i="1" s="1"/>
  <c r="V97" i="1"/>
  <c r="AD28" i="1"/>
  <c r="AD26" i="1" s="1"/>
  <c r="AE26" i="1"/>
  <c r="AD75" i="1"/>
  <c r="AD74" i="1" s="1"/>
  <c r="AE74" i="1"/>
  <c r="AD147" i="1"/>
  <c r="I16" i="1"/>
  <c r="G16" i="1" s="1"/>
  <c r="I21" i="1"/>
  <c r="G21" i="1" s="1"/>
  <c r="I29" i="1"/>
  <c r="G29" i="1" s="1"/>
  <c r="I35" i="1"/>
  <c r="G35" i="1" s="1"/>
  <c r="J34" i="1"/>
  <c r="I39" i="1"/>
  <c r="G39" i="1" s="1"/>
  <c r="I47" i="1"/>
  <c r="G47" i="1" s="1"/>
  <c r="I55" i="1"/>
  <c r="G55" i="1" s="1"/>
  <c r="I61" i="1"/>
  <c r="J60" i="1"/>
  <c r="I65" i="1"/>
  <c r="G65" i="1" s="1"/>
  <c r="I69" i="1"/>
  <c r="G69" i="1" s="1"/>
  <c r="I76" i="1"/>
  <c r="G76" i="1" s="1"/>
  <c r="I91" i="1"/>
  <c r="G91" i="1" s="1"/>
  <c r="I98" i="1"/>
  <c r="G98" i="1" s="1"/>
  <c r="J97" i="1"/>
  <c r="I102" i="1"/>
  <c r="G102" i="1" s="1"/>
  <c r="I106" i="1"/>
  <c r="G106" i="1" s="1"/>
  <c r="I110" i="1"/>
  <c r="G110" i="1" s="1"/>
  <c r="I114" i="1"/>
  <c r="G114" i="1" s="1"/>
  <c r="I123" i="1"/>
  <c r="G123" i="1" s="1"/>
  <c r="G127" i="1"/>
  <c r="I140" i="1"/>
  <c r="G140" i="1" s="1"/>
  <c r="I144" i="1"/>
  <c r="G144" i="1" s="1"/>
  <c r="I154" i="1"/>
  <c r="G154" i="1" s="1"/>
  <c r="I158" i="1"/>
  <c r="G158" i="1" s="1"/>
  <c r="I178" i="1"/>
  <c r="G178" i="1" s="1"/>
  <c r="I182" i="1"/>
  <c r="G182" i="1" s="1"/>
  <c r="I186" i="1"/>
  <c r="G186" i="1" s="1"/>
  <c r="I227" i="1"/>
  <c r="G227" i="1" s="1"/>
  <c r="I231" i="1"/>
  <c r="G231" i="1" s="1"/>
  <c r="I235" i="1"/>
  <c r="G235" i="1" s="1"/>
  <c r="I239" i="1"/>
  <c r="G239" i="1" s="1"/>
  <c r="I243" i="1"/>
  <c r="G243" i="1" s="1"/>
  <c r="I247" i="1"/>
  <c r="G247" i="1" s="1"/>
  <c r="P255" i="1"/>
  <c r="P256" i="1"/>
  <c r="U41" i="1"/>
  <c r="U34" i="1" s="1"/>
  <c r="V34" i="1"/>
  <c r="I18" i="1"/>
  <c r="G18" i="1" s="1"/>
  <c r="I31" i="1"/>
  <c r="G31" i="1" s="1"/>
  <c r="I41" i="1"/>
  <c r="I63" i="1"/>
  <c r="G63" i="1" s="1"/>
  <c r="I78" i="1"/>
  <c r="G78" i="1" s="1"/>
  <c r="I89" i="1"/>
  <c r="J88" i="1"/>
  <c r="I100" i="1"/>
  <c r="G100" i="1" s="1"/>
  <c r="I108" i="1"/>
  <c r="G108" i="1" s="1"/>
  <c r="I176" i="1"/>
  <c r="G176" i="1" s="1"/>
  <c r="I184" i="1"/>
  <c r="G184" i="1" s="1"/>
  <c r="I188" i="1"/>
  <c r="G188" i="1" s="1"/>
  <c r="I233" i="1"/>
  <c r="G233" i="1" s="1"/>
  <c r="I237" i="1"/>
  <c r="G237" i="1" s="1"/>
  <c r="I241" i="1"/>
  <c r="G241" i="1" s="1"/>
  <c r="I245" i="1"/>
  <c r="G245" i="1" s="1"/>
  <c r="R255" i="1"/>
  <c r="R256" i="1"/>
  <c r="U156" i="1"/>
  <c r="U228" i="1"/>
  <c r="U225" i="1" s="1"/>
  <c r="V225" i="1"/>
  <c r="AD13" i="1"/>
  <c r="AD12" i="1" s="1"/>
  <c r="AE12" i="1"/>
  <c r="I17" i="1"/>
  <c r="G17" i="1" s="1"/>
  <c r="I22" i="1"/>
  <c r="G22" i="1" s="1"/>
  <c r="I30" i="1"/>
  <c r="G30" i="1" s="1"/>
  <c r="I36" i="1"/>
  <c r="G36" i="1" s="1"/>
  <c r="I40" i="1"/>
  <c r="G40" i="1" s="1"/>
  <c r="I48" i="1"/>
  <c r="G48" i="1" s="1"/>
  <c r="I62" i="1"/>
  <c r="G62" i="1" s="1"/>
  <c r="I66" i="1"/>
  <c r="G66" i="1" s="1"/>
  <c r="G70" i="1"/>
  <c r="I77" i="1"/>
  <c r="G77" i="1" s="1"/>
  <c r="I81" i="1"/>
  <c r="G81" i="1" s="1"/>
  <c r="I92" i="1"/>
  <c r="G92" i="1" s="1"/>
  <c r="I99" i="1"/>
  <c r="G99" i="1" s="1"/>
  <c r="I103" i="1"/>
  <c r="G103" i="1" s="1"/>
  <c r="I107" i="1"/>
  <c r="G107" i="1" s="1"/>
  <c r="I111" i="1"/>
  <c r="G111" i="1" s="1"/>
  <c r="I115" i="1"/>
  <c r="G115" i="1" s="1"/>
  <c r="I124" i="1"/>
  <c r="G124" i="1" s="1"/>
  <c r="I137" i="1"/>
  <c r="I145" i="1"/>
  <c r="G145" i="1" s="1"/>
  <c r="I167" i="1"/>
  <c r="G167" i="1" s="1"/>
  <c r="I191" i="1"/>
  <c r="G191" i="1" s="1"/>
  <c r="I211" i="1"/>
  <c r="G211" i="1" s="1"/>
  <c r="I232" i="1"/>
  <c r="G232" i="1" s="1"/>
  <c r="I236" i="1"/>
  <c r="G236" i="1" s="1"/>
  <c r="I240" i="1"/>
  <c r="G240" i="1" s="1"/>
  <c r="I244" i="1"/>
  <c r="G244" i="1" s="1"/>
  <c r="I248" i="1"/>
  <c r="G248" i="1" s="1"/>
  <c r="S255" i="1"/>
  <c r="S256" i="1"/>
  <c r="O256" i="1"/>
  <c r="O255" i="1"/>
  <c r="AD43" i="1"/>
  <c r="AD34" i="1" s="1"/>
  <c r="AE34" i="1"/>
  <c r="AD93" i="1"/>
  <c r="AD88" i="1" s="1"/>
  <c r="AE88" i="1"/>
  <c r="I83" i="1"/>
  <c r="G84" i="1"/>
  <c r="H215" i="1"/>
  <c r="H136" i="1" s="1"/>
  <c r="U214" i="1"/>
  <c r="G214" i="1" s="1"/>
  <c r="V253" i="1"/>
  <c r="AD97" i="1"/>
  <c r="AE97" i="1"/>
  <c r="G120" i="1"/>
  <c r="G14" i="1"/>
  <c r="G118" i="1"/>
  <c r="G212" i="1"/>
  <c r="G229" i="1"/>
  <c r="G210" i="1"/>
  <c r="G190" i="1"/>
  <c r="G206" i="1"/>
  <c r="G175" i="1"/>
  <c r="G119" i="1"/>
  <c r="G170" i="1"/>
  <c r="G203" i="1"/>
  <c r="G207" i="1"/>
  <c r="G80" i="1"/>
  <c r="G183" i="1"/>
  <c r="G173" i="1"/>
  <c r="G42" i="1"/>
  <c r="G20" i="1"/>
  <c r="G205" i="1"/>
  <c r="G44" i="1"/>
  <c r="G148" i="1"/>
  <c r="G192" i="1"/>
  <c r="G164" i="1"/>
  <c r="G149" i="1"/>
  <c r="G162" i="1"/>
  <c r="G166" i="1"/>
  <c r="G171" i="1"/>
  <c r="G179" i="1"/>
  <c r="G187" i="1"/>
  <c r="G194" i="1"/>
  <c r="G200" i="1"/>
  <c r="G169" i="1"/>
  <c r="G198" i="1"/>
  <c r="G174" i="1"/>
  <c r="G155" i="1"/>
  <c r="G165" i="1"/>
  <c r="G185" i="1"/>
  <c r="G150" i="1"/>
  <c r="G163" i="1"/>
  <c r="G168" i="1"/>
  <c r="G172" i="1"/>
  <c r="G181" i="1"/>
  <c r="G195" i="1"/>
  <c r="G201" i="1"/>
  <c r="G152" i="1"/>
  <c r="G202" i="1"/>
  <c r="G161" i="1"/>
  <c r="G177" i="1"/>
  <c r="G199" i="1"/>
  <c r="G160" i="1"/>
  <c r="G204" i="1"/>
  <c r="G189" i="1"/>
  <c r="G159" i="1"/>
  <c r="G228" i="1" l="1"/>
  <c r="G61" i="1"/>
  <c r="I60" i="1"/>
  <c r="U136" i="1"/>
  <c r="U255" i="1" s="1"/>
  <c r="AD136" i="1"/>
  <c r="G43" i="1"/>
  <c r="J118" i="4"/>
  <c r="G93" i="1"/>
  <c r="I215" i="1"/>
  <c r="G143" i="1"/>
  <c r="G105" i="1"/>
  <c r="J23" i="1"/>
  <c r="I23" i="1" s="1"/>
  <c r="K19" i="1"/>
  <c r="K12" i="1" s="1"/>
  <c r="K255" i="1" s="1"/>
  <c r="G75" i="1"/>
  <c r="I88" i="1"/>
  <c r="G88" i="1" s="1"/>
  <c r="G89" i="1"/>
  <c r="G41" i="1"/>
  <c r="G13" i="1"/>
  <c r="G156" i="1"/>
  <c r="G28" i="1"/>
  <c r="G147" i="1"/>
  <c r="H255" i="1"/>
  <c r="H256" i="1"/>
  <c r="G137" i="1"/>
  <c r="G60" i="1"/>
  <c r="I26" i="1"/>
  <c r="G26" i="1" s="1"/>
  <c r="I97" i="1"/>
  <c r="G97" i="1" s="1"/>
  <c r="I34" i="1"/>
  <c r="G34" i="1" s="1"/>
  <c r="I225" i="1"/>
  <c r="G225" i="1" s="1"/>
  <c r="I74" i="1"/>
  <c r="G74" i="1" s="1"/>
  <c r="G83" i="1"/>
  <c r="U253" i="1"/>
  <c r="G253" i="1" s="1"/>
  <c r="G254" i="1"/>
  <c r="V255" i="1"/>
  <c r="V256" i="1"/>
  <c r="AE255" i="1"/>
  <c r="AE256" i="1"/>
  <c r="AD255" i="1"/>
  <c r="AD256" i="1"/>
  <c r="G209" i="1"/>
  <c r="J184" i="4"/>
  <c r="J10" i="4"/>
  <c r="J185" i="4" s="1"/>
  <c r="G141" i="1"/>
  <c r="G215" i="1" l="1"/>
  <c r="I136" i="1"/>
  <c r="G136" i="1" s="1"/>
  <c r="J19" i="1"/>
  <c r="I19" i="1" s="1"/>
  <c r="I12" i="1" s="1"/>
  <c r="K256" i="1"/>
  <c r="U256" i="1"/>
  <c r="G23" i="1"/>
  <c r="I62" i="4"/>
  <c r="I256" i="1" l="1"/>
  <c r="G256" i="1" s="1"/>
  <c r="G12" i="1"/>
  <c r="J12" i="1"/>
  <c r="J255" i="1" s="1"/>
  <c r="I255" i="1"/>
  <c r="G255" i="1" s="1"/>
  <c r="G19" i="1"/>
  <c r="I40" i="4"/>
  <c r="I29" i="4"/>
  <c r="J256" i="1" l="1"/>
  <c r="I65" i="4"/>
  <c r="I61" i="4" s="1"/>
  <c r="I128" i="4" l="1"/>
  <c r="I122" i="4"/>
  <c r="I86" i="4"/>
  <c r="I84" i="4" s="1"/>
  <c r="I59" i="4"/>
  <c r="I54" i="4"/>
  <c r="I53" i="4" s="1"/>
  <c r="I46" i="4"/>
  <c r="I43" i="4"/>
  <c r="I38" i="4"/>
  <c r="I37" i="4" s="1"/>
  <c r="I35" i="4"/>
  <c r="I34" i="4" s="1"/>
  <c r="I28" i="4"/>
  <c r="I26" i="4"/>
  <c r="I22" i="4"/>
  <c r="I19" i="4"/>
  <c r="I14" i="4"/>
  <c r="I31" i="4" l="1"/>
  <c r="I25" i="4"/>
  <c r="I18" i="4"/>
  <c r="I100" i="4"/>
  <c r="I13" i="4"/>
  <c r="I12" i="4" s="1"/>
  <c r="I42" i="4"/>
  <c r="I58" i="4"/>
  <c r="I104" i="4"/>
  <c r="I80" i="4"/>
  <c r="I94" i="4"/>
  <c r="I121" i="4"/>
  <c r="I120" i="4" s="1"/>
  <c r="I17" i="4" l="1"/>
  <c r="I93" i="4"/>
  <c r="I79" i="4"/>
  <c r="I89" i="4" l="1"/>
  <c r="I118" i="4" l="1"/>
  <c r="I10" i="4" s="1"/>
  <c r="I185" i="4" s="1"/>
  <c r="I184" i="4" l="1"/>
  <c r="H264" i="1"/>
  <c r="AL257" i="1" l="1"/>
  <c r="AV257" i="1" l="1"/>
  <c r="AV258" i="1"/>
  <c r="AL258" i="1" l="1"/>
  <c r="AV259" i="1"/>
  <c r="AL259" i="1" l="1"/>
  <c r="AN257" i="1" l="1"/>
  <c r="U257" i="1" l="1"/>
  <c r="AN258" i="1"/>
  <c r="AN259" i="1" l="1"/>
  <c r="U258" i="1"/>
  <c r="U259" i="1" l="1"/>
  <c r="AD257" i="1" l="1"/>
  <c r="AD258" i="1" l="1"/>
  <c r="AD259" i="1" l="1"/>
  <c r="G257" i="1" l="1"/>
  <c r="I257" i="1"/>
  <c r="G258" i="1" l="1"/>
  <c r="I258" i="1"/>
  <c r="I259" i="1" l="1"/>
  <c r="G259" i="1" l="1"/>
</calcChain>
</file>

<file path=xl/comments1.xml><?xml version="1.0" encoding="utf-8"?>
<comments xmlns="http://schemas.openxmlformats.org/spreadsheetml/2006/main">
  <authors>
    <author>Sandra Dzerve</author>
    <author>Elina Markaine</author>
  </authors>
  <commentList>
    <comment ref="I60" authorId="0" shape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7380; noma EUR 21000</t>
        </r>
      </text>
    </comment>
    <comment ref="I147" authorId="0" shape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3496</t>
        </r>
      </text>
    </comment>
    <comment ref="K148" authorId="1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Majoru vidusskolas sporta laukuma darbības nodrošināšana</t>
        </r>
      </text>
    </comment>
    <comment ref="I151" authorId="0" shape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1248 €- VK konts (interešu izglītība)</t>
        </r>
      </text>
    </comment>
    <comment ref="I164" authorId="0" shape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5355, noma EUR 20473</t>
        </r>
      </text>
    </comment>
  </commentList>
</comments>
</file>

<file path=xl/sharedStrings.xml><?xml version="1.0" encoding="utf-8"?>
<sst xmlns="http://schemas.openxmlformats.org/spreadsheetml/2006/main" count="900" uniqueCount="774">
  <si>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</si>
  <si>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</si>
  <si>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</si>
  <si>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</si>
  <si>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</si>
  <si>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</si>
  <si>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</si>
  <si>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</si>
  <si>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</si>
  <si>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</si>
  <si>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</si>
  <si>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</si>
  <si>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SIA "Jūrmalas gaisma"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</si>
  <si>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</si>
  <si>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</si>
  <si>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</si>
  <si>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</si>
  <si>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</si>
  <si>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</si>
  <si>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</si>
  <si>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</si>
  <si>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</si>
  <si>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</si>
  <si>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</si>
  <si>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</si>
  <si>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</si>
  <si>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</si>
  <si>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</si>
  <si>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</si>
  <si>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</si>
  <si>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</si>
  <si>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</si>
  <si>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</si>
  <si>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</si>
  <si>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</si>
  <si>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</si>
  <si>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</si>
  <si>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</si>
  <si>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</si>
  <si>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</si>
  <si>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</si>
  <si>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</si>
  <si>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</si>
  <si>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</si>
  <si>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</si>
  <si>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</si>
  <si>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</si>
  <si>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</si>
  <si>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</si>
  <si>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</si>
  <si>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</si>
  <si>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</si>
  <si>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</si>
  <si>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</si>
  <si>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</si>
  <si>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</si>
  <si>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</si>
  <si>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</si>
  <si>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</si>
  <si>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</si>
  <si>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</si>
  <si>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</si>
  <si>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</si>
  <si>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</si>
  <si>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</si>
  <si>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</si>
  <si>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</si>
  <si>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</si>
  <si>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</si>
  <si>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</si>
  <si>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</si>
  <si>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</si>
  <si>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</si>
  <si>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</si>
  <si>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</si>
  <si>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</si>
  <si>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</si>
  <si>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</si>
  <si>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</si>
  <si>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</si>
  <si>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</si>
  <si>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</si>
  <si>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</si>
  <si>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</si>
  <si>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</si>
  <si>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</si>
  <si>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</si>
  <si>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</si>
  <si>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</si>
  <si>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</si>
  <si>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</si>
  <si>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</si>
  <si>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</si>
  <si>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</si>
  <si>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</si>
  <si>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</si>
  <si>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</si>
  <si>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</si>
  <si>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</si>
  <si>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</si>
  <si>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</si>
  <si>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</si>
  <si>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</si>
  <si>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</si>
  <si>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</si>
  <si>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 xml:space="preserve">19.2.4.0. 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</si>
  <si>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</si>
  <si>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</si>
  <si>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</si>
  <si>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</si>
  <si>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</si>
  <si>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</si>
  <si>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</si>
  <si>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</si>
  <si>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</si>
  <si>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</si>
  <si>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</si>
  <si>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</si>
  <si>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</si>
  <si>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</si>
  <si>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</si>
  <si>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</si>
  <si>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</si>
  <si>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</si>
  <si>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21.3.9.5.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</si>
  <si>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</si>
  <si>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</si>
  <si>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</si>
  <si>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</si>
  <si>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</si>
  <si>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</si>
  <si>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</si>
  <si>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</si>
  <si>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</si>
  <si>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</si>
  <si>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</si>
  <si>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</si>
  <si>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</si>
  <si>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</si>
  <si>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</si>
  <si>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</si>
  <si>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</si>
  <si>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</si>
  <si>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</si>
  <si>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Pašvaldības pamatbudžets, t.sk:</t>
  </si>
  <si>
    <t>PVN nomaksa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</si>
  <si>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</si>
  <si>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</si>
  <si>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</si>
  <si>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</si>
  <si>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</si>
  <si>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</si>
  <si>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Kredīta atmaksa - Ūdenssaimniecības attīstības projekta I kārta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</si>
  <si>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</si>
  <si>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</si>
  <si>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</si>
  <si>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</si>
  <si>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</si>
  <si>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</si>
  <si>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</si>
  <si>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</si>
  <si>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</si>
  <si>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</si>
  <si>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</si>
  <si>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13.3.3.0.</t>
  </si>
  <si>
    <t>Ieņēmumi no iedzīvotāju ienākuma nodokļa un īpašuma nodokļa pamatparāda kapitalizācijas</t>
  </si>
  <si>
    <t>21.1.9.1.</t>
  </si>
  <si>
    <t>13.5.0.0.</t>
  </si>
  <si>
    <t>13.5.1.0.</t>
  </si>
  <si>
    <t>13.5.2.0.</t>
  </si>
  <si>
    <t>13.5.3.0.</t>
  </si>
  <si>
    <t>Mērķdotācija sociālās nodrošināšanas pasākumiem</t>
  </si>
  <si>
    <t>Mērķdotācija bezmaksas interneta un datora izmantošanai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</si>
  <si>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</si>
  <si>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</si>
  <si>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</si>
  <si>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</si>
  <si>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</si>
  <si>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</si>
  <si>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</si>
  <si>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</si>
  <si>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</si>
  <si>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</si>
  <si>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</si>
  <si>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</si>
  <si>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</si>
  <si>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</si>
  <si>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</si>
  <si>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</si>
  <si>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</si>
  <si>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</si>
  <si>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</si>
  <si>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</si>
  <si>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SIA "Dzintaru koncertzāle"</t>
  </si>
  <si>
    <t>PSIA "Jūrmalas kapi"</t>
  </si>
  <si>
    <t>Jūrmalas Bērnu un jauniešu interešu centrs</t>
  </si>
  <si>
    <t>Jūrmalas pilsētas Lielupes vidusskola</t>
  </si>
  <si>
    <t>Jūrmalas pilsētas Mežmalas vidusskola</t>
  </si>
  <si>
    <t>Jūrmalas sākumskola "Atvase"</t>
  </si>
  <si>
    <t>Jūrmalas vakara vidusskola</t>
  </si>
  <si>
    <t>PA "Jūrmalas sociālās aprūpes centrs"</t>
  </si>
  <si>
    <t>Jūrmalas pilsētas PI "Sprīdītis"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</si>
  <si>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</si>
  <si>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</si>
  <si>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</si>
  <si>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</si>
  <si>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</si>
  <si>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</si>
  <si>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</si>
  <si>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</si>
  <si>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</si>
  <si>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</si>
  <si>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</si>
  <si>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</si>
  <si>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</si>
  <si>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</si>
  <si>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</si>
  <si>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</si>
  <si>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</si>
  <si>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</si>
  <si>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</si>
  <si>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</si>
  <si>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</si>
  <si>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</si>
  <si>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</si>
  <si>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</si>
  <si>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</si>
  <si>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</si>
  <si>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</si>
  <si>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</si>
  <si>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</si>
  <si>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</si>
  <si>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</si>
  <si>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</si>
  <si>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Ieņēmumi par projektu īstenošanu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</si>
  <si>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</si>
  <si>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</si>
  <si>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</si>
  <si>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</si>
  <si>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</si>
  <si>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</si>
  <si>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Procentu maksājumi Valsts kasei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</si>
  <si>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</si>
  <si>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</si>
  <si>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</si>
  <si>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</si>
  <si>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</si>
  <si>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</si>
  <si>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</si>
  <si>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</si>
  <si>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</si>
  <si>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</si>
  <si>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</si>
  <si>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</si>
  <si>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</si>
  <si>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</si>
  <si>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</si>
  <si>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PI "Lielupes ostas pārvalde"</t>
  </si>
  <si>
    <t>Jūrmalas Centrālā bibliotēka</t>
  </si>
  <si>
    <t>Jūrmalas pilsētas bāriņtiesa</t>
  </si>
  <si>
    <t>Jūrmalas Kauguru vidusskola</t>
  </si>
  <si>
    <t>Ķemeru vidusskola</t>
  </si>
  <si>
    <t>Majoru vidusskola</t>
  </si>
  <si>
    <t>Sākumskola "Ābelīte"</t>
  </si>
  <si>
    <t>Jūrmalas sākumskola "Taurenītis"</t>
  </si>
  <si>
    <t>Slokas pamatskola</t>
  </si>
  <si>
    <t>Ieņēmumi par līdzfinansējuma projektu īstenošanu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</si>
  <si>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</si>
  <si>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</si>
  <si>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</si>
  <si>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</si>
  <si>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</si>
  <si>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</si>
  <si>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</si>
  <si>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</si>
  <si>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</si>
  <si>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</si>
  <si>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</si>
  <si>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</si>
  <si>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</si>
  <si>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</si>
  <si>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</si>
  <si>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</si>
  <si>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</si>
  <si>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</si>
  <si>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</si>
  <si>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</si>
  <si>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</si>
  <si>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</si>
  <si>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</si>
  <si>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</si>
  <si>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</si>
  <si>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</si>
  <si>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</si>
  <si>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</si>
  <si>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</si>
  <si>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</si>
  <si>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</si>
  <si>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Ēkas rekonstrukcijai ar funkcijas maiņu par sociālās aprūpes ēku ar publiski pieejamām telpām 1.stāvā Skolas ielā 44</t>
  </si>
  <si>
    <t>Pilsētas svētku noformējums</t>
  </si>
  <si>
    <t>Budžeta transferti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</si>
  <si>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</si>
  <si>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</si>
  <si>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</si>
  <si>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</si>
  <si>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Pamatkapitāla palielināšana</t>
  </si>
  <si>
    <t>Iestādes uzturēšana un kultūras pakalpojumu sniegšanas nodrošinājums</t>
  </si>
  <si>
    <t>Iestādes uzturēšana un bibliotēku pakalpojumu pieejamības nodrošinājums</t>
  </si>
  <si>
    <t>Iestādes uzturēšana un muzeju un izstāžu pakalpojumu sniegšanas nodrošinājums</t>
  </si>
  <si>
    <t>Iestādes uzturēšana un vispārējās izglītības nodrošināšana</t>
  </si>
  <si>
    <t>Iestādes uzturēšana un pirmsskolas izglītības nodrošināšana</t>
  </si>
  <si>
    <t>SIA "Jūrmalas ūdens"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</si>
  <si>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</si>
  <si>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</si>
  <si>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</si>
  <si>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</si>
  <si>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</si>
  <si>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</si>
  <si>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</si>
  <si>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</si>
  <si>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9.pielikums</t>
  </si>
  <si>
    <t>16.pielikums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</si>
  <si>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</si>
  <si>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</si>
  <si>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</si>
  <si>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</si>
  <si>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</si>
  <si>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</si>
  <si>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</si>
  <si>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</si>
  <si>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</si>
  <si>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21.3.8.9.</t>
  </si>
  <si>
    <t>Pārējie ieņēmumi par nomu un īri</t>
  </si>
  <si>
    <t>PSIA Veselības un sociālās aprūpes centrs - Sloka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</si>
  <si>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</si>
  <si>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</si>
  <si>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</si>
  <si>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</si>
  <si>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</si>
  <si>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</si>
  <si>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Pašvaldības iestādes "Sprīdītis" rekonstrukcija</t>
  </si>
  <si>
    <t>Pirmsskolas izglītības iestāžu labiekārtošanas pasākumi</t>
  </si>
  <si>
    <t>Jūrmalas sporta centrs</t>
  </si>
  <si>
    <t>Majoru vidusskolas sporta laukuma darbības nodrošināšana</t>
  </si>
  <si>
    <t>Pilsētas kultūrvēsturiskā mantojuma saglabāšana</t>
  </si>
  <si>
    <t>22.pielikums</t>
  </si>
  <si>
    <t>Budžeta finansētas institūcijas reģistrācijas  Nr.</t>
  </si>
  <si>
    <t>Pirmsskolas izglītības iestāde "Austras koks"</t>
  </si>
  <si>
    <t>Brīvpusdienu nodrošināšana</t>
  </si>
  <si>
    <t>Pilsētas stadiona uzturēšana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</si>
  <si>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</si>
  <si>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</si>
  <si>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</si>
  <si>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Sporta pasākumi, sacensības</t>
  </si>
  <si>
    <t>Projekts "Jūrmalas pilsētas tranzītielas P128 (Talsu šoseja/Kolkas iela) izbūve"</t>
  </si>
  <si>
    <t>Projekts "Songs Make Impossible Look Easy"</t>
  </si>
  <si>
    <t>Projekts "Solis ilgtspējīgā uzņēmējdarbībā"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</si>
  <si>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</si>
  <si>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</si>
  <si>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</si>
  <si>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</si>
  <si>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24.pielikums</t>
  </si>
  <si>
    <t>Ar ārējo sakaru attīstību saistītās starptautiskās un institucionālās sadarbības aktivitātes</t>
  </si>
  <si>
    <t>Jūrmalas Alternatīvā skola</t>
  </si>
  <si>
    <t>Latvijas Starptautiskā skola</t>
  </si>
  <si>
    <t>Kredīta atmaksa - Mācību korpusa lit.002 rekonstrukcija bez apjoma palielināšanas Dūņu ceļš 2, Jūrmalā</t>
  </si>
  <si>
    <t>Pamatkapitāla palielināšana, projekts "Jūrmalas ūdenssaimniecības attīstība II kārta"</t>
  </si>
  <si>
    <t>Pamatkapitāla palielināšana, projekts "Jūrmalas ūdenssaimniecības attīstība III kārta"</t>
  </si>
  <si>
    <t>13.pielikums</t>
  </si>
  <si>
    <t>14.pielikums</t>
  </si>
  <si>
    <t>23.pielikums</t>
  </si>
  <si>
    <t>27.pielikums</t>
  </si>
  <si>
    <t>3.pielikums</t>
  </si>
  <si>
    <t>01.1.1.</t>
  </si>
  <si>
    <t>01.1.5.</t>
  </si>
  <si>
    <t>03.1.1.</t>
  </si>
  <si>
    <t>03.1.2.</t>
  </si>
  <si>
    <t>03.2.1.</t>
  </si>
  <si>
    <t>03.3.1.</t>
  </si>
  <si>
    <t>03.4.1.</t>
  </si>
  <si>
    <t>04.1.1.</t>
  </si>
  <si>
    <t>04.1.2.</t>
  </si>
  <si>
    <t>04.1.4.</t>
  </si>
  <si>
    <t>04.1.5.</t>
  </si>
  <si>
    <t>04.1.9.</t>
  </si>
  <si>
    <t>04.1.10.</t>
  </si>
  <si>
    <t>04.1.11.</t>
  </si>
  <si>
    <t>04.2.1.</t>
  </si>
  <si>
    <t>05.1.4.</t>
  </si>
  <si>
    <t>05.2.1.</t>
  </si>
  <si>
    <t>05.2.2.</t>
  </si>
  <si>
    <t>05.2.3.</t>
  </si>
  <si>
    <t>05.2.4.</t>
  </si>
  <si>
    <t>06.1.2.</t>
  </si>
  <si>
    <t>06.1.4.</t>
  </si>
  <si>
    <t>06.2.1.</t>
  </si>
  <si>
    <t>06.3.1.</t>
  </si>
  <si>
    <t>07.1.1.</t>
  </si>
  <si>
    <t>07.1.2.</t>
  </si>
  <si>
    <t>07.1.3.</t>
  </si>
  <si>
    <t>07.2.1.</t>
  </si>
  <si>
    <t>07.2.2.</t>
  </si>
  <si>
    <t>08.1.4.</t>
  </si>
  <si>
    <t>08.1.5.</t>
  </si>
  <si>
    <t>08.2.1.</t>
  </si>
  <si>
    <t>08.3.1.</t>
  </si>
  <si>
    <t>08.4.1.</t>
  </si>
  <si>
    <t>08.4.2.</t>
  </si>
  <si>
    <t>08.5.1.</t>
  </si>
  <si>
    <t>08.6.1.</t>
  </si>
  <si>
    <t>08.6.2.</t>
  </si>
  <si>
    <t>08.7.1.</t>
  </si>
  <si>
    <t>09.1.1.</t>
  </si>
  <si>
    <t>09.1.3.</t>
  </si>
  <si>
    <t>09.2.1.</t>
  </si>
  <si>
    <t>09.2.2.</t>
  </si>
  <si>
    <t>09.3.1.</t>
  </si>
  <si>
    <t>09.3.2.</t>
  </si>
  <si>
    <t>09.4.1.</t>
  </si>
  <si>
    <t>09.4.2.</t>
  </si>
  <si>
    <t>09.4.3.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</si>
  <si>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</si>
  <si>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</si>
  <si>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</si>
  <si>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</si>
  <si>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</si>
  <si>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</si>
  <si>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</si>
  <si>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</si>
  <si>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</si>
  <si>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</si>
  <si>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09.9.3.</t>
  </si>
  <si>
    <t>09.10.1.</t>
  </si>
  <si>
    <t>09.11.1.</t>
  </si>
  <si>
    <t>09.11.2.</t>
  </si>
  <si>
    <t>09.12.1.</t>
  </si>
  <si>
    <t>09.13.1.</t>
  </si>
  <si>
    <t>09.13.2.</t>
  </si>
  <si>
    <t>09.13.3.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</si>
  <si>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</si>
  <si>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</si>
  <si>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</si>
  <si>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</si>
  <si>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</si>
  <si>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</si>
  <si>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</si>
  <si>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</si>
  <si>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</si>
  <si>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</si>
  <si>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</si>
  <si>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</si>
  <si>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</si>
  <si>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09.20.2.</t>
  </si>
  <si>
    <t>09.21.1.</t>
  </si>
  <si>
    <t>09.22.1.</t>
  </si>
  <si>
    <t>09.22.2.</t>
  </si>
  <si>
    <t>09.23.1.</t>
  </si>
  <si>
    <t>09.23.2.</t>
  </si>
  <si>
    <t>09.24.1.</t>
  </si>
  <si>
    <t>09.24.2.</t>
  </si>
  <si>
    <t>09.24.3.</t>
  </si>
  <si>
    <t>09.25.1.</t>
  </si>
  <si>
    <t>09.25.2.</t>
  </si>
  <si>
    <t>09.26.1.</t>
  </si>
  <si>
    <t>09.26.2.</t>
  </si>
  <si>
    <t>09.27.1.</t>
  </si>
  <si>
    <t>09.27.2.</t>
  </si>
  <si>
    <t>09.28.1.</t>
  </si>
  <si>
    <t>09.28.2.</t>
  </si>
  <si>
    <t>09.29.1.</t>
  </si>
  <si>
    <t>09.30.1.</t>
  </si>
  <si>
    <t>09.30.2.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</si>
  <si>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</si>
  <si>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</si>
  <si>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</si>
  <si>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</si>
  <si>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</si>
  <si>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</si>
  <si>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</si>
  <si>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</si>
  <si>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</si>
  <si>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</si>
  <si>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</si>
  <si>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</si>
  <si>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</si>
  <si>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</si>
  <si>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</si>
  <si>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</si>
  <si>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</si>
  <si>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</si>
  <si>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</si>
  <si>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10.3.9.</t>
  </si>
  <si>
    <t>10.4.1.</t>
  </si>
  <si>
    <t>10.4.2.</t>
  </si>
  <si>
    <t>10.5.1.</t>
  </si>
  <si>
    <t>10.6.1.</t>
  </si>
  <si>
    <r>
      <t>Jūrmalas pilsētas pašvaldības budžeta izdevumi 2015.gadam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</si>
  <si>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2015.gadam</t>
  </si>
  <si>
    <t>Notekūdeņu apsaimniekošana (meliorācijas sistēmas apsaimniekošana)</t>
  </si>
  <si>
    <t>Notekūdeņu apsaimniekošana (lietus ūdens kanalizācija)</t>
  </si>
  <si>
    <t>Metadona kabinets</t>
  </si>
  <si>
    <t>Atbalstāmie pasākumi Dzintaru koncertzālē</t>
  </si>
  <si>
    <t>Iestādes uzturēšana, interešu izglītības un jaunatnes darba nodrošinājums</t>
  </si>
  <si>
    <t>Projekts "Eiropas brīvprātīgais Jūrmalas BJIC"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</si>
  <si>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</si>
  <si>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</si>
  <si>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</si>
  <si>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</si>
  <si>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 xml:space="preserve">Projekts "Skolotāji-mācīšanās līderi" </t>
  </si>
  <si>
    <t>Projekts "Eko-mijiedarbība"</t>
  </si>
  <si>
    <t>Kapitālsabiedrības organizēto koncertu pieejamības veicināšana</t>
  </si>
  <si>
    <t>Saņemts  no Valsts kases sadales konta pārskata gadā ieskaitītais iedzīvotāju ienākuma nodoklis</t>
  </si>
  <si>
    <t>10.1.5.0.</t>
  </si>
  <si>
    <t xml:space="preserve">Naudas sodi, ko uzliek par pārkāpumiem ceļu satiksmē </t>
  </si>
  <si>
    <t>Ieņēmumi no valsts un pašvaldību kustamā īpašuma un mantas realizācijas</t>
  </si>
  <si>
    <t>21.3.9.7.</t>
  </si>
  <si>
    <t>F55 01 00 20</t>
  </si>
  <si>
    <t>Akcijas un cita līdzdalība komersantu pašu kapitālā, neskaitot kopieguldījumu fondu akcijas (pārdošana)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</si>
  <si>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</si>
  <si>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</si>
  <si>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</si>
  <si>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Nekustamā īpašuma iegāde Tukuma ielā 42, Jūrmalā iegāde</t>
  </si>
  <si>
    <t xml:space="preserve">Mērķdotācija tautas tērpu un to detaļu vai mūzikas instrumentu iegādei </t>
  </si>
  <si>
    <t>Mērķdotācija pedagogu atalgojumam profesionālās ievirzes izglītības programmu finansēšanai</t>
  </si>
  <si>
    <r>
      <t>Jūrmalas pilsētas pašvaldības 2015.gada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</si>
  <si>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</si>
  <si>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</si>
  <si>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</si>
  <si>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</si>
  <si>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</si>
  <si>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</si>
  <si>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</si>
  <si>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</si>
  <si>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</si>
  <si>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</si>
  <si>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</si>
  <si>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</si>
  <si>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</si>
  <si>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</si>
  <si>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</si>
  <si>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</si>
  <si>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</si>
  <si>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</si>
  <si>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</si>
  <si>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</si>
  <si>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</si>
  <si>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</si>
  <si>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</si>
  <si>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15.pielikums</t>
  </si>
  <si>
    <t>Pilsētas ekonomiskās attīstības pasākumi</t>
  </si>
  <si>
    <t>4.pielikums</t>
  </si>
  <si>
    <t>12.pielikums</t>
  </si>
  <si>
    <t>Jūrmalas pilsētas pašvaldības 2015.-2017.gada Ceļu fonda izlietojuma programma</t>
  </si>
  <si>
    <t>8.pielikums</t>
  </si>
  <si>
    <t>Projekts "Jūrmalas kūrortpilsētas dalība ārvalstu starptautiskajās tūrisma izstādēs, gadatirgos un konferencēs-2014"</t>
  </si>
  <si>
    <t>Projekts "Jūrmalas kūrortpilsētas dalība ārvalstu starptautiskajās tūrisma izstādēs, gadatirgos un konferencēs - 2015"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</si>
  <si>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</si>
  <si>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</si>
  <si>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</si>
  <si>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</si>
  <si>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</si>
  <si>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</si>
  <si>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</si>
  <si>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</si>
  <si>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</si>
  <si>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</si>
  <si>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</si>
  <si>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</si>
  <si>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</si>
  <si>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</si>
  <si>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</si>
  <si>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Kulturas pasākumi</t>
  </si>
  <si>
    <t>Sabiedrisko attiecību veidošanas pasākumi</t>
  </si>
  <si>
    <t>Zivju resursu atjaunošana</t>
  </si>
  <si>
    <t>Vides piesārņojuma novēršana un samazināšana</t>
  </si>
  <si>
    <t>05.1.1.</t>
  </si>
  <si>
    <t>Vides aizsardzības pasākumi bioloģiskās daudzveidības un ainavas aizsardzības jomā</t>
  </si>
  <si>
    <t>05.1.2.</t>
  </si>
  <si>
    <t>05.1.3.</t>
  </si>
  <si>
    <t>01.1.4.</t>
  </si>
  <si>
    <t>Ar tiesvedības procesiem saistīti izdevumi</t>
  </si>
  <si>
    <t>Juridiskie pakalpojumi ar pašvaldības darbu saistītos jautājumos</t>
  </si>
  <si>
    <t>21.pielikums</t>
  </si>
  <si>
    <t>11., 12.pielikums</t>
  </si>
  <si>
    <t>10., 13.pielikums</t>
  </si>
  <si>
    <t>10.pielikums</t>
  </si>
  <si>
    <t>6.pielikums</t>
  </si>
  <si>
    <t>18.pielikums</t>
  </si>
  <si>
    <t>17.pielikums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</si>
  <si>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</si>
  <si>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</si>
  <si>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</si>
  <si>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</si>
  <si>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</si>
  <si>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</si>
  <si>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>28.pielikums</t>
  </si>
  <si>
    <t xml:space="preserve">Pārējais citur neklasificēts atbalsts sociāli atstumtām personām </t>
  </si>
  <si>
    <t>Pārējie citur neklasificētie sociālās aizsardzības pasākumi</t>
  </si>
  <si>
    <t xml:space="preserve">Projekts "Kompleksi risinājumi siltumnīcefekta gāzu emisijas samazināšanai Jūrmalas pilsētas Mežmalas vidusskolā" </t>
  </si>
  <si>
    <t>Projekts "Inovatīvi risinājumi pieejama – sociāli iekļaujoša tūrisma produkta attīstībai Latvijas pašvaldībās"</t>
  </si>
  <si>
    <t>5., 7.,8.pielikums</t>
  </si>
  <si>
    <t>Bilance</t>
  </si>
  <si>
    <t>9.5.1.9.</t>
  </si>
  <si>
    <t>Pašvaldības nodeva par pašvaldības simbolikas izmantošanu</t>
  </si>
  <si>
    <t>12.3.1.0.</t>
  </si>
  <si>
    <t>12.3.1.2.</t>
  </si>
  <si>
    <t>12.3.1.3.</t>
  </si>
  <si>
    <t>Ieņēmumi no privatizācijs</t>
  </si>
  <si>
    <t>Ieņēmumi no dzīvojamo māju privatizācijas</t>
  </si>
  <si>
    <t>Ieņēmumi no neapbūvēta zemesgabala privatizācijas</t>
  </si>
  <si>
    <t>19.1.0.0.</t>
  </si>
  <si>
    <t>Pašvaldības budžeta iekšējie transferti starp vienas pašvaldības budžeta veidiem</t>
  </si>
  <si>
    <t>01.1.3.</t>
  </si>
  <si>
    <t>03.1.3.</t>
  </si>
  <si>
    <t>04.1.6.
04.1.8.</t>
  </si>
  <si>
    <t>04.1.7.</t>
  </si>
  <si>
    <t>04.1.12.</t>
  </si>
  <si>
    <t>04.1.14.</t>
  </si>
  <si>
    <t>04.1.15.</t>
  </si>
  <si>
    <t>04.1.16.</t>
  </si>
  <si>
    <t>05.1.5.</t>
  </si>
  <si>
    <t>01.1.2. 01.1.6</t>
  </si>
  <si>
    <t>06.1.5.</t>
  </si>
  <si>
    <t>06.1.1. 06.1.6.</t>
  </si>
  <si>
    <t>06.1.7.</t>
  </si>
  <si>
    <t>06.3.2.</t>
  </si>
  <si>
    <t>08.1.3.</t>
  </si>
  <si>
    <t>08.1.2.</t>
  </si>
  <si>
    <t>08.1.7.</t>
  </si>
  <si>
    <t>08.1.8.
08.1.9.</t>
  </si>
  <si>
    <t>08.1.10.</t>
  </si>
  <si>
    <t>08.1.11.</t>
  </si>
  <si>
    <t>08.2.2.</t>
  </si>
  <si>
    <t>08.2.3.</t>
  </si>
  <si>
    <t>08.2.4.</t>
  </si>
  <si>
    <t>08.2.5.</t>
  </si>
  <si>
    <t>08.2.6.</t>
  </si>
  <si>
    <t>08.2.7.</t>
  </si>
  <si>
    <t>08.7.2.</t>
  </si>
  <si>
    <t>08.7.3.</t>
  </si>
  <si>
    <t>08.7.4.</t>
  </si>
  <si>
    <t>09.1.9.</t>
  </si>
  <si>
    <t>09.1.2.</t>
  </si>
  <si>
    <t>09.1.8.</t>
  </si>
  <si>
    <t>09.1.7.</t>
  </si>
  <si>
    <t>09.1.10.</t>
  </si>
  <si>
    <t>09.5.3.</t>
  </si>
  <si>
    <t>09.5.4.</t>
  </si>
  <si>
    <t>09.24.4.</t>
  </si>
  <si>
    <t>10.1.1.</t>
  </si>
  <si>
    <t>Jūrmalas pilsētas muzeja filiāles, Aspazijas mājas digitālās ekspozīcijas ieviešana</t>
  </si>
  <si>
    <t>08.6.3.</t>
  </si>
  <si>
    <t>Mājas aprūpes un pavadoņu pakalpojuma nodrošināšana</t>
  </si>
  <si>
    <t>Projekta "Dienas aprūpe bērniem ar funkcionāliem traucējumiem" ilgtspējas nodrošināšana</t>
  </si>
  <si>
    <t>Iepriekšējo gadu pamatkapitāla palielināšana</t>
  </si>
  <si>
    <t>Pilsētas teritoriju labiekārtošanas pasākumi</t>
  </si>
  <si>
    <t>01.2.1.</t>
  </si>
  <si>
    <t>01.2.2.</t>
  </si>
  <si>
    <t>01.2.3.</t>
  </si>
  <si>
    <t>01.2.4.</t>
  </si>
  <si>
    <t>04.3.1.</t>
  </si>
  <si>
    <t>04.3.2.</t>
  </si>
  <si>
    <t>04.3.3.</t>
  </si>
  <si>
    <t>10.2.9.</t>
  </si>
  <si>
    <t>Pilsētas ielu apgaismojuma nodrošināšana</t>
  </si>
  <si>
    <t>10.3.8.</t>
  </si>
  <si>
    <t>10.3.10.</t>
  </si>
  <si>
    <t>Pilsētas kultūras un atpūtas pasākumi</t>
  </si>
  <si>
    <t>Pirmsskolas izglītības iestāde "Podziņa"</t>
  </si>
  <si>
    <t>01.1.7.</t>
  </si>
  <si>
    <t>08.1.1.
08.1.12</t>
  </si>
  <si>
    <t>09.1.5.</t>
  </si>
  <si>
    <t>Projekta "Grupu dzīvokļa pakalpojuma izveide un nodrošināšana Jūrmalā" ilgtspējas nodrošināšana</t>
  </si>
  <si>
    <t>Projekta "Sociālās rehabilitācijas programmas izstrāde un ieviešana dienas centrā Jūrmalas pilsētā dzīvojošo Romu tautības iedzīvotājiem" ilgtspējas nodrošināšana</t>
  </si>
  <si>
    <t>31.pielikums</t>
  </si>
  <si>
    <t>04.1.13.</t>
  </si>
  <si>
    <t>Dienas aprūpe bērniem ar funkcionāliem traucējumiem</t>
  </si>
  <si>
    <t>SIA "Jūrmalas slimnīca"</t>
  </si>
  <si>
    <t>Mēķdotācijamāksliniecisko kolektīvu vadītājiem (Mūz.sk.)</t>
  </si>
  <si>
    <t>30.pielikums</t>
  </si>
  <si>
    <t>29.pielikums</t>
  </si>
  <si>
    <t>Mūzikas skolas būvniecība</t>
  </si>
  <si>
    <t>Lielupes vidusskolas rekonstrukcija 2 kārtās (t.sk. sporta zāles būvniecība), (2.kārtas projektēšana, skolas ēkas būvniecība)</t>
  </si>
  <si>
    <t>Pamatkapitāla palielināšana - Ķemeru kapličas kapitālais remonts un atkritumu konteineru iegāde</t>
  </si>
  <si>
    <t>Jūrmalas pilsētas Pašvaldības policija</t>
  </si>
  <si>
    <t>Jūrmalas pilsētas Jaundubultu vidusskola</t>
  </si>
  <si>
    <t>Jūrmalas Mākslas skola</t>
  </si>
  <si>
    <t>Jūrmalas Mūzikas vidusskola</t>
  </si>
  <si>
    <t>Jūrmalas Sporta skola</t>
  </si>
  <si>
    <t>08.1.6. 08.1.14.</t>
  </si>
  <si>
    <t>04.1.3. 04.1.18.</t>
  </si>
  <si>
    <t>07.3.1.</t>
  </si>
  <si>
    <t>09.1.4. 09.1.6. 09.1.11.</t>
  </si>
  <si>
    <t>10.2.5.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</si>
  <si>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</si>
  <si>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</si>
  <si>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</si>
  <si>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</si>
  <si>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20.pielikums</t>
  </si>
  <si>
    <t>13., 19., 20.pielikums</t>
  </si>
  <si>
    <t>10., 20.pielikums</t>
  </si>
  <si>
    <t>26.pielikums</t>
  </si>
  <si>
    <t>21., 24.pielikums</t>
  </si>
  <si>
    <t>24., 25.pielikums</t>
  </si>
  <si>
    <t>21., 24., 25.pielikums</t>
  </si>
  <si>
    <t>2015.gada budžets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</si>
  <si>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</si>
  <si>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</si>
  <si>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</si>
  <si>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</si>
  <si>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citu Eiropas Savienības politiku instrumentu līdzfinansēto projektu un pasākumu īstenošanas un saņemtās ārvalstu finanšu palīdzības, kas nav Eiropas Savienības struktūrfondi</t>
  </si>
  <si>
    <t>Ieņēmumi no iestāžu sniegtajiem maksas pakalpojumiem un citi pašu ieņēmumi</t>
  </si>
  <si>
    <t>Ieņēmumi par pārējiem sniegtajiem maksas pakalpojumiem</t>
  </si>
  <si>
    <t>Iestādes saņemtā atlīdzība no apdrošināšanas sabiedrības par bojātu nekustamo īpašumu un kustamo mantu, tai skaitā autoavārijā cietušu automašīnu</t>
  </si>
  <si>
    <t>Pārējie 21.3.0.0.grupā neklasificētie iestāžu ieņēmumi par iestāžu sniegtajiem maksas pakalpojumiem un citi pašu ieņēmumi</t>
  </si>
  <si>
    <t>2.pielikums Jūrmalas pilsētas domes</t>
  </si>
  <si>
    <t>1.pielikums Jūrmalas pilsētas domes</t>
  </si>
  <si>
    <t xml:space="preserve">ERASMUS+ Projekts "Dažādu metožu izmantošana dabaszinātņu mācīšanā, lai veicinātu skolēnu motivāciju un uzlabotu viņu izglītības līmeni" </t>
  </si>
  <si>
    <t>09.31.3.</t>
  </si>
  <si>
    <t>PB grozījumi, kopā</t>
  </si>
  <si>
    <t>Privatizājamā SIA "Jūrmalas namsaimnieks"</t>
  </si>
  <si>
    <t>Pašvaldības nekustamo īpasūmu (dzīvojamā, nedzīvojamā un vasarnīcu fondu) apsaimniekošana</t>
  </si>
  <si>
    <t>Pašvaldības izglītības iestāžu ēku un teritoriju apsaimniekošana, t.sk:</t>
  </si>
  <si>
    <t>Pirmsskolas izglītības iestāžu un teritoriju apsaimniekošana</t>
  </si>
  <si>
    <t>Interešu un profesionālās izglītības iestāžu un teritoriju apsaimniekošana</t>
  </si>
  <si>
    <t>Vispārējās izglītības iestāžu un teritoriju apsaimniekošana</t>
  </si>
  <si>
    <t>VB grozījumi, kopā</t>
  </si>
  <si>
    <t>MP grozījumi, kopā</t>
  </si>
  <si>
    <t>Izmaiņas, kopā</t>
  </si>
  <si>
    <t>Projekts "Jūrmalas jauniešu mēnesis 2014"</t>
  </si>
  <si>
    <t>09.1.12.</t>
  </si>
  <si>
    <t>Projekts "Siltumnīcefekta gāzu emisiju samazināšana transporta sektora Jūrmalas pilsētā"</t>
  </si>
  <si>
    <t>SN 03.02.2015., Nr.3</t>
  </si>
  <si>
    <t>Pašvaldības budžeta norēķini ar valsts budžetu</t>
  </si>
  <si>
    <t>08.6.4.</t>
  </si>
  <si>
    <t>Projekts "Dream Do Decide"</t>
  </si>
  <si>
    <t>Atlikums gada beigās, t.sk. ieņēmumu pārsniegums pār izdevumiem</t>
  </si>
  <si>
    <t>Atlikums pamatkapitāla palielinājumam</t>
  </si>
  <si>
    <t>08.1.13. 08.1.15.</t>
  </si>
  <si>
    <t xml:space="preserve"> </t>
  </si>
  <si>
    <t>Projekts "Algoti pagaidu sabiedriskie darbi"</t>
  </si>
  <si>
    <t>04.1.18.</t>
  </si>
  <si>
    <t>Aspazijas mājā skan radio;  Aspazijas māja Jūrmalā; Dalība Starptautiskā Literatūras muzeju komitejā Krievijā; Koka zvejas kuģa "Marts" pieejamības nodrošināšana Jūrmalas Brīvdabas muzejā</t>
  </si>
  <si>
    <t>Pamatbudžets apstiprināts</t>
  </si>
  <si>
    <t>SN 19.02.2015., Nr.5</t>
  </si>
  <si>
    <t>Valsts budžeta transferti, aptiprināti</t>
  </si>
  <si>
    <t>Maksas pakalpojumi, apstiprināti</t>
  </si>
  <si>
    <t>Ziedojumi, apstiprināti</t>
  </si>
  <si>
    <t>9</t>
  </si>
  <si>
    <t>Ziedojumi, grozījumi, kopā</t>
  </si>
  <si>
    <t>Kopā, apstiprināts</t>
  </si>
  <si>
    <t>2015.gada budžets, apstiprināts</t>
  </si>
  <si>
    <t>Rīkojums 22.01.2015., Nr.1.1-14/30</t>
  </si>
  <si>
    <t>Rīkojums 27.01.2015., Nr.1.1-14/35</t>
  </si>
  <si>
    <t>06.1.3.
06.1.8. 06.1.9.
06.1.10.</t>
  </si>
  <si>
    <t>DS 03</t>
  </si>
  <si>
    <t>Jūrmalas sporta servisa centrs</t>
  </si>
  <si>
    <t>08.8.1.</t>
  </si>
  <si>
    <t>08.8.2.</t>
  </si>
  <si>
    <t>nav reģistrēts</t>
  </si>
  <si>
    <t>SN 05.03.2015. Nr.</t>
  </si>
  <si>
    <t>Rīkojumi</t>
  </si>
  <si>
    <t>SN</t>
  </si>
  <si>
    <t>08.8.3.</t>
  </si>
  <si>
    <t>Majoru sporta laukuma uzturēšana</t>
  </si>
  <si>
    <t>Jūrmalas pilsētas stadiona "Sloka" uzturēšana</t>
  </si>
  <si>
    <t>PSIA "Kauguru veselības centrs"</t>
  </si>
  <si>
    <t>Pamatkapitāla palielināšana, Ūdensvada un kanalizācijas izbūve</t>
  </si>
  <si>
    <t>07.4.1.</t>
  </si>
  <si>
    <t>Ūdensapgādes un kanalizācijas tīklu attīstība Jūrmalas pašvaldībā (pamatkapitāla palielināšana)</t>
  </si>
  <si>
    <t>05.2.5.</t>
  </si>
  <si>
    <t>05.2.6.</t>
  </si>
  <si>
    <t>2015.gada 5.marta saistošajiem noteikumiem Nr.13</t>
  </si>
  <si>
    <t>(Protokols Nr.6,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</si>
</sst>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i/>
      <sz val="14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color indexed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6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 wrapText="1"/>
    </xf>
    <xf numFmtId="3" fontId="4" fillId="0" borderId="38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40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2" xfId="2" applyFont="1" applyFill="1" applyBorder="1"/>
    <xf numFmtId="3" fontId="5" fillId="0" borderId="43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5" xfId="2" applyFont="1" applyFill="1" applyBorder="1" applyAlignment="1">
      <alignment horizontal="center" vertical="center"/>
    </xf>
    <xf numFmtId="0" fontId="8" fillId="4" borderId="29" xfId="2" applyFont="1" applyFill="1" applyBorder="1" applyAlignment="1">
      <alignment wrapText="1"/>
    </xf>
    <xf numFmtId="3" fontId="4" fillId="5" borderId="15" xfId="2" applyNumberFormat="1" applyFont="1" applyFill="1" applyBorder="1" applyAlignment="1">
      <alignment horizontal="right" vertical="center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6" xfId="2" applyFont="1" applyFill="1" applyBorder="1" applyAlignment="1">
      <alignment vertical="center" wrapText="1"/>
    </xf>
    <xf numFmtId="3" fontId="4" fillId="0" borderId="46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6" borderId="31" xfId="2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9" xfId="2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lef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68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74" xfId="2" applyFont="1" applyFill="1" applyBorder="1" applyAlignment="1">
      <alignment horizontal="right" vertical="center"/>
    </xf>
    <xf numFmtId="0" fontId="4" fillId="0" borderId="30" xfId="2" applyFont="1" applyFill="1" applyBorder="1"/>
    <xf numFmtId="0" fontId="4" fillId="0" borderId="40" xfId="2" applyFont="1" applyFill="1" applyBorder="1"/>
    <xf numFmtId="0" fontId="5" fillId="0" borderId="40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2" xfId="2" applyFont="1" applyFill="1" applyBorder="1" applyAlignment="1">
      <alignment horizontal="left" vertical="center"/>
    </xf>
    <xf numFmtId="0" fontId="4" fillId="0" borderId="111" xfId="2" applyFont="1" applyFill="1" applyBorder="1" applyAlignment="1">
      <alignment horizontal="left" vertical="center"/>
    </xf>
    <xf numFmtId="0" fontId="5" fillId="0" borderId="3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8" borderId="30" xfId="2" applyFont="1" applyFill="1" applyBorder="1"/>
    <xf numFmtId="0" fontId="5" fillId="8" borderId="25" xfId="0" applyFont="1" applyFill="1" applyBorder="1"/>
    <xf numFmtId="0" fontId="5" fillId="8" borderId="26" xfId="2" applyFont="1" applyFill="1" applyBorder="1" applyAlignment="1">
      <alignment horizontal="center"/>
    </xf>
    <xf numFmtId="0" fontId="5" fillId="8" borderId="25" xfId="0" applyFont="1" applyFill="1" applyBorder="1" applyAlignment="1">
      <alignment wrapText="1"/>
    </xf>
    <xf numFmtId="3" fontId="5" fillId="8" borderId="29" xfId="2" applyNumberFormat="1" applyFont="1" applyFill="1" applyBorder="1" applyAlignment="1">
      <alignment horizontal="righ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3" fontId="21" fillId="0" borderId="68" xfId="0" applyNumberFormat="1" applyFont="1" applyFill="1" applyBorder="1" applyAlignment="1">
      <alignment horizontal="right" vertical="center" wrapText="1"/>
    </xf>
    <xf numFmtId="49" fontId="21" fillId="0" borderId="50" xfId="0" applyNumberFormat="1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117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18" xfId="2" applyNumberFormat="1" applyFont="1" applyFill="1" applyBorder="1"/>
    <xf numFmtId="3" fontId="4" fillId="0" borderId="118" xfId="2" applyNumberFormat="1" applyFont="1" applyFill="1" applyBorder="1" applyAlignment="1"/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3" fontId="5" fillId="0" borderId="120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Fill="1" applyBorder="1" applyAlignment="1">
      <alignment horizontal="righ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Fill="1" applyBorder="1" applyAlignment="1">
      <alignment horizontal="right" vertical="center" wrapText="1"/>
    </xf>
    <xf numFmtId="3" fontId="21" fillId="0" borderId="63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0" fontId="4" fillId="0" borderId="95" xfId="0" applyFont="1" applyFill="1" applyBorder="1"/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95" xfId="0" applyFont="1" applyFill="1" applyBorder="1" applyAlignment="1">
      <alignment horizontal="center" vertical="center" textRotation="90" wrapText="1"/>
    </xf>
    <xf numFmtId="3" fontId="13" fillId="0" borderId="48" xfId="0" applyNumberFormat="1" applyFont="1" applyFill="1" applyBorder="1" applyAlignment="1">
      <alignment horizontal="righ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73" xfId="0" applyNumberFormat="1" applyFont="1" applyFill="1" applyBorder="1" applyAlignment="1">
      <alignment horizontal="right" vertical="center" wrapText="1"/>
    </xf>
    <xf numFmtId="3" fontId="21" fillId="0" borderId="48" xfId="0" applyNumberFormat="1" applyFont="1" applyFill="1" applyBorder="1" applyAlignment="1">
      <alignment horizontal="right" vertical="center" wrapText="1"/>
    </xf>
    <xf numFmtId="0" fontId="4" fillId="0" borderId="121" xfId="0" applyFont="1" applyFill="1" applyBorder="1" applyAlignment="1">
      <alignment horizontal="center" vertical="center" textRotation="90" wrapText="1"/>
    </xf>
    <xf numFmtId="3" fontId="4" fillId="0" borderId="4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3" fontId="20" fillId="0" borderId="118" xfId="3" applyNumberFormat="1" applyFont="1" applyFill="1" applyBorder="1" applyAlignment="1" applyProtection="1"/>
    <xf numFmtId="3" fontId="8" fillId="3" borderId="123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8" fillId="3" borderId="125" xfId="2" applyNumberFormat="1" applyFont="1" applyFill="1" applyBorder="1" applyAlignment="1">
      <alignment horizontal="right" vertical="center" wrapText="1"/>
    </xf>
    <xf numFmtId="3" fontId="5" fillId="0" borderId="123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4" fillId="0" borderId="128" xfId="2" applyNumberFormat="1" applyFont="1" applyFill="1" applyBorder="1" applyAlignment="1">
      <alignment vertical="center"/>
    </xf>
    <xf numFmtId="3" fontId="8" fillId="3" borderId="123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8" fillId="3" borderId="125" xfId="2" applyNumberFormat="1" applyFont="1" applyFill="1" applyBorder="1" applyAlignment="1">
      <alignment vertical="center"/>
    </xf>
    <xf numFmtId="3" fontId="5" fillId="0" borderId="123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123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5" xfId="2" applyNumberFormat="1" applyFont="1" applyFill="1" applyBorder="1" applyAlignment="1">
      <alignment vertical="center"/>
    </xf>
    <xf numFmtId="3" fontId="4" fillId="0" borderId="122" xfId="2" applyNumberFormat="1" applyFont="1" applyFill="1" applyBorder="1"/>
    <xf numFmtId="3" fontId="4" fillId="0" borderId="122" xfId="3" applyNumberFormat="1" applyFont="1" applyFill="1" applyBorder="1" applyAlignment="1" applyProtection="1"/>
    <xf numFmtId="3" fontId="4" fillId="0" borderId="123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2" xfId="2" applyNumberFormat="1" applyFont="1" applyFill="1" applyBorder="1" applyAlignment="1"/>
    <xf numFmtId="3" fontId="4" fillId="5" borderId="129" xfId="2" applyNumberFormat="1" applyFont="1" applyFill="1" applyBorder="1" applyAlignment="1">
      <alignment horizontal="right" vertical="center"/>
    </xf>
    <xf numFmtId="3" fontId="4" fillId="5" borderId="130" xfId="2" applyNumberFormat="1" applyFont="1" applyFill="1" applyBorder="1" applyAlignment="1">
      <alignment horizontal="right" vertical="center"/>
    </xf>
    <xf numFmtId="3" fontId="4" fillId="5" borderId="131" xfId="2" applyNumberFormat="1" applyFont="1" applyFill="1" applyBorder="1" applyAlignment="1">
      <alignment horizontal="right" vertical="center"/>
    </xf>
    <xf numFmtId="3" fontId="8" fillId="4" borderId="129" xfId="2" applyNumberFormat="1" applyFont="1" applyFill="1" applyBorder="1" applyAlignment="1">
      <alignment horizontal="right" vertical="center"/>
    </xf>
    <xf numFmtId="3" fontId="8" fillId="4" borderId="130" xfId="2" applyNumberFormat="1" applyFont="1" applyFill="1" applyBorder="1" applyAlignment="1">
      <alignment horizontal="right" vertical="center"/>
    </xf>
    <xf numFmtId="3" fontId="8" fillId="4" borderId="131" xfId="2" applyNumberFormat="1" applyFont="1" applyFill="1" applyBorder="1" applyAlignment="1">
      <alignment horizontal="right" vertical="center"/>
    </xf>
    <xf numFmtId="3" fontId="5" fillId="0" borderId="129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131" xfId="2" applyNumberFormat="1" applyFont="1" applyFill="1" applyBorder="1" applyAlignment="1">
      <alignment horizontal="right" vertical="center"/>
    </xf>
    <xf numFmtId="3" fontId="4" fillId="0" borderId="129" xfId="2" applyNumberFormat="1" applyFont="1" applyFill="1" applyBorder="1" applyAlignment="1">
      <alignment vertical="center"/>
    </xf>
    <xf numFmtId="3" fontId="4" fillId="0" borderId="130" xfId="2" applyNumberFormat="1" applyFont="1" applyFill="1" applyBorder="1" applyAlignment="1">
      <alignment vertical="center"/>
    </xf>
    <xf numFmtId="3" fontId="4" fillId="0" borderId="131" xfId="2" applyNumberFormat="1" applyFont="1" applyFill="1" applyBorder="1" applyAlignment="1">
      <alignment vertical="center"/>
    </xf>
    <xf numFmtId="3" fontId="5" fillId="0" borderId="132" xfId="2" applyNumberFormat="1" applyFont="1" applyFill="1" applyBorder="1" applyAlignment="1">
      <alignment vertical="center"/>
    </xf>
    <xf numFmtId="3" fontId="5" fillId="0" borderId="133" xfId="2" applyNumberFormat="1" applyFont="1" applyFill="1" applyBorder="1" applyAlignment="1">
      <alignment vertical="center"/>
    </xf>
    <xf numFmtId="3" fontId="5" fillId="0" borderId="134" xfId="2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horizontal="center" vertical="center" wrapText="1"/>
    </xf>
    <xf numFmtId="3" fontId="7" fillId="2" borderId="135" xfId="2" applyNumberFormat="1" applyFont="1" applyFill="1" applyBorder="1" applyAlignment="1">
      <alignment horizontal="right" vertical="center" wrapText="1"/>
    </xf>
    <xf numFmtId="3" fontId="7" fillId="2" borderId="138" xfId="2" applyNumberFormat="1" applyFont="1" applyFill="1" applyBorder="1" applyAlignment="1">
      <alignment horizontal="right" vertical="center" wrapText="1"/>
    </xf>
    <xf numFmtId="3" fontId="7" fillId="2" borderId="139" xfId="2" applyNumberFormat="1" applyFont="1" applyFill="1" applyBorder="1" applyAlignment="1">
      <alignment horizontal="right" vertical="center" wrapText="1"/>
    </xf>
    <xf numFmtId="3" fontId="7" fillId="2" borderId="14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3" fontId="4" fillId="0" borderId="0" xfId="2" applyNumberFormat="1" applyFont="1" applyFill="1" applyBorder="1"/>
    <xf numFmtId="3" fontId="4" fillId="0" borderId="29" xfId="2" applyNumberFormat="1" applyFont="1" applyFill="1" applyBorder="1" applyAlignment="1">
      <alignment horizontal="center" vertical="center" wrapText="1"/>
    </xf>
    <xf numFmtId="3" fontId="4" fillId="0" borderId="29" xfId="2" applyNumberFormat="1" applyFont="1" applyFill="1" applyBorder="1"/>
    <xf numFmtId="3" fontId="4" fillId="0" borderId="136" xfId="2" applyNumberFormat="1" applyFont="1" applyFill="1" applyBorder="1"/>
    <xf numFmtId="3" fontId="4" fillId="0" borderId="137" xfId="2" applyNumberFormat="1" applyFont="1" applyFill="1" applyBorder="1"/>
    <xf numFmtId="3" fontId="5" fillId="0" borderId="122" xfId="2" applyNumberFormat="1" applyFont="1" applyFill="1" applyBorder="1"/>
    <xf numFmtId="3" fontId="5" fillId="0" borderId="118" xfId="2" applyNumberFormat="1" applyFont="1" applyFill="1" applyBorder="1"/>
    <xf numFmtId="3" fontId="8" fillId="0" borderId="122" xfId="2" applyNumberFormat="1" applyFont="1" applyFill="1" applyBorder="1"/>
    <xf numFmtId="3" fontId="8" fillId="0" borderId="118" xfId="2" applyNumberFormat="1" applyFont="1" applyFill="1" applyBorder="1"/>
    <xf numFmtId="3" fontId="11" fillId="0" borderId="122" xfId="2" applyNumberFormat="1" applyFont="1" applyFill="1" applyBorder="1"/>
    <xf numFmtId="3" fontId="11" fillId="0" borderId="118" xfId="2" applyNumberFormat="1" applyFont="1" applyFill="1" applyBorder="1"/>
    <xf numFmtId="3" fontId="5" fillId="8" borderId="123" xfId="2" applyNumberFormat="1" applyFont="1" applyFill="1" applyBorder="1" applyAlignment="1">
      <alignment horizontal="right" vertical="center"/>
    </xf>
    <xf numFmtId="3" fontId="5" fillId="8" borderId="124" xfId="2" applyNumberFormat="1" applyFont="1" applyFill="1" applyBorder="1" applyAlignment="1">
      <alignment horizontal="right" vertical="center"/>
    </xf>
    <xf numFmtId="3" fontId="5" fillId="8" borderId="125" xfId="2" applyNumberFormat="1" applyFont="1" applyFill="1" applyBorder="1" applyAlignment="1">
      <alignment horizontal="right" vertical="center"/>
    </xf>
    <xf numFmtId="3" fontId="9" fillId="0" borderId="15" xfId="2" applyNumberFormat="1" applyFont="1" applyFill="1" applyBorder="1" applyAlignment="1">
      <alignment horizontal="right" vertical="center"/>
    </xf>
    <xf numFmtId="3" fontId="7" fillId="2" borderId="141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horizontal="right" vertical="center" wrapText="1"/>
    </xf>
    <xf numFmtId="3" fontId="4" fillId="0" borderId="33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29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5" fillId="0" borderId="15" xfId="2" applyNumberFormat="1" applyFont="1" applyFill="1" applyBorder="1" applyAlignment="1">
      <alignment horizontal="right" wrapText="1"/>
    </xf>
    <xf numFmtId="3" fontId="4" fillId="0" borderId="29" xfId="2" applyNumberFormat="1" applyFont="1" applyFill="1" applyBorder="1" applyAlignment="1">
      <alignment horizontal="right" wrapText="1"/>
    </xf>
    <xf numFmtId="3" fontId="4" fillId="0" borderId="3" xfId="2" applyNumberFormat="1" applyFont="1" applyFill="1" applyBorder="1" applyAlignment="1">
      <alignment horizontal="right" wrapText="1"/>
    </xf>
    <xf numFmtId="3" fontId="4" fillId="0" borderId="15" xfId="2" applyNumberFormat="1" applyFont="1" applyFill="1" applyBorder="1" applyAlignment="1">
      <alignment horizontal="right" vertical="center" wrapText="1"/>
    </xf>
    <xf numFmtId="3" fontId="4" fillId="0" borderId="38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horizontal="right" vertical="top" wrapText="1"/>
    </xf>
    <xf numFmtId="3" fontId="4" fillId="0" borderId="46" xfId="2" applyNumberFormat="1" applyFont="1" applyFill="1" applyBorder="1" applyAlignment="1">
      <alignment horizontal="right" vertical="center" wrapText="1"/>
    </xf>
    <xf numFmtId="3" fontId="4" fillId="0" borderId="59" xfId="2" applyNumberFormat="1" applyFont="1" applyFill="1" applyBorder="1" applyAlignment="1">
      <alignment horizontal="right" vertical="center" wrapText="1"/>
    </xf>
    <xf numFmtId="3" fontId="11" fillId="0" borderId="29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wrapText="1"/>
    </xf>
    <xf numFmtId="3" fontId="5" fillId="8" borderId="25" xfId="0" applyNumberFormat="1" applyFont="1" applyFill="1" applyBorder="1" applyAlignment="1">
      <alignment horizontal="right" wrapText="1"/>
    </xf>
    <xf numFmtId="3" fontId="11" fillId="0" borderId="26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5" fillId="0" borderId="29" xfId="2" applyNumberFormat="1" applyFont="1" applyFill="1" applyBorder="1" applyAlignment="1">
      <alignment horizontal="right" wrapText="1"/>
    </xf>
    <xf numFmtId="3" fontId="4" fillId="0" borderId="31" xfId="2" applyNumberFormat="1" applyFont="1" applyFill="1" applyBorder="1" applyAlignment="1">
      <alignment horizontal="right" wrapText="1"/>
    </xf>
    <xf numFmtId="3" fontId="4" fillId="0" borderId="15" xfId="2" applyNumberFormat="1" applyFont="1" applyFill="1" applyBorder="1" applyAlignment="1">
      <alignment horizontal="right" wrapText="1"/>
    </xf>
    <xf numFmtId="3" fontId="4" fillId="5" borderId="42" xfId="2" applyNumberFormat="1" applyFont="1" applyFill="1" applyBorder="1" applyAlignment="1">
      <alignment horizontal="right"/>
    </xf>
    <xf numFmtId="3" fontId="8" fillId="4" borderId="15" xfId="2" applyNumberFormat="1" applyFont="1" applyFill="1" applyBorder="1" applyAlignment="1">
      <alignment horizontal="right" wrapText="1"/>
    </xf>
    <xf numFmtId="3" fontId="5" fillId="0" borderId="110" xfId="2" applyNumberFormat="1" applyFont="1" applyFill="1" applyBorder="1" applyAlignment="1">
      <alignment horizontal="right" vertical="center" wrapText="1"/>
    </xf>
    <xf numFmtId="3" fontId="5" fillId="0" borderId="77" xfId="2" applyNumberFormat="1" applyFont="1" applyFill="1" applyBorder="1" applyAlignment="1">
      <alignment horizontal="right"/>
    </xf>
    <xf numFmtId="3" fontId="5" fillId="0" borderId="29" xfId="2" applyNumberFormat="1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97" xfId="2" applyNumberFormat="1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9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10" fillId="0" borderId="142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15" fillId="9" borderId="29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3" fontId="4" fillId="0" borderId="143" xfId="2" applyNumberFormat="1" applyFont="1" applyFill="1" applyBorder="1"/>
    <xf numFmtId="3" fontId="4" fillId="0" borderId="144" xfId="2" applyNumberFormat="1" applyFont="1" applyFill="1" applyBorder="1"/>
    <xf numFmtId="3" fontId="4" fillId="0" borderId="145" xfId="2" applyNumberFormat="1" applyFont="1" applyFill="1" applyBorder="1"/>
    <xf numFmtId="3" fontId="4" fillId="0" borderId="146" xfId="2" applyNumberFormat="1" applyFont="1" applyFill="1" applyBorder="1"/>
    <xf numFmtId="0" fontId="12" fillId="0" borderId="48" xfId="0" applyFont="1" applyFill="1" applyBorder="1" applyAlignment="1">
      <alignment horizontal="left" vertical="center" wrapText="1"/>
    </xf>
    <xf numFmtId="0" fontId="23" fillId="0" borderId="0" xfId="5" applyFont="1" applyProtection="1">
      <protection locked="0"/>
    </xf>
    <xf numFmtId="0" fontId="23" fillId="0" borderId="0" xfId="5" applyFont="1" applyAlignment="1" applyProtection="1">
      <alignment horizontal="right"/>
      <protection locked="0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23" fillId="0" borderId="0" xfId="5" applyFont="1" applyAlignment="1" applyProtection="1">
      <alignment horizontal="right" wrapText="1"/>
      <protection locked="0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center" textRotation="90" wrapText="1"/>
    </xf>
    <xf numFmtId="0" fontId="5" fillId="0" borderId="106" xfId="0" applyFont="1" applyFill="1" applyBorder="1" applyAlignment="1">
      <alignment horizontal="center" vertical="center" textRotation="90" wrapText="1"/>
    </xf>
    <xf numFmtId="0" fontId="4" fillId="0" borderId="89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9" borderId="116" xfId="0" applyFont="1" applyFill="1" applyBorder="1" applyAlignment="1">
      <alignment horizontal="center" vertical="center" wrapText="1"/>
    </xf>
    <xf numFmtId="0" fontId="4" fillId="9" borderId="96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7" fillId="2" borderId="113" xfId="2" applyFont="1" applyFill="1" applyBorder="1" applyAlignment="1">
      <alignment horizontal="center" vertical="center" wrapText="1"/>
    </xf>
    <xf numFmtId="0" fontId="7" fillId="2" borderId="114" xfId="2" applyFont="1" applyFill="1" applyBorder="1" applyAlignment="1">
      <alignment horizontal="center" vertical="center" wrapText="1"/>
    </xf>
    <xf numFmtId="0" fontId="7" fillId="2" borderId="115" xfId="2" applyFont="1" applyFill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right" vertical="center" wrapText="1"/>
    </xf>
    <xf numFmtId="0" fontId="4" fillId="0" borderId="62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2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top"/>
    </xf>
    <xf numFmtId="0" fontId="5" fillId="0" borderId="42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1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4" fillId="5" borderId="28" xfId="2" applyFont="1" applyFill="1" applyBorder="1" applyAlignment="1">
      <alignment horizontal="center"/>
    </xf>
    <xf numFmtId="0" fontId="4" fillId="5" borderId="25" xfId="2" applyFont="1" applyFill="1" applyBorder="1" applyAlignment="1">
      <alignment horizontal="center"/>
    </xf>
    <xf numFmtId="0" fontId="4" fillId="5" borderId="26" xfId="2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2" xfId="1"/>
    <cellStyle name="Normal 2 3" xfId="4"/>
    <cellStyle name="Normal 3 2 2 2" xfId="5"/>
    <cellStyle name="Normal_2007_budz ienem" xfId="2"/>
  </cellStyles>
  <dxfs count="0"/>
  <tableStyles count="0" defaultTableStyle="TableStyleMedium9" defaultPivotStyle="PivotStyleLight16"/>
  <colors>
    <mruColors>
      <color rgb="FFFFFF57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AW1393"/>
  <sheetViews>
    <sheetView tabSelected="1" zoomScale="75" zoomScaleNormal="75" workbookViewId="0">
      <selection activeCell="A3" sqref="A3"/>
    </sheetView>
  </sheetViews>
  <sheetFormatPr defaultColWidth="8.42578125" defaultRowHeight="12" outlineLevelCol="1" x14ac:dyDescent="0.2"/>
  <cols>
    <col min="1" max="1" width="12.28515625" style="139" customWidth="1"/>
    <col min="2" max="2" width="4.140625" style="1" customWidth="1"/>
    <col min="3" max="3" width="2.140625" style="2" customWidth="1"/>
    <col min="4" max="4" width="22.85546875" style="1" customWidth="1"/>
    <col min="5" max="5" width="24.85546875" style="1" customWidth="1"/>
    <col min="6" max="6" width="12.42578125" style="293" hidden="1" customWidth="1" outlineLevel="1"/>
    <col min="7" max="7" width="12.42578125" style="1" customWidth="1" collapsed="1"/>
    <col min="8" max="8" width="10" style="293" hidden="1" customWidth="1" outlineLevel="1"/>
    <col min="9" max="9" width="9.5703125" style="3" customWidth="1" collapsed="1"/>
    <col min="10" max="10" width="9.5703125" style="3" hidden="1" customWidth="1" outlineLevel="1"/>
    <col min="11" max="13" width="8" style="3" hidden="1" customWidth="1" outlineLevel="1"/>
    <col min="14" max="14" width="9.140625" style="3" hidden="1" customWidth="1" outlineLevel="1"/>
    <col min="15" max="20" width="9.5703125" style="3" hidden="1" customWidth="1" outlineLevel="1"/>
    <col min="21" max="21" width="9.85546875" style="1" customWidth="1" collapsed="1"/>
    <col min="22" max="22" width="9.85546875" style="267" hidden="1" customWidth="1" outlineLevel="1"/>
    <col min="23" max="23" width="8" style="267" hidden="1" customWidth="1" outlineLevel="1"/>
    <col min="24" max="28" width="9.85546875" style="267" hidden="1" customWidth="1" outlineLevel="1"/>
    <col min="29" max="29" width="8.85546875" style="293" hidden="1" customWidth="1" outlineLevel="1"/>
    <col min="30" max="30" width="8.42578125" style="1" customWidth="1" collapsed="1"/>
    <col min="31" max="31" width="8.42578125" style="272" hidden="1" customWidth="1" outlineLevel="1"/>
    <col min="32" max="33" width="8" style="267" hidden="1" customWidth="1" outlineLevel="1"/>
    <col min="34" max="36" width="8.42578125" style="267" hidden="1" customWidth="1" outlineLevel="1"/>
    <col min="37" max="37" width="8.42578125" style="262" hidden="1" customWidth="1" outlineLevel="1"/>
    <col min="38" max="38" width="8.42578125" style="1" customWidth="1" collapsed="1"/>
    <col min="39" max="39" width="8.42578125" style="293" hidden="1" customWidth="1" outlineLevel="1"/>
    <col min="40" max="40" width="10.28515625" style="3" customWidth="1" collapsed="1"/>
    <col min="41" max="41" width="10.28515625" style="3" hidden="1" customWidth="1" outlineLevel="1"/>
    <col min="42" max="42" width="8" style="3" hidden="1" customWidth="1" outlineLevel="1"/>
    <col min="43" max="47" width="10.28515625" style="3" hidden="1" customWidth="1" outlineLevel="1"/>
    <col min="48" max="48" width="10" style="1" customWidth="1" collapsed="1"/>
    <col min="49" max="49" width="11.28515625" style="1" customWidth="1"/>
    <col min="50" max="16384" width="8.42578125" style="1"/>
  </cols>
  <sheetData>
    <row r="1" spans="1:49" s="258" customFormat="1" ht="16.5" x14ac:dyDescent="0.25">
      <c r="C1" s="2"/>
      <c r="F1" s="293"/>
      <c r="H1" s="29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267"/>
      <c r="W1" s="267"/>
      <c r="X1" s="267"/>
      <c r="Y1" s="267"/>
      <c r="Z1" s="267"/>
      <c r="AA1" s="267"/>
      <c r="AB1" s="267"/>
      <c r="AC1" s="293"/>
      <c r="AD1" s="449" t="s">
        <v>715</v>
      </c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</row>
    <row r="2" spans="1:49" s="258" customFormat="1" ht="16.5" x14ac:dyDescent="0.25">
      <c r="C2" s="2"/>
      <c r="F2" s="293"/>
      <c r="H2" s="29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267"/>
      <c r="W2" s="267"/>
      <c r="X2" s="267"/>
      <c r="Y2" s="267"/>
      <c r="Z2" s="267"/>
      <c r="AA2" s="267"/>
      <c r="AB2" s="267"/>
      <c r="AC2" s="293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6" t="s">
        <v>772</v>
      </c>
    </row>
    <row r="3" spans="1:49" s="258" customFormat="1" ht="16.5" x14ac:dyDescent="0.25">
      <c r="C3" s="2"/>
      <c r="F3" s="293"/>
      <c r="H3" s="29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267"/>
      <c r="W3" s="267"/>
      <c r="X3" s="267"/>
      <c r="Y3" s="267"/>
      <c r="Z3" s="267"/>
      <c r="AA3" s="267"/>
      <c r="AB3" s="267"/>
      <c r="AC3" s="293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6" t="s">
        <v>773</v>
      </c>
    </row>
    <row r="4" spans="1:49" s="258" customFormat="1" x14ac:dyDescent="0.2">
      <c r="C4" s="2"/>
      <c r="F4" s="293"/>
      <c r="H4" s="29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267"/>
      <c r="W4" s="267"/>
      <c r="X4" s="267"/>
      <c r="Y4" s="267"/>
      <c r="Z4" s="267"/>
      <c r="AA4" s="267"/>
      <c r="AB4" s="267"/>
      <c r="AC4" s="293"/>
      <c r="AE4" s="272"/>
      <c r="AF4" s="267"/>
      <c r="AG4" s="267"/>
      <c r="AH4" s="267"/>
      <c r="AI4" s="267"/>
      <c r="AJ4" s="267"/>
      <c r="AK4" s="262"/>
      <c r="AM4" s="293"/>
      <c r="AN4" s="3"/>
      <c r="AO4" s="3"/>
      <c r="AP4" s="3"/>
      <c r="AQ4" s="3"/>
      <c r="AR4" s="3"/>
      <c r="AS4" s="3"/>
      <c r="AT4" s="3"/>
      <c r="AU4" s="3"/>
    </row>
    <row r="5" spans="1:49" ht="18.75" customHeight="1" x14ac:dyDescent="0.2">
      <c r="B5" s="452" t="s">
        <v>496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</row>
    <row r="6" spans="1:49" ht="12.75" thickBot="1" x14ac:dyDescent="0.25"/>
    <row r="7" spans="1:49" ht="13.5" customHeight="1" thickBot="1" x14ac:dyDescent="0.25">
      <c r="A7" s="450" t="s">
        <v>346</v>
      </c>
      <c r="B7" s="462" t="s">
        <v>204</v>
      </c>
      <c r="C7" s="463"/>
      <c r="D7" s="464"/>
      <c r="E7" s="468" t="s">
        <v>203</v>
      </c>
      <c r="F7" s="475" t="s">
        <v>497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308"/>
      <c r="AP7" s="308"/>
      <c r="AQ7" s="308"/>
      <c r="AR7" s="308"/>
      <c r="AS7" s="308"/>
      <c r="AT7" s="308"/>
      <c r="AU7" s="308"/>
      <c r="AV7" s="455" t="s">
        <v>202</v>
      </c>
      <c r="AW7" s="455" t="s">
        <v>253</v>
      </c>
    </row>
    <row r="8" spans="1:49" ht="13.5" customHeight="1" x14ac:dyDescent="0.2">
      <c r="A8" s="451"/>
      <c r="B8" s="465"/>
      <c r="C8" s="466"/>
      <c r="D8" s="467"/>
      <c r="E8" s="469"/>
      <c r="F8" s="473" t="s">
        <v>750</v>
      </c>
      <c r="G8" s="473" t="s">
        <v>0</v>
      </c>
      <c r="H8" s="453" t="s">
        <v>743</v>
      </c>
      <c r="I8" s="453" t="s">
        <v>1</v>
      </c>
      <c r="J8" s="458" t="s">
        <v>719</v>
      </c>
      <c r="K8" s="261"/>
      <c r="L8" s="290"/>
      <c r="M8" s="290"/>
      <c r="N8" s="265"/>
      <c r="O8" s="491" t="s">
        <v>760</v>
      </c>
      <c r="P8" s="492"/>
      <c r="Q8" s="265"/>
      <c r="R8" s="265"/>
      <c r="S8" s="265"/>
      <c r="T8" s="453" t="s">
        <v>745</v>
      </c>
      <c r="U8" s="453" t="s">
        <v>154</v>
      </c>
      <c r="V8" s="458" t="s">
        <v>726</v>
      </c>
      <c r="W8" s="268"/>
      <c r="X8" s="268"/>
      <c r="Y8" s="268"/>
      <c r="Z8" s="268"/>
      <c r="AA8" s="268"/>
      <c r="AB8" s="268"/>
      <c r="AC8" s="458" t="s">
        <v>746</v>
      </c>
      <c r="AD8" s="458" t="s">
        <v>2</v>
      </c>
      <c r="AE8" s="458" t="s">
        <v>727</v>
      </c>
      <c r="AF8" s="263"/>
      <c r="AG8" s="263"/>
      <c r="AH8" s="263"/>
      <c r="AI8" s="292"/>
      <c r="AJ8" s="292"/>
      <c r="AK8" s="290"/>
      <c r="AL8" s="460" t="s">
        <v>537</v>
      </c>
      <c r="AM8" s="458" t="s">
        <v>747</v>
      </c>
      <c r="AN8" s="458" t="s">
        <v>3</v>
      </c>
      <c r="AO8" s="471" t="s">
        <v>749</v>
      </c>
      <c r="AP8" s="311"/>
      <c r="AQ8" s="263"/>
      <c r="AR8" s="263"/>
      <c r="AS8" s="292"/>
      <c r="AT8" s="292"/>
      <c r="AU8" s="318"/>
      <c r="AV8" s="456"/>
      <c r="AW8" s="456"/>
    </row>
    <row r="9" spans="1:49" ht="55.5" customHeight="1" thickBot="1" x14ac:dyDescent="0.25">
      <c r="A9" s="451"/>
      <c r="B9" s="465"/>
      <c r="C9" s="466"/>
      <c r="D9" s="467"/>
      <c r="E9" s="470"/>
      <c r="F9" s="474"/>
      <c r="G9" s="474"/>
      <c r="H9" s="454"/>
      <c r="I9" s="454"/>
      <c r="J9" s="459"/>
      <c r="K9" s="278" t="s">
        <v>752</v>
      </c>
      <c r="L9" s="291" t="s">
        <v>753</v>
      </c>
      <c r="M9" s="291" t="s">
        <v>732</v>
      </c>
      <c r="N9" s="291" t="s">
        <v>744</v>
      </c>
      <c r="O9" s="434" t="s">
        <v>761</v>
      </c>
      <c r="P9" s="434" t="s">
        <v>762</v>
      </c>
      <c r="Q9" s="266"/>
      <c r="R9" s="266"/>
      <c r="S9" s="266"/>
      <c r="T9" s="454"/>
      <c r="U9" s="454"/>
      <c r="V9" s="459"/>
      <c r="W9" s="291" t="s">
        <v>744</v>
      </c>
      <c r="X9" s="434" t="s">
        <v>760</v>
      </c>
      <c r="Y9" s="269"/>
      <c r="Z9" s="269"/>
      <c r="AA9" s="269"/>
      <c r="AB9" s="269"/>
      <c r="AC9" s="459"/>
      <c r="AD9" s="459"/>
      <c r="AE9" s="459"/>
      <c r="AF9" s="278" t="s">
        <v>732</v>
      </c>
      <c r="AG9" s="291" t="s">
        <v>744</v>
      </c>
      <c r="AH9" s="434" t="s">
        <v>760</v>
      </c>
      <c r="AI9" s="264"/>
      <c r="AJ9" s="264"/>
      <c r="AK9" s="264"/>
      <c r="AL9" s="461"/>
      <c r="AM9" s="459"/>
      <c r="AN9" s="459"/>
      <c r="AO9" s="472"/>
      <c r="AP9" s="291" t="s">
        <v>744</v>
      </c>
      <c r="AQ9" s="434" t="s">
        <v>760</v>
      </c>
      <c r="AR9" s="291"/>
      <c r="AS9" s="264"/>
      <c r="AT9" s="264"/>
      <c r="AU9" s="264"/>
      <c r="AV9" s="457"/>
      <c r="AW9" s="457"/>
    </row>
    <row r="10" spans="1:49" s="140" customFormat="1" ht="12.75" thickTop="1" thickBot="1" x14ac:dyDescent="0.25">
      <c r="A10" s="144">
        <v>1</v>
      </c>
      <c r="B10" s="497">
        <v>2</v>
      </c>
      <c r="C10" s="498"/>
      <c r="D10" s="499"/>
      <c r="E10" s="419">
        <v>3</v>
      </c>
      <c r="F10" s="296"/>
      <c r="G10" s="414">
        <v>4</v>
      </c>
      <c r="H10" s="296"/>
      <c r="I10" s="141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6</v>
      </c>
      <c r="V10" s="141"/>
      <c r="W10" s="141"/>
      <c r="X10" s="141"/>
      <c r="Y10" s="141"/>
      <c r="Z10" s="141"/>
      <c r="AA10" s="141"/>
      <c r="AB10" s="141"/>
      <c r="AC10" s="141"/>
      <c r="AD10" s="141">
        <v>7</v>
      </c>
      <c r="AE10" s="142"/>
      <c r="AF10" s="142"/>
      <c r="AG10" s="142"/>
      <c r="AH10" s="142"/>
      <c r="AI10" s="142"/>
      <c r="AJ10" s="142"/>
      <c r="AK10" s="142"/>
      <c r="AL10" s="142">
        <v>8</v>
      </c>
      <c r="AM10" s="142"/>
      <c r="AN10" s="141">
        <v>9</v>
      </c>
      <c r="AP10" s="142"/>
      <c r="AQ10" s="142"/>
      <c r="AR10" s="142"/>
      <c r="AS10" s="142"/>
      <c r="AT10" s="142"/>
      <c r="AU10" s="142"/>
      <c r="AV10" s="143" t="s">
        <v>748</v>
      </c>
      <c r="AW10" s="144">
        <v>10</v>
      </c>
    </row>
    <row r="11" spans="1:49" ht="13.5" thickTop="1" thickBot="1" x14ac:dyDescent="0.25">
      <c r="A11" s="112"/>
      <c r="B11" s="493"/>
      <c r="C11" s="494"/>
      <c r="D11" s="495"/>
      <c r="E11" s="5"/>
      <c r="F11" s="297"/>
      <c r="G11" s="415"/>
      <c r="H11" s="29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22"/>
      <c r="AF11" s="122"/>
      <c r="AG11" s="122"/>
      <c r="AH11" s="122"/>
      <c r="AI11" s="122"/>
      <c r="AJ11" s="122"/>
      <c r="AK11" s="122"/>
      <c r="AL11" s="122"/>
      <c r="AM11" s="122"/>
      <c r="AN11" s="4"/>
      <c r="AO11" s="295"/>
      <c r="AP11" s="122"/>
      <c r="AQ11" s="122"/>
      <c r="AR11" s="122"/>
      <c r="AS11" s="122"/>
      <c r="AT11" s="122"/>
      <c r="AU11" s="122"/>
      <c r="AV11" s="6"/>
      <c r="AW11" s="103"/>
    </row>
    <row r="12" spans="1:49" ht="13.5" customHeight="1" thickBot="1" x14ac:dyDescent="0.25">
      <c r="A12" s="104"/>
      <c r="B12" s="496" t="s">
        <v>4</v>
      </c>
      <c r="C12" s="486"/>
      <c r="D12" s="223" t="s">
        <v>212</v>
      </c>
      <c r="E12" s="420"/>
      <c r="F12" s="298">
        <v>14524436.82</v>
      </c>
      <c r="G12" s="416">
        <f>SUM(I12,U12,AD12,AL12,AN12)</f>
        <v>14506539</v>
      </c>
      <c r="H12" s="298">
        <f>SUM(H13:H19)</f>
        <v>14491075.82</v>
      </c>
      <c r="I12" s="7">
        <f>SUM(I13:I19)</f>
        <v>14473629</v>
      </c>
      <c r="J12" s="7">
        <f t="shared" ref="J12:AN12" si="0">SUM(J13:J19)</f>
        <v>-17447</v>
      </c>
      <c r="K12" s="7">
        <f t="shared" si="0"/>
        <v>-21200</v>
      </c>
      <c r="L12" s="7">
        <f t="shared" ref="L12" si="1">SUM(L13:L19)</f>
        <v>-230</v>
      </c>
      <c r="M12" s="7">
        <f t="shared" ref="M12" si="2">SUM(M13:M19)</f>
        <v>-1449</v>
      </c>
      <c r="N12" s="7">
        <f t="shared" si="0"/>
        <v>-295653</v>
      </c>
      <c r="O12" s="7">
        <f t="shared" si="0"/>
        <v>0</v>
      </c>
      <c r="P12" s="7">
        <f t="shared" si="0"/>
        <v>301085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ref="T12" si="3">SUM(T13:T19)</f>
        <v>0</v>
      </c>
      <c r="U12" s="7">
        <f t="shared" si="0"/>
        <v>0</v>
      </c>
      <c r="V12" s="7">
        <f t="shared" si="0"/>
        <v>0</v>
      </c>
      <c r="W12" s="7">
        <f t="shared" si="0"/>
        <v>0</v>
      </c>
      <c r="X12" s="7">
        <f t="shared" si="0"/>
        <v>0</v>
      </c>
      <c r="Y12" s="7">
        <f t="shared" si="0"/>
        <v>0</v>
      </c>
      <c r="Z12" s="7">
        <f t="shared" si="0"/>
        <v>0</v>
      </c>
      <c r="AA12" s="7">
        <f t="shared" si="0"/>
        <v>0</v>
      </c>
      <c r="AB12" s="7">
        <f t="shared" si="0"/>
        <v>0</v>
      </c>
      <c r="AC12" s="7">
        <f t="shared" ref="AC12" si="4">SUM(AC13:AC19)</f>
        <v>33361</v>
      </c>
      <c r="AD12" s="7">
        <f t="shared" si="0"/>
        <v>32910</v>
      </c>
      <c r="AE12" s="7">
        <f t="shared" si="0"/>
        <v>-451</v>
      </c>
      <c r="AF12" s="7">
        <f t="shared" si="0"/>
        <v>0</v>
      </c>
      <c r="AG12" s="7">
        <f t="shared" si="0"/>
        <v>0</v>
      </c>
      <c r="AH12" s="7">
        <f t="shared" si="0"/>
        <v>-451</v>
      </c>
      <c r="AI12" s="7">
        <f t="shared" si="0"/>
        <v>0</v>
      </c>
      <c r="AJ12" s="7">
        <f t="shared" si="0"/>
        <v>0</v>
      </c>
      <c r="AK12" s="7">
        <f t="shared" si="0"/>
        <v>0</v>
      </c>
      <c r="AL12" s="7">
        <f t="shared" si="0"/>
        <v>0</v>
      </c>
      <c r="AM12" s="7">
        <f t="shared" ref="AM12" si="5">SUM(AM13:AM19)</f>
        <v>0</v>
      </c>
      <c r="AN12" s="7">
        <f t="shared" si="0"/>
        <v>0</v>
      </c>
      <c r="AO12" s="319">
        <f t="shared" ref="AO12" si="6">SUM(AO13:AO19)</f>
        <v>0</v>
      </c>
      <c r="AP12" s="7">
        <f t="shared" ref="AP12:AU12" si="7">SUM(AP13:AP19)</f>
        <v>0</v>
      </c>
      <c r="AQ12" s="7">
        <f t="shared" si="7"/>
        <v>0</v>
      </c>
      <c r="AR12" s="7">
        <f t="shared" si="7"/>
        <v>0</v>
      </c>
      <c r="AS12" s="7">
        <f t="shared" si="7"/>
        <v>0</v>
      </c>
      <c r="AT12" s="7">
        <f t="shared" si="7"/>
        <v>0</v>
      </c>
      <c r="AU12" s="7">
        <f t="shared" si="7"/>
        <v>0</v>
      </c>
      <c r="AV12" s="8"/>
      <c r="AW12" s="104"/>
    </row>
    <row r="13" spans="1:49" ht="13.5" thickTop="1" x14ac:dyDescent="0.2">
      <c r="A13" s="217">
        <v>90000056357</v>
      </c>
      <c r="B13" s="235"/>
      <c r="C13" s="476" t="s">
        <v>5</v>
      </c>
      <c r="D13" s="477"/>
      <c r="E13" s="227" t="s">
        <v>240</v>
      </c>
      <c r="F13" s="299">
        <v>500151.82</v>
      </c>
      <c r="G13" s="97">
        <f t="shared" ref="G13:G18" si="8">SUM(I13,U13,AD13,AL13,AN13)</f>
        <v>500786</v>
      </c>
      <c r="H13" s="299">
        <f>466790.82</f>
        <v>466790.82</v>
      </c>
      <c r="I13" s="97">
        <f>H13+0.18+J13</f>
        <v>467876</v>
      </c>
      <c r="J13" s="97">
        <f>SUM(K13:S13)</f>
        <v>1085</v>
      </c>
      <c r="K13" s="97"/>
      <c r="L13" s="97"/>
      <c r="M13" s="97"/>
      <c r="N13" s="97"/>
      <c r="O13" s="97"/>
      <c r="P13" s="97">
        <v>1085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>
        <f>33361</f>
        <v>33361</v>
      </c>
      <c r="AD13" s="97">
        <f>AE13+AC13</f>
        <v>32910</v>
      </c>
      <c r="AE13" s="125">
        <f>SUM(AF13:AK13)</f>
        <v>-451</v>
      </c>
      <c r="AF13" s="125"/>
      <c r="AG13" s="125"/>
      <c r="AH13" s="125">
        <f>-451</f>
        <v>-451</v>
      </c>
      <c r="AI13" s="125"/>
      <c r="AJ13" s="125"/>
      <c r="AK13" s="125"/>
      <c r="AL13" s="125"/>
      <c r="AM13" s="125"/>
      <c r="AN13" s="97"/>
      <c r="AO13" s="313"/>
      <c r="AP13" s="125"/>
      <c r="AQ13" s="125"/>
      <c r="AR13" s="125"/>
      <c r="AS13" s="125"/>
      <c r="AT13" s="125"/>
      <c r="AU13" s="125"/>
      <c r="AV13" s="98" t="s">
        <v>373</v>
      </c>
      <c r="AW13" s="105"/>
    </row>
    <row r="14" spans="1:49" s="216" customFormat="1" ht="24" x14ac:dyDescent="0.2">
      <c r="A14" s="222"/>
      <c r="C14" s="220"/>
      <c r="D14" s="221"/>
      <c r="E14" s="227" t="s">
        <v>558</v>
      </c>
      <c r="F14" s="299">
        <v>156625</v>
      </c>
      <c r="G14" s="97">
        <f t="shared" si="8"/>
        <v>168845</v>
      </c>
      <c r="H14" s="299">
        <f>156625</f>
        <v>156625</v>
      </c>
      <c r="I14" s="97">
        <f t="shared" ref="I14:I24" si="9">H14+J14</f>
        <v>168845</v>
      </c>
      <c r="J14" s="97">
        <f t="shared" ref="J14:J24" si="10">SUM(K14:S14)</f>
        <v>12220</v>
      </c>
      <c r="K14" s="97">
        <v>8000</v>
      </c>
      <c r="L14" s="97"/>
      <c r="M14" s="97"/>
      <c r="N14" s="97">
        <f>4220</f>
        <v>4220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>
        <f t="shared" ref="AD14:AD18" si="11">AE14+AC14</f>
        <v>0</v>
      </c>
      <c r="AE14" s="125">
        <f t="shared" ref="AE14:AE18" si="12">SUM(AF14:AK14)</f>
        <v>0</v>
      </c>
      <c r="AF14" s="125"/>
      <c r="AG14" s="125"/>
      <c r="AH14" s="125"/>
      <c r="AI14" s="125"/>
      <c r="AJ14" s="125"/>
      <c r="AK14" s="125"/>
      <c r="AL14" s="125"/>
      <c r="AM14" s="125"/>
      <c r="AN14" s="97"/>
      <c r="AO14" s="313"/>
      <c r="AP14" s="125"/>
      <c r="AQ14" s="125"/>
      <c r="AR14" s="125"/>
      <c r="AS14" s="125"/>
      <c r="AT14" s="125"/>
      <c r="AU14" s="125"/>
      <c r="AV14" s="98" t="s">
        <v>621</v>
      </c>
      <c r="AW14" s="105"/>
    </row>
    <row r="15" spans="1:49" ht="24" x14ac:dyDescent="0.2">
      <c r="A15" s="167"/>
      <c r="B15" s="119"/>
      <c r="C15" s="161"/>
      <c r="D15" s="162"/>
      <c r="E15" s="227" t="s">
        <v>559</v>
      </c>
      <c r="F15" s="299">
        <v>499100</v>
      </c>
      <c r="G15" s="97">
        <f t="shared" si="8"/>
        <v>499100</v>
      </c>
      <c r="H15" s="299">
        <f>499100</f>
        <v>499100</v>
      </c>
      <c r="I15" s="97">
        <f t="shared" si="9"/>
        <v>499100</v>
      </c>
      <c r="J15" s="97">
        <f t="shared" si="10"/>
        <v>0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>
        <f t="shared" si="11"/>
        <v>0</v>
      </c>
      <c r="AE15" s="125">
        <f t="shared" si="12"/>
        <v>0</v>
      </c>
      <c r="AF15" s="125"/>
      <c r="AG15" s="125"/>
      <c r="AH15" s="125"/>
      <c r="AI15" s="125"/>
      <c r="AJ15" s="125"/>
      <c r="AK15" s="125"/>
      <c r="AL15" s="125"/>
      <c r="AM15" s="125"/>
      <c r="AN15" s="97"/>
      <c r="AO15" s="313"/>
      <c r="AP15" s="125"/>
      <c r="AQ15" s="125"/>
      <c r="AR15" s="125"/>
      <c r="AS15" s="125"/>
      <c r="AT15" s="125"/>
      <c r="AU15" s="125"/>
      <c r="AV15" s="98" t="s">
        <v>612</v>
      </c>
      <c r="AW15" s="105" t="s">
        <v>585</v>
      </c>
    </row>
    <row r="16" spans="1:49" ht="36" x14ac:dyDescent="0.2">
      <c r="A16" s="167"/>
      <c r="B16" s="119"/>
      <c r="C16" s="161"/>
      <c r="D16" s="162"/>
      <c r="E16" s="227" t="s">
        <v>302</v>
      </c>
      <c r="F16" s="299">
        <v>572194</v>
      </c>
      <c r="G16" s="97">
        <f t="shared" si="8"/>
        <v>572194</v>
      </c>
      <c r="H16" s="299">
        <f>572194</f>
        <v>572194</v>
      </c>
      <c r="I16" s="97">
        <f t="shared" si="9"/>
        <v>572194</v>
      </c>
      <c r="J16" s="97">
        <f t="shared" si="10"/>
        <v>0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>
        <f t="shared" si="11"/>
        <v>0</v>
      </c>
      <c r="AE16" s="125">
        <f t="shared" si="12"/>
        <v>0</v>
      </c>
      <c r="AF16" s="125"/>
      <c r="AG16" s="125"/>
      <c r="AH16" s="125"/>
      <c r="AI16" s="125"/>
      <c r="AJ16" s="125"/>
      <c r="AK16" s="125"/>
      <c r="AL16" s="125"/>
      <c r="AM16" s="125"/>
      <c r="AN16" s="97"/>
      <c r="AO16" s="313"/>
      <c r="AP16" s="125"/>
      <c r="AQ16" s="125"/>
      <c r="AR16" s="125"/>
      <c r="AS16" s="125"/>
      <c r="AT16" s="125"/>
      <c r="AU16" s="125"/>
      <c r="AV16" s="98" t="s">
        <v>669</v>
      </c>
      <c r="AW16" s="105"/>
    </row>
    <row r="17" spans="1:49" s="216" customFormat="1" ht="24" x14ac:dyDescent="0.2">
      <c r="A17" s="167"/>
      <c r="B17" s="119"/>
      <c r="C17" s="214"/>
      <c r="D17" s="215"/>
      <c r="E17" s="227" t="s">
        <v>580</v>
      </c>
      <c r="F17" s="299">
        <v>2288602</v>
      </c>
      <c r="G17" s="97">
        <f t="shared" si="8"/>
        <v>2288602</v>
      </c>
      <c r="H17" s="299">
        <f>2288602</f>
        <v>2288602</v>
      </c>
      <c r="I17" s="97">
        <f t="shared" si="9"/>
        <v>2288602</v>
      </c>
      <c r="J17" s="97">
        <f t="shared" si="10"/>
        <v>0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>
        <f t="shared" si="11"/>
        <v>0</v>
      </c>
      <c r="AE17" s="125">
        <f t="shared" si="12"/>
        <v>0</v>
      </c>
      <c r="AF17" s="125"/>
      <c r="AG17" s="125"/>
      <c r="AH17" s="125"/>
      <c r="AI17" s="125"/>
      <c r="AJ17" s="125"/>
      <c r="AK17" s="125"/>
      <c r="AL17" s="125"/>
      <c r="AM17" s="125"/>
      <c r="AN17" s="97"/>
      <c r="AO17" s="313"/>
      <c r="AP17" s="125"/>
      <c r="AQ17" s="125"/>
      <c r="AR17" s="125"/>
      <c r="AS17" s="125"/>
      <c r="AT17" s="125"/>
      <c r="AU17" s="125"/>
      <c r="AV17" s="98" t="s">
        <v>579</v>
      </c>
      <c r="AW17" s="105" t="s">
        <v>369</v>
      </c>
    </row>
    <row r="18" spans="1:49" s="216" customFormat="1" ht="36" x14ac:dyDescent="0.2">
      <c r="A18" s="167"/>
      <c r="B18" s="119"/>
      <c r="C18" s="214"/>
      <c r="D18" s="215"/>
      <c r="E18" s="227" t="s">
        <v>581</v>
      </c>
      <c r="F18" s="300">
        <v>4000</v>
      </c>
      <c r="G18" s="84">
        <f t="shared" si="8"/>
        <v>4000</v>
      </c>
      <c r="H18" s="300">
        <f>4000</f>
        <v>4000</v>
      </c>
      <c r="I18" s="84">
        <f t="shared" si="9"/>
        <v>4000</v>
      </c>
      <c r="J18" s="84">
        <f t="shared" si="10"/>
        <v>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97">
        <f t="shared" si="11"/>
        <v>0</v>
      </c>
      <c r="AE18" s="125">
        <f t="shared" si="12"/>
        <v>0</v>
      </c>
      <c r="AF18" s="124"/>
      <c r="AG18" s="124"/>
      <c r="AH18" s="124"/>
      <c r="AI18" s="124"/>
      <c r="AJ18" s="124"/>
      <c r="AK18" s="124"/>
      <c r="AL18" s="124"/>
      <c r="AM18" s="124"/>
      <c r="AN18" s="84"/>
      <c r="AO18" s="314"/>
      <c r="AP18" s="124"/>
      <c r="AQ18" s="124"/>
      <c r="AR18" s="124"/>
      <c r="AS18" s="124"/>
      <c r="AT18" s="124"/>
      <c r="AU18" s="124"/>
      <c r="AV18" s="85" t="s">
        <v>374</v>
      </c>
      <c r="AW18" s="106" t="s">
        <v>369</v>
      </c>
    </row>
    <row r="19" spans="1:49" ht="12.75" x14ac:dyDescent="0.2">
      <c r="A19" s="167"/>
      <c r="B19" s="119"/>
      <c r="C19" s="447" t="s">
        <v>144</v>
      </c>
      <c r="D19" s="448"/>
      <c r="E19" s="227"/>
      <c r="F19" s="299">
        <v>10503764</v>
      </c>
      <c r="G19" s="97">
        <f>SUM(I19:AN19)</f>
        <v>10411508</v>
      </c>
      <c r="H19" s="299">
        <f>SUM(H20:H24)</f>
        <v>10503764</v>
      </c>
      <c r="I19" s="97">
        <f>H19+J19</f>
        <v>10473012</v>
      </c>
      <c r="J19" s="97">
        <f t="shared" ref="J19:AN19" si="13">SUM(J20:J24)</f>
        <v>-30752</v>
      </c>
      <c r="K19" s="97">
        <f t="shared" si="13"/>
        <v>-29200</v>
      </c>
      <c r="L19" s="97">
        <f t="shared" ref="L19" si="14">SUM(L20:L24)</f>
        <v>-230</v>
      </c>
      <c r="M19" s="97">
        <f t="shared" ref="M19" si="15">SUM(M20:M24)</f>
        <v>-1449</v>
      </c>
      <c r="N19" s="97">
        <f t="shared" si="13"/>
        <v>-299873</v>
      </c>
      <c r="O19" s="97">
        <f t="shared" si="13"/>
        <v>0</v>
      </c>
      <c r="P19" s="97">
        <f t="shared" si="13"/>
        <v>300000</v>
      </c>
      <c r="Q19" s="97">
        <f t="shared" si="13"/>
        <v>0</v>
      </c>
      <c r="R19" s="97">
        <f t="shared" si="13"/>
        <v>0</v>
      </c>
      <c r="S19" s="97">
        <f t="shared" si="13"/>
        <v>0</v>
      </c>
      <c r="T19" s="97">
        <f t="shared" ref="T19" si="16">SUM(T20:T24)</f>
        <v>0</v>
      </c>
      <c r="U19" s="97">
        <f t="shared" si="13"/>
        <v>0</v>
      </c>
      <c r="V19" s="97">
        <f t="shared" si="13"/>
        <v>0</v>
      </c>
      <c r="W19" s="97">
        <f t="shared" si="13"/>
        <v>0</v>
      </c>
      <c r="X19" s="97">
        <f t="shared" si="13"/>
        <v>0</v>
      </c>
      <c r="Y19" s="97">
        <f t="shared" si="13"/>
        <v>0</v>
      </c>
      <c r="Z19" s="97">
        <f t="shared" si="13"/>
        <v>0</v>
      </c>
      <c r="AA19" s="97">
        <f t="shared" si="13"/>
        <v>0</v>
      </c>
      <c r="AB19" s="97">
        <f t="shared" si="13"/>
        <v>0</v>
      </c>
      <c r="AC19" s="97">
        <f t="shared" ref="AC19" si="17">SUM(AC20:AC24)</f>
        <v>0</v>
      </c>
      <c r="AD19" s="97">
        <f t="shared" si="13"/>
        <v>0</v>
      </c>
      <c r="AE19" s="125">
        <f t="shared" si="13"/>
        <v>0</v>
      </c>
      <c r="AF19" s="125">
        <f t="shared" si="13"/>
        <v>0</v>
      </c>
      <c r="AG19" s="125">
        <f t="shared" si="13"/>
        <v>0</v>
      </c>
      <c r="AH19" s="125">
        <f t="shared" si="13"/>
        <v>0</v>
      </c>
      <c r="AI19" s="125">
        <f t="shared" si="13"/>
        <v>0</v>
      </c>
      <c r="AJ19" s="125">
        <f t="shared" si="13"/>
        <v>0</v>
      </c>
      <c r="AK19" s="125">
        <f t="shared" si="13"/>
        <v>0</v>
      </c>
      <c r="AL19" s="125">
        <f t="shared" si="13"/>
        <v>0</v>
      </c>
      <c r="AM19" s="125">
        <f t="shared" ref="AM19" si="18">SUM(AM20:AM24)</f>
        <v>0</v>
      </c>
      <c r="AN19" s="97">
        <f t="shared" si="13"/>
        <v>0</v>
      </c>
      <c r="AO19" s="313">
        <f t="shared" ref="AO19" si="19">SUM(AO20:AO24)</f>
        <v>0</v>
      </c>
      <c r="AP19" s="125">
        <f t="shared" ref="AP19:AU19" si="20">SUM(AP20:AP24)</f>
        <v>0</v>
      </c>
      <c r="AQ19" s="125">
        <f t="shared" si="20"/>
        <v>0</v>
      </c>
      <c r="AR19" s="125">
        <f t="shared" si="20"/>
        <v>0</v>
      </c>
      <c r="AS19" s="125">
        <f t="shared" si="20"/>
        <v>0</v>
      </c>
      <c r="AT19" s="125">
        <f t="shared" si="20"/>
        <v>0</v>
      </c>
      <c r="AU19" s="125">
        <f t="shared" si="20"/>
        <v>0</v>
      </c>
      <c r="AV19" s="98"/>
      <c r="AW19" s="105"/>
    </row>
    <row r="20" spans="1:49" ht="12.75" x14ac:dyDescent="0.2">
      <c r="A20" s="167"/>
      <c r="B20" s="119"/>
      <c r="C20" s="228"/>
      <c r="D20" s="230"/>
      <c r="E20" s="227" t="s">
        <v>145</v>
      </c>
      <c r="F20" s="299">
        <v>341490</v>
      </c>
      <c r="G20" s="97">
        <f>SUM(I20,U20,AD20,AL20,AN20)</f>
        <v>341490</v>
      </c>
      <c r="H20" s="299">
        <f>341490</f>
        <v>341490</v>
      </c>
      <c r="I20" s="130">
        <f t="shared" si="9"/>
        <v>341490</v>
      </c>
      <c r="J20" s="130">
        <f t="shared" si="10"/>
        <v>0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97"/>
      <c r="AE20" s="125"/>
      <c r="AF20" s="131"/>
      <c r="AG20" s="131"/>
      <c r="AH20" s="131"/>
      <c r="AI20" s="131"/>
      <c r="AJ20" s="131"/>
      <c r="AK20" s="131"/>
      <c r="AL20" s="131"/>
      <c r="AM20" s="131"/>
      <c r="AN20" s="130"/>
      <c r="AO20" s="312"/>
      <c r="AP20" s="131"/>
      <c r="AQ20" s="131"/>
      <c r="AR20" s="131"/>
      <c r="AS20" s="131"/>
      <c r="AT20" s="131"/>
      <c r="AU20" s="131"/>
      <c r="AV20" s="98" t="s">
        <v>656</v>
      </c>
      <c r="AW20" s="105"/>
    </row>
    <row r="21" spans="1:49" ht="12.75" x14ac:dyDescent="0.2">
      <c r="A21" s="167"/>
      <c r="B21" s="119"/>
      <c r="C21" s="228"/>
      <c r="D21" s="230"/>
      <c r="E21" s="227" t="s">
        <v>241</v>
      </c>
      <c r="F21" s="299">
        <v>735764</v>
      </c>
      <c r="G21" s="97">
        <f>SUM(I21,U21,AD21,AL21,AN21)</f>
        <v>735764</v>
      </c>
      <c r="H21" s="299">
        <f>735764</f>
        <v>735764</v>
      </c>
      <c r="I21" s="130">
        <f t="shared" si="9"/>
        <v>735764</v>
      </c>
      <c r="J21" s="130">
        <f t="shared" si="10"/>
        <v>0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97"/>
      <c r="AE21" s="125"/>
      <c r="AF21" s="131"/>
      <c r="AG21" s="131"/>
      <c r="AH21" s="131"/>
      <c r="AI21" s="131"/>
      <c r="AJ21" s="131"/>
      <c r="AK21" s="131"/>
      <c r="AL21" s="131"/>
      <c r="AM21" s="131"/>
      <c r="AN21" s="130"/>
      <c r="AO21" s="312"/>
      <c r="AP21" s="131"/>
      <c r="AQ21" s="131"/>
      <c r="AR21" s="131"/>
      <c r="AS21" s="131"/>
      <c r="AT21" s="131"/>
      <c r="AU21" s="131"/>
      <c r="AV21" s="98" t="s">
        <v>657</v>
      </c>
      <c r="AW21" s="105"/>
    </row>
    <row r="22" spans="1:49" ht="24" x14ac:dyDescent="0.2">
      <c r="A22" s="167"/>
      <c r="B22" s="119"/>
      <c r="C22" s="228"/>
      <c r="D22" s="230"/>
      <c r="E22" s="227" t="s">
        <v>242</v>
      </c>
      <c r="F22" s="299">
        <v>8926510</v>
      </c>
      <c r="G22" s="97">
        <f>SUM(I22,U22,AD22,AL22,AN22)</f>
        <v>8926510</v>
      </c>
      <c r="H22" s="299">
        <f>8926510</f>
        <v>8926510</v>
      </c>
      <c r="I22" s="130">
        <f t="shared" si="9"/>
        <v>8926510</v>
      </c>
      <c r="J22" s="130">
        <f t="shared" si="10"/>
        <v>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97"/>
      <c r="AE22" s="125"/>
      <c r="AF22" s="131"/>
      <c r="AG22" s="131"/>
      <c r="AH22" s="131"/>
      <c r="AI22" s="131"/>
      <c r="AJ22" s="131"/>
      <c r="AK22" s="131"/>
      <c r="AL22" s="131"/>
      <c r="AM22" s="131"/>
      <c r="AN22" s="130"/>
      <c r="AO22" s="312"/>
      <c r="AP22" s="131"/>
      <c r="AQ22" s="131"/>
      <c r="AR22" s="131"/>
      <c r="AS22" s="131"/>
      <c r="AT22" s="131"/>
      <c r="AU22" s="131"/>
      <c r="AV22" s="98" t="s">
        <v>658</v>
      </c>
      <c r="AW22" s="105"/>
    </row>
    <row r="23" spans="1:49" s="293" customFormat="1" ht="24" x14ac:dyDescent="0.2">
      <c r="A23" s="167"/>
      <c r="B23" s="119"/>
      <c r="C23" s="294"/>
      <c r="D23" s="230"/>
      <c r="E23" s="227" t="s">
        <v>243</v>
      </c>
      <c r="F23" s="299">
        <v>500000</v>
      </c>
      <c r="G23" s="97">
        <f>SUM(I23,U23,AD23,AL23,AN23)</f>
        <v>466324</v>
      </c>
      <c r="H23" s="299">
        <f>500000</f>
        <v>500000</v>
      </c>
      <c r="I23" s="97">
        <f t="shared" si="9"/>
        <v>466324</v>
      </c>
      <c r="J23" s="97">
        <f t="shared" si="10"/>
        <v>-33676</v>
      </c>
      <c r="K23" s="97">
        <v>-29200</v>
      </c>
      <c r="L23" s="97">
        <v>-230</v>
      </c>
      <c r="M23" s="97">
        <f>23051-24500</f>
        <v>-1449</v>
      </c>
      <c r="N23" s="97">
        <f>-302797</f>
        <v>-302797</v>
      </c>
      <c r="O23" s="97"/>
      <c r="P23" s="97">
        <f>300000</f>
        <v>300000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25"/>
      <c r="AF23" s="125"/>
      <c r="AG23" s="125"/>
      <c r="AH23" s="125"/>
      <c r="AI23" s="125"/>
      <c r="AJ23" s="125"/>
      <c r="AK23" s="125"/>
      <c r="AL23" s="125"/>
      <c r="AM23" s="125"/>
      <c r="AN23" s="97"/>
      <c r="AO23" s="313"/>
      <c r="AP23" s="125"/>
      <c r="AQ23" s="125"/>
      <c r="AR23" s="125"/>
      <c r="AS23" s="125"/>
      <c r="AT23" s="125"/>
      <c r="AU23" s="125"/>
      <c r="AV23" s="98" t="s">
        <v>659</v>
      </c>
      <c r="AW23" s="105"/>
    </row>
    <row r="24" spans="1:49" s="293" customFormat="1" ht="24" x14ac:dyDescent="0.2">
      <c r="A24" s="147"/>
      <c r="B24" s="206"/>
      <c r="C24" s="444"/>
      <c r="D24" s="230"/>
      <c r="E24" s="227" t="s">
        <v>733</v>
      </c>
      <c r="F24" s="299"/>
      <c r="G24" s="97">
        <f>SUM(I24,U24,AD24,AL24,AN24)</f>
        <v>2924</v>
      </c>
      <c r="H24" s="299"/>
      <c r="I24" s="97">
        <f t="shared" si="9"/>
        <v>2924</v>
      </c>
      <c r="J24" s="97">
        <f t="shared" si="10"/>
        <v>2924</v>
      </c>
      <c r="K24" s="97"/>
      <c r="L24" s="97"/>
      <c r="M24" s="97"/>
      <c r="N24" s="97">
        <v>2924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25"/>
      <c r="AF24" s="125"/>
      <c r="AG24" s="125"/>
      <c r="AH24" s="125"/>
      <c r="AI24" s="125"/>
      <c r="AJ24" s="125"/>
      <c r="AK24" s="125"/>
      <c r="AL24" s="125"/>
      <c r="AM24" s="125"/>
      <c r="AN24" s="97"/>
      <c r="AO24" s="313"/>
      <c r="AP24" s="125"/>
      <c r="AQ24" s="125"/>
      <c r="AR24" s="125"/>
      <c r="AS24" s="125"/>
      <c r="AT24" s="125"/>
      <c r="AU24" s="125"/>
      <c r="AV24" s="98"/>
      <c r="AW24" s="105"/>
    </row>
    <row r="25" spans="1:49" ht="12.75" thickBot="1" x14ac:dyDescent="0.25">
      <c r="A25" s="147"/>
      <c r="B25" s="145"/>
      <c r="C25" s="500"/>
      <c r="D25" s="501"/>
      <c r="E25" s="422"/>
      <c r="F25" s="300"/>
      <c r="G25" s="84"/>
      <c r="H25" s="300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124"/>
      <c r="AF25" s="124"/>
      <c r="AG25" s="124"/>
      <c r="AH25" s="124"/>
      <c r="AI25" s="124"/>
      <c r="AJ25" s="124"/>
      <c r="AK25" s="124"/>
      <c r="AL25" s="124"/>
      <c r="AM25" s="124"/>
      <c r="AN25" s="84"/>
      <c r="AO25" s="314"/>
      <c r="AP25" s="124"/>
      <c r="AQ25" s="124"/>
      <c r="AR25" s="124"/>
      <c r="AS25" s="124"/>
      <c r="AT25" s="124"/>
      <c r="AU25" s="124"/>
      <c r="AV25" s="95"/>
      <c r="AW25" s="106"/>
    </row>
    <row r="26" spans="1:49" ht="24.75" thickBot="1" x14ac:dyDescent="0.25">
      <c r="A26" s="226"/>
      <c r="B26" s="486" t="s">
        <v>6</v>
      </c>
      <c r="C26" s="486"/>
      <c r="D26" s="223" t="s">
        <v>213</v>
      </c>
      <c r="E26" s="423"/>
      <c r="F26" s="301">
        <v>1963264.0055555555</v>
      </c>
      <c r="G26" s="417">
        <f t="shared" ref="G26:G34" si="21">SUM(I26,U26,AD26,AL26,AN26)</f>
        <v>1963346</v>
      </c>
      <c r="H26" s="301">
        <f>SUM(H27:H33)</f>
        <v>1819395</v>
      </c>
      <c r="I26" s="7">
        <f>SUM(I27:I33)</f>
        <v>1819395</v>
      </c>
      <c r="J26" s="7">
        <f t="shared" ref="J26:AL26" si="22">SUM(J27:J33)</f>
        <v>0</v>
      </c>
      <c r="K26" s="7">
        <f t="shared" si="22"/>
        <v>0</v>
      </c>
      <c r="L26" s="7">
        <f t="shared" ref="L26" si="23">SUM(L27:L33)</f>
        <v>0</v>
      </c>
      <c r="M26" s="7">
        <f t="shared" ref="M26" si="24">SUM(M27:M33)</f>
        <v>0</v>
      </c>
      <c r="N26" s="7">
        <f t="shared" si="22"/>
        <v>0</v>
      </c>
      <c r="O26" s="7">
        <f t="shared" si="22"/>
        <v>0</v>
      </c>
      <c r="P26" s="7">
        <f t="shared" si="22"/>
        <v>0</v>
      </c>
      <c r="Q26" s="7">
        <f t="shared" si="22"/>
        <v>0</v>
      </c>
      <c r="R26" s="7">
        <f t="shared" si="22"/>
        <v>0</v>
      </c>
      <c r="S26" s="7">
        <f t="shared" si="22"/>
        <v>0</v>
      </c>
      <c r="T26" s="7">
        <f t="shared" ref="T26" si="25">SUM(T27:T33)</f>
        <v>0</v>
      </c>
      <c r="U26" s="7">
        <f t="shared" si="22"/>
        <v>0</v>
      </c>
      <c r="V26" s="7">
        <f t="shared" si="22"/>
        <v>0</v>
      </c>
      <c r="W26" s="7">
        <f t="shared" si="22"/>
        <v>0</v>
      </c>
      <c r="X26" s="7">
        <f t="shared" si="22"/>
        <v>0</v>
      </c>
      <c r="Y26" s="7">
        <f t="shared" si="22"/>
        <v>0</v>
      </c>
      <c r="Z26" s="7">
        <f t="shared" si="22"/>
        <v>0</v>
      </c>
      <c r="AA26" s="7">
        <f t="shared" si="22"/>
        <v>0</v>
      </c>
      <c r="AB26" s="7">
        <f t="shared" si="22"/>
        <v>0</v>
      </c>
      <c r="AC26" s="7">
        <f t="shared" ref="AC26" si="26">SUM(AC27:AC33)</f>
        <v>142843</v>
      </c>
      <c r="AD26" s="7">
        <f t="shared" si="22"/>
        <v>142925</v>
      </c>
      <c r="AE26" s="7">
        <f t="shared" si="22"/>
        <v>82</v>
      </c>
      <c r="AF26" s="7">
        <f t="shared" si="22"/>
        <v>0</v>
      </c>
      <c r="AG26" s="7">
        <f t="shared" si="22"/>
        <v>2</v>
      </c>
      <c r="AH26" s="7">
        <f t="shared" si="22"/>
        <v>80</v>
      </c>
      <c r="AI26" s="7">
        <f t="shared" si="22"/>
        <v>0</v>
      </c>
      <c r="AJ26" s="7">
        <f t="shared" si="22"/>
        <v>0</v>
      </c>
      <c r="AK26" s="7">
        <f t="shared" si="22"/>
        <v>0</v>
      </c>
      <c r="AL26" s="7">
        <f t="shared" si="22"/>
        <v>0</v>
      </c>
      <c r="AM26" s="123">
        <f t="shared" ref="AM26" si="27">SUM(AM27:AM33)</f>
        <v>1026</v>
      </c>
      <c r="AN26" s="7">
        <f>SUM(AN27:AN33)</f>
        <v>1026</v>
      </c>
      <c r="AO26" s="309">
        <f t="shared" ref="AO26" si="28">SUM(AO27:AO33)</f>
        <v>0</v>
      </c>
      <c r="AP26" s="7">
        <f t="shared" ref="AP26:AU26" si="29">SUM(AP27:AP33)</f>
        <v>0</v>
      </c>
      <c r="AQ26" s="7">
        <f t="shared" si="29"/>
        <v>0</v>
      </c>
      <c r="AR26" s="7">
        <f t="shared" si="29"/>
        <v>0</v>
      </c>
      <c r="AS26" s="7">
        <f t="shared" si="29"/>
        <v>0</v>
      </c>
      <c r="AT26" s="7">
        <f t="shared" si="29"/>
        <v>0</v>
      </c>
      <c r="AU26" s="7">
        <f t="shared" si="29"/>
        <v>0</v>
      </c>
      <c r="AV26" s="11"/>
      <c r="AW26" s="107"/>
    </row>
    <row r="27" spans="1:49" ht="13.5" thickTop="1" x14ac:dyDescent="0.2">
      <c r="A27" s="238">
        <v>90000056357</v>
      </c>
      <c r="B27" s="225"/>
      <c r="C27" s="476" t="s">
        <v>5</v>
      </c>
      <c r="D27" s="477"/>
      <c r="E27" s="227" t="s">
        <v>240</v>
      </c>
      <c r="F27" s="299">
        <v>194860.00555555554</v>
      </c>
      <c r="G27" s="97">
        <f t="shared" si="21"/>
        <v>194860</v>
      </c>
      <c r="H27" s="299">
        <f>194860</f>
        <v>194860</v>
      </c>
      <c r="I27" s="97">
        <f t="shared" ref="I27:I32" si="30">H27+J27</f>
        <v>194860</v>
      </c>
      <c r="J27" s="97">
        <f t="shared" ref="J27:J32" si="31">SUM(K27:S27)</f>
        <v>0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>
        <f>AE27+AC27</f>
        <v>0</v>
      </c>
      <c r="AE27" s="125">
        <f>SUM(AF27:AK27)</f>
        <v>0</v>
      </c>
      <c r="AF27" s="125"/>
      <c r="AG27" s="125"/>
      <c r="AH27" s="125"/>
      <c r="AI27" s="125"/>
      <c r="AJ27" s="125"/>
      <c r="AK27" s="125"/>
      <c r="AL27" s="125"/>
      <c r="AM27" s="125"/>
      <c r="AN27" s="97"/>
      <c r="AO27" s="313"/>
      <c r="AP27" s="125"/>
      <c r="AQ27" s="125"/>
      <c r="AR27" s="125"/>
      <c r="AS27" s="125"/>
      <c r="AT27" s="125"/>
      <c r="AU27" s="125"/>
      <c r="AV27" s="98" t="s">
        <v>375</v>
      </c>
      <c r="AW27" s="105"/>
    </row>
    <row r="28" spans="1:49" s="216" customFormat="1" ht="24" x14ac:dyDescent="0.2">
      <c r="A28" s="224"/>
      <c r="C28" s="220"/>
      <c r="D28" s="221"/>
      <c r="E28" s="227" t="s">
        <v>244</v>
      </c>
      <c r="F28" s="299">
        <v>92985</v>
      </c>
      <c r="G28" s="97">
        <f t="shared" si="21"/>
        <v>93065</v>
      </c>
      <c r="H28" s="299">
        <v>0</v>
      </c>
      <c r="I28" s="97">
        <f t="shared" si="30"/>
        <v>0</v>
      </c>
      <c r="J28" s="97">
        <f t="shared" si="31"/>
        <v>0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>
        <f>92789</f>
        <v>92789</v>
      </c>
      <c r="AD28" s="97">
        <f>AE28+AC28</f>
        <v>92869</v>
      </c>
      <c r="AE28" s="125">
        <f>SUM(AF28:AK28)</f>
        <v>80</v>
      </c>
      <c r="AF28" s="125"/>
      <c r="AG28" s="125"/>
      <c r="AH28" s="125">
        <f>80</f>
        <v>80</v>
      </c>
      <c r="AI28" s="125"/>
      <c r="AJ28" s="125"/>
      <c r="AK28" s="125"/>
      <c r="AL28" s="125"/>
      <c r="AM28" s="125">
        <v>196</v>
      </c>
      <c r="AN28" s="97">
        <f>AM28+AO28</f>
        <v>196</v>
      </c>
      <c r="AO28" s="313">
        <f>SUM(AP28:AU28)</f>
        <v>0</v>
      </c>
      <c r="AP28" s="125"/>
      <c r="AQ28" s="125"/>
      <c r="AR28" s="125"/>
      <c r="AS28" s="125"/>
      <c r="AT28" s="125"/>
      <c r="AU28" s="125"/>
      <c r="AV28" s="98" t="s">
        <v>376</v>
      </c>
      <c r="AW28" s="105"/>
    </row>
    <row r="29" spans="1:49" ht="24" x14ac:dyDescent="0.2">
      <c r="A29" s="167"/>
      <c r="B29" s="119"/>
      <c r="C29" s="212"/>
      <c r="D29" s="213"/>
      <c r="E29" s="227" t="s">
        <v>560</v>
      </c>
      <c r="F29" s="300">
        <v>37150</v>
      </c>
      <c r="G29" s="84">
        <f t="shared" si="21"/>
        <v>37150</v>
      </c>
      <c r="H29" s="300">
        <f>37150</f>
        <v>37150</v>
      </c>
      <c r="I29" s="97">
        <f t="shared" si="30"/>
        <v>37150</v>
      </c>
      <c r="J29" s="84">
        <f t="shared" si="31"/>
        <v>0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>
        <f t="shared" ref="AD29:AD30" si="32">AE29+AC29</f>
        <v>0</v>
      </c>
      <c r="AE29" s="124">
        <f t="shared" ref="AE29:AE30" si="33">SUM(AF29:AK29)</f>
        <v>0</v>
      </c>
      <c r="AF29" s="124"/>
      <c r="AG29" s="124"/>
      <c r="AH29" s="124"/>
      <c r="AI29" s="124"/>
      <c r="AJ29" s="124"/>
      <c r="AK29" s="124"/>
      <c r="AL29" s="124"/>
      <c r="AM29" s="124"/>
      <c r="AN29" s="84"/>
      <c r="AO29" s="314"/>
      <c r="AP29" s="124"/>
      <c r="AQ29" s="124"/>
      <c r="AR29" s="124"/>
      <c r="AS29" s="124"/>
      <c r="AT29" s="124"/>
      <c r="AU29" s="124"/>
      <c r="AV29" s="85" t="s">
        <v>613</v>
      </c>
      <c r="AW29" s="105" t="s">
        <v>585</v>
      </c>
    </row>
    <row r="30" spans="1:49" ht="12.75" x14ac:dyDescent="0.2">
      <c r="A30" s="167">
        <v>90000594245</v>
      </c>
      <c r="B30" s="119"/>
      <c r="C30" s="447" t="s">
        <v>24</v>
      </c>
      <c r="D30" s="448"/>
      <c r="E30" s="227" t="s">
        <v>245</v>
      </c>
      <c r="F30" s="299">
        <v>143</v>
      </c>
      <c r="G30" s="97">
        <f t="shared" si="21"/>
        <v>143</v>
      </c>
      <c r="H30" s="299">
        <f>143</f>
        <v>143</v>
      </c>
      <c r="I30" s="97">
        <f t="shared" si="30"/>
        <v>143</v>
      </c>
      <c r="J30" s="97">
        <f t="shared" si="31"/>
        <v>0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>
        <f t="shared" si="32"/>
        <v>0</v>
      </c>
      <c r="AE30" s="125">
        <f t="shared" si="33"/>
        <v>0</v>
      </c>
      <c r="AF30" s="125"/>
      <c r="AG30" s="125"/>
      <c r="AH30" s="125"/>
      <c r="AI30" s="125"/>
      <c r="AJ30" s="125"/>
      <c r="AK30" s="125"/>
      <c r="AL30" s="125"/>
      <c r="AM30" s="125"/>
      <c r="AN30" s="97"/>
      <c r="AO30" s="313"/>
      <c r="AP30" s="125"/>
      <c r="AQ30" s="125"/>
      <c r="AR30" s="125"/>
      <c r="AS30" s="125"/>
      <c r="AT30" s="125"/>
      <c r="AU30" s="125"/>
      <c r="AV30" s="98" t="s">
        <v>377</v>
      </c>
      <c r="AW30" s="105" t="s">
        <v>582</v>
      </c>
    </row>
    <row r="31" spans="1:49" ht="36" x14ac:dyDescent="0.2">
      <c r="A31" s="167">
        <v>90000056554</v>
      </c>
      <c r="B31" s="119"/>
      <c r="C31" s="447" t="s">
        <v>684</v>
      </c>
      <c r="D31" s="448"/>
      <c r="E31" s="227" t="s">
        <v>360</v>
      </c>
      <c r="F31" s="299">
        <v>1608126</v>
      </c>
      <c r="G31" s="97">
        <f t="shared" si="21"/>
        <v>1608128</v>
      </c>
      <c r="H31" s="299">
        <f>1557242</f>
        <v>1557242</v>
      </c>
      <c r="I31" s="97">
        <f t="shared" si="30"/>
        <v>1557242</v>
      </c>
      <c r="J31" s="97">
        <f t="shared" si="31"/>
        <v>0</v>
      </c>
      <c r="K31" s="97"/>
      <c r="L31" s="97"/>
      <c r="M31" s="97"/>
      <c r="N31" s="97"/>
      <c r="O31" s="97"/>
      <c r="P31" s="97"/>
      <c r="Q31" s="97"/>
      <c r="R31" s="97"/>
      <c r="S31" s="97"/>
      <c r="T31" s="97">
        <v>0</v>
      </c>
      <c r="U31" s="97">
        <v>0</v>
      </c>
      <c r="V31" s="97"/>
      <c r="W31" s="97"/>
      <c r="X31" s="97"/>
      <c r="Y31" s="97"/>
      <c r="Z31" s="97"/>
      <c r="AA31" s="97"/>
      <c r="AB31" s="97"/>
      <c r="AC31" s="97">
        <f>50054</f>
        <v>50054</v>
      </c>
      <c r="AD31" s="97">
        <f>AE31+AC31</f>
        <v>50056</v>
      </c>
      <c r="AE31" s="125">
        <f>SUM(AF31:AK31)</f>
        <v>2</v>
      </c>
      <c r="AF31" s="125"/>
      <c r="AG31" s="125">
        <v>2</v>
      </c>
      <c r="AH31" s="125"/>
      <c r="AI31" s="125"/>
      <c r="AJ31" s="125"/>
      <c r="AK31" s="125"/>
      <c r="AL31" s="125"/>
      <c r="AM31" s="125">
        <v>830</v>
      </c>
      <c r="AN31" s="97">
        <f>AM31+AO31</f>
        <v>830</v>
      </c>
      <c r="AO31" s="313">
        <f>SUM(AP31:AU31)</f>
        <v>0</v>
      </c>
      <c r="AP31" s="125"/>
      <c r="AQ31" s="125"/>
      <c r="AR31" s="125"/>
      <c r="AS31" s="125"/>
      <c r="AT31" s="125"/>
      <c r="AU31" s="125"/>
      <c r="AV31" s="98" t="s">
        <v>378</v>
      </c>
      <c r="AW31" s="105"/>
    </row>
    <row r="32" spans="1:49" ht="48" x14ac:dyDescent="0.2">
      <c r="A32" s="167"/>
      <c r="B32" s="119"/>
      <c r="C32" s="447" t="s">
        <v>215</v>
      </c>
      <c r="D32" s="448"/>
      <c r="E32" s="424" t="s">
        <v>303</v>
      </c>
      <c r="F32" s="299">
        <v>30000</v>
      </c>
      <c r="G32" s="97">
        <f t="shared" si="21"/>
        <v>30000</v>
      </c>
      <c r="H32" s="299">
        <f>30000</f>
        <v>30000</v>
      </c>
      <c r="I32" s="97">
        <f t="shared" si="30"/>
        <v>30000</v>
      </c>
      <c r="J32" s="97">
        <f t="shared" si="31"/>
        <v>0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>
        <f>AE32+AC32</f>
        <v>0</v>
      </c>
      <c r="AE32" s="125">
        <f>SUM(AF32:AK32)</f>
        <v>0</v>
      </c>
      <c r="AF32" s="125"/>
      <c r="AG32" s="125"/>
      <c r="AH32" s="125"/>
      <c r="AI32" s="125"/>
      <c r="AJ32" s="125"/>
      <c r="AK32" s="125"/>
      <c r="AL32" s="125"/>
      <c r="AM32" s="125"/>
      <c r="AN32" s="97"/>
      <c r="AO32" s="313"/>
      <c r="AP32" s="125"/>
      <c r="AQ32" s="125"/>
      <c r="AR32" s="125"/>
      <c r="AS32" s="125"/>
      <c r="AT32" s="125"/>
      <c r="AU32" s="125"/>
      <c r="AV32" s="98" t="s">
        <v>379</v>
      </c>
      <c r="AW32" s="105"/>
    </row>
    <row r="33" spans="1:49" ht="12.75" thickBot="1" x14ac:dyDescent="0.25">
      <c r="A33" s="167"/>
      <c r="B33" s="145"/>
      <c r="C33" s="489"/>
      <c r="D33" s="490"/>
      <c r="E33" s="425"/>
      <c r="F33" s="300"/>
      <c r="G33" s="84"/>
      <c r="H33" s="300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124"/>
      <c r="AF33" s="124"/>
      <c r="AG33" s="124"/>
      <c r="AH33" s="124"/>
      <c r="AI33" s="124"/>
      <c r="AJ33" s="124"/>
      <c r="AK33" s="124"/>
      <c r="AL33" s="124"/>
      <c r="AM33" s="124"/>
      <c r="AN33" s="84"/>
      <c r="AO33" s="314"/>
      <c r="AP33" s="124"/>
      <c r="AQ33" s="124"/>
      <c r="AR33" s="124"/>
      <c r="AS33" s="124"/>
      <c r="AT33" s="124"/>
      <c r="AU33" s="124"/>
      <c r="AV33" s="85"/>
      <c r="AW33" s="106"/>
    </row>
    <row r="34" spans="1:49" ht="12.75" thickBot="1" x14ac:dyDescent="0.25">
      <c r="A34" s="226"/>
      <c r="B34" s="486" t="s">
        <v>7</v>
      </c>
      <c r="C34" s="486"/>
      <c r="D34" s="223" t="s">
        <v>8</v>
      </c>
      <c r="E34" s="423"/>
      <c r="F34" s="301">
        <v>19545420</v>
      </c>
      <c r="G34" s="417">
        <f t="shared" si="21"/>
        <v>19946315</v>
      </c>
      <c r="H34" s="301">
        <f>SUM(H35:H59)</f>
        <v>17452900</v>
      </c>
      <c r="I34" s="7">
        <f>SUM(I35:I59)</f>
        <v>17649748</v>
      </c>
      <c r="J34" s="7">
        <f t="shared" ref="J34:AN34" si="34">SUM(J35:J59)</f>
        <v>196848</v>
      </c>
      <c r="K34" s="7">
        <f t="shared" si="34"/>
        <v>0</v>
      </c>
      <c r="L34" s="7">
        <f t="shared" ref="L34" si="35">SUM(L35:L59)</f>
        <v>0</v>
      </c>
      <c r="M34" s="7">
        <f t="shared" ref="M34" si="36">SUM(M35:M59)</f>
        <v>24500</v>
      </c>
      <c r="N34" s="7">
        <f t="shared" si="34"/>
        <v>72869</v>
      </c>
      <c r="O34" s="7">
        <f t="shared" si="34"/>
        <v>0</v>
      </c>
      <c r="P34" s="7">
        <f t="shared" si="34"/>
        <v>99479</v>
      </c>
      <c r="Q34" s="7">
        <f t="shared" si="34"/>
        <v>0</v>
      </c>
      <c r="R34" s="7">
        <f t="shared" si="34"/>
        <v>0</v>
      </c>
      <c r="S34" s="7">
        <f t="shared" si="34"/>
        <v>0</v>
      </c>
      <c r="T34" s="7">
        <f t="shared" ref="T34" si="37">SUM(T35:T59)</f>
        <v>851700</v>
      </c>
      <c r="U34" s="7">
        <f t="shared" si="34"/>
        <v>851700</v>
      </c>
      <c r="V34" s="7">
        <f t="shared" si="34"/>
        <v>0</v>
      </c>
      <c r="W34" s="7">
        <f t="shared" si="34"/>
        <v>0</v>
      </c>
      <c r="X34" s="7">
        <f t="shared" si="34"/>
        <v>0</v>
      </c>
      <c r="Y34" s="7">
        <f t="shared" si="34"/>
        <v>0</v>
      </c>
      <c r="Z34" s="7">
        <f t="shared" si="34"/>
        <v>0</v>
      </c>
      <c r="AA34" s="7">
        <f t="shared" si="34"/>
        <v>0</v>
      </c>
      <c r="AB34" s="7">
        <f t="shared" si="34"/>
        <v>0</v>
      </c>
      <c r="AC34" s="7">
        <f t="shared" ref="AC34" si="38">SUM(AC35:AC59)</f>
        <v>16178</v>
      </c>
      <c r="AD34" s="7">
        <f t="shared" si="34"/>
        <v>16178</v>
      </c>
      <c r="AE34" s="7">
        <f t="shared" si="34"/>
        <v>0</v>
      </c>
      <c r="AF34" s="7">
        <f t="shared" si="34"/>
        <v>0</v>
      </c>
      <c r="AG34" s="7">
        <f t="shared" si="34"/>
        <v>0</v>
      </c>
      <c r="AH34" s="7">
        <f t="shared" si="34"/>
        <v>0</v>
      </c>
      <c r="AI34" s="7">
        <f t="shared" si="34"/>
        <v>0</v>
      </c>
      <c r="AJ34" s="7">
        <f t="shared" si="34"/>
        <v>0</v>
      </c>
      <c r="AK34" s="7">
        <f t="shared" si="34"/>
        <v>0</v>
      </c>
      <c r="AL34" s="7">
        <f t="shared" si="34"/>
        <v>1428689</v>
      </c>
      <c r="AM34" s="7">
        <f t="shared" ref="AM34" si="39">SUM(AM35:AM59)</f>
        <v>0</v>
      </c>
      <c r="AN34" s="7">
        <f t="shared" si="34"/>
        <v>0</v>
      </c>
      <c r="AO34" s="319">
        <f t="shared" ref="AO34" si="40">SUM(AO35:AO59)</f>
        <v>0</v>
      </c>
      <c r="AP34" s="7">
        <f t="shared" ref="AP34:AU34" si="41">SUM(AP35:AP59)</f>
        <v>0</v>
      </c>
      <c r="AQ34" s="7">
        <f t="shared" si="41"/>
        <v>0</v>
      </c>
      <c r="AR34" s="7">
        <f t="shared" si="41"/>
        <v>0</v>
      </c>
      <c r="AS34" s="7">
        <f t="shared" si="41"/>
        <v>0</v>
      </c>
      <c r="AT34" s="7">
        <f t="shared" si="41"/>
        <v>0</v>
      </c>
      <c r="AU34" s="7">
        <f t="shared" si="41"/>
        <v>0</v>
      </c>
      <c r="AV34" s="11"/>
      <c r="AW34" s="107"/>
    </row>
    <row r="35" spans="1:49" ht="24.75" thickTop="1" x14ac:dyDescent="0.2">
      <c r="A35" s="167">
        <v>90000056357</v>
      </c>
      <c r="B35" s="225"/>
      <c r="C35" s="476" t="s">
        <v>5</v>
      </c>
      <c r="D35" s="477"/>
      <c r="E35" s="227" t="s">
        <v>240</v>
      </c>
      <c r="F35" s="299">
        <v>3324186</v>
      </c>
      <c r="G35" s="97">
        <f t="shared" ref="G35:G58" si="42">SUM(I35,U35,AD35,AL35,AN35)</f>
        <v>3323101</v>
      </c>
      <c r="H35" s="299">
        <f>3324186</f>
        <v>3324186</v>
      </c>
      <c r="I35" s="97">
        <f t="shared" ref="I35:I55" si="43">H35+J35</f>
        <v>3323101</v>
      </c>
      <c r="J35" s="97">
        <f t="shared" ref="J35:J55" si="44">SUM(K35:S35)</f>
        <v>-1085</v>
      </c>
      <c r="K35" s="97"/>
      <c r="L35" s="97"/>
      <c r="M35" s="97"/>
      <c r="N35" s="97"/>
      <c r="O35" s="97"/>
      <c r="P35" s="97">
        <v>-1085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>
        <f t="shared" ref="AD35:AD42" si="45">AE35+AC35</f>
        <v>0</v>
      </c>
      <c r="AE35" s="125">
        <f t="shared" ref="AE35:AE42" si="46">SUM(AF35:AK35)</f>
        <v>0</v>
      </c>
      <c r="AF35" s="125"/>
      <c r="AG35" s="125"/>
      <c r="AH35" s="125"/>
      <c r="AI35" s="125"/>
      <c r="AJ35" s="125"/>
      <c r="AK35" s="125"/>
      <c r="AL35" s="125"/>
      <c r="AM35" s="125"/>
      <c r="AN35" s="97"/>
      <c r="AO35" s="313"/>
      <c r="AP35" s="125"/>
      <c r="AQ35" s="125"/>
      <c r="AR35" s="125"/>
      <c r="AS35" s="125"/>
      <c r="AT35" s="125"/>
      <c r="AU35" s="125"/>
      <c r="AV35" s="98" t="s">
        <v>614</v>
      </c>
      <c r="AW35" s="105"/>
    </row>
    <row r="36" spans="1:49" s="216" customFormat="1" ht="12.75" x14ac:dyDescent="0.2">
      <c r="A36" s="167"/>
      <c r="B36" s="121"/>
      <c r="C36" s="156"/>
      <c r="D36" s="157"/>
      <c r="E36" s="227" t="s">
        <v>558</v>
      </c>
      <c r="F36" s="299">
        <v>595124</v>
      </c>
      <c r="G36" s="97">
        <f t="shared" si="42"/>
        <v>595124</v>
      </c>
      <c r="H36" s="299">
        <f>595124</f>
        <v>595124</v>
      </c>
      <c r="I36" s="97">
        <f t="shared" si="43"/>
        <v>595124</v>
      </c>
      <c r="J36" s="97">
        <f t="shared" si="44"/>
        <v>0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>
        <f t="shared" si="45"/>
        <v>0</v>
      </c>
      <c r="AE36" s="125">
        <f t="shared" si="46"/>
        <v>0</v>
      </c>
      <c r="AF36" s="125"/>
      <c r="AG36" s="125"/>
      <c r="AH36" s="125"/>
      <c r="AI36" s="125"/>
      <c r="AJ36" s="125"/>
      <c r="AK36" s="125"/>
      <c r="AL36" s="125"/>
      <c r="AM36" s="125"/>
      <c r="AN36" s="97"/>
      <c r="AO36" s="313"/>
      <c r="AP36" s="125"/>
      <c r="AQ36" s="125"/>
      <c r="AR36" s="125"/>
      <c r="AS36" s="125"/>
      <c r="AT36" s="125"/>
      <c r="AU36" s="125"/>
      <c r="AV36" s="236" t="s">
        <v>384</v>
      </c>
      <c r="AW36" s="105"/>
    </row>
    <row r="37" spans="1:49" s="216" customFormat="1" ht="12.75" x14ac:dyDescent="0.2">
      <c r="A37" s="167"/>
      <c r="B37" s="121"/>
      <c r="C37" s="156"/>
      <c r="D37" s="157"/>
      <c r="E37" s="227" t="s">
        <v>573</v>
      </c>
      <c r="F37" s="302">
        <v>6000</v>
      </c>
      <c r="G37" s="117">
        <f t="shared" si="42"/>
        <v>6000</v>
      </c>
      <c r="H37" s="302">
        <f>6000</f>
        <v>6000</v>
      </c>
      <c r="I37" s="97">
        <f t="shared" si="43"/>
        <v>6000</v>
      </c>
      <c r="J37" s="117">
        <f t="shared" si="44"/>
        <v>0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>
        <f t="shared" si="45"/>
        <v>0</v>
      </c>
      <c r="AE37" s="128">
        <f t="shared" si="46"/>
        <v>0</v>
      </c>
      <c r="AF37" s="128"/>
      <c r="AG37" s="128"/>
      <c r="AH37" s="128"/>
      <c r="AI37" s="128"/>
      <c r="AJ37" s="128"/>
      <c r="AK37" s="128"/>
      <c r="AL37" s="128"/>
      <c r="AM37" s="128"/>
      <c r="AN37" s="117"/>
      <c r="AO37" s="315"/>
      <c r="AP37" s="128"/>
      <c r="AQ37" s="128"/>
      <c r="AR37" s="128"/>
      <c r="AS37" s="128"/>
      <c r="AT37" s="128"/>
      <c r="AU37" s="128"/>
      <c r="AV37" s="236" t="s">
        <v>381</v>
      </c>
      <c r="AW37" s="105" t="s">
        <v>320</v>
      </c>
    </row>
    <row r="38" spans="1:49" s="216" customFormat="1" ht="40.5" customHeight="1" x14ac:dyDescent="0.2">
      <c r="A38" s="167"/>
      <c r="B38" s="121"/>
      <c r="C38" s="156"/>
      <c r="D38" s="157"/>
      <c r="E38" s="227" t="s">
        <v>570</v>
      </c>
      <c r="F38" s="302">
        <v>101300</v>
      </c>
      <c r="G38" s="117">
        <f t="shared" si="42"/>
        <v>101300</v>
      </c>
      <c r="H38" s="302">
        <f>101300</f>
        <v>101300</v>
      </c>
      <c r="I38" s="97">
        <f t="shared" si="43"/>
        <v>101300</v>
      </c>
      <c r="J38" s="117">
        <f t="shared" si="44"/>
        <v>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>
        <f t="shared" si="45"/>
        <v>0</v>
      </c>
      <c r="AE38" s="128">
        <f t="shared" si="46"/>
        <v>0</v>
      </c>
      <c r="AF38" s="128"/>
      <c r="AG38" s="128"/>
      <c r="AH38" s="128"/>
      <c r="AI38" s="128"/>
      <c r="AJ38" s="128"/>
      <c r="AK38" s="128"/>
      <c r="AL38" s="128"/>
      <c r="AM38" s="128"/>
      <c r="AN38" s="117"/>
      <c r="AO38" s="315"/>
      <c r="AP38" s="128"/>
      <c r="AQ38" s="128"/>
      <c r="AR38" s="128"/>
      <c r="AS38" s="128"/>
      <c r="AT38" s="128"/>
      <c r="AU38" s="128"/>
      <c r="AV38" s="236" t="s">
        <v>380</v>
      </c>
      <c r="AW38" s="106" t="s">
        <v>368</v>
      </c>
    </row>
    <row r="39" spans="1:49" s="158" customFormat="1" ht="48" customHeight="1" x14ac:dyDescent="0.2">
      <c r="A39" s="167"/>
      <c r="B39" s="121"/>
      <c r="C39" s="156"/>
      <c r="D39" s="157"/>
      <c r="E39" s="227" t="s">
        <v>362</v>
      </c>
      <c r="F39" s="299">
        <v>89600</v>
      </c>
      <c r="G39" s="97">
        <f t="shared" si="42"/>
        <v>89600</v>
      </c>
      <c r="H39" s="302">
        <f>89600</f>
        <v>89600</v>
      </c>
      <c r="I39" s="97">
        <f t="shared" si="43"/>
        <v>89600</v>
      </c>
      <c r="J39" s="117">
        <f t="shared" si="44"/>
        <v>0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>
        <f t="shared" si="45"/>
        <v>0</v>
      </c>
      <c r="AE39" s="128">
        <f t="shared" si="46"/>
        <v>0</v>
      </c>
      <c r="AF39" s="128"/>
      <c r="AG39" s="128"/>
      <c r="AH39" s="128"/>
      <c r="AI39" s="128"/>
      <c r="AJ39" s="128"/>
      <c r="AK39" s="128"/>
      <c r="AL39" s="128"/>
      <c r="AM39" s="128"/>
      <c r="AN39" s="117"/>
      <c r="AO39" s="315"/>
      <c r="AP39" s="128"/>
      <c r="AQ39" s="128"/>
      <c r="AR39" s="128"/>
      <c r="AS39" s="128"/>
      <c r="AT39" s="128"/>
      <c r="AU39" s="128"/>
      <c r="AV39" s="236" t="s">
        <v>385</v>
      </c>
      <c r="AW39" s="105" t="s">
        <v>550</v>
      </c>
    </row>
    <row r="40" spans="1:49" ht="12.75" x14ac:dyDescent="0.2">
      <c r="A40" s="167"/>
      <c r="B40" s="119"/>
      <c r="C40" s="161"/>
      <c r="D40" s="162"/>
      <c r="E40" s="227" t="s">
        <v>246</v>
      </c>
      <c r="F40" s="299">
        <v>99789</v>
      </c>
      <c r="G40" s="97">
        <f t="shared" si="42"/>
        <v>124289</v>
      </c>
      <c r="H40" s="299">
        <f>99789</f>
        <v>99789</v>
      </c>
      <c r="I40" s="97">
        <f t="shared" si="43"/>
        <v>124289</v>
      </c>
      <c r="J40" s="97">
        <f t="shared" si="44"/>
        <v>24500</v>
      </c>
      <c r="K40" s="97"/>
      <c r="L40" s="97"/>
      <c r="M40" s="97">
        <v>24500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>
        <f t="shared" si="45"/>
        <v>0</v>
      </c>
      <c r="AE40" s="125">
        <f t="shared" si="46"/>
        <v>0</v>
      </c>
      <c r="AF40" s="125"/>
      <c r="AG40" s="125"/>
      <c r="AH40" s="125"/>
      <c r="AI40" s="125"/>
      <c r="AJ40" s="125"/>
      <c r="AK40" s="125"/>
      <c r="AL40" s="125"/>
      <c r="AM40" s="125"/>
      <c r="AN40" s="97"/>
      <c r="AO40" s="313"/>
      <c r="AP40" s="125"/>
      <c r="AQ40" s="125"/>
      <c r="AR40" s="125"/>
      <c r="AS40" s="125"/>
      <c r="AT40" s="125"/>
      <c r="AU40" s="125"/>
      <c r="AV40" s="98" t="s">
        <v>386</v>
      </c>
      <c r="AW40" s="105" t="s">
        <v>551</v>
      </c>
    </row>
    <row r="41" spans="1:49" ht="36" x14ac:dyDescent="0.2">
      <c r="A41" s="167"/>
      <c r="B41" s="119"/>
      <c r="C41" s="161"/>
      <c r="D41" s="162"/>
      <c r="E41" s="227" t="s">
        <v>552</v>
      </c>
      <c r="F41" s="299">
        <v>4664266</v>
      </c>
      <c r="G41" s="97">
        <f t="shared" si="42"/>
        <v>4664266</v>
      </c>
      <c r="H41" s="299">
        <f>3907566</f>
        <v>3907566</v>
      </c>
      <c r="I41" s="97">
        <f t="shared" si="43"/>
        <v>3907566</v>
      </c>
      <c r="J41" s="97">
        <f t="shared" si="44"/>
        <v>0</v>
      </c>
      <c r="K41" s="97"/>
      <c r="L41" s="97"/>
      <c r="M41" s="97"/>
      <c r="N41" s="97"/>
      <c r="O41" s="97"/>
      <c r="P41" s="97"/>
      <c r="Q41" s="97"/>
      <c r="R41" s="97"/>
      <c r="S41" s="97"/>
      <c r="T41" s="97">
        <f>756700</f>
        <v>756700</v>
      </c>
      <c r="U41" s="97">
        <f>T41+V41</f>
        <v>756700</v>
      </c>
      <c r="V41" s="97">
        <f>SUM(W41:AB41)</f>
        <v>0</v>
      </c>
      <c r="W41" s="97"/>
      <c r="X41" s="97"/>
      <c r="Y41" s="97"/>
      <c r="Z41" s="97"/>
      <c r="AA41" s="97"/>
      <c r="AB41" s="97"/>
      <c r="AC41" s="97"/>
      <c r="AD41" s="97">
        <f t="shared" si="45"/>
        <v>0</v>
      </c>
      <c r="AE41" s="125">
        <f t="shared" si="46"/>
        <v>0</v>
      </c>
      <c r="AF41" s="125"/>
      <c r="AG41" s="125"/>
      <c r="AH41" s="125"/>
      <c r="AI41" s="125"/>
      <c r="AJ41" s="125"/>
      <c r="AK41" s="125"/>
      <c r="AL41" s="125"/>
      <c r="AM41" s="125"/>
      <c r="AN41" s="97"/>
      <c r="AO41" s="313"/>
      <c r="AP41" s="125"/>
      <c r="AQ41" s="125"/>
      <c r="AR41" s="125"/>
      <c r="AS41" s="125"/>
      <c r="AT41" s="125"/>
      <c r="AU41" s="125"/>
      <c r="AV41" s="98" t="s">
        <v>690</v>
      </c>
      <c r="AW41" s="105" t="s">
        <v>372</v>
      </c>
    </row>
    <row r="42" spans="1:49" ht="28.5" customHeight="1" x14ac:dyDescent="0.2">
      <c r="A42" s="167"/>
      <c r="B42" s="119"/>
      <c r="C42" s="161"/>
      <c r="D42" s="162"/>
      <c r="E42" s="227" t="s">
        <v>288</v>
      </c>
      <c r="F42" s="299">
        <v>1410435</v>
      </c>
      <c r="G42" s="97">
        <f t="shared" si="42"/>
        <v>1410435</v>
      </c>
      <c r="H42" s="299">
        <f>1315435</f>
        <v>1315435</v>
      </c>
      <c r="I42" s="97">
        <f t="shared" si="43"/>
        <v>1315435</v>
      </c>
      <c r="J42" s="97">
        <f t="shared" si="44"/>
        <v>0</v>
      </c>
      <c r="K42" s="97"/>
      <c r="L42" s="97"/>
      <c r="M42" s="97"/>
      <c r="N42" s="97"/>
      <c r="O42" s="97"/>
      <c r="P42" s="97"/>
      <c r="Q42" s="97"/>
      <c r="R42" s="97"/>
      <c r="S42" s="97"/>
      <c r="T42" s="97">
        <f>95000</f>
        <v>95000</v>
      </c>
      <c r="U42" s="97">
        <f>T42+V42</f>
        <v>95000</v>
      </c>
      <c r="V42" s="97">
        <f>SUM(W42:AB42)</f>
        <v>0</v>
      </c>
      <c r="W42" s="97"/>
      <c r="X42" s="97"/>
      <c r="Y42" s="97"/>
      <c r="Z42" s="97"/>
      <c r="AA42" s="97"/>
      <c r="AB42" s="97"/>
      <c r="AC42" s="97"/>
      <c r="AD42" s="97">
        <f t="shared" si="45"/>
        <v>0</v>
      </c>
      <c r="AE42" s="125">
        <f t="shared" si="46"/>
        <v>0</v>
      </c>
      <c r="AF42" s="125"/>
      <c r="AG42" s="125"/>
      <c r="AH42" s="125"/>
      <c r="AI42" s="125"/>
      <c r="AJ42" s="125"/>
      <c r="AK42" s="125"/>
      <c r="AL42" s="125"/>
      <c r="AM42" s="125"/>
      <c r="AN42" s="97"/>
      <c r="AO42" s="313"/>
      <c r="AP42" s="125"/>
      <c r="AQ42" s="125"/>
      <c r="AR42" s="125"/>
      <c r="AS42" s="125"/>
      <c r="AT42" s="125"/>
      <c r="AU42" s="125"/>
      <c r="AV42" s="98" t="s">
        <v>382</v>
      </c>
      <c r="AW42" s="105" t="s">
        <v>553</v>
      </c>
    </row>
    <row r="43" spans="1:49" s="216" customFormat="1" ht="28.5" customHeight="1" x14ac:dyDescent="0.2">
      <c r="A43" s="167"/>
      <c r="B43" s="119"/>
      <c r="C43" s="214"/>
      <c r="D43" s="215"/>
      <c r="E43" s="227" t="s">
        <v>557</v>
      </c>
      <c r="F43" s="299">
        <v>34052</v>
      </c>
      <c r="G43" s="97">
        <f t="shared" si="42"/>
        <v>34052</v>
      </c>
      <c r="H43" s="299">
        <f>25514</f>
        <v>25514</v>
      </c>
      <c r="I43" s="97">
        <f t="shared" si="43"/>
        <v>25514</v>
      </c>
      <c r="J43" s="97">
        <f t="shared" si="44"/>
        <v>0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>
        <f>8538</f>
        <v>8538</v>
      </c>
      <c r="AD43" s="97">
        <f t="shared" ref="AD43:AD44" si="47">AE43+AC43</f>
        <v>8538</v>
      </c>
      <c r="AE43" s="125">
        <f t="shared" ref="AE43:AE44" si="48">SUM(AF43:AK43)</f>
        <v>0</v>
      </c>
      <c r="AF43" s="125"/>
      <c r="AG43" s="125"/>
      <c r="AH43" s="125"/>
      <c r="AI43" s="125"/>
      <c r="AJ43" s="125"/>
      <c r="AK43" s="125"/>
      <c r="AL43" s="125"/>
      <c r="AM43" s="125"/>
      <c r="AN43" s="97"/>
      <c r="AO43" s="313"/>
      <c r="AP43" s="125"/>
      <c r="AQ43" s="125"/>
      <c r="AR43" s="125"/>
      <c r="AS43" s="125"/>
      <c r="AT43" s="125"/>
      <c r="AU43" s="125"/>
      <c r="AV43" s="98" t="s">
        <v>383</v>
      </c>
      <c r="AW43" s="105"/>
    </row>
    <row r="44" spans="1:49" ht="29.25" customHeight="1" x14ac:dyDescent="0.2">
      <c r="A44" s="167"/>
      <c r="B44" s="119"/>
      <c r="C44" s="161"/>
      <c r="D44" s="162"/>
      <c r="E44" s="227" t="s">
        <v>295</v>
      </c>
      <c r="F44" s="299">
        <v>147927</v>
      </c>
      <c r="G44" s="97">
        <f t="shared" si="42"/>
        <v>147927</v>
      </c>
      <c r="H44" s="299">
        <f>140287</f>
        <v>140287</v>
      </c>
      <c r="I44" s="97">
        <f t="shared" si="43"/>
        <v>140287</v>
      </c>
      <c r="J44" s="97">
        <f t="shared" si="44"/>
        <v>0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>
        <f>7640</f>
        <v>7640</v>
      </c>
      <c r="AD44" s="97">
        <f t="shared" si="47"/>
        <v>7640</v>
      </c>
      <c r="AE44" s="125">
        <f t="shared" si="48"/>
        <v>0</v>
      </c>
      <c r="AF44" s="125"/>
      <c r="AG44" s="125"/>
      <c r="AH44" s="125"/>
      <c r="AI44" s="125"/>
      <c r="AJ44" s="125"/>
      <c r="AK44" s="125"/>
      <c r="AL44" s="125"/>
      <c r="AM44" s="125"/>
      <c r="AN44" s="97"/>
      <c r="AO44" s="313"/>
      <c r="AP44" s="125"/>
      <c r="AQ44" s="125"/>
      <c r="AR44" s="125"/>
      <c r="AS44" s="125"/>
      <c r="AT44" s="125"/>
      <c r="AU44" s="125"/>
      <c r="AV44" s="98" t="s">
        <v>615</v>
      </c>
      <c r="AW44" s="105" t="s">
        <v>548</v>
      </c>
    </row>
    <row r="45" spans="1:49" s="211" customFormat="1" ht="27" customHeight="1" x14ac:dyDescent="0.2">
      <c r="A45" s="167"/>
      <c r="B45" s="119"/>
      <c r="C45" s="212"/>
      <c r="D45" s="213"/>
      <c r="E45" s="227" t="s">
        <v>549</v>
      </c>
      <c r="F45" s="299">
        <v>991344</v>
      </c>
      <c r="G45" s="97">
        <f t="shared" si="42"/>
        <v>991344</v>
      </c>
      <c r="H45" s="299">
        <f>991344</f>
        <v>991344</v>
      </c>
      <c r="I45" s="97">
        <f t="shared" si="43"/>
        <v>991344</v>
      </c>
      <c r="J45" s="97">
        <f t="shared" si="44"/>
        <v>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>
        <f t="shared" ref="AD45:AD52" si="49">AE45+AC45</f>
        <v>0</v>
      </c>
      <c r="AE45" s="125">
        <f t="shared" ref="AE45:AE52" si="50">SUM(AF45:AK45)</f>
        <v>0</v>
      </c>
      <c r="AF45" s="125"/>
      <c r="AG45" s="125"/>
      <c r="AH45" s="125"/>
      <c r="AI45" s="125"/>
      <c r="AJ45" s="125"/>
      <c r="AK45" s="125"/>
      <c r="AL45" s="125"/>
      <c r="AM45" s="125"/>
      <c r="AN45" s="97"/>
      <c r="AO45" s="313"/>
      <c r="AP45" s="125"/>
      <c r="AQ45" s="125"/>
      <c r="AR45" s="125"/>
      <c r="AS45" s="125"/>
      <c r="AT45" s="125"/>
      <c r="AU45" s="125"/>
      <c r="AV45" s="98" t="s">
        <v>616</v>
      </c>
      <c r="AW45" s="105" t="s">
        <v>600</v>
      </c>
    </row>
    <row r="46" spans="1:49" ht="36" x14ac:dyDescent="0.2">
      <c r="A46" s="167"/>
      <c r="B46" s="119"/>
      <c r="C46" s="161"/>
      <c r="D46" s="162"/>
      <c r="E46" s="227" t="s">
        <v>354</v>
      </c>
      <c r="F46" s="299">
        <v>5660558</v>
      </c>
      <c r="G46" s="97">
        <f t="shared" si="42"/>
        <v>5761122</v>
      </c>
      <c r="H46" s="299">
        <f>5660558</f>
        <v>5660558</v>
      </c>
      <c r="I46" s="97">
        <f t="shared" si="43"/>
        <v>5761122</v>
      </c>
      <c r="J46" s="97">
        <f t="shared" si="44"/>
        <v>100564</v>
      </c>
      <c r="K46" s="97"/>
      <c r="L46" s="97"/>
      <c r="M46" s="97"/>
      <c r="N46" s="97"/>
      <c r="O46" s="97"/>
      <c r="P46" s="97">
        <f>100564</f>
        <v>100564</v>
      </c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>
        <f t="shared" si="49"/>
        <v>0</v>
      </c>
      <c r="AE46" s="125">
        <f t="shared" si="50"/>
        <v>0</v>
      </c>
      <c r="AF46" s="125"/>
      <c r="AG46" s="125"/>
      <c r="AH46" s="125"/>
      <c r="AI46" s="125"/>
      <c r="AJ46" s="125"/>
      <c r="AK46" s="125"/>
      <c r="AL46" s="125"/>
      <c r="AM46" s="125"/>
      <c r="AN46" s="97"/>
      <c r="AO46" s="313"/>
      <c r="AP46" s="125"/>
      <c r="AQ46" s="125"/>
      <c r="AR46" s="125"/>
      <c r="AS46" s="125"/>
      <c r="AT46" s="125"/>
      <c r="AU46" s="125"/>
      <c r="AV46" s="98" t="s">
        <v>675</v>
      </c>
      <c r="AW46" s="105" t="s">
        <v>680</v>
      </c>
    </row>
    <row r="47" spans="1:49" ht="48" x14ac:dyDescent="0.2">
      <c r="A47" s="167"/>
      <c r="B47" s="119"/>
      <c r="C47" s="161"/>
      <c r="D47" s="162"/>
      <c r="E47" s="227" t="s">
        <v>554</v>
      </c>
      <c r="F47" s="299">
        <v>2741</v>
      </c>
      <c r="G47" s="97">
        <f t="shared" si="42"/>
        <v>2741</v>
      </c>
      <c r="H47" s="299">
        <f>2741</f>
        <v>2741</v>
      </c>
      <c r="I47" s="97">
        <f t="shared" si="43"/>
        <v>2741</v>
      </c>
      <c r="J47" s="97">
        <f t="shared" si="44"/>
        <v>0</v>
      </c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>
        <f t="shared" si="49"/>
        <v>0</v>
      </c>
      <c r="AE47" s="125">
        <f t="shared" si="50"/>
        <v>0</v>
      </c>
      <c r="AF47" s="125"/>
      <c r="AG47" s="125"/>
      <c r="AH47" s="125"/>
      <c r="AI47" s="125"/>
      <c r="AJ47" s="125"/>
      <c r="AK47" s="125"/>
      <c r="AL47" s="125"/>
      <c r="AM47" s="125"/>
      <c r="AN47" s="97"/>
      <c r="AO47" s="313"/>
      <c r="AP47" s="125"/>
      <c r="AQ47" s="125"/>
      <c r="AR47" s="125"/>
      <c r="AS47" s="125"/>
      <c r="AT47" s="125"/>
      <c r="AU47" s="125"/>
      <c r="AV47" s="98" t="s">
        <v>617</v>
      </c>
      <c r="AW47" s="105"/>
    </row>
    <row r="48" spans="1:49" s="211" customFormat="1" ht="48" x14ac:dyDescent="0.2">
      <c r="A48" s="167"/>
      <c r="B48" s="119"/>
      <c r="C48" s="212"/>
      <c r="D48" s="213"/>
      <c r="E48" s="227" t="s">
        <v>555</v>
      </c>
      <c r="F48" s="299">
        <v>24500</v>
      </c>
      <c r="G48" s="97">
        <f t="shared" si="42"/>
        <v>28296</v>
      </c>
      <c r="H48" s="299">
        <f>24500</f>
        <v>24500</v>
      </c>
      <c r="I48" s="97">
        <f t="shared" si="43"/>
        <v>28296</v>
      </c>
      <c r="J48" s="97">
        <f t="shared" si="44"/>
        <v>3796</v>
      </c>
      <c r="K48" s="97"/>
      <c r="L48" s="97"/>
      <c r="M48" s="97"/>
      <c r="N48" s="97">
        <v>3796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f t="shared" si="49"/>
        <v>0</v>
      </c>
      <c r="AE48" s="125">
        <f t="shared" si="50"/>
        <v>0</v>
      </c>
      <c r="AF48" s="125"/>
      <c r="AG48" s="125"/>
      <c r="AH48" s="125"/>
      <c r="AI48" s="125"/>
      <c r="AJ48" s="125"/>
      <c r="AK48" s="125"/>
      <c r="AL48" s="125"/>
      <c r="AM48" s="125"/>
      <c r="AN48" s="97"/>
      <c r="AO48" s="313"/>
      <c r="AP48" s="125"/>
      <c r="AQ48" s="125"/>
      <c r="AR48" s="125"/>
      <c r="AS48" s="125"/>
      <c r="AT48" s="125"/>
      <c r="AU48" s="125"/>
      <c r="AV48" s="98" t="s">
        <v>618</v>
      </c>
      <c r="AW48" s="105"/>
    </row>
    <row r="49" spans="1:49" ht="52.5" customHeight="1" x14ac:dyDescent="0.2">
      <c r="A49" s="167"/>
      <c r="B49" s="119"/>
      <c r="C49" s="161"/>
      <c r="D49" s="162"/>
      <c r="E49" s="227" t="s">
        <v>556</v>
      </c>
      <c r="F49" s="299">
        <v>51569</v>
      </c>
      <c r="G49" s="97">
        <f t="shared" si="42"/>
        <v>51569</v>
      </c>
      <c r="H49" s="299">
        <f>51569</f>
        <v>51569</v>
      </c>
      <c r="I49" s="97">
        <f t="shared" si="43"/>
        <v>51569</v>
      </c>
      <c r="J49" s="97">
        <f>SUM(K49:S49)</f>
        <v>0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>
        <f t="shared" si="49"/>
        <v>0</v>
      </c>
      <c r="AE49" s="125">
        <f t="shared" si="50"/>
        <v>0</v>
      </c>
      <c r="AF49" s="125"/>
      <c r="AG49" s="125"/>
      <c r="AH49" s="125"/>
      <c r="AI49" s="125"/>
      <c r="AJ49" s="125"/>
      <c r="AK49" s="125"/>
      <c r="AL49" s="125"/>
      <c r="AM49" s="125"/>
      <c r="AN49" s="97"/>
      <c r="AO49" s="313"/>
      <c r="AP49" s="125"/>
      <c r="AQ49" s="125"/>
      <c r="AR49" s="125"/>
      <c r="AS49" s="125"/>
      <c r="AT49" s="125"/>
      <c r="AU49" s="125"/>
      <c r="AV49" s="98" t="s">
        <v>619</v>
      </c>
      <c r="AW49" s="105"/>
    </row>
    <row r="50" spans="1:49" s="285" customFormat="1" ht="24" x14ac:dyDescent="0.2">
      <c r="A50" s="167"/>
      <c r="B50" s="119"/>
      <c r="C50" s="286"/>
      <c r="D50" s="287"/>
      <c r="E50" s="227" t="s">
        <v>740</v>
      </c>
      <c r="F50" s="299"/>
      <c r="G50" s="97">
        <f t="shared" si="42"/>
        <v>50573</v>
      </c>
      <c r="H50" s="299">
        <f>0</f>
        <v>0</v>
      </c>
      <c r="I50" s="97">
        <f t="shared" si="43"/>
        <v>50573</v>
      </c>
      <c r="J50" s="97">
        <f>SUM(K50:S50)</f>
        <v>50573</v>
      </c>
      <c r="K50" s="97"/>
      <c r="L50" s="97"/>
      <c r="M50" s="97"/>
      <c r="N50" s="97">
        <v>50573</v>
      </c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>
        <f t="shared" si="49"/>
        <v>0</v>
      </c>
      <c r="AE50" s="125">
        <f t="shared" si="50"/>
        <v>0</v>
      </c>
      <c r="AF50" s="125"/>
      <c r="AG50" s="125"/>
      <c r="AH50" s="125"/>
      <c r="AI50" s="125"/>
      <c r="AJ50" s="125"/>
      <c r="AK50" s="125"/>
      <c r="AL50" s="125"/>
      <c r="AM50" s="125"/>
      <c r="AN50" s="97"/>
      <c r="AO50" s="313"/>
      <c r="AP50" s="125"/>
      <c r="AQ50" s="125"/>
      <c r="AR50" s="125"/>
      <c r="AS50" s="125"/>
      <c r="AT50" s="125"/>
      <c r="AU50" s="125"/>
      <c r="AV50" s="98" t="s">
        <v>741</v>
      </c>
      <c r="AW50" s="105"/>
    </row>
    <row r="51" spans="1:49" s="279" customFormat="1" ht="36" x14ac:dyDescent="0.2">
      <c r="A51" s="167"/>
      <c r="B51" s="119"/>
      <c r="C51" s="280"/>
      <c r="D51" s="281"/>
      <c r="E51" s="227" t="s">
        <v>731</v>
      </c>
      <c r="F51" s="299"/>
      <c r="G51" s="97">
        <f t="shared" si="42"/>
        <v>18500</v>
      </c>
      <c r="H51" s="299"/>
      <c r="I51" s="97">
        <f t="shared" si="43"/>
        <v>18500</v>
      </c>
      <c r="J51" s="97">
        <f>SUM(K51:S51)</f>
        <v>18500</v>
      </c>
      <c r="K51" s="97"/>
      <c r="L51" s="97"/>
      <c r="M51" s="97"/>
      <c r="N51" s="97">
        <v>18500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f t="shared" si="49"/>
        <v>0</v>
      </c>
      <c r="AE51" s="125">
        <f t="shared" si="50"/>
        <v>0</v>
      </c>
      <c r="AF51" s="125"/>
      <c r="AG51" s="125"/>
      <c r="AH51" s="125"/>
      <c r="AI51" s="125"/>
      <c r="AJ51" s="125"/>
      <c r="AK51" s="125"/>
      <c r="AL51" s="125"/>
      <c r="AM51" s="125"/>
      <c r="AN51" s="97"/>
      <c r="AO51" s="313"/>
      <c r="AP51" s="125"/>
      <c r="AQ51" s="125"/>
      <c r="AR51" s="125"/>
      <c r="AS51" s="125"/>
      <c r="AT51" s="125"/>
      <c r="AU51" s="125"/>
      <c r="AV51" s="98"/>
      <c r="AW51" s="105"/>
    </row>
    <row r="52" spans="1:49" ht="33.75" customHeight="1" x14ac:dyDescent="0.2">
      <c r="A52" s="167">
        <v>90000518538</v>
      </c>
      <c r="B52" s="119"/>
      <c r="C52" s="447" t="s">
        <v>257</v>
      </c>
      <c r="D52" s="448"/>
      <c r="E52" s="227" t="s">
        <v>247</v>
      </c>
      <c r="F52" s="299">
        <v>336696</v>
      </c>
      <c r="G52" s="97">
        <f t="shared" si="42"/>
        <v>336696</v>
      </c>
      <c r="H52" s="299">
        <f>336696</f>
        <v>336696</v>
      </c>
      <c r="I52" s="97">
        <f t="shared" si="43"/>
        <v>336696</v>
      </c>
      <c r="J52" s="97">
        <f>SUM(K52:S52)</f>
        <v>0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>
        <f t="shared" si="49"/>
        <v>0</v>
      </c>
      <c r="AE52" s="125">
        <f t="shared" si="50"/>
        <v>0</v>
      </c>
      <c r="AF52" s="125"/>
      <c r="AG52" s="125"/>
      <c r="AH52" s="125"/>
      <c r="AI52" s="125"/>
      <c r="AJ52" s="125"/>
      <c r="AK52" s="125"/>
      <c r="AL52" s="125"/>
      <c r="AM52" s="125"/>
      <c r="AN52" s="97"/>
      <c r="AO52" s="313"/>
      <c r="AP52" s="125"/>
      <c r="AQ52" s="125"/>
      <c r="AR52" s="125"/>
      <c r="AS52" s="125"/>
      <c r="AT52" s="125"/>
      <c r="AU52" s="125"/>
      <c r="AV52" s="98" t="s">
        <v>387</v>
      </c>
      <c r="AW52" s="105"/>
    </row>
    <row r="53" spans="1:49" ht="68.25" customHeight="1" x14ac:dyDescent="0.2">
      <c r="A53" s="167"/>
      <c r="B53" s="119"/>
      <c r="C53" s="447" t="s">
        <v>215</v>
      </c>
      <c r="D53" s="448"/>
      <c r="E53" s="424" t="s">
        <v>216</v>
      </c>
      <c r="F53" s="299">
        <v>534375</v>
      </c>
      <c r="G53" s="97">
        <f t="shared" si="42"/>
        <v>534375</v>
      </c>
      <c r="H53" s="299">
        <f>534375</f>
        <v>534375</v>
      </c>
      <c r="I53" s="97">
        <f t="shared" si="43"/>
        <v>534375</v>
      </c>
      <c r="J53" s="97">
        <f t="shared" si="44"/>
        <v>0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125"/>
      <c r="AF53" s="125"/>
      <c r="AG53" s="125"/>
      <c r="AH53" s="125"/>
      <c r="AI53" s="125"/>
      <c r="AJ53" s="125"/>
      <c r="AK53" s="125"/>
      <c r="AL53" s="125"/>
      <c r="AM53" s="125"/>
      <c r="AN53" s="97"/>
      <c r="AO53" s="313"/>
      <c r="AP53" s="125"/>
      <c r="AQ53" s="125"/>
      <c r="AR53" s="125"/>
      <c r="AS53" s="125"/>
      <c r="AT53" s="125"/>
      <c r="AU53" s="125"/>
      <c r="AV53" s="98" t="s">
        <v>660</v>
      </c>
      <c r="AW53" s="105"/>
    </row>
    <row r="54" spans="1:49" ht="25.5" customHeight="1" x14ac:dyDescent="0.2">
      <c r="A54" s="167"/>
      <c r="B54" s="119"/>
      <c r="C54" s="228"/>
      <c r="D54" s="229"/>
      <c r="E54" s="424" t="s">
        <v>256</v>
      </c>
      <c r="F54" s="299">
        <v>14100</v>
      </c>
      <c r="G54" s="97">
        <f t="shared" si="42"/>
        <v>14100</v>
      </c>
      <c r="H54" s="299">
        <f>14100</f>
        <v>14100</v>
      </c>
      <c r="I54" s="97">
        <f t="shared" si="43"/>
        <v>14100</v>
      </c>
      <c r="J54" s="97">
        <f t="shared" si="44"/>
        <v>0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125"/>
      <c r="AF54" s="125"/>
      <c r="AG54" s="125"/>
      <c r="AH54" s="125"/>
      <c r="AI54" s="125"/>
      <c r="AJ54" s="125"/>
      <c r="AK54" s="125"/>
      <c r="AL54" s="125"/>
      <c r="AM54" s="125"/>
      <c r="AN54" s="97"/>
      <c r="AO54" s="313"/>
      <c r="AP54" s="125"/>
      <c r="AQ54" s="125"/>
      <c r="AR54" s="125"/>
      <c r="AS54" s="125"/>
      <c r="AT54" s="125"/>
      <c r="AU54" s="125"/>
      <c r="AV54" s="98" t="s">
        <v>661</v>
      </c>
      <c r="AW54" s="105"/>
    </row>
    <row r="55" spans="1:49" ht="12.75" x14ac:dyDescent="0.2">
      <c r="A55" s="167"/>
      <c r="B55" s="119"/>
      <c r="C55" s="228"/>
      <c r="D55" s="229"/>
      <c r="E55" s="424" t="s">
        <v>239</v>
      </c>
      <c r="F55" s="299">
        <v>232216</v>
      </c>
      <c r="G55" s="97">
        <f t="shared" si="42"/>
        <v>232216</v>
      </c>
      <c r="H55" s="299">
        <f>232216</f>
        <v>232216</v>
      </c>
      <c r="I55" s="97">
        <f t="shared" si="43"/>
        <v>232216</v>
      </c>
      <c r="J55" s="97">
        <f t="shared" si="44"/>
        <v>0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125"/>
      <c r="AF55" s="125"/>
      <c r="AG55" s="125"/>
      <c r="AH55" s="125"/>
      <c r="AI55" s="125"/>
      <c r="AJ55" s="125"/>
      <c r="AK55" s="125"/>
      <c r="AL55" s="125"/>
      <c r="AM55" s="125"/>
      <c r="AN55" s="97"/>
      <c r="AO55" s="313"/>
      <c r="AP55" s="125"/>
      <c r="AQ55" s="125"/>
      <c r="AR55" s="125"/>
      <c r="AS55" s="125"/>
      <c r="AT55" s="125"/>
      <c r="AU55" s="125"/>
      <c r="AV55" s="98" t="s">
        <v>662</v>
      </c>
      <c r="AW55" s="105"/>
    </row>
    <row r="56" spans="1:49" ht="29.25" customHeight="1" x14ac:dyDescent="0.2">
      <c r="A56" s="167"/>
      <c r="B56" s="119"/>
      <c r="C56" s="163"/>
      <c r="D56" s="164"/>
      <c r="E56" s="424" t="s">
        <v>531</v>
      </c>
      <c r="F56" s="299">
        <v>239470</v>
      </c>
      <c r="G56" s="97">
        <f t="shared" si="42"/>
        <v>239470</v>
      </c>
      <c r="H56" s="299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>
        <v>239470</v>
      </c>
      <c r="AM56" s="125"/>
      <c r="AN56" s="97"/>
      <c r="AO56" s="313"/>
      <c r="AP56" s="97"/>
      <c r="AQ56" s="97"/>
      <c r="AR56" s="97"/>
      <c r="AS56" s="97"/>
      <c r="AT56" s="97"/>
      <c r="AU56" s="97"/>
      <c r="AV56" s="98"/>
      <c r="AW56" s="105"/>
    </row>
    <row r="57" spans="1:49" ht="48" customHeight="1" x14ac:dyDescent="0.2">
      <c r="A57" s="167"/>
      <c r="B57" s="119"/>
      <c r="C57" s="163"/>
      <c r="D57" s="164"/>
      <c r="E57" s="424" t="s">
        <v>527</v>
      </c>
      <c r="F57" s="299">
        <v>256117</v>
      </c>
      <c r="G57" s="97">
        <f t="shared" si="42"/>
        <v>256117</v>
      </c>
      <c r="H57" s="299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>
        <v>256117</v>
      </c>
      <c r="AM57" s="125"/>
      <c r="AN57" s="97"/>
      <c r="AO57" s="313"/>
      <c r="AP57" s="97"/>
      <c r="AQ57" s="97"/>
      <c r="AR57" s="97"/>
      <c r="AS57" s="97"/>
      <c r="AT57" s="97"/>
      <c r="AU57" s="97"/>
      <c r="AV57" s="98"/>
      <c r="AW57" s="105"/>
    </row>
    <row r="58" spans="1:49" ht="36" x14ac:dyDescent="0.2">
      <c r="A58" s="167"/>
      <c r="B58" s="119"/>
      <c r="C58" s="163"/>
      <c r="D58" s="164"/>
      <c r="E58" s="424" t="s">
        <v>532</v>
      </c>
      <c r="F58" s="299">
        <v>729055</v>
      </c>
      <c r="G58" s="97">
        <f t="shared" si="42"/>
        <v>933102</v>
      </c>
      <c r="H58" s="299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>
        <f>729055+204047</f>
        <v>933102</v>
      </c>
      <c r="AM58" s="125"/>
      <c r="AN58" s="97"/>
      <c r="AO58" s="313"/>
      <c r="AP58" s="97"/>
      <c r="AQ58" s="97"/>
      <c r="AR58" s="97"/>
      <c r="AS58" s="97"/>
      <c r="AT58" s="97"/>
      <c r="AU58" s="97"/>
      <c r="AV58" s="98"/>
      <c r="AW58" s="105"/>
    </row>
    <row r="59" spans="1:49" ht="13.5" thickBot="1" x14ac:dyDescent="0.25">
      <c r="A59" s="167"/>
      <c r="B59" s="145"/>
      <c r="C59" s="487"/>
      <c r="D59" s="488"/>
      <c r="E59" s="425"/>
      <c r="F59" s="300"/>
      <c r="G59" s="84"/>
      <c r="H59" s="300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124"/>
      <c r="AF59" s="124"/>
      <c r="AG59" s="124"/>
      <c r="AH59" s="124"/>
      <c r="AI59" s="124"/>
      <c r="AJ59" s="124"/>
      <c r="AK59" s="124"/>
      <c r="AL59" s="124"/>
      <c r="AM59" s="124"/>
      <c r="AN59" s="84"/>
      <c r="AO59" s="314"/>
      <c r="AP59" s="124"/>
      <c r="AQ59" s="124"/>
      <c r="AR59" s="124"/>
      <c r="AS59" s="124"/>
      <c r="AT59" s="124"/>
      <c r="AU59" s="124"/>
      <c r="AV59" s="85"/>
      <c r="AW59" s="106"/>
    </row>
    <row r="60" spans="1:49" ht="12.75" thickBot="1" x14ac:dyDescent="0.25">
      <c r="A60" s="226"/>
      <c r="B60" s="486" t="s">
        <v>9</v>
      </c>
      <c r="C60" s="486"/>
      <c r="D60" s="223" t="s">
        <v>10</v>
      </c>
      <c r="E60" s="423"/>
      <c r="F60" s="301">
        <v>13280401</v>
      </c>
      <c r="G60" s="417">
        <f t="shared" ref="G60" si="51">SUM(I60,U60,AD60,AL60,AN60)</f>
        <v>13890507</v>
      </c>
      <c r="H60" s="301">
        <f>SUM(H61:H73)</f>
        <v>12419268</v>
      </c>
      <c r="I60" s="7">
        <f>SUM(I61:I73)</f>
        <v>13029374</v>
      </c>
      <c r="J60" s="7">
        <f t="shared" ref="J60:AN60" si="52">SUM(J61:J73)</f>
        <v>610106</v>
      </c>
      <c r="K60" s="7">
        <f t="shared" si="52"/>
        <v>0</v>
      </c>
      <c r="L60" s="7">
        <f t="shared" ref="L60" si="53">SUM(L61:L73)</f>
        <v>0</v>
      </c>
      <c r="M60" s="7">
        <f t="shared" ref="M60" si="54">SUM(M61:M73)</f>
        <v>263877</v>
      </c>
      <c r="N60" s="7">
        <f t="shared" si="52"/>
        <v>235000</v>
      </c>
      <c r="O60" s="7">
        <f t="shared" si="52"/>
        <v>35051</v>
      </c>
      <c r="P60" s="7">
        <f t="shared" si="52"/>
        <v>76178</v>
      </c>
      <c r="Q60" s="7">
        <f t="shared" si="52"/>
        <v>0</v>
      </c>
      <c r="R60" s="7">
        <f t="shared" si="52"/>
        <v>0</v>
      </c>
      <c r="S60" s="7">
        <f t="shared" si="52"/>
        <v>0</v>
      </c>
      <c r="T60" s="7">
        <f t="shared" ref="T60" si="55">SUM(T61:T73)</f>
        <v>647702</v>
      </c>
      <c r="U60" s="7">
        <f t="shared" si="52"/>
        <v>647702</v>
      </c>
      <c r="V60" s="7">
        <f t="shared" si="52"/>
        <v>0</v>
      </c>
      <c r="W60" s="7">
        <f t="shared" si="52"/>
        <v>0</v>
      </c>
      <c r="X60" s="7">
        <f t="shared" si="52"/>
        <v>0</v>
      </c>
      <c r="Y60" s="7">
        <f t="shared" si="52"/>
        <v>0</v>
      </c>
      <c r="Z60" s="7">
        <f t="shared" si="52"/>
        <v>0</v>
      </c>
      <c r="AA60" s="7">
        <f t="shared" si="52"/>
        <v>0</v>
      </c>
      <c r="AB60" s="7">
        <f t="shared" si="52"/>
        <v>0</v>
      </c>
      <c r="AC60" s="7">
        <f t="shared" ref="AC60" si="56">SUM(AC61:AC73)</f>
        <v>0</v>
      </c>
      <c r="AD60" s="7">
        <f t="shared" si="52"/>
        <v>0</v>
      </c>
      <c r="AE60" s="7">
        <f t="shared" si="52"/>
        <v>0</v>
      </c>
      <c r="AF60" s="7">
        <f t="shared" si="52"/>
        <v>0</v>
      </c>
      <c r="AG60" s="7">
        <f t="shared" si="52"/>
        <v>0</v>
      </c>
      <c r="AH60" s="7">
        <f t="shared" si="52"/>
        <v>0</v>
      </c>
      <c r="AI60" s="7">
        <f t="shared" si="52"/>
        <v>0</v>
      </c>
      <c r="AJ60" s="7">
        <f t="shared" si="52"/>
        <v>0</v>
      </c>
      <c r="AK60" s="7">
        <f t="shared" si="52"/>
        <v>0</v>
      </c>
      <c r="AL60" s="7">
        <f t="shared" si="52"/>
        <v>213431</v>
      </c>
      <c r="AM60" s="7">
        <f t="shared" ref="AM60" si="57">SUM(AM61:AM73)</f>
        <v>0</v>
      </c>
      <c r="AN60" s="7">
        <f t="shared" si="52"/>
        <v>0</v>
      </c>
      <c r="AO60" s="319">
        <f t="shared" ref="AO60" si="58">SUM(AO61:AO73)</f>
        <v>0</v>
      </c>
      <c r="AP60" s="7">
        <f t="shared" ref="AP60:AU60" si="59">SUM(AP61:AP73)</f>
        <v>0</v>
      </c>
      <c r="AQ60" s="7">
        <f t="shared" si="59"/>
        <v>0</v>
      </c>
      <c r="AR60" s="7">
        <f t="shared" si="59"/>
        <v>0</v>
      </c>
      <c r="AS60" s="7">
        <f t="shared" si="59"/>
        <v>0</v>
      </c>
      <c r="AT60" s="7">
        <f t="shared" si="59"/>
        <v>0</v>
      </c>
      <c r="AU60" s="7">
        <f t="shared" si="59"/>
        <v>0</v>
      </c>
      <c r="AV60" s="11"/>
      <c r="AW60" s="107"/>
    </row>
    <row r="61" spans="1:49" ht="24.75" thickTop="1" x14ac:dyDescent="0.2">
      <c r="A61" s="167">
        <v>90000056357</v>
      </c>
      <c r="B61" s="235"/>
      <c r="C61" s="476" t="s">
        <v>5</v>
      </c>
      <c r="D61" s="477"/>
      <c r="E61" s="426" t="s">
        <v>574</v>
      </c>
      <c r="F61" s="303">
        <v>20408</v>
      </c>
      <c r="G61" s="100">
        <f t="shared" ref="G61:G72" si="60">SUM(I61,U61,AD61,AL61,AN61)</f>
        <v>20408</v>
      </c>
      <c r="H61" s="303">
        <f>20408</f>
        <v>20408</v>
      </c>
      <c r="I61" s="97">
        <f t="shared" ref="I61:I69" si="61">H61+J61</f>
        <v>20408</v>
      </c>
      <c r="J61" s="100">
        <f t="shared" ref="J61:J69" si="62">SUM(K61:S61)</f>
        <v>0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>
        <f t="shared" ref="AD61:AD70" si="63">AE61+AC61</f>
        <v>0</v>
      </c>
      <c r="AE61" s="126">
        <f t="shared" ref="AE61:AE70" si="64">SUM(AF61:AK61)</f>
        <v>0</v>
      </c>
      <c r="AF61" s="126"/>
      <c r="AG61" s="126"/>
      <c r="AH61" s="126"/>
      <c r="AI61" s="126"/>
      <c r="AJ61" s="126"/>
      <c r="AK61" s="126"/>
      <c r="AL61" s="126"/>
      <c r="AM61" s="126"/>
      <c r="AN61" s="100"/>
      <c r="AO61" s="316"/>
      <c r="AP61" s="126"/>
      <c r="AQ61" s="126"/>
      <c r="AR61" s="126"/>
      <c r="AS61" s="126"/>
      <c r="AT61" s="126"/>
      <c r="AU61" s="126"/>
      <c r="AV61" s="237" t="s">
        <v>578</v>
      </c>
      <c r="AW61" s="218" t="s">
        <v>320</v>
      </c>
    </row>
    <row r="62" spans="1:49" s="216" customFormat="1" ht="36" x14ac:dyDescent="0.2">
      <c r="A62" s="167"/>
      <c r="B62" s="206"/>
      <c r="C62" s="242"/>
      <c r="D62" s="243"/>
      <c r="E62" s="227" t="s">
        <v>576</v>
      </c>
      <c r="F62" s="299">
        <v>30885</v>
      </c>
      <c r="G62" s="97">
        <f t="shared" si="60"/>
        <v>30885</v>
      </c>
      <c r="H62" s="299">
        <f>30885</f>
        <v>30885</v>
      </c>
      <c r="I62" s="97">
        <f t="shared" si="61"/>
        <v>30885</v>
      </c>
      <c r="J62" s="97">
        <f t="shared" si="62"/>
        <v>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>
        <f t="shared" si="63"/>
        <v>0</v>
      </c>
      <c r="AE62" s="125">
        <f t="shared" si="64"/>
        <v>0</v>
      </c>
      <c r="AF62" s="125"/>
      <c r="AG62" s="125"/>
      <c r="AH62" s="125"/>
      <c r="AI62" s="125"/>
      <c r="AJ62" s="125"/>
      <c r="AK62" s="125"/>
      <c r="AL62" s="125"/>
      <c r="AM62" s="125"/>
      <c r="AN62" s="97"/>
      <c r="AO62" s="313"/>
      <c r="AP62" s="125"/>
      <c r="AQ62" s="125"/>
      <c r="AR62" s="125"/>
      <c r="AS62" s="125"/>
      <c r="AT62" s="125"/>
      <c r="AU62" s="125"/>
      <c r="AV62" s="98" t="s">
        <v>388</v>
      </c>
      <c r="AW62" s="105" t="s">
        <v>320</v>
      </c>
    </row>
    <row r="63" spans="1:49" s="216" customFormat="1" ht="42" customHeight="1" x14ac:dyDescent="0.2">
      <c r="A63" s="167"/>
      <c r="C63" s="220"/>
      <c r="D63" s="221"/>
      <c r="E63" s="427" t="s">
        <v>289</v>
      </c>
      <c r="F63" s="300">
        <v>27341</v>
      </c>
      <c r="G63" s="84">
        <f t="shared" si="60"/>
        <v>27341</v>
      </c>
      <c r="H63" s="300">
        <f>27341</f>
        <v>27341</v>
      </c>
      <c r="I63" s="97">
        <f t="shared" si="61"/>
        <v>27341</v>
      </c>
      <c r="J63" s="84">
        <f t="shared" si="62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>
        <f t="shared" si="63"/>
        <v>0</v>
      </c>
      <c r="AE63" s="124">
        <f t="shared" si="64"/>
        <v>0</v>
      </c>
      <c r="AF63" s="124"/>
      <c r="AG63" s="124"/>
      <c r="AH63" s="124"/>
      <c r="AI63" s="124"/>
      <c r="AJ63" s="124"/>
      <c r="AK63" s="124"/>
      <c r="AL63" s="124"/>
      <c r="AM63" s="124"/>
      <c r="AN63" s="84"/>
      <c r="AO63" s="314"/>
      <c r="AP63" s="124"/>
      <c r="AQ63" s="124"/>
      <c r="AR63" s="124"/>
      <c r="AS63" s="124"/>
      <c r="AT63" s="124"/>
      <c r="AU63" s="124"/>
      <c r="AV63" s="85" t="s">
        <v>620</v>
      </c>
      <c r="AW63" s="106" t="s">
        <v>320</v>
      </c>
    </row>
    <row r="64" spans="1:49" ht="39.75" customHeight="1" x14ac:dyDescent="0.2">
      <c r="A64" s="167"/>
      <c r="B64" s="119"/>
      <c r="C64" s="161"/>
      <c r="D64" s="162"/>
      <c r="E64" s="227" t="s">
        <v>304</v>
      </c>
      <c r="F64" s="299">
        <v>1759079</v>
      </c>
      <c r="G64" s="97">
        <f t="shared" si="60"/>
        <v>1994079</v>
      </c>
      <c r="H64" s="299">
        <f>1759079</f>
        <v>1759079</v>
      </c>
      <c r="I64" s="97">
        <f t="shared" si="61"/>
        <v>1994079</v>
      </c>
      <c r="J64" s="97">
        <f t="shared" si="62"/>
        <v>235000</v>
      </c>
      <c r="K64" s="97"/>
      <c r="L64" s="97"/>
      <c r="M64" s="97"/>
      <c r="N64" s="97">
        <v>235000</v>
      </c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f t="shared" si="63"/>
        <v>0</v>
      </c>
      <c r="AE64" s="125">
        <f t="shared" si="64"/>
        <v>0</v>
      </c>
      <c r="AF64" s="125"/>
      <c r="AG64" s="125"/>
      <c r="AH64" s="125"/>
      <c r="AI64" s="125"/>
      <c r="AJ64" s="125"/>
      <c r="AK64" s="125"/>
      <c r="AL64" s="125"/>
      <c r="AM64" s="125"/>
      <c r="AN64" s="97"/>
      <c r="AO64" s="313"/>
      <c r="AP64" s="125"/>
      <c r="AQ64" s="125"/>
      <c r="AR64" s="125"/>
      <c r="AS64" s="125"/>
      <c r="AT64" s="125"/>
      <c r="AU64" s="125"/>
      <c r="AV64" s="98" t="s">
        <v>575</v>
      </c>
      <c r="AW64" s="105" t="s">
        <v>368</v>
      </c>
    </row>
    <row r="65" spans="1:49" ht="36" x14ac:dyDescent="0.2">
      <c r="A65" s="167"/>
      <c r="B65" s="119"/>
      <c r="C65" s="161"/>
      <c r="D65" s="162"/>
      <c r="E65" s="227" t="s">
        <v>552</v>
      </c>
      <c r="F65" s="299">
        <v>1705494</v>
      </c>
      <c r="G65" s="97">
        <f t="shared" si="60"/>
        <v>1969371</v>
      </c>
      <c r="H65" s="299">
        <f>1057792</f>
        <v>1057792</v>
      </c>
      <c r="I65" s="97">
        <f t="shared" si="61"/>
        <v>1321669</v>
      </c>
      <c r="J65" s="97">
        <f t="shared" si="62"/>
        <v>263877</v>
      </c>
      <c r="K65" s="97"/>
      <c r="L65" s="97"/>
      <c r="M65" s="97">
        <v>263877</v>
      </c>
      <c r="N65" s="97"/>
      <c r="O65" s="97"/>
      <c r="P65" s="97"/>
      <c r="Q65" s="97"/>
      <c r="R65" s="97"/>
      <c r="S65" s="97"/>
      <c r="T65" s="97">
        <f>647702</f>
        <v>647702</v>
      </c>
      <c r="U65" s="97">
        <f>T65+V65</f>
        <v>647702</v>
      </c>
      <c r="V65" s="97">
        <f>SUM(W65:AB65)</f>
        <v>0</v>
      </c>
      <c r="W65" s="97"/>
      <c r="X65" s="97"/>
      <c r="Y65" s="97"/>
      <c r="Z65" s="97"/>
      <c r="AA65" s="97"/>
      <c r="AB65" s="97"/>
      <c r="AC65" s="97"/>
      <c r="AD65" s="97">
        <f t="shared" si="63"/>
        <v>0</v>
      </c>
      <c r="AE65" s="125">
        <f t="shared" si="64"/>
        <v>0</v>
      </c>
      <c r="AF65" s="125"/>
      <c r="AG65" s="125"/>
      <c r="AH65" s="125"/>
      <c r="AI65" s="125"/>
      <c r="AJ65" s="125"/>
      <c r="AK65" s="125"/>
      <c r="AL65" s="125"/>
      <c r="AM65" s="125"/>
      <c r="AN65" s="97"/>
      <c r="AO65" s="313"/>
      <c r="AP65" s="125"/>
      <c r="AQ65" s="125"/>
      <c r="AR65" s="125"/>
      <c r="AS65" s="125"/>
      <c r="AT65" s="125"/>
      <c r="AU65" s="125"/>
      <c r="AV65" s="98" t="s">
        <v>577</v>
      </c>
      <c r="AW65" s="105" t="s">
        <v>372</v>
      </c>
    </row>
    <row r="66" spans="1:49" ht="36" x14ac:dyDescent="0.2">
      <c r="A66" s="167">
        <v>40003275333</v>
      </c>
      <c r="B66" s="119"/>
      <c r="C66" s="447" t="s">
        <v>311</v>
      </c>
      <c r="D66" s="448"/>
      <c r="E66" s="227" t="s">
        <v>498</v>
      </c>
      <c r="F66" s="299">
        <v>466360</v>
      </c>
      <c r="G66" s="97">
        <f t="shared" si="60"/>
        <v>466360</v>
      </c>
      <c r="H66" s="299">
        <f>466360</f>
        <v>466360</v>
      </c>
      <c r="I66" s="97">
        <f t="shared" si="61"/>
        <v>466360</v>
      </c>
      <c r="J66" s="97">
        <f t="shared" si="62"/>
        <v>0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>
        <f t="shared" si="63"/>
        <v>0</v>
      </c>
      <c r="AE66" s="125">
        <f t="shared" si="64"/>
        <v>0</v>
      </c>
      <c r="AF66" s="125"/>
      <c r="AG66" s="125"/>
      <c r="AH66" s="125"/>
      <c r="AI66" s="125"/>
      <c r="AJ66" s="125"/>
      <c r="AK66" s="125"/>
      <c r="AL66" s="125"/>
      <c r="AM66" s="125"/>
      <c r="AN66" s="97"/>
      <c r="AO66" s="313"/>
      <c r="AP66" s="125"/>
      <c r="AQ66" s="125"/>
      <c r="AR66" s="125"/>
      <c r="AS66" s="125"/>
      <c r="AT66" s="125"/>
      <c r="AU66" s="125"/>
      <c r="AV66" s="98" t="s">
        <v>389</v>
      </c>
      <c r="AW66" s="105"/>
    </row>
    <row r="67" spans="1:49" ht="30" customHeight="1" x14ac:dyDescent="0.2">
      <c r="A67" s="167"/>
      <c r="B67" s="119"/>
      <c r="C67" s="161"/>
      <c r="D67" s="162"/>
      <c r="E67" s="227" t="s">
        <v>499</v>
      </c>
      <c r="F67" s="299">
        <v>326635</v>
      </c>
      <c r="G67" s="97">
        <f t="shared" si="60"/>
        <v>326635</v>
      </c>
      <c r="H67" s="299">
        <f>326635</f>
        <v>326635</v>
      </c>
      <c r="I67" s="97">
        <f t="shared" si="61"/>
        <v>326635</v>
      </c>
      <c r="J67" s="97">
        <f t="shared" si="62"/>
        <v>0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>
        <f t="shared" si="63"/>
        <v>0</v>
      </c>
      <c r="AE67" s="125">
        <f t="shared" si="64"/>
        <v>0</v>
      </c>
      <c r="AF67" s="125"/>
      <c r="AG67" s="125"/>
      <c r="AH67" s="125"/>
      <c r="AI67" s="125"/>
      <c r="AJ67" s="125"/>
      <c r="AK67" s="125"/>
      <c r="AL67" s="125"/>
      <c r="AM67" s="125"/>
      <c r="AN67" s="97"/>
      <c r="AO67" s="313"/>
      <c r="AP67" s="125"/>
      <c r="AQ67" s="125"/>
      <c r="AR67" s="125"/>
      <c r="AS67" s="125"/>
      <c r="AT67" s="125"/>
      <c r="AU67" s="125"/>
      <c r="AV67" s="98" t="s">
        <v>390</v>
      </c>
      <c r="AW67" s="105"/>
    </row>
    <row r="68" spans="1:49" s="165" customFormat="1" ht="36" x14ac:dyDescent="0.2">
      <c r="A68" s="167"/>
      <c r="B68" s="119"/>
      <c r="C68" s="161"/>
      <c r="D68" s="162"/>
      <c r="E68" s="227" t="s">
        <v>767</v>
      </c>
      <c r="F68" s="299">
        <v>0</v>
      </c>
      <c r="G68" s="97">
        <f t="shared" si="60"/>
        <v>35051</v>
      </c>
      <c r="H68" s="299">
        <v>0</v>
      </c>
      <c r="I68" s="97">
        <f t="shared" si="61"/>
        <v>35051</v>
      </c>
      <c r="J68" s="97">
        <f t="shared" si="62"/>
        <v>35051</v>
      </c>
      <c r="K68" s="97"/>
      <c r="L68" s="97"/>
      <c r="M68" s="97"/>
      <c r="N68" s="97"/>
      <c r="O68" s="97">
        <v>35051</v>
      </c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>
        <f t="shared" si="63"/>
        <v>0</v>
      </c>
      <c r="AE68" s="125">
        <f t="shared" si="64"/>
        <v>0</v>
      </c>
      <c r="AF68" s="125"/>
      <c r="AG68" s="125"/>
      <c r="AH68" s="125"/>
      <c r="AI68" s="125"/>
      <c r="AJ68" s="125"/>
      <c r="AK68" s="125"/>
      <c r="AL68" s="125"/>
      <c r="AM68" s="125"/>
      <c r="AN68" s="97"/>
      <c r="AO68" s="313"/>
      <c r="AP68" s="125"/>
      <c r="AQ68" s="125"/>
      <c r="AR68" s="125"/>
      <c r="AS68" s="125"/>
      <c r="AT68" s="125"/>
      <c r="AU68" s="125"/>
      <c r="AV68" s="98" t="s">
        <v>770</v>
      </c>
      <c r="AW68" s="105"/>
    </row>
    <row r="69" spans="1:49" s="154" customFormat="1" ht="51" customHeight="1" x14ac:dyDescent="0.2">
      <c r="A69" s="167"/>
      <c r="B69" s="119"/>
      <c r="C69" s="161"/>
      <c r="D69" s="162"/>
      <c r="E69" s="227" t="s">
        <v>366</v>
      </c>
      <c r="F69" s="299">
        <v>2320876</v>
      </c>
      <c r="G69" s="97">
        <f t="shared" si="60"/>
        <v>2320876</v>
      </c>
      <c r="H69" s="299">
        <f>2320876</f>
        <v>2320876</v>
      </c>
      <c r="I69" s="97">
        <f t="shared" si="61"/>
        <v>2320876</v>
      </c>
      <c r="J69" s="97">
        <f t="shared" si="62"/>
        <v>0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>
        <f t="shared" si="63"/>
        <v>0</v>
      </c>
      <c r="AE69" s="125">
        <f t="shared" si="64"/>
        <v>0</v>
      </c>
      <c r="AF69" s="125"/>
      <c r="AG69" s="125"/>
      <c r="AH69" s="125"/>
      <c r="AI69" s="125"/>
      <c r="AJ69" s="125"/>
      <c r="AK69" s="125"/>
      <c r="AL69" s="125"/>
      <c r="AM69" s="125"/>
      <c r="AN69" s="97"/>
      <c r="AO69" s="313"/>
      <c r="AP69" s="125"/>
      <c r="AQ69" s="125"/>
      <c r="AR69" s="125"/>
      <c r="AS69" s="125"/>
      <c r="AT69" s="125"/>
      <c r="AU69" s="125"/>
      <c r="AV69" s="98" t="s">
        <v>391</v>
      </c>
      <c r="AW69" s="105"/>
    </row>
    <row r="70" spans="1:49" s="154" customFormat="1" ht="48" customHeight="1" x14ac:dyDescent="0.2">
      <c r="A70" s="167"/>
      <c r="B70" s="119"/>
      <c r="C70" s="161"/>
      <c r="D70" s="162"/>
      <c r="E70" s="227" t="s">
        <v>367</v>
      </c>
      <c r="F70" s="299">
        <v>6409892</v>
      </c>
      <c r="G70" s="97">
        <f t="shared" si="60"/>
        <v>6409892</v>
      </c>
      <c r="H70" s="299">
        <f>6409892</f>
        <v>6409892</v>
      </c>
      <c r="I70" s="97">
        <f>H70+J70</f>
        <v>6409892</v>
      </c>
      <c r="J70" s="97">
        <f>SUM(K70:S70)</f>
        <v>0</v>
      </c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>
        <f t="shared" si="63"/>
        <v>0</v>
      </c>
      <c r="AE70" s="125">
        <f t="shared" si="64"/>
        <v>0</v>
      </c>
      <c r="AF70" s="125"/>
      <c r="AG70" s="125"/>
      <c r="AH70" s="125"/>
      <c r="AI70" s="125"/>
      <c r="AJ70" s="125"/>
      <c r="AK70" s="125"/>
      <c r="AL70" s="125"/>
      <c r="AM70" s="125"/>
      <c r="AN70" s="97"/>
      <c r="AO70" s="313"/>
      <c r="AP70" s="125"/>
      <c r="AQ70" s="125"/>
      <c r="AR70" s="125"/>
      <c r="AS70" s="125"/>
      <c r="AT70" s="125"/>
      <c r="AU70" s="125"/>
      <c r="AV70" s="98" t="s">
        <v>392</v>
      </c>
      <c r="AW70" s="105"/>
    </row>
    <row r="71" spans="1:49" s="437" customFormat="1" ht="48" customHeight="1" x14ac:dyDescent="0.2">
      <c r="A71" s="167"/>
      <c r="B71" s="119"/>
      <c r="C71" s="438"/>
      <c r="D71" s="439"/>
      <c r="E71" s="227" t="s">
        <v>769</v>
      </c>
      <c r="F71" s="299"/>
      <c r="G71" s="97">
        <f t="shared" si="60"/>
        <v>76178</v>
      </c>
      <c r="H71" s="299"/>
      <c r="I71" s="97">
        <f>H71+J71</f>
        <v>76178</v>
      </c>
      <c r="J71" s="97">
        <f>SUM(K71:S71)</f>
        <v>76178</v>
      </c>
      <c r="K71" s="97"/>
      <c r="L71" s="97"/>
      <c r="M71" s="97"/>
      <c r="N71" s="97"/>
      <c r="O71" s="97"/>
      <c r="P71" s="97">
        <v>76178</v>
      </c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125"/>
      <c r="AF71" s="125"/>
      <c r="AG71" s="125"/>
      <c r="AH71" s="125"/>
      <c r="AI71" s="125"/>
      <c r="AJ71" s="125"/>
      <c r="AK71" s="125"/>
      <c r="AL71" s="125"/>
      <c r="AM71" s="125"/>
      <c r="AN71" s="97"/>
      <c r="AO71" s="313"/>
      <c r="AP71" s="125"/>
      <c r="AQ71" s="125"/>
      <c r="AR71" s="125"/>
      <c r="AS71" s="125"/>
      <c r="AT71" s="125"/>
      <c r="AU71" s="125"/>
      <c r="AV71" s="98" t="s">
        <v>771</v>
      </c>
      <c r="AW71" s="105"/>
    </row>
    <row r="72" spans="1:49" ht="65.25" customHeight="1" x14ac:dyDescent="0.2">
      <c r="A72" s="167"/>
      <c r="B72" s="119"/>
      <c r="C72" s="447" t="s">
        <v>215</v>
      </c>
      <c r="D72" s="448"/>
      <c r="E72" s="227" t="s">
        <v>334</v>
      </c>
      <c r="F72" s="299">
        <v>213431</v>
      </c>
      <c r="G72" s="97">
        <f t="shared" si="60"/>
        <v>213431</v>
      </c>
      <c r="H72" s="299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125"/>
      <c r="AF72" s="125"/>
      <c r="AG72" s="125"/>
      <c r="AH72" s="125"/>
      <c r="AI72" s="125"/>
      <c r="AJ72" s="125"/>
      <c r="AK72" s="125"/>
      <c r="AL72" s="125">
        <v>213431</v>
      </c>
      <c r="AM72" s="125"/>
      <c r="AN72" s="97"/>
      <c r="AO72" s="313"/>
      <c r="AP72" s="125"/>
      <c r="AQ72" s="125"/>
      <c r="AR72" s="125"/>
      <c r="AS72" s="125"/>
      <c r="AT72" s="125"/>
      <c r="AU72" s="125"/>
      <c r="AV72" s="98"/>
      <c r="AW72" s="105"/>
    </row>
    <row r="73" spans="1:49" ht="12.75" thickBot="1" x14ac:dyDescent="0.25">
      <c r="A73" s="167"/>
      <c r="B73" s="145"/>
      <c r="C73" s="489"/>
      <c r="D73" s="490"/>
      <c r="E73" s="425"/>
      <c r="F73" s="300"/>
      <c r="G73" s="84"/>
      <c r="H73" s="300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124"/>
      <c r="AF73" s="124"/>
      <c r="AG73" s="124"/>
      <c r="AH73" s="124"/>
      <c r="AI73" s="124"/>
      <c r="AJ73" s="124"/>
      <c r="AK73" s="124"/>
      <c r="AL73" s="124"/>
      <c r="AM73" s="124"/>
      <c r="AN73" s="84"/>
      <c r="AO73" s="314"/>
      <c r="AP73" s="124"/>
      <c r="AQ73" s="124"/>
      <c r="AR73" s="124"/>
      <c r="AS73" s="124"/>
      <c r="AT73" s="124"/>
      <c r="AU73" s="124"/>
      <c r="AV73" s="85"/>
      <c r="AW73" s="106"/>
    </row>
    <row r="74" spans="1:49" ht="27.75" customHeight="1" thickBot="1" x14ac:dyDescent="0.25">
      <c r="A74" s="226"/>
      <c r="B74" s="486" t="s">
        <v>11</v>
      </c>
      <c r="C74" s="486"/>
      <c r="D74" s="223" t="s">
        <v>214</v>
      </c>
      <c r="E74" s="423"/>
      <c r="F74" s="301">
        <v>10729231.548024692</v>
      </c>
      <c r="G74" s="417">
        <f t="shared" ref="G74" si="65">SUM(I74,U74,AD74,AL74,AN74)</f>
        <v>10501462</v>
      </c>
      <c r="H74" s="301">
        <f>SUM(H75:H84,H85:H87)</f>
        <v>10192680.550000001</v>
      </c>
      <c r="I74" s="7">
        <f t="shared" ref="I74:S74" si="66">SUM(I75:I84,I85:I87)</f>
        <v>9957829</v>
      </c>
      <c r="J74" s="7">
        <f t="shared" si="66"/>
        <v>-234852</v>
      </c>
      <c r="K74" s="7">
        <f t="shared" si="66"/>
        <v>0</v>
      </c>
      <c r="L74" s="7">
        <f t="shared" si="66"/>
        <v>0</v>
      </c>
      <c r="M74" s="7">
        <f t="shared" si="66"/>
        <v>-263877</v>
      </c>
      <c r="N74" s="7">
        <f t="shared" si="66"/>
        <v>0</v>
      </c>
      <c r="O74" s="7">
        <f t="shared" si="66"/>
        <v>36143</v>
      </c>
      <c r="P74" s="7">
        <f t="shared" si="66"/>
        <v>-7118</v>
      </c>
      <c r="Q74" s="7">
        <f t="shared" si="66"/>
        <v>0</v>
      </c>
      <c r="R74" s="7">
        <f t="shared" si="66"/>
        <v>0</v>
      </c>
      <c r="S74" s="7">
        <f t="shared" si="66"/>
        <v>0</v>
      </c>
      <c r="T74" s="7">
        <f t="shared" ref="T74" si="67">SUM(T75:T83,T85:T87)</f>
        <v>0</v>
      </c>
      <c r="U74" s="7">
        <f t="shared" ref="U74:AN74" si="68">SUM(U75:U83,U85:U87)</f>
        <v>0</v>
      </c>
      <c r="V74" s="7">
        <f t="shared" si="68"/>
        <v>0</v>
      </c>
      <c r="W74" s="7">
        <f t="shared" si="68"/>
        <v>0</v>
      </c>
      <c r="X74" s="7">
        <f t="shared" si="68"/>
        <v>0</v>
      </c>
      <c r="Y74" s="7">
        <f t="shared" si="68"/>
        <v>0</v>
      </c>
      <c r="Z74" s="7">
        <f t="shared" si="68"/>
        <v>0</v>
      </c>
      <c r="AA74" s="7">
        <f t="shared" si="68"/>
        <v>0</v>
      </c>
      <c r="AB74" s="7">
        <f t="shared" si="68"/>
        <v>0</v>
      </c>
      <c r="AC74" s="7">
        <f t="shared" ref="AC74" si="69">SUM(AC75:AC83,AC85:AC87)</f>
        <v>180831</v>
      </c>
      <c r="AD74" s="7">
        <f t="shared" si="68"/>
        <v>187913</v>
      </c>
      <c r="AE74" s="7">
        <f t="shared" si="68"/>
        <v>7082</v>
      </c>
      <c r="AF74" s="7">
        <f t="shared" si="68"/>
        <v>0</v>
      </c>
      <c r="AG74" s="7">
        <f t="shared" si="68"/>
        <v>0</v>
      </c>
      <c r="AH74" s="7">
        <f t="shared" si="68"/>
        <v>7082</v>
      </c>
      <c r="AI74" s="7">
        <f t="shared" si="68"/>
        <v>0</v>
      </c>
      <c r="AJ74" s="7">
        <f t="shared" si="68"/>
        <v>0</v>
      </c>
      <c r="AK74" s="7">
        <f t="shared" si="68"/>
        <v>0</v>
      </c>
      <c r="AL74" s="7">
        <f t="shared" si="68"/>
        <v>355720</v>
      </c>
      <c r="AM74" s="7">
        <f t="shared" ref="AM74" si="70">SUM(AM75:AM83,AM85:AM87)</f>
        <v>0</v>
      </c>
      <c r="AN74" s="7">
        <f t="shared" si="68"/>
        <v>0</v>
      </c>
      <c r="AO74" s="319">
        <f t="shared" ref="AO74" si="71">SUM(AO75:AO83,AO85:AO87)</f>
        <v>0</v>
      </c>
      <c r="AP74" s="7">
        <f t="shared" ref="AP74:AU74" si="72">SUM(AP75:AP83,AP85:AP87)</f>
        <v>0</v>
      </c>
      <c r="AQ74" s="7">
        <f t="shared" si="72"/>
        <v>0</v>
      </c>
      <c r="AR74" s="7">
        <f t="shared" si="72"/>
        <v>0</v>
      </c>
      <c r="AS74" s="7">
        <f t="shared" si="72"/>
        <v>0</v>
      </c>
      <c r="AT74" s="7">
        <f t="shared" si="72"/>
        <v>0</v>
      </c>
      <c r="AU74" s="7">
        <f t="shared" si="72"/>
        <v>0</v>
      </c>
      <c r="AV74" s="11"/>
      <c r="AW74" s="107"/>
    </row>
    <row r="75" spans="1:49" s="121" customFormat="1" ht="13.5" thickTop="1" x14ac:dyDescent="0.2">
      <c r="A75" s="167">
        <v>90000056357</v>
      </c>
      <c r="B75" s="225"/>
      <c r="C75" s="476" t="s">
        <v>5</v>
      </c>
      <c r="D75" s="477"/>
      <c r="E75" s="426" t="s">
        <v>240</v>
      </c>
      <c r="F75" s="303">
        <v>2407283.5480246916</v>
      </c>
      <c r="G75" s="100">
        <f t="shared" ref="G75:G86" si="73">SUM(I75,U75,AD75,AL75,AN75)</f>
        <v>2407284</v>
      </c>
      <c r="H75" s="303">
        <f>2264781.55</f>
        <v>2264781.5499999998</v>
      </c>
      <c r="I75" s="97">
        <f>H75+0.45+J75</f>
        <v>2264782</v>
      </c>
      <c r="J75" s="100">
        <f t="shared" ref="J75:J84" si="74">SUM(K75:S75)</f>
        <v>0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>
        <f>142502</f>
        <v>142502</v>
      </c>
      <c r="AD75" s="100">
        <f>AE75+AC75</f>
        <v>142502</v>
      </c>
      <c r="AE75" s="126">
        <f t="shared" ref="AE75" si="75">SUM(AF75:AK75)</f>
        <v>0</v>
      </c>
      <c r="AF75" s="126"/>
      <c r="AG75" s="126"/>
      <c r="AH75" s="126"/>
      <c r="AI75" s="126"/>
      <c r="AJ75" s="126"/>
      <c r="AK75" s="126"/>
      <c r="AL75" s="126"/>
      <c r="AM75" s="126"/>
      <c r="AN75" s="100"/>
      <c r="AO75" s="316">
        <f t="shared" ref="AO75" si="76">SUM(AP75:AU75)</f>
        <v>0</v>
      </c>
      <c r="AP75" s="126"/>
      <c r="AQ75" s="126"/>
      <c r="AR75" s="126"/>
      <c r="AS75" s="126"/>
      <c r="AT75" s="126"/>
      <c r="AU75" s="126"/>
      <c r="AV75" s="237" t="s">
        <v>393</v>
      </c>
      <c r="AW75" s="218"/>
    </row>
    <row r="76" spans="1:49" s="121" customFormat="1" ht="12.75" x14ac:dyDescent="0.2">
      <c r="A76" s="167"/>
      <c r="C76" s="156"/>
      <c r="D76" s="157"/>
      <c r="E76" s="427" t="s">
        <v>558</v>
      </c>
      <c r="F76" s="302">
        <v>4500</v>
      </c>
      <c r="G76" s="117">
        <f t="shared" si="73"/>
        <v>4500</v>
      </c>
      <c r="H76" s="302">
        <f>4500</f>
        <v>4500</v>
      </c>
      <c r="I76" s="97">
        <f t="shared" ref="I76:I84" si="77">H76+J76</f>
        <v>4500</v>
      </c>
      <c r="J76" s="117">
        <f t="shared" si="74"/>
        <v>0</v>
      </c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>
        <f t="shared" ref="AD76:AD79" si="78">AE76+AC76</f>
        <v>0</v>
      </c>
      <c r="AE76" s="128">
        <f t="shared" ref="AE76:AE79" si="79">SUM(AF76:AK76)</f>
        <v>0</v>
      </c>
      <c r="AF76" s="128"/>
      <c r="AG76" s="128"/>
      <c r="AH76" s="128"/>
      <c r="AI76" s="128"/>
      <c r="AJ76" s="128"/>
      <c r="AK76" s="128"/>
      <c r="AL76" s="128"/>
      <c r="AM76" s="128"/>
      <c r="AN76" s="117"/>
      <c r="AO76" s="315"/>
      <c r="AP76" s="128"/>
      <c r="AQ76" s="128"/>
      <c r="AR76" s="128"/>
      <c r="AS76" s="128"/>
      <c r="AT76" s="128"/>
      <c r="AU76" s="128"/>
      <c r="AV76" s="236" t="s">
        <v>394</v>
      </c>
      <c r="AW76" s="219"/>
    </row>
    <row r="77" spans="1:49" s="121" customFormat="1" ht="48" x14ac:dyDescent="0.2">
      <c r="A77" s="167"/>
      <c r="C77" s="156"/>
      <c r="D77" s="157"/>
      <c r="E77" s="427" t="s">
        <v>561</v>
      </c>
      <c r="F77" s="299">
        <v>5027122</v>
      </c>
      <c r="G77" s="97">
        <f t="shared" si="73"/>
        <v>5056147</v>
      </c>
      <c r="H77" s="302">
        <f>5027122</f>
        <v>5027122</v>
      </c>
      <c r="I77" s="97">
        <f t="shared" si="77"/>
        <v>5056147</v>
      </c>
      <c r="J77" s="117">
        <f t="shared" si="74"/>
        <v>29025</v>
      </c>
      <c r="K77" s="117"/>
      <c r="L77" s="117"/>
      <c r="M77" s="117"/>
      <c r="N77" s="117"/>
      <c r="O77" s="117">
        <f>36143</f>
        <v>36143</v>
      </c>
      <c r="P77" s="117">
        <f>7156-14274</f>
        <v>-7118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>
        <f t="shared" si="78"/>
        <v>0</v>
      </c>
      <c r="AE77" s="128">
        <f t="shared" si="79"/>
        <v>0</v>
      </c>
      <c r="AF77" s="128"/>
      <c r="AG77" s="128"/>
      <c r="AH77" s="128"/>
      <c r="AI77" s="128"/>
      <c r="AJ77" s="128"/>
      <c r="AK77" s="128"/>
      <c r="AL77" s="128"/>
      <c r="AM77" s="128"/>
      <c r="AN77" s="117"/>
      <c r="AO77" s="315"/>
      <c r="AP77" s="128"/>
      <c r="AQ77" s="128"/>
      <c r="AR77" s="128"/>
      <c r="AS77" s="128"/>
      <c r="AT77" s="128"/>
      <c r="AU77" s="128"/>
      <c r="AV77" s="236" t="s">
        <v>754</v>
      </c>
      <c r="AW77" s="219" t="s">
        <v>585</v>
      </c>
    </row>
    <row r="78" spans="1:49" s="119" customFormat="1" ht="12.75" x14ac:dyDescent="0.2">
      <c r="A78" s="167"/>
      <c r="C78" s="214"/>
      <c r="D78" s="215"/>
      <c r="E78" s="227" t="s">
        <v>299</v>
      </c>
      <c r="F78" s="299">
        <v>121000</v>
      </c>
      <c r="G78" s="97">
        <f t="shared" si="73"/>
        <v>121000</v>
      </c>
      <c r="H78" s="299">
        <f>121000</f>
        <v>121000</v>
      </c>
      <c r="I78" s="97">
        <f t="shared" si="77"/>
        <v>121000</v>
      </c>
      <c r="J78" s="97">
        <f t="shared" si="74"/>
        <v>0</v>
      </c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>
        <f t="shared" si="78"/>
        <v>0</v>
      </c>
      <c r="AE78" s="125">
        <f t="shared" si="79"/>
        <v>0</v>
      </c>
      <c r="AF78" s="125"/>
      <c r="AG78" s="125"/>
      <c r="AH78" s="125"/>
      <c r="AI78" s="125"/>
      <c r="AJ78" s="125"/>
      <c r="AK78" s="125"/>
      <c r="AL78" s="125"/>
      <c r="AM78" s="125">
        <v>0</v>
      </c>
      <c r="AN78" s="97">
        <v>0</v>
      </c>
      <c r="AO78" s="313"/>
      <c r="AP78" s="125"/>
      <c r="AQ78" s="125"/>
      <c r="AR78" s="125"/>
      <c r="AS78" s="125"/>
      <c r="AT78" s="125"/>
      <c r="AU78" s="125"/>
      <c r="AV78" s="98" t="s">
        <v>622</v>
      </c>
      <c r="AW78" s="105" t="s">
        <v>698</v>
      </c>
    </row>
    <row r="79" spans="1:49" s="119" customFormat="1" ht="24" x14ac:dyDescent="0.2">
      <c r="A79" s="167"/>
      <c r="C79" s="214"/>
      <c r="D79" s="215"/>
      <c r="E79" s="227" t="s">
        <v>655</v>
      </c>
      <c r="F79" s="299">
        <v>354621</v>
      </c>
      <c r="G79" s="97">
        <f t="shared" si="73"/>
        <v>354621</v>
      </c>
      <c r="H79" s="299">
        <f>354621</f>
        <v>354621</v>
      </c>
      <c r="I79" s="97">
        <f t="shared" si="77"/>
        <v>354621</v>
      </c>
      <c r="J79" s="97">
        <f t="shared" si="74"/>
        <v>0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>
        <f t="shared" si="78"/>
        <v>0</v>
      </c>
      <c r="AE79" s="125">
        <f t="shared" si="79"/>
        <v>0</v>
      </c>
      <c r="AF79" s="125"/>
      <c r="AG79" s="125"/>
      <c r="AH79" s="125"/>
      <c r="AI79" s="125"/>
      <c r="AJ79" s="125"/>
      <c r="AK79" s="125"/>
      <c r="AL79" s="125"/>
      <c r="AM79" s="125"/>
      <c r="AN79" s="97"/>
      <c r="AO79" s="313"/>
      <c r="AP79" s="125"/>
      <c r="AQ79" s="125"/>
      <c r="AR79" s="125"/>
      <c r="AS79" s="125"/>
      <c r="AT79" s="125"/>
      <c r="AU79" s="125"/>
      <c r="AV79" s="98" t="s">
        <v>623</v>
      </c>
      <c r="AW79" s="105" t="s">
        <v>699</v>
      </c>
    </row>
    <row r="80" spans="1:49" s="119" customFormat="1" ht="24" x14ac:dyDescent="0.2">
      <c r="A80" s="167"/>
      <c r="C80" s="214"/>
      <c r="D80" s="215"/>
      <c r="E80" s="227" t="s">
        <v>293</v>
      </c>
      <c r="F80" s="299">
        <v>633951</v>
      </c>
      <c r="G80" s="97">
        <f t="shared" si="73"/>
        <v>672463</v>
      </c>
      <c r="H80" s="299">
        <f>595622</f>
        <v>595622</v>
      </c>
      <c r="I80" s="97">
        <f t="shared" si="77"/>
        <v>627052</v>
      </c>
      <c r="J80" s="97">
        <f t="shared" si="74"/>
        <v>31430</v>
      </c>
      <c r="K80" s="97"/>
      <c r="L80" s="97"/>
      <c r="M80" s="97">
        <v>31430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>
        <f>38329</f>
        <v>38329</v>
      </c>
      <c r="AD80" s="97">
        <f>AE80+AC80</f>
        <v>45411</v>
      </c>
      <c r="AE80" s="125">
        <f t="shared" ref="AE80" si="80">SUM(AF80:AK80)</f>
        <v>7082</v>
      </c>
      <c r="AF80" s="125"/>
      <c r="AG80" s="125"/>
      <c r="AH80" s="125">
        <f>7082</f>
        <v>7082</v>
      </c>
      <c r="AI80" s="125"/>
      <c r="AJ80" s="125"/>
      <c r="AK80" s="125"/>
      <c r="AL80" s="125"/>
      <c r="AM80" s="125"/>
      <c r="AN80" s="97"/>
      <c r="AO80" s="313">
        <f t="shared" ref="AO80" si="81">SUM(AP80:AU80)</f>
        <v>0</v>
      </c>
      <c r="AP80" s="125"/>
      <c r="AQ80" s="125"/>
      <c r="AR80" s="125"/>
      <c r="AS80" s="125"/>
      <c r="AT80" s="125"/>
      <c r="AU80" s="125"/>
      <c r="AV80" s="98" t="s">
        <v>624</v>
      </c>
      <c r="AW80" s="105" t="s">
        <v>583</v>
      </c>
    </row>
    <row r="81" spans="1:49" ht="24" x14ac:dyDescent="0.2">
      <c r="A81" s="167">
        <v>42803002568</v>
      </c>
      <c r="B81" s="119"/>
      <c r="C81" s="447" t="s">
        <v>12</v>
      </c>
      <c r="D81" s="448"/>
      <c r="E81" s="227" t="s">
        <v>664</v>
      </c>
      <c r="F81" s="299">
        <v>1328934</v>
      </c>
      <c r="G81" s="97">
        <f t="shared" si="73"/>
        <v>1328934</v>
      </c>
      <c r="H81" s="299">
        <f>1328934</f>
        <v>1328934</v>
      </c>
      <c r="I81" s="97">
        <f t="shared" si="77"/>
        <v>1328934</v>
      </c>
      <c r="J81" s="97">
        <f t="shared" si="74"/>
        <v>0</v>
      </c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>
        <f t="shared" ref="AD81:AD83" si="82">AE81+AC81</f>
        <v>0</v>
      </c>
      <c r="AE81" s="125">
        <f t="shared" ref="AE81:AE83" si="83">SUM(AF81:AK81)</f>
        <v>0</v>
      </c>
      <c r="AF81" s="125"/>
      <c r="AG81" s="125"/>
      <c r="AH81" s="125"/>
      <c r="AI81" s="125"/>
      <c r="AJ81" s="125"/>
      <c r="AK81" s="125"/>
      <c r="AL81" s="125"/>
      <c r="AM81" s="125">
        <v>0</v>
      </c>
      <c r="AN81" s="97">
        <v>0</v>
      </c>
      <c r="AO81" s="313"/>
      <c r="AP81" s="125"/>
      <c r="AQ81" s="125"/>
      <c r="AR81" s="125"/>
      <c r="AS81" s="125"/>
      <c r="AT81" s="125"/>
      <c r="AU81" s="125"/>
      <c r="AV81" s="98" t="s">
        <v>395</v>
      </c>
      <c r="AW81" s="105"/>
    </row>
    <row r="82" spans="1:49" ht="24" x14ac:dyDescent="0.2">
      <c r="A82" s="167">
        <v>40003316576</v>
      </c>
      <c r="B82" s="250"/>
      <c r="C82" s="478" t="s">
        <v>194</v>
      </c>
      <c r="D82" s="479"/>
      <c r="E82" s="428" t="s">
        <v>248</v>
      </c>
      <c r="F82" s="304">
        <v>175393</v>
      </c>
      <c r="G82" s="251">
        <f t="shared" si="73"/>
        <v>175393</v>
      </c>
      <c r="H82" s="304">
        <f>175393</f>
        <v>175393</v>
      </c>
      <c r="I82" s="97">
        <f t="shared" si="77"/>
        <v>175393</v>
      </c>
      <c r="J82" s="251">
        <f t="shared" si="74"/>
        <v>0</v>
      </c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>
        <f t="shared" si="82"/>
        <v>0</v>
      </c>
      <c r="AE82" s="252">
        <f t="shared" si="83"/>
        <v>0</v>
      </c>
      <c r="AF82" s="252"/>
      <c r="AG82" s="252"/>
      <c r="AH82" s="252"/>
      <c r="AI82" s="252"/>
      <c r="AJ82" s="252"/>
      <c r="AK82" s="252"/>
      <c r="AL82" s="252"/>
      <c r="AM82" s="252">
        <v>0</v>
      </c>
      <c r="AN82" s="251">
        <v>0</v>
      </c>
      <c r="AO82" s="317"/>
      <c r="AP82" s="125"/>
      <c r="AQ82" s="252"/>
      <c r="AR82" s="252"/>
      <c r="AS82" s="252"/>
      <c r="AT82" s="252"/>
      <c r="AU82" s="252"/>
      <c r="AV82" s="253" t="s">
        <v>396</v>
      </c>
      <c r="AW82" s="254"/>
    </row>
    <row r="83" spans="1:49" s="207" customFormat="1" ht="48" x14ac:dyDescent="0.2">
      <c r="A83" s="167"/>
      <c r="B83" s="250"/>
      <c r="C83" s="255"/>
      <c r="D83" s="256"/>
      <c r="E83" s="428" t="s">
        <v>683</v>
      </c>
      <c r="F83" s="304">
        <v>25400</v>
      </c>
      <c r="G83" s="251">
        <f t="shared" si="73"/>
        <v>25400</v>
      </c>
      <c r="H83" s="304">
        <f>25400</f>
        <v>25400</v>
      </c>
      <c r="I83" s="97">
        <f t="shared" si="77"/>
        <v>25400</v>
      </c>
      <c r="J83" s="251">
        <f t="shared" si="74"/>
        <v>0</v>
      </c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>
        <f t="shared" si="82"/>
        <v>0</v>
      </c>
      <c r="AE83" s="252">
        <f t="shared" si="83"/>
        <v>0</v>
      </c>
      <c r="AF83" s="252"/>
      <c r="AG83" s="252"/>
      <c r="AH83" s="252"/>
      <c r="AI83" s="252"/>
      <c r="AJ83" s="252"/>
      <c r="AK83" s="252"/>
      <c r="AL83" s="252"/>
      <c r="AM83" s="252"/>
      <c r="AN83" s="251"/>
      <c r="AO83" s="317"/>
      <c r="AP83" s="125"/>
      <c r="AQ83" s="252"/>
      <c r="AR83" s="252"/>
      <c r="AS83" s="252"/>
      <c r="AT83" s="252"/>
      <c r="AU83" s="252"/>
      <c r="AV83" s="253" t="s">
        <v>625</v>
      </c>
      <c r="AW83" s="254"/>
    </row>
    <row r="84" spans="1:49" s="272" customFormat="1" ht="48" x14ac:dyDescent="0.2">
      <c r="A84" s="167">
        <v>40003426429</v>
      </c>
      <c r="B84" s="250"/>
      <c r="C84" s="478" t="s">
        <v>720</v>
      </c>
      <c r="D84" s="479"/>
      <c r="E84" s="428" t="s">
        <v>721</v>
      </c>
      <c r="F84" s="304">
        <v>295307</v>
      </c>
      <c r="G84" s="251">
        <f t="shared" si="73"/>
        <v>0</v>
      </c>
      <c r="H84" s="304">
        <f>295307</f>
        <v>295307</v>
      </c>
      <c r="I84" s="251">
        <f t="shared" si="77"/>
        <v>0</v>
      </c>
      <c r="J84" s="251">
        <f t="shared" si="74"/>
        <v>-295307</v>
      </c>
      <c r="K84" s="251"/>
      <c r="L84" s="251"/>
      <c r="M84" s="251">
        <v>-295307</v>
      </c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2"/>
      <c r="AF84" s="252"/>
      <c r="AG84" s="252"/>
      <c r="AH84" s="252"/>
      <c r="AI84" s="252"/>
      <c r="AJ84" s="252"/>
      <c r="AK84" s="252"/>
      <c r="AL84" s="252"/>
      <c r="AM84" s="252"/>
      <c r="AN84" s="251"/>
      <c r="AO84" s="317"/>
      <c r="AP84" s="125"/>
      <c r="AQ84" s="252"/>
      <c r="AR84" s="252"/>
      <c r="AS84" s="252"/>
      <c r="AT84" s="252"/>
      <c r="AU84" s="252"/>
      <c r="AV84" s="253"/>
      <c r="AW84" s="254"/>
    </row>
    <row r="85" spans="1:49" ht="36" x14ac:dyDescent="0.2">
      <c r="A85" s="167"/>
      <c r="B85" s="119"/>
      <c r="C85" s="447" t="s">
        <v>215</v>
      </c>
      <c r="D85" s="448"/>
      <c r="E85" s="424" t="s">
        <v>152</v>
      </c>
      <c r="F85" s="299">
        <v>142289</v>
      </c>
      <c r="G85" s="97">
        <f t="shared" si="73"/>
        <v>142289</v>
      </c>
      <c r="H85" s="299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125"/>
      <c r="AF85" s="125"/>
      <c r="AG85" s="125"/>
      <c r="AH85" s="125"/>
      <c r="AI85" s="125"/>
      <c r="AJ85" s="125"/>
      <c r="AK85" s="125"/>
      <c r="AL85" s="125">
        <v>142289</v>
      </c>
      <c r="AM85" s="125"/>
      <c r="AN85" s="97"/>
      <c r="AO85" s="313"/>
      <c r="AP85" s="125"/>
      <c r="AQ85" s="125"/>
      <c r="AR85" s="125"/>
      <c r="AS85" s="125"/>
      <c r="AT85" s="125"/>
      <c r="AU85" s="125"/>
      <c r="AV85" s="98"/>
      <c r="AW85" s="105"/>
    </row>
    <row r="86" spans="1:49" s="203" customFormat="1" ht="87" customHeight="1" x14ac:dyDescent="0.2">
      <c r="A86" s="167"/>
      <c r="B86" s="206"/>
      <c r="C86" s="204"/>
      <c r="D86" s="205"/>
      <c r="E86" s="424" t="s">
        <v>535</v>
      </c>
      <c r="F86" s="299">
        <v>213431</v>
      </c>
      <c r="G86" s="97">
        <f t="shared" si="73"/>
        <v>213431</v>
      </c>
      <c r="H86" s="299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125"/>
      <c r="AF86" s="125"/>
      <c r="AG86" s="125"/>
      <c r="AH86" s="125"/>
      <c r="AI86" s="125"/>
      <c r="AJ86" s="125"/>
      <c r="AK86" s="125"/>
      <c r="AL86" s="125">
        <v>213431</v>
      </c>
      <c r="AM86" s="125"/>
      <c r="AN86" s="97"/>
      <c r="AO86" s="313"/>
      <c r="AP86" s="125"/>
      <c r="AQ86" s="125"/>
      <c r="AR86" s="125"/>
      <c r="AS86" s="125"/>
      <c r="AT86" s="125"/>
      <c r="AU86" s="125"/>
      <c r="AV86" s="98"/>
      <c r="AW86" s="105"/>
    </row>
    <row r="87" spans="1:49" ht="12.75" thickBot="1" x14ac:dyDescent="0.25">
      <c r="A87" s="167"/>
      <c r="B87" s="145"/>
      <c r="C87" s="489"/>
      <c r="D87" s="490"/>
      <c r="E87" s="425"/>
      <c r="F87" s="300"/>
      <c r="G87" s="84"/>
      <c r="H87" s="300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124"/>
      <c r="AF87" s="124"/>
      <c r="AG87" s="124"/>
      <c r="AH87" s="124"/>
      <c r="AI87" s="124"/>
      <c r="AJ87" s="124"/>
      <c r="AK87" s="124"/>
      <c r="AL87" s="124"/>
      <c r="AM87" s="124"/>
      <c r="AN87" s="84"/>
      <c r="AO87" s="314"/>
      <c r="AP87" s="124"/>
      <c r="AQ87" s="124"/>
      <c r="AR87" s="124"/>
      <c r="AS87" s="124"/>
      <c r="AT87" s="124"/>
      <c r="AU87" s="124"/>
      <c r="AV87" s="85"/>
      <c r="AW87" s="106"/>
    </row>
    <row r="88" spans="1:49" ht="12.75" thickBot="1" x14ac:dyDescent="0.25">
      <c r="A88" s="226"/>
      <c r="B88" s="486" t="s">
        <v>13</v>
      </c>
      <c r="C88" s="486"/>
      <c r="D88" s="223" t="s">
        <v>14</v>
      </c>
      <c r="E88" s="423"/>
      <c r="F88" s="301">
        <v>280824</v>
      </c>
      <c r="G88" s="417">
        <f t="shared" ref="G88" si="84">SUM(I88,U88,AD88,AL88,AN88)</f>
        <v>359598</v>
      </c>
      <c r="H88" s="305">
        <f>SUM(H89:H96)</f>
        <v>279478</v>
      </c>
      <c r="I88" s="123">
        <f>SUM(I89:I96)</f>
        <v>358252</v>
      </c>
      <c r="J88" s="123">
        <f t="shared" ref="J88:AN88" si="85">SUM(J89:J96)</f>
        <v>78774</v>
      </c>
      <c r="K88" s="123">
        <f t="shared" si="85"/>
        <v>0</v>
      </c>
      <c r="L88" s="123">
        <f t="shared" ref="L88" si="86">SUM(L89:L96)</f>
        <v>0</v>
      </c>
      <c r="M88" s="123">
        <f t="shared" ref="M88" si="87">SUM(M89:M96)</f>
        <v>0</v>
      </c>
      <c r="N88" s="123">
        <f t="shared" si="85"/>
        <v>0</v>
      </c>
      <c r="O88" s="123">
        <f t="shared" si="85"/>
        <v>78774</v>
      </c>
      <c r="P88" s="123">
        <f t="shared" si="85"/>
        <v>0</v>
      </c>
      <c r="Q88" s="123">
        <f t="shared" si="85"/>
        <v>0</v>
      </c>
      <c r="R88" s="123">
        <f t="shared" si="85"/>
        <v>0</v>
      </c>
      <c r="S88" s="123">
        <f t="shared" si="85"/>
        <v>0</v>
      </c>
      <c r="T88" s="123">
        <f t="shared" ref="T88" si="88">SUM(T89:T96)</f>
        <v>0</v>
      </c>
      <c r="U88" s="123">
        <f t="shared" si="85"/>
        <v>0</v>
      </c>
      <c r="V88" s="123">
        <f t="shared" si="85"/>
        <v>0</v>
      </c>
      <c r="W88" s="123">
        <f t="shared" si="85"/>
        <v>0</v>
      </c>
      <c r="X88" s="123">
        <f t="shared" si="85"/>
        <v>0</v>
      </c>
      <c r="Y88" s="123">
        <f t="shared" si="85"/>
        <v>0</v>
      </c>
      <c r="Z88" s="123">
        <f t="shared" si="85"/>
        <v>0</v>
      </c>
      <c r="AA88" s="123">
        <f t="shared" si="85"/>
        <v>0</v>
      </c>
      <c r="AB88" s="123">
        <f t="shared" si="85"/>
        <v>0</v>
      </c>
      <c r="AC88" s="123">
        <f t="shared" ref="AC88" si="89">SUM(AC89:AC96)</f>
        <v>1346</v>
      </c>
      <c r="AD88" s="123">
        <f t="shared" si="85"/>
        <v>1346</v>
      </c>
      <c r="AE88" s="123">
        <f t="shared" si="85"/>
        <v>0</v>
      </c>
      <c r="AF88" s="123">
        <f t="shared" si="85"/>
        <v>0</v>
      </c>
      <c r="AG88" s="123">
        <f t="shared" si="85"/>
        <v>0</v>
      </c>
      <c r="AH88" s="123">
        <f t="shared" si="85"/>
        <v>0</v>
      </c>
      <c r="AI88" s="123">
        <f t="shared" si="85"/>
        <v>0</v>
      </c>
      <c r="AJ88" s="123">
        <f t="shared" si="85"/>
        <v>0</v>
      </c>
      <c r="AK88" s="123">
        <f t="shared" si="85"/>
        <v>0</v>
      </c>
      <c r="AL88" s="123">
        <f t="shared" si="85"/>
        <v>0</v>
      </c>
      <c r="AM88" s="123">
        <f t="shared" ref="AM88" si="90">SUM(AM89:AM96)</f>
        <v>0</v>
      </c>
      <c r="AN88" s="7">
        <f t="shared" si="85"/>
        <v>0</v>
      </c>
      <c r="AO88" s="309">
        <f t="shared" ref="AO88" si="91">SUM(AO89:AO96)</f>
        <v>0</v>
      </c>
      <c r="AP88" s="123">
        <f t="shared" ref="AP88:AU88" si="92">SUM(AP89:AP96)</f>
        <v>0</v>
      </c>
      <c r="AQ88" s="123">
        <f t="shared" si="92"/>
        <v>0</v>
      </c>
      <c r="AR88" s="123">
        <f t="shared" si="92"/>
        <v>0</v>
      </c>
      <c r="AS88" s="123">
        <f t="shared" si="92"/>
        <v>0</v>
      </c>
      <c r="AT88" s="123">
        <f t="shared" si="92"/>
        <v>0</v>
      </c>
      <c r="AU88" s="123">
        <f t="shared" si="92"/>
        <v>0</v>
      </c>
      <c r="AV88" s="11"/>
      <c r="AW88" s="107"/>
    </row>
    <row r="89" spans="1:49" ht="24.75" thickTop="1" x14ac:dyDescent="0.2">
      <c r="A89" s="167">
        <v>90000594245</v>
      </c>
      <c r="B89" s="119"/>
      <c r="C89" s="447" t="s">
        <v>24</v>
      </c>
      <c r="D89" s="448"/>
      <c r="E89" s="227" t="s">
        <v>249</v>
      </c>
      <c r="F89" s="299">
        <v>40712</v>
      </c>
      <c r="G89" s="97">
        <f t="shared" ref="G89:G95" si="93">SUM(I89,U89,AD89,AL89,AN89)</f>
        <v>40712</v>
      </c>
      <c r="H89" s="299">
        <f>40712</f>
        <v>40712</v>
      </c>
      <c r="I89" s="97">
        <f t="shared" ref="I89:I95" si="94">H89+J89</f>
        <v>40712</v>
      </c>
      <c r="J89" s="97">
        <f t="shared" ref="J89:J95" si="95">SUM(K89:S89)</f>
        <v>0</v>
      </c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>
        <f t="shared" ref="AD89:AD92" si="96">AE89+AC89</f>
        <v>0</v>
      </c>
      <c r="AE89" s="125">
        <f t="shared" ref="AE89:AE92" si="97">SUM(AF89:AK89)</f>
        <v>0</v>
      </c>
      <c r="AF89" s="125"/>
      <c r="AG89" s="125"/>
      <c r="AH89" s="125"/>
      <c r="AI89" s="125"/>
      <c r="AJ89" s="125"/>
      <c r="AK89" s="125"/>
      <c r="AL89" s="125"/>
      <c r="AM89" s="125"/>
      <c r="AN89" s="97"/>
      <c r="AO89" s="313"/>
      <c r="AP89" s="125"/>
      <c r="AQ89" s="125"/>
      <c r="AR89" s="125"/>
      <c r="AS89" s="125"/>
      <c r="AT89" s="125"/>
      <c r="AU89" s="125"/>
      <c r="AV89" s="98" t="s">
        <v>397</v>
      </c>
      <c r="AW89" s="105" t="s">
        <v>345</v>
      </c>
    </row>
    <row r="90" spans="1:49" ht="24" x14ac:dyDescent="0.2">
      <c r="A90" s="167"/>
      <c r="B90" s="119"/>
      <c r="C90" s="214"/>
      <c r="D90" s="215"/>
      <c r="E90" s="227" t="s">
        <v>277</v>
      </c>
      <c r="F90" s="299">
        <v>28227</v>
      </c>
      <c r="G90" s="97">
        <f t="shared" si="93"/>
        <v>28227</v>
      </c>
      <c r="H90" s="299">
        <f>28227</f>
        <v>28227</v>
      </c>
      <c r="I90" s="97">
        <f t="shared" si="94"/>
        <v>28227</v>
      </c>
      <c r="J90" s="97">
        <f t="shared" si="95"/>
        <v>0</v>
      </c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>
        <f t="shared" si="96"/>
        <v>0</v>
      </c>
      <c r="AE90" s="125">
        <f t="shared" si="97"/>
        <v>0</v>
      </c>
      <c r="AF90" s="125"/>
      <c r="AG90" s="125"/>
      <c r="AH90" s="125"/>
      <c r="AI90" s="125"/>
      <c r="AJ90" s="125"/>
      <c r="AK90" s="125"/>
      <c r="AL90" s="125"/>
      <c r="AM90" s="125"/>
      <c r="AN90" s="97"/>
      <c r="AO90" s="313"/>
      <c r="AP90" s="125"/>
      <c r="AQ90" s="125"/>
      <c r="AR90" s="125"/>
      <c r="AS90" s="125"/>
      <c r="AT90" s="125"/>
      <c r="AU90" s="125"/>
      <c r="AV90" s="98" t="s">
        <v>398</v>
      </c>
      <c r="AW90" s="105" t="s">
        <v>345</v>
      </c>
    </row>
    <row r="91" spans="1:49" ht="24" x14ac:dyDescent="0.2">
      <c r="A91" s="167"/>
      <c r="B91" s="119"/>
      <c r="C91" s="214"/>
      <c r="D91" s="215"/>
      <c r="E91" s="227" t="s">
        <v>271</v>
      </c>
      <c r="F91" s="299">
        <v>99694</v>
      </c>
      <c r="G91" s="97">
        <f t="shared" si="93"/>
        <v>99694</v>
      </c>
      <c r="H91" s="299">
        <f>99694</f>
        <v>99694</v>
      </c>
      <c r="I91" s="97">
        <f t="shared" si="94"/>
        <v>99694</v>
      </c>
      <c r="J91" s="97">
        <f t="shared" si="95"/>
        <v>0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>
        <f t="shared" si="96"/>
        <v>0</v>
      </c>
      <c r="AE91" s="125">
        <f t="shared" si="97"/>
        <v>0</v>
      </c>
      <c r="AF91" s="125"/>
      <c r="AG91" s="125"/>
      <c r="AH91" s="125"/>
      <c r="AI91" s="125"/>
      <c r="AJ91" s="125"/>
      <c r="AK91" s="125"/>
      <c r="AL91" s="125"/>
      <c r="AM91" s="125"/>
      <c r="AN91" s="97"/>
      <c r="AO91" s="313"/>
      <c r="AP91" s="125"/>
      <c r="AQ91" s="125"/>
      <c r="AR91" s="125"/>
      <c r="AS91" s="125"/>
      <c r="AT91" s="125"/>
      <c r="AU91" s="125"/>
      <c r="AV91" s="98" t="s">
        <v>399</v>
      </c>
      <c r="AW91" s="105" t="s">
        <v>345</v>
      </c>
    </row>
    <row r="92" spans="1:49" ht="12.75" x14ac:dyDescent="0.2">
      <c r="A92" s="167">
        <v>90001876536</v>
      </c>
      <c r="B92" s="119"/>
      <c r="C92" s="447" t="s">
        <v>200</v>
      </c>
      <c r="D92" s="448"/>
      <c r="E92" s="227" t="s">
        <v>500</v>
      </c>
      <c r="F92" s="299">
        <v>7412</v>
      </c>
      <c r="G92" s="97">
        <f t="shared" si="93"/>
        <v>7412</v>
      </c>
      <c r="H92" s="299">
        <f>7412</f>
        <v>7412</v>
      </c>
      <c r="I92" s="97">
        <f t="shared" si="94"/>
        <v>7412</v>
      </c>
      <c r="J92" s="97">
        <f t="shared" si="95"/>
        <v>0</v>
      </c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>
        <f t="shared" si="96"/>
        <v>0</v>
      </c>
      <c r="AE92" s="125">
        <f t="shared" si="97"/>
        <v>0</v>
      </c>
      <c r="AF92" s="125"/>
      <c r="AG92" s="125"/>
      <c r="AH92" s="125"/>
      <c r="AI92" s="125"/>
      <c r="AJ92" s="125"/>
      <c r="AK92" s="125"/>
      <c r="AL92" s="125"/>
      <c r="AM92" s="125">
        <v>0</v>
      </c>
      <c r="AN92" s="97">
        <v>0</v>
      </c>
      <c r="AO92" s="313"/>
      <c r="AP92" s="125"/>
      <c r="AQ92" s="125"/>
      <c r="AR92" s="125"/>
      <c r="AS92" s="125"/>
      <c r="AT92" s="125"/>
      <c r="AU92" s="125"/>
      <c r="AV92" s="98" t="s">
        <v>400</v>
      </c>
      <c r="AW92" s="105"/>
    </row>
    <row r="93" spans="1:49" s="155" customFormat="1" ht="12.75" x14ac:dyDescent="0.2">
      <c r="A93" s="167"/>
      <c r="B93" s="119"/>
      <c r="C93" s="161"/>
      <c r="D93" s="162"/>
      <c r="E93" s="227" t="s">
        <v>357</v>
      </c>
      <c r="F93" s="299">
        <v>10779</v>
      </c>
      <c r="G93" s="97">
        <f t="shared" si="93"/>
        <v>10779</v>
      </c>
      <c r="H93" s="299">
        <f>9433</f>
        <v>9433</v>
      </c>
      <c r="I93" s="97">
        <f t="shared" si="94"/>
        <v>9433</v>
      </c>
      <c r="J93" s="97">
        <f t="shared" si="95"/>
        <v>0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>
        <f>1346</f>
        <v>1346</v>
      </c>
      <c r="AD93" s="97">
        <f>AE93+AC93</f>
        <v>1346</v>
      </c>
      <c r="AE93" s="125">
        <f t="shared" ref="AE93:AE95" si="98">SUM(AF93:AK93)</f>
        <v>0</v>
      </c>
      <c r="AF93" s="125"/>
      <c r="AG93" s="125"/>
      <c r="AH93" s="125"/>
      <c r="AI93" s="125"/>
      <c r="AJ93" s="125"/>
      <c r="AK93" s="125"/>
      <c r="AL93" s="125"/>
      <c r="AM93" s="125">
        <v>0</v>
      </c>
      <c r="AN93" s="97">
        <v>0</v>
      </c>
      <c r="AO93" s="313">
        <f t="shared" ref="AO93" si="99">SUM(AP93:AU93)</f>
        <v>0</v>
      </c>
      <c r="AP93" s="125"/>
      <c r="AQ93" s="125"/>
      <c r="AR93" s="125"/>
      <c r="AS93" s="125"/>
      <c r="AT93" s="125"/>
      <c r="AU93" s="125"/>
      <c r="AV93" s="98" t="s">
        <v>401</v>
      </c>
      <c r="AW93" s="105"/>
    </row>
    <row r="94" spans="1:49" s="433" customFormat="1" ht="27" customHeight="1" x14ac:dyDescent="0.2">
      <c r="A94" s="167">
        <v>40003219995</v>
      </c>
      <c r="B94" s="119"/>
      <c r="C94" s="447" t="s">
        <v>766</v>
      </c>
      <c r="D94" s="448"/>
      <c r="E94" s="227" t="s">
        <v>305</v>
      </c>
      <c r="F94" s="299"/>
      <c r="G94" s="97">
        <f t="shared" si="93"/>
        <v>78774</v>
      </c>
      <c r="H94" s="299"/>
      <c r="I94" s="97">
        <f t="shared" si="94"/>
        <v>78774</v>
      </c>
      <c r="J94" s="97">
        <f t="shared" si="95"/>
        <v>78774</v>
      </c>
      <c r="K94" s="97"/>
      <c r="L94" s="97"/>
      <c r="M94" s="97"/>
      <c r="N94" s="97"/>
      <c r="O94" s="97">
        <v>78774</v>
      </c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>
        <f>AE94+AC94</f>
        <v>0</v>
      </c>
      <c r="AE94" s="125">
        <f t="shared" si="98"/>
        <v>0</v>
      </c>
      <c r="AF94" s="125"/>
      <c r="AG94" s="125"/>
      <c r="AH94" s="125"/>
      <c r="AI94" s="125"/>
      <c r="AJ94" s="125"/>
      <c r="AK94" s="125"/>
      <c r="AL94" s="125"/>
      <c r="AM94" s="125"/>
      <c r="AN94" s="97"/>
      <c r="AO94" s="313"/>
      <c r="AP94" s="125"/>
      <c r="AQ94" s="125"/>
      <c r="AR94" s="125"/>
      <c r="AS94" s="125"/>
      <c r="AT94" s="125"/>
      <c r="AU94" s="125"/>
      <c r="AV94" s="98" t="s">
        <v>768</v>
      </c>
      <c r="AW94" s="105"/>
    </row>
    <row r="95" spans="1:49" s="245" customFormat="1" ht="12.75" x14ac:dyDescent="0.2">
      <c r="A95" s="167">
        <v>40003220000</v>
      </c>
      <c r="B95" s="119"/>
      <c r="C95" s="247" t="s">
        <v>677</v>
      </c>
      <c r="D95" s="246"/>
      <c r="E95" s="227" t="s">
        <v>305</v>
      </c>
      <c r="F95" s="299">
        <v>94000</v>
      </c>
      <c r="G95" s="97">
        <f t="shared" si="93"/>
        <v>94000</v>
      </c>
      <c r="H95" s="299">
        <f>94000</f>
        <v>94000</v>
      </c>
      <c r="I95" s="97">
        <f t="shared" si="94"/>
        <v>94000</v>
      </c>
      <c r="J95" s="97">
        <f t="shared" si="95"/>
        <v>0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>
        <f t="shared" ref="AD95" si="100">AE95+AC95</f>
        <v>0</v>
      </c>
      <c r="AE95" s="125">
        <f t="shared" si="98"/>
        <v>0</v>
      </c>
      <c r="AF95" s="125"/>
      <c r="AG95" s="125"/>
      <c r="AH95" s="125"/>
      <c r="AI95" s="125"/>
      <c r="AJ95" s="125"/>
      <c r="AK95" s="125"/>
      <c r="AL95" s="125"/>
      <c r="AM95" s="125"/>
      <c r="AN95" s="97"/>
      <c r="AO95" s="313"/>
      <c r="AP95" s="125"/>
      <c r="AQ95" s="125"/>
      <c r="AR95" s="125"/>
      <c r="AS95" s="125"/>
      <c r="AT95" s="125"/>
      <c r="AU95" s="125"/>
      <c r="AV95" s="98" t="s">
        <v>691</v>
      </c>
      <c r="AW95" s="105"/>
    </row>
    <row r="96" spans="1:49" ht="12.75" thickBot="1" x14ac:dyDescent="0.25">
      <c r="A96" s="167"/>
      <c r="B96" s="145"/>
      <c r="C96" s="489"/>
      <c r="D96" s="490"/>
      <c r="E96" s="425"/>
      <c r="F96" s="300"/>
      <c r="G96" s="84"/>
      <c r="H96" s="300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124"/>
      <c r="AF96" s="124"/>
      <c r="AG96" s="124"/>
      <c r="AH96" s="124"/>
      <c r="AI96" s="124"/>
      <c r="AJ96" s="124"/>
      <c r="AK96" s="124"/>
      <c r="AL96" s="124"/>
      <c r="AM96" s="124"/>
      <c r="AN96" s="84"/>
      <c r="AO96" s="314"/>
      <c r="AP96" s="124"/>
      <c r="AQ96" s="124"/>
      <c r="AR96" s="124"/>
      <c r="AS96" s="124"/>
      <c r="AT96" s="124"/>
      <c r="AU96" s="124"/>
      <c r="AV96" s="85"/>
      <c r="AW96" s="106"/>
    </row>
    <row r="97" spans="1:49" ht="25.5" customHeight="1" thickBot="1" x14ac:dyDescent="0.25">
      <c r="A97" s="226"/>
      <c r="B97" s="486" t="s">
        <v>15</v>
      </c>
      <c r="C97" s="486"/>
      <c r="D97" s="223" t="s">
        <v>16</v>
      </c>
      <c r="E97" s="423"/>
      <c r="F97" s="301">
        <v>13343804.947264958</v>
      </c>
      <c r="G97" s="417">
        <f t="shared" ref="G97" si="101">SUM(I97,U97,AD97,AL97,AN97)</f>
        <v>13705758</v>
      </c>
      <c r="H97" s="301">
        <f>SUM(H98:H135)</f>
        <v>12203777</v>
      </c>
      <c r="I97" s="7">
        <f>SUM(I98:I135)</f>
        <v>12485811</v>
      </c>
      <c r="J97" s="7">
        <f t="shared" ref="J97:AL97" si="102">SUM(J98:J135)</f>
        <v>282034</v>
      </c>
      <c r="K97" s="7">
        <f t="shared" si="102"/>
        <v>0</v>
      </c>
      <c r="L97" s="7">
        <f t="shared" ref="L97" si="103">SUM(L98:L135)</f>
        <v>0</v>
      </c>
      <c r="M97" s="7">
        <f t="shared" ref="M97" si="104">SUM(M98:M135)</f>
        <v>0</v>
      </c>
      <c r="N97" s="7">
        <f t="shared" si="102"/>
        <v>15290</v>
      </c>
      <c r="O97" s="7">
        <f t="shared" si="102"/>
        <v>0</v>
      </c>
      <c r="P97" s="7">
        <f>SUM(P98:P135)</f>
        <v>266744</v>
      </c>
      <c r="Q97" s="7">
        <f t="shared" si="102"/>
        <v>0</v>
      </c>
      <c r="R97" s="7">
        <f t="shared" si="102"/>
        <v>0</v>
      </c>
      <c r="S97" s="7">
        <f t="shared" si="102"/>
        <v>0</v>
      </c>
      <c r="T97" s="7">
        <f t="shared" ref="T97" si="105">SUM(T98:T135)</f>
        <v>7000</v>
      </c>
      <c r="U97" s="7">
        <f t="shared" si="102"/>
        <v>16939</v>
      </c>
      <c r="V97" s="7">
        <f t="shared" si="102"/>
        <v>9939</v>
      </c>
      <c r="W97" s="7">
        <f>SUM(W98:W135)</f>
        <v>2660</v>
      </c>
      <c r="X97" s="7">
        <f t="shared" si="102"/>
        <v>7279</v>
      </c>
      <c r="Y97" s="7">
        <f t="shared" si="102"/>
        <v>0</v>
      </c>
      <c r="Z97" s="7">
        <f t="shared" si="102"/>
        <v>0</v>
      </c>
      <c r="AA97" s="7">
        <f t="shared" si="102"/>
        <v>0</v>
      </c>
      <c r="AB97" s="7">
        <f t="shared" si="102"/>
        <v>0</v>
      </c>
      <c r="AC97" s="7">
        <f t="shared" ref="AC97" si="106">SUM(AC98:AC135)</f>
        <v>95926</v>
      </c>
      <c r="AD97" s="7">
        <f t="shared" si="102"/>
        <v>165822</v>
      </c>
      <c r="AE97" s="7">
        <f t="shared" si="102"/>
        <v>69896</v>
      </c>
      <c r="AF97" s="7">
        <f t="shared" si="102"/>
        <v>0</v>
      </c>
      <c r="AG97" s="7">
        <f t="shared" si="102"/>
        <v>10249</v>
      </c>
      <c r="AH97" s="7">
        <f t="shared" si="102"/>
        <v>59647</v>
      </c>
      <c r="AI97" s="7">
        <f t="shared" si="102"/>
        <v>0</v>
      </c>
      <c r="AJ97" s="7">
        <f t="shared" si="102"/>
        <v>0</v>
      </c>
      <c r="AK97" s="7">
        <f t="shared" si="102"/>
        <v>0</v>
      </c>
      <c r="AL97" s="7">
        <f t="shared" si="102"/>
        <v>1036810</v>
      </c>
      <c r="AM97" s="7">
        <f t="shared" ref="AM97" si="107">SUM(AM98:AM135)</f>
        <v>292</v>
      </c>
      <c r="AN97" s="7">
        <f>SUM(AN98:AN135)</f>
        <v>376</v>
      </c>
      <c r="AO97" s="319">
        <f t="shared" ref="AO97" si="108">SUM(AO98:AO135)</f>
        <v>84</v>
      </c>
      <c r="AP97" s="7">
        <f t="shared" ref="AP97:AU97" si="109">SUM(AP98:AP135)</f>
        <v>84</v>
      </c>
      <c r="AQ97" s="7">
        <f t="shared" si="109"/>
        <v>0</v>
      </c>
      <c r="AR97" s="7">
        <f t="shared" si="109"/>
        <v>0</v>
      </c>
      <c r="AS97" s="7">
        <f t="shared" si="109"/>
        <v>0</v>
      </c>
      <c r="AT97" s="7">
        <f t="shared" si="109"/>
        <v>0</v>
      </c>
      <c r="AU97" s="7">
        <f t="shared" si="109"/>
        <v>0</v>
      </c>
      <c r="AV97" s="11"/>
      <c r="AW97" s="107"/>
    </row>
    <row r="98" spans="1:49" ht="24.75" thickTop="1" x14ac:dyDescent="0.2">
      <c r="A98" s="238">
        <v>90000056357</v>
      </c>
      <c r="B98" s="225"/>
      <c r="C98" s="476" t="s">
        <v>5</v>
      </c>
      <c r="D98" s="477"/>
      <c r="E98" s="227" t="s">
        <v>240</v>
      </c>
      <c r="F98" s="303">
        <v>796047.94726495701</v>
      </c>
      <c r="G98" s="100">
        <f>SUM(I98,U98,AD98,AL98,AN98)</f>
        <v>796048</v>
      </c>
      <c r="H98" s="303">
        <f>796048</f>
        <v>796048</v>
      </c>
      <c r="I98" s="97">
        <f t="shared" ref="I98:I126" si="110">H98+J98</f>
        <v>796048</v>
      </c>
      <c r="J98" s="100">
        <f t="shared" ref="J98:J126" si="111">SUM(K98:S98)</f>
        <v>0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>
        <f t="shared" ref="AD98:AD115" si="112">AE98+AC98</f>
        <v>0</v>
      </c>
      <c r="AE98" s="126">
        <f t="shared" ref="AE98:AE115" si="113">SUM(AF98:AK98)</f>
        <v>0</v>
      </c>
      <c r="AF98" s="126"/>
      <c r="AG98" s="126"/>
      <c r="AH98" s="126"/>
      <c r="AI98" s="126"/>
      <c r="AJ98" s="126"/>
      <c r="AK98" s="126"/>
      <c r="AL98" s="126"/>
      <c r="AM98" s="126"/>
      <c r="AN98" s="100"/>
      <c r="AO98" s="316"/>
      <c r="AP98" s="126"/>
      <c r="AQ98" s="126"/>
      <c r="AR98" s="126"/>
      <c r="AS98" s="126"/>
      <c r="AT98" s="126"/>
      <c r="AU98" s="126"/>
      <c r="AV98" s="98" t="s">
        <v>670</v>
      </c>
      <c r="AW98" s="105"/>
    </row>
    <row r="99" spans="1:49" s="216" customFormat="1" ht="12.75" x14ac:dyDescent="0.2">
      <c r="A99" s="224"/>
      <c r="C99" s="220"/>
      <c r="D99" s="221"/>
      <c r="E99" s="227" t="s">
        <v>558</v>
      </c>
      <c r="F99" s="302">
        <v>14700</v>
      </c>
      <c r="G99" s="117">
        <f t="shared" ref="G99:G134" si="114">SUM(I99,U99,AD99,AL99,AN99)</f>
        <v>14700</v>
      </c>
      <c r="H99" s="300">
        <f>14700</f>
        <v>14700</v>
      </c>
      <c r="I99" s="97">
        <f t="shared" si="110"/>
        <v>14700</v>
      </c>
      <c r="J99" s="84">
        <f t="shared" si="111"/>
        <v>0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>
        <f t="shared" si="112"/>
        <v>0</v>
      </c>
      <c r="AE99" s="124">
        <f t="shared" si="113"/>
        <v>0</v>
      </c>
      <c r="AF99" s="124"/>
      <c r="AG99" s="124"/>
      <c r="AH99" s="124"/>
      <c r="AI99" s="124"/>
      <c r="AJ99" s="124"/>
      <c r="AK99" s="124"/>
      <c r="AL99" s="124"/>
      <c r="AM99" s="124"/>
      <c r="AN99" s="84"/>
      <c r="AO99" s="314"/>
      <c r="AP99" s="124"/>
      <c r="AQ99" s="124"/>
      <c r="AR99" s="124"/>
      <c r="AS99" s="124"/>
      <c r="AT99" s="124"/>
      <c r="AU99" s="124"/>
      <c r="AV99" s="98" t="s">
        <v>626</v>
      </c>
      <c r="AW99" s="106"/>
    </row>
    <row r="100" spans="1:49" ht="29.25" customHeight="1" x14ac:dyDescent="0.2">
      <c r="A100" s="167"/>
      <c r="B100" s="119"/>
      <c r="C100" s="214"/>
      <c r="D100" s="215"/>
      <c r="E100" s="227" t="s">
        <v>292</v>
      </c>
      <c r="F100" s="299">
        <v>274473</v>
      </c>
      <c r="G100" s="97">
        <f t="shared" si="114"/>
        <v>274473</v>
      </c>
      <c r="H100" s="299">
        <f>274473</f>
        <v>274473</v>
      </c>
      <c r="I100" s="97">
        <f t="shared" si="110"/>
        <v>274473</v>
      </c>
      <c r="J100" s="97">
        <f t="shared" si="111"/>
        <v>0</v>
      </c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>
        <f t="shared" si="112"/>
        <v>0</v>
      </c>
      <c r="AE100" s="125">
        <f t="shared" si="113"/>
        <v>0</v>
      </c>
      <c r="AF100" s="125"/>
      <c r="AG100" s="125"/>
      <c r="AH100" s="125"/>
      <c r="AI100" s="125"/>
      <c r="AJ100" s="125"/>
      <c r="AK100" s="125"/>
      <c r="AL100" s="125"/>
      <c r="AM100" s="125"/>
      <c r="AN100" s="97"/>
      <c r="AO100" s="313"/>
      <c r="AP100" s="125"/>
      <c r="AQ100" s="125"/>
      <c r="AR100" s="125"/>
      <c r="AS100" s="125"/>
      <c r="AT100" s="125"/>
      <c r="AU100" s="125"/>
      <c r="AV100" s="98" t="s">
        <v>627</v>
      </c>
      <c r="AW100" s="105" t="s">
        <v>584</v>
      </c>
    </row>
    <row r="101" spans="1:49" ht="24" x14ac:dyDescent="0.2">
      <c r="A101" s="167"/>
      <c r="B101" s="119"/>
      <c r="C101" s="214"/>
      <c r="D101" s="215"/>
      <c r="E101" s="227" t="s">
        <v>568</v>
      </c>
      <c r="F101" s="299">
        <v>143134</v>
      </c>
      <c r="G101" s="97">
        <f t="shared" si="114"/>
        <v>143134</v>
      </c>
      <c r="H101" s="299">
        <f>143134</f>
        <v>143134</v>
      </c>
      <c r="I101" s="97">
        <f t="shared" si="110"/>
        <v>143134</v>
      </c>
      <c r="J101" s="97">
        <f t="shared" si="111"/>
        <v>0</v>
      </c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>
        <f t="shared" si="112"/>
        <v>0</v>
      </c>
      <c r="AE101" s="125">
        <f t="shared" si="113"/>
        <v>0</v>
      </c>
      <c r="AF101" s="125"/>
      <c r="AG101" s="125"/>
      <c r="AH101" s="125"/>
      <c r="AI101" s="125"/>
      <c r="AJ101" s="125"/>
      <c r="AK101" s="125"/>
      <c r="AL101" s="125"/>
      <c r="AM101" s="125"/>
      <c r="AN101" s="97"/>
      <c r="AO101" s="313"/>
      <c r="AP101" s="125"/>
      <c r="AQ101" s="125"/>
      <c r="AR101" s="125"/>
      <c r="AS101" s="125"/>
      <c r="AT101" s="125"/>
      <c r="AU101" s="125"/>
      <c r="AV101" s="98" t="s">
        <v>689</v>
      </c>
      <c r="AW101" s="105" t="s">
        <v>585</v>
      </c>
    </row>
    <row r="102" spans="1:49" ht="27.75" customHeight="1" x14ac:dyDescent="0.2">
      <c r="A102" s="167"/>
      <c r="B102" s="119"/>
      <c r="C102" s="214"/>
      <c r="D102" s="215"/>
      <c r="E102" s="227" t="s">
        <v>562</v>
      </c>
      <c r="F102" s="299">
        <v>6940</v>
      </c>
      <c r="G102" s="97">
        <f t="shared" si="114"/>
        <v>6940</v>
      </c>
      <c r="H102" s="299">
        <f>6940</f>
        <v>6940</v>
      </c>
      <c r="I102" s="97">
        <f t="shared" si="110"/>
        <v>6940</v>
      </c>
      <c r="J102" s="97">
        <f t="shared" si="111"/>
        <v>0</v>
      </c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>
        <f t="shared" si="112"/>
        <v>0</v>
      </c>
      <c r="AE102" s="125">
        <f t="shared" si="113"/>
        <v>0</v>
      </c>
      <c r="AF102" s="125"/>
      <c r="AG102" s="125"/>
      <c r="AH102" s="125"/>
      <c r="AI102" s="125"/>
      <c r="AJ102" s="125"/>
      <c r="AK102" s="125"/>
      <c r="AL102" s="125"/>
      <c r="AM102" s="125"/>
      <c r="AN102" s="97"/>
      <c r="AO102" s="313"/>
      <c r="AP102" s="125"/>
      <c r="AQ102" s="125"/>
      <c r="AR102" s="125"/>
      <c r="AS102" s="125"/>
      <c r="AT102" s="125"/>
      <c r="AU102" s="125"/>
      <c r="AV102" s="98" t="s">
        <v>403</v>
      </c>
      <c r="AW102" s="105" t="s">
        <v>585</v>
      </c>
    </row>
    <row r="103" spans="1:49" ht="36" x14ac:dyDescent="0.2">
      <c r="A103" s="167"/>
      <c r="B103" s="119"/>
      <c r="C103" s="214"/>
      <c r="D103" s="215"/>
      <c r="E103" s="227" t="s">
        <v>563</v>
      </c>
      <c r="F103" s="299">
        <v>78635</v>
      </c>
      <c r="G103" s="97">
        <f t="shared" si="114"/>
        <v>78635</v>
      </c>
      <c r="H103" s="299">
        <f>78635</f>
        <v>78635</v>
      </c>
      <c r="I103" s="97">
        <f t="shared" si="110"/>
        <v>78635</v>
      </c>
      <c r="J103" s="97">
        <f t="shared" si="111"/>
        <v>0</v>
      </c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>
        <f t="shared" si="112"/>
        <v>0</v>
      </c>
      <c r="AE103" s="125">
        <f t="shared" si="113"/>
        <v>0</v>
      </c>
      <c r="AF103" s="125"/>
      <c r="AG103" s="125"/>
      <c r="AH103" s="125"/>
      <c r="AI103" s="125"/>
      <c r="AJ103" s="125"/>
      <c r="AK103" s="125"/>
      <c r="AL103" s="125"/>
      <c r="AM103" s="125"/>
      <c r="AN103" s="97"/>
      <c r="AO103" s="313"/>
      <c r="AP103" s="125"/>
      <c r="AQ103" s="125"/>
      <c r="AR103" s="125"/>
      <c r="AS103" s="125"/>
      <c r="AT103" s="125"/>
      <c r="AU103" s="125"/>
      <c r="AV103" s="98" t="s">
        <v>628</v>
      </c>
      <c r="AW103" s="105" t="s">
        <v>585</v>
      </c>
    </row>
    <row r="104" spans="1:49" ht="36" x14ac:dyDescent="0.2">
      <c r="A104" s="167"/>
      <c r="B104" s="119"/>
      <c r="C104" s="214"/>
      <c r="D104" s="215"/>
      <c r="E104" s="227" t="s">
        <v>564</v>
      </c>
      <c r="F104" s="299">
        <v>4896371</v>
      </c>
      <c r="G104" s="97">
        <f t="shared" si="114"/>
        <v>4896371</v>
      </c>
      <c r="H104" s="299">
        <f>4896371</f>
        <v>4896371</v>
      </c>
      <c r="I104" s="97">
        <f t="shared" si="110"/>
        <v>4896371</v>
      </c>
      <c r="J104" s="97">
        <f t="shared" si="111"/>
        <v>0</v>
      </c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>
        <f t="shared" si="112"/>
        <v>0</v>
      </c>
      <c r="AE104" s="125">
        <f t="shared" si="113"/>
        <v>0</v>
      </c>
      <c r="AF104" s="125"/>
      <c r="AG104" s="125"/>
      <c r="AH104" s="125"/>
      <c r="AI104" s="125"/>
      <c r="AJ104" s="125"/>
      <c r="AK104" s="125"/>
      <c r="AL104" s="125"/>
      <c r="AM104" s="125"/>
      <c r="AN104" s="97"/>
      <c r="AO104" s="313"/>
      <c r="AP104" s="125"/>
      <c r="AQ104" s="125"/>
      <c r="AR104" s="125"/>
      <c r="AS104" s="125"/>
      <c r="AT104" s="125"/>
      <c r="AU104" s="125"/>
      <c r="AV104" s="98" t="s">
        <v>629</v>
      </c>
      <c r="AW104" s="105" t="s">
        <v>585</v>
      </c>
    </row>
    <row r="105" spans="1:49" ht="24" x14ac:dyDescent="0.2">
      <c r="A105" s="167"/>
      <c r="B105" s="119"/>
      <c r="C105" s="214"/>
      <c r="D105" s="215"/>
      <c r="E105" s="227" t="s">
        <v>344</v>
      </c>
      <c r="F105" s="299">
        <v>68474</v>
      </c>
      <c r="G105" s="97">
        <f t="shared" si="114"/>
        <v>68474</v>
      </c>
      <c r="H105" s="299">
        <f>61300</f>
        <v>61300</v>
      </c>
      <c r="I105" s="97">
        <f t="shared" si="110"/>
        <v>61300</v>
      </c>
      <c r="J105" s="97">
        <f t="shared" si="111"/>
        <v>0</v>
      </c>
      <c r="K105" s="97"/>
      <c r="L105" s="97"/>
      <c r="M105" s="97"/>
      <c r="N105" s="97"/>
      <c r="O105" s="97"/>
      <c r="P105" s="97"/>
      <c r="Q105" s="97"/>
      <c r="R105" s="97"/>
      <c r="S105" s="97"/>
      <c r="T105" s="97">
        <f>7000</f>
        <v>7000</v>
      </c>
      <c r="U105" s="97">
        <f>T105+V105</f>
        <v>7000</v>
      </c>
      <c r="V105" s="97">
        <f>SUM(W105:AB105)</f>
        <v>0</v>
      </c>
      <c r="W105" s="97"/>
      <c r="X105" s="97"/>
      <c r="Y105" s="97"/>
      <c r="Z105" s="97"/>
      <c r="AA105" s="97"/>
      <c r="AB105" s="97"/>
      <c r="AC105" s="97"/>
      <c r="AD105" s="97">
        <f t="shared" si="112"/>
        <v>0</v>
      </c>
      <c r="AE105" s="125">
        <f t="shared" si="113"/>
        <v>0</v>
      </c>
      <c r="AF105" s="125"/>
      <c r="AG105" s="125"/>
      <c r="AH105" s="125"/>
      <c r="AI105" s="125"/>
      <c r="AJ105" s="125"/>
      <c r="AK105" s="125"/>
      <c r="AL105" s="125"/>
      <c r="AM105" s="125">
        <v>174</v>
      </c>
      <c r="AN105" s="97">
        <f>AM105+AO105</f>
        <v>174</v>
      </c>
      <c r="AO105" s="313">
        <f>SUM(AP105:AU105)</f>
        <v>0</v>
      </c>
      <c r="AP105" s="125"/>
      <c r="AQ105" s="125"/>
      <c r="AR105" s="125"/>
      <c r="AS105" s="125"/>
      <c r="AT105" s="125"/>
      <c r="AU105" s="125"/>
      <c r="AV105" s="98" t="s">
        <v>630</v>
      </c>
      <c r="AW105" s="105" t="s">
        <v>700</v>
      </c>
    </row>
    <row r="106" spans="1:49" ht="24" x14ac:dyDescent="0.2">
      <c r="A106" s="167"/>
      <c r="B106" s="119"/>
      <c r="C106" s="214"/>
      <c r="D106" s="215"/>
      <c r="E106" s="227" t="s">
        <v>572</v>
      </c>
      <c r="F106" s="299">
        <v>262709</v>
      </c>
      <c r="G106" s="97">
        <f t="shared" si="114"/>
        <v>262709</v>
      </c>
      <c r="H106" s="299">
        <f>262709</f>
        <v>262709</v>
      </c>
      <c r="I106" s="97">
        <f t="shared" si="110"/>
        <v>262709</v>
      </c>
      <c r="J106" s="97">
        <f t="shared" si="111"/>
        <v>0</v>
      </c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>
        <f t="shared" ref="V106:V134" si="115">SUM(W106:AB106)</f>
        <v>0</v>
      </c>
      <c r="W106" s="97"/>
      <c r="X106" s="97"/>
      <c r="Y106" s="97"/>
      <c r="Z106" s="97"/>
      <c r="AA106" s="97"/>
      <c r="AB106" s="97"/>
      <c r="AC106" s="97"/>
      <c r="AD106" s="97">
        <f t="shared" si="112"/>
        <v>0</v>
      </c>
      <c r="AE106" s="125">
        <f t="shared" si="113"/>
        <v>0</v>
      </c>
      <c r="AF106" s="125"/>
      <c r="AG106" s="125"/>
      <c r="AH106" s="125"/>
      <c r="AI106" s="125"/>
      <c r="AJ106" s="125"/>
      <c r="AK106" s="125"/>
      <c r="AL106" s="125"/>
      <c r="AM106" s="125"/>
      <c r="AN106" s="97"/>
      <c r="AO106" s="313"/>
      <c r="AP106" s="125"/>
      <c r="AQ106" s="125"/>
      <c r="AR106" s="125"/>
      <c r="AS106" s="125"/>
      <c r="AT106" s="125"/>
      <c r="AU106" s="125"/>
      <c r="AV106" s="98" t="s">
        <v>631</v>
      </c>
      <c r="AW106" s="105" t="s">
        <v>586</v>
      </c>
    </row>
    <row r="107" spans="1:49" ht="12.75" x14ac:dyDescent="0.2">
      <c r="A107" s="167"/>
      <c r="B107" s="119"/>
      <c r="C107" s="214"/>
      <c r="D107" s="215"/>
      <c r="E107" s="227" t="s">
        <v>294</v>
      </c>
      <c r="F107" s="299">
        <v>1490460</v>
      </c>
      <c r="G107" s="97">
        <f t="shared" si="114"/>
        <v>1490460</v>
      </c>
      <c r="H107" s="299">
        <f>1490460</f>
        <v>1490460</v>
      </c>
      <c r="I107" s="97">
        <f t="shared" si="110"/>
        <v>1490460</v>
      </c>
      <c r="J107" s="97">
        <f t="shared" si="111"/>
        <v>0</v>
      </c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>
        <f t="shared" si="115"/>
        <v>0</v>
      </c>
      <c r="W107" s="97"/>
      <c r="X107" s="97"/>
      <c r="Y107" s="97"/>
      <c r="Z107" s="97"/>
      <c r="AA107" s="97"/>
      <c r="AB107" s="97"/>
      <c r="AC107" s="97"/>
      <c r="AD107" s="97">
        <f t="shared" si="112"/>
        <v>0</v>
      </c>
      <c r="AE107" s="125">
        <f t="shared" si="113"/>
        <v>0</v>
      </c>
      <c r="AF107" s="125"/>
      <c r="AG107" s="125"/>
      <c r="AH107" s="125"/>
      <c r="AI107" s="125"/>
      <c r="AJ107" s="125"/>
      <c r="AK107" s="125"/>
      <c r="AL107" s="125"/>
      <c r="AM107" s="125"/>
      <c r="AN107" s="97"/>
      <c r="AO107" s="313"/>
      <c r="AP107" s="125"/>
      <c r="AQ107" s="125"/>
      <c r="AR107" s="125"/>
      <c r="AS107" s="125"/>
      <c r="AT107" s="125"/>
      <c r="AU107" s="125"/>
      <c r="AV107" s="98" t="s">
        <v>402</v>
      </c>
      <c r="AW107" s="105" t="s">
        <v>321</v>
      </c>
    </row>
    <row r="108" spans="1:49" ht="24" x14ac:dyDescent="0.2">
      <c r="A108" s="167"/>
      <c r="B108" s="119"/>
      <c r="C108" s="214"/>
      <c r="D108" s="215"/>
      <c r="E108" s="427" t="s">
        <v>571</v>
      </c>
      <c r="F108" s="299">
        <v>285172</v>
      </c>
      <c r="G108" s="97">
        <f t="shared" si="114"/>
        <v>303488</v>
      </c>
      <c r="H108" s="299">
        <f>285172</f>
        <v>285172</v>
      </c>
      <c r="I108" s="97">
        <f t="shared" si="110"/>
        <v>300828</v>
      </c>
      <c r="J108" s="97">
        <f t="shared" si="111"/>
        <v>15656</v>
      </c>
      <c r="K108" s="97"/>
      <c r="L108" s="97"/>
      <c r="M108" s="97"/>
      <c r="N108" s="97">
        <f>15000+656</f>
        <v>15656</v>
      </c>
      <c r="O108" s="97"/>
      <c r="P108" s="97"/>
      <c r="Q108" s="97"/>
      <c r="R108" s="97"/>
      <c r="S108" s="97"/>
      <c r="T108" s="97">
        <v>0</v>
      </c>
      <c r="U108" s="97">
        <f>T108+V108</f>
        <v>2660</v>
      </c>
      <c r="V108" s="97">
        <f t="shared" si="115"/>
        <v>2660</v>
      </c>
      <c r="W108" s="97">
        <v>2660</v>
      </c>
      <c r="X108" s="97"/>
      <c r="Y108" s="97"/>
      <c r="Z108" s="97"/>
      <c r="AA108" s="97"/>
      <c r="AB108" s="97"/>
      <c r="AC108" s="97"/>
      <c r="AD108" s="97">
        <f t="shared" si="112"/>
        <v>0</v>
      </c>
      <c r="AE108" s="125">
        <f t="shared" si="113"/>
        <v>0</v>
      </c>
      <c r="AF108" s="125"/>
      <c r="AG108" s="125"/>
      <c r="AH108" s="125"/>
      <c r="AI108" s="125"/>
      <c r="AJ108" s="125"/>
      <c r="AK108" s="125"/>
      <c r="AL108" s="125"/>
      <c r="AM108" s="125"/>
      <c r="AN108" s="97"/>
      <c r="AO108" s="313"/>
      <c r="AP108" s="125"/>
      <c r="AQ108" s="125"/>
      <c r="AR108" s="125"/>
      <c r="AS108" s="125"/>
      <c r="AT108" s="125"/>
      <c r="AU108" s="125"/>
      <c r="AV108" s="98" t="s">
        <v>738</v>
      </c>
      <c r="AW108" s="105" t="s">
        <v>588</v>
      </c>
    </row>
    <row r="109" spans="1:49" ht="15" customHeight="1" x14ac:dyDescent="0.2">
      <c r="A109" s="167">
        <v>90000594245</v>
      </c>
      <c r="B109" s="119"/>
      <c r="C109" s="447" t="s">
        <v>24</v>
      </c>
      <c r="D109" s="448"/>
      <c r="E109" s="227" t="s">
        <v>272</v>
      </c>
      <c r="F109" s="299">
        <v>42000</v>
      </c>
      <c r="G109" s="97">
        <f t="shared" si="114"/>
        <v>42000</v>
      </c>
      <c r="H109" s="299">
        <f>42000</f>
        <v>42000</v>
      </c>
      <c r="I109" s="97">
        <f t="shared" si="110"/>
        <v>42000</v>
      </c>
      <c r="J109" s="97">
        <f t="shared" si="111"/>
        <v>0</v>
      </c>
      <c r="K109" s="97"/>
      <c r="L109" s="97"/>
      <c r="M109" s="97"/>
      <c r="N109" s="97"/>
      <c r="O109" s="97"/>
      <c r="P109" s="97"/>
      <c r="Q109" s="97"/>
      <c r="R109" s="97"/>
      <c r="S109" s="97"/>
      <c r="T109" s="97">
        <v>0</v>
      </c>
      <c r="U109" s="97">
        <f t="shared" ref="U109:U133" si="116">T109+V109</f>
        <v>0</v>
      </c>
      <c r="V109" s="97">
        <f t="shared" si="115"/>
        <v>0</v>
      </c>
      <c r="W109" s="97"/>
      <c r="X109" s="97"/>
      <c r="Y109" s="97"/>
      <c r="Z109" s="97"/>
      <c r="AA109" s="97"/>
      <c r="AB109" s="97"/>
      <c r="AC109" s="97"/>
      <c r="AD109" s="97">
        <f t="shared" si="112"/>
        <v>0</v>
      </c>
      <c r="AE109" s="125">
        <f t="shared" si="113"/>
        <v>0</v>
      </c>
      <c r="AF109" s="125"/>
      <c r="AG109" s="125"/>
      <c r="AH109" s="125"/>
      <c r="AI109" s="125"/>
      <c r="AJ109" s="125"/>
      <c r="AK109" s="125"/>
      <c r="AL109" s="125"/>
      <c r="AM109" s="125"/>
      <c r="AN109" s="97"/>
      <c r="AO109" s="313"/>
      <c r="AP109" s="125"/>
      <c r="AQ109" s="125"/>
      <c r="AR109" s="125"/>
      <c r="AS109" s="125"/>
      <c r="AT109" s="125"/>
      <c r="AU109" s="125"/>
      <c r="AV109" s="98" t="s">
        <v>404</v>
      </c>
      <c r="AW109" s="105" t="s">
        <v>370</v>
      </c>
    </row>
    <row r="110" spans="1:49" s="216" customFormat="1" ht="15" customHeight="1" x14ac:dyDescent="0.2">
      <c r="A110" s="167"/>
      <c r="B110" s="119"/>
      <c r="C110" s="214"/>
      <c r="D110" s="215"/>
      <c r="E110" s="227" t="s">
        <v>589</v>
      </c>
      <c r="F110" s="299">
        <v>10163</v>
      </c>
      <c r="G110" s="97">
        <f t="shared" si="114"/>
        <v>10003</v>
      </c>
      <c r="H110" s="299">
        <f>10163</f>
        <v>10163</v>
      </c>
      <c r="I110" s="97">
        <f t="shared" si="110"/>
        <v>10003</v>
      </c>
      <c r="J110" s="97">
        <f t="shared" si="111"/>
        <v>-160</v>
      </c>
      <c r="K110" s="97"/>
      <c r="L110" s="97"/>
      <c r="M110" s="97"/>
      <c r="N110" s="97"/>
      <c r="O110" s="97"/>
      <c r="P110" s="97">
        <v>-160</v>
      </c>
      <c r="Q110" s="97"/>
      <c r="R110" s="97"/>
      <c r="S110" s="97"/>
      <c r="T110" s="97">
        <v>0</v>
      </c>
      <c r="U110" s="97">
        <f t="shared" si="116"/>
        <v>0</v>
      </c>
      <c r="V110" s="97">
        <f t="shared" si="115"/>
        <v>0</v>
      </c>
      <c r="W110" s="97"/>
      <c r="X110" s="97"/>
      <c r="Y110" s="97"/>
      <c r="Z110" s="97"/>
      <c r="AA110" s="97"/>
      <c r="AB110" s="97"/>
      <c r="AC110" s="97"/>
      <c r="AD110" s="97">
        <f t="shared" si="112"/>
        <v>0</v>
      </c>
      <c r="AE110" s="125">
        <f t="shared" si="113"/>
        <v>0</v>
      </c>
      <c r="AF110" s="125"/>
      <c r="AG110" s="125"/>
      <c r="AH110" s="125"/>
      <c r="AI110" s="125"/>
      <c r="AJ110" s="125"/>
      <c r="AK110" s="125"/>
      <c r="AL110" s="125"/>
      <c r="AM110" s="125"/>
      <c r="AN110" s="97"/>
      <c r="AO110" s="313"/>
      <c r="AP110" s="125"/>
      <c r="AQ110" s="125"/>
      <c r="AR110" s="125"/>
      <c r="AS110" s="125"/>
      <c r="AT110" s="125"/>
      <c r="AU110" s="125"/>
      <c r="AV110" s="98" t="s">
        <v>632</v>
      </c>
      <c r="AW110" s="105" t="s">
        <v>370</v>
      </c>
    </row>
    <row r="111" spans="1:49" s="216" customFormat="1" ht="15" customHeight="1" x14ac:dyDescent="0.2">
      <c r="A111" s="167"/>
      <c r="B111" s="119"/>
      <c r="C111" s="214"/>
      <c r="D111" s="215"/>
      <c r="E111" s="227" t="s">
        <v>590</v>
      </c>
      <c r="F111" s="299">
        <v>20000</v>
      </c>
      <c r="G111" s="97">
        <f t="shared" si="114"/>
        <v>20000</v>
      </c>
      <c r="H111" s="299">
        <f>20000</f>
        <v>20000</v>
      </c>
      <c r="I111" s="97">
        <f t="shared" si="110"/>
        <v>20000</v>
      </c>
      <c r="J111" s="97">
        <f t="shared" si="111"/>
        <v>0</v>
      </c>
      <c r="K111" s="97"/>
      <c r="L111" s="97"/>
      <c r="M111" s="97"/>
      <c r="N111" s="97"/>
      <c r="O111" s="97"/>
      <c r="P111" s="97"/>
      <c r="Q111" s="97"/>
      <c r="R111" s="97"/>
      <c r="S111" s="97"/>
      <c r="T111" s="97">
        <v>0</v>
      </c>
      <c r="U111" s="97">
        <f t="shared" si="116"/>
        <v>0</v>
      </c>
      <c r="V111" s="97">
        <f t="shared" si="115"/>
        <v>0</v>
      </c>
      <c r="W111" s="97"/>
      <c r="X111" s="97"/>
      <c r="Y111" s="97"/>
      <c r="Z111" s="97"/>
      <c r="AA111" s="97"/>
      <c r="AB111" s="97"/>
      <c r="AC111" s="97"/>
      <c r="AD111" s="97">
        <f t="shared" si="112"/>
        <v>0</v>
      </c>
      <c r="AE111" s="125">
        <f t="shared" si="113"/>
        <v>0</v>
      </c>
      <c r="AF111" s="125"/>
      <c r="AG111" s="125"/>
      <c r="AH111" s="125"/>
      <c r="AI111" s="125"/>
      <c r="AJ111" s="125"/>
      <c r="AK111" s="125"/>
      <c r="AL111" s="125"/>
      <c r="AM111" s="125"/>
      <c r="AN111" s="97"/>
      <c r="AO111" s="313"/>
      <c r="AP111" s="125"/>
      <c r="AQ111" s="125"/>
      <c r="AR111" s="125"/>
      <c r="AS111" s="125"/>
      <c r="AT111" s="125"/>
      <c r="AU111" s="125"/>
      <c r="AV111" s="98" t="s">
        <v>633</v>
      </c>
      <c r="AW111" s="105" t="s">
        <v>370</v>
      </c>
    </row>
    <row r="112" spans="1:49" s="216" customFormat="1" ht="15" customHeight="1" x14ac:dyDescent="0.2">
      <c r="A112" s="167"/>
      <c r="B112" s="119"/>
      <c r="C112" s="214"/>
      <c r="D112" s="215"/>
      <c r="E112" s="227" t="s">
        <v>591</v>
      </c>
      <c r="F112" s="299">
        <v>5226</v>
      </c>
      <c r="G112" s="97">
        <f t="shared" si="114"/>
        <v>4657</v>
      </c>
      <c r="H112" s="299">
        <f>5226</f>
        <v>5226</v>
      </c>
      <c r="I112" s="97">
        <f t="shared" si="110"/>
        <v>4657</v>
      </c>
      <c r="J112" s="97">
        <f t="shared" si="111"/>
        <v>-569</v>
      </c>
      <c r="K112" s="97"/>
      <c r="L112" s="97"/>
      <c r="M112" s="97"/>
      <c r="N112" s="97"/>
      <c r="O112" s="97"/>
      <c r="P112" s="97">
        <v>-569</v>
      </c>
      <c r="Q112" s="97"/>
      <c r="R112" s="97"/>
      <c r="S112" s="97"/>
      <c r="T112" s="97">
        <v>0</v>
      </c>
      <c r="U112" s="97">
        <f t="shared" si="116"/>
        <v>0</v>
      </c>
      <c r="V112" s="97">
        <f t="shared" si="115"/>
        <v>0</v>
      </c>
      <c r="W112" s="97"/>
      <c r="X112" s="97"/>
      <c r="Y112" s="97"/>
      <c r="Z112" s="97"/>
      <c r="AA112" s="97"/>
      <c r="AB112" s="97"/>
      <c r="AC112" s="97"/>
      <c r="AD112" s="97">
        <f t="shared" si="112"/>
        <v>0</v>
      </c>
      <c r="AE112" s="125">
        <f t="shared" si="113"/>
        <v>0</v>
      </c>
      <c r="AF112" s="125"/>
      <c r="AG112" s="125"/>
      <c r="AH112" s="125"/>
      <c r="AI112" s="125"/>
      <c r="AJ112" s="125"/>
      <c r="AK112" s="125"/>
      <c r="AL112" s="125"/>
      <c r="AM112" s="125"/>
      <c r="AN112" s="97"/>
      <c r="AO112" s="313"/>
      <c r="AP112" s="125"/>
      <c r="AQ112" s="125"/>
      <c r="AR112" s="125"/>
      <c r="AS112" s="125"/>
      <c r="AT112" s="125"/>
      <c r="AU112" s="125"/>
      <c r="AV112" s="98" t="s">
        <v>634</v>
      </c>
      <c r="AW112" s="105" t="s">
        <v>370</v>
      </c>
    </row>
    <row r="113" spans="1:49" s="216" customFormat="1" ht="15" customHeight="1" x14ac:dyDescent="0.2">
      <c r="A113" s="167"/>
      <c r="B113" s="119"/>
      <c r="C113" s="214"/>
      <c r="D113" s="215"/>
      <c r="E113" s="227" t="s">
        <v>592</v>
      </c>
      <c r="F113" s="299">
        <v>31139</v>
      </c>
      <c r="G113" s="97">
        <f t="shared" si="114"/>
        <v>31868</v>
      </c>
      <c r="H113" s="299">
        <f>31139</f>
        <v>31139</v>
      </c>
      <c r="I113" s="97">
        <f t="shared" si="110"/>
        <v>31868</v>
      </c>
      <c r="J113" s="97">
        <f t="shared" si="111"/>
        <v>729</v>
      </c>
      <c r="K113" s="97"/>
      <c r="L113" s="97"/>
      <c r="M113" s="97"/>
      <c r="N113" s="97"/>
      <c r="O113" s="97"/>
      <c r="P113" s="97">
        <v>729</v>
      </c>
      <c r="Q113" s="97"/>
      <c r="R113" s="97"/>
      <c r="S113" s="97"/>
      <c r="T113" s="97">
        <v>0</v>
      </c>
      <c r="U113" s="97">
        <f t="shared" si="116"/>
        <v>0</v>
      </c>
      <c r="V113" s="97">
        <f t="shared" si="115"/>
        <v>0</v>
      </c>
      <c r="W113" s="97"/>
      <c r="X113" s="97"/>
      <c r="Y113" s="97"/>
      <c r="Z113" s="97"/>
      <c r="AA113" s="97"/>
      <c r="AB113" s="97"/>
      <c r="AC113" s="97"/>
      <c r="AD113" s="97">
        <f t="shared" si="112"/>
        <v>0</v>
      </c>
      <c r="AE113" s="125">
        <f t="shared" si="113"/>
        <v>0</v>
      </c>
      <c r="AF113" s="125"/>
      <c r="AG113" s="125"/>
      <c r="AH113" s="125"/>
      <c r="AI113" s="125"/>
      <c r="AJ113" s="125"/>
      <c r="AK113" s="125"/>
      <c r="AL113" s="125"/>
      <c r="AM113" s="125"/>
      <c r="AN113" s="97"/>
      <c r="AO113" s="313"/>
      <c r="AP113" s="125"/>
      <c r="AQ113" s="125"/>
      <c r="AR113" s="125"/>
      <c r="AS113" s="125"/>
      <c r="AT113" s="125"/>
      <c r="AU113" s="125"/>
      <c r="AV113" s="98" t="s">
        <v>635</v>
      </c>
      <c r="AW113" s="105" t="s">
        <v>370</v>
      </c>
    </row>
    <row r="114" spans="1:49" s="216" customFormat="1" ht="24" x14ac:dyDescent="0.2">
      <c r="A114" s="167"/>
      <c r="B114" s="119"/>
      <c r="C114" s="214"/>
      <c r="D114" s="215"/>
      <c r="E114" s="227" t="s">
        <v>593</v>
      </c>
      <c r="F114" s="299">
        <v>5400</v>
      </c>
      <c r="G114" s="97">
        <f t="shared" si="114"/>
        <v>5400</v>
      </c>
      <c r="H114" s="299">
        <f>5400</f>
        <v>5400</v>
      </c>
      <c r="I114" s="97">
        <f t="shared" si="110"/>
        <v>5400</v>
      </c>
      <c r="J114" s="97">
        <f t="shared" si="111"/>
        <v>0</v>
      </c>
      <c r="K114" s="97"/>
      <c r="L114" s="97"/>
      <c r="M114" s="97"/>
      <c r="N114" s="97"/>
      <c r="O114" s="97"/>
      <c r="P114" s="97"/>
      <c r="Q114" s="97"/>
      <c r="R114" s="97"/>
      <c r="S114" s="97"/>
      <c r="T114" s="97">
        <v>0</v>
      </c>
      <c r="U114" s="97">
        <f t="shared" si="116"/>
        <v>0</v>
      </c>
      <c r="V114" s="97">
        <f t="shared" si="115"/>
        <v>0</v>
      </c>
      <c r="W114" s="97"/>
      <c r="X114" s="97"/>
      <c r="Y114" s="97"/>
      <c r="Z114" s="97"/>
      <c r="AA114" s="97"/>
      <c r="AB114" s="97"/>
      <c r="AC114" s="97"/>
      <c r="AD114" s="97">
        <f t="shared" si="112"/>
        <v>0</v>
      </c>
      <c r="AE114" s="125">
        <f t="shared" si="113"/>
        <v>0</v>
      </c>
      <c r="AF114" s="125"/>
      <c r="AG114" s="125"/>
      <c r="AH114" s="125"/>
      <c r="AI114" s="125"/>
      <c r="AJ114" s="125"/>
      <c r="AK114" s="125"/>
      <c r="AL114" s="125"/>
      <c r="AM114" s="125"/>
      <c r="AN114" s="97"/>
      <c r="AO114" s="313"/>
      <c r="AP114" s="125"/>
      <c r="AQ114" s="125"/>
      <c r="AR114" s="125"/>
      <c r="AS114" s="125"/>
      <c r="AT114" s="125"/>
      <c r="AU114" s="125"/>
      <c r="AV114" s="98" t="s">
        <v>636</v>
      </c>
      <c r="AW114" s="105" t="s">
        <v>370</v>
      </c>
    </row>
    <row r="115" spans="1:49" s="216" customFormat="1" ht="24" x14ac:dyDescent="0.2">
      <c r="A115" s="167"/>
      <c r="B115" s="119"/>
      <c r="C115" s="214"/>
      <c r="D115" s="215"/>
      <c r="E115" s="227" t="s">
        <v>594</v>
      </c>
      <c r="F115" s="299">
        <v>4865</v>
      </c>
      <c r="G115" s="97">
        <f t="shared" si="114"/>
        <v>4865</v>
      </c>
      <c r="H115" s="299">
        <f>4865</f>
        <v>4865</v>
      </c>
      <c r="I115" s="97">
        <f t="shared" si="110"/>
        <v>4865</v>
      </c>
      <c r="J115" s="97">
        <f t="shared" si="111"/>
        <v>0</v>
      </c>
      <c r="K115" s="97"/>
      <c r="L115" s="97"/>
      <c r="M115" s="97"/>
      <c r="N115" s="97"/>
      <c r="O115" s="97"/>
      <c r="P115" s="97"/>
      <c r="Q115" s="97"/>
      <c r="R115" s="97"/>
      <c r="S115" s="97"/>
      <c r="T115" s="97">
        <v>0</v>
      </c>
      <c r="U115" s="97">
        <f t="shared" si="116"/>
        <v>0</v>
      </c>
      <c r="V115" s="97">
        <f t="shared" si="115"/>
        <v>0</v>
      </c>
      <c r="W115" s="97"/>
      <c r="X115" s="97"/>
      <c r="Y115" s="97"/>
      <c r="Z115" s="97"/>
      <c r="AA115" s="97"/>
      <c r="AB115" s="97"/>
      <c r="AC115" s="97"/>
      <c r="AD115" s="97">
        <f t="shared" si="112"/>
        <v>0</v>
      </c>
      <c r="AE115" s="125">
        <f t="shared" si="113"/>
        <v>0</v>
      </c>
      <c r="AF115" s="125"/>
      <c r="AG115" s="125"/>
      <c r="AH115" s="125"/>
      <c r="AI115" s="125"/>
      <c r="AJ115" s="125"/>
      <c r="AK115" s="125"/>
      <c r="AL115" s="125"/>
      <c r="AM115" s="125"/>
      <c r="AN115" s="97"/>
      <c r="AO115" s="313"/>
      <c r="AP115" s="125"/>
      <c r="AQ115" s="125"/>
      <c r="AR115" s="125"/>
      <c r="AS115" s="125"/>
      <c r="AT115" s="125"/>
      <c r="AU115" s="125"/>
      <c r="AV115" s="98" t="s">
        <v>637</v>
      </c>
      <c r="AW115" s="105" t="s">
        <v>370</v>
      </c>
    </row>
    <row r="116" spans="1:49" ht="40.5" customHeight="1" x14ac:dyDescent="0.2">
      <c r="A116" s="167">
        <v>90000056450</v>
      </c>
      <c r="B116" s="119"/>
      <c r="C116" s="447" t="s">
        <v>258</v>
      </c>
      <c r="D116" s="448"/>
      <c r="E116" s="227" t="s">
        <v>307</v>
      </c>
      <c r="F116" s="299">
        <v>627262</v>
      </c>
      <c r="G116" s="97">
        <f t="shared" si="114"/>
        <v>628583</v>
      </c>
      <c r="H116" s="299">
        <f>617308</f>
        <v>617308</v>
      </c>
      <c r="I116" s="97">
        <f t="shared" si="110"/>
        <v>617308</v>
      </c>
      <c r="J116" s="97">
        <f t="shared" si="111"/>
        <v>0</v>
      </c>
      <c r="K116" s="97"/>
      <c r="L116" s="97"/>
      <c r="M116" s="97"/>
      <c r="N116" s="97"/>
      <c r="O116" s="97"/>
      <c r="P116" s="97"/>
      <c r="Q116" s="97"/>
      <c r="R116" s="97"/>
      <c r="S116" s="97"/>
      <c r="T116" s="97">
        <v>0</v>
      </c>
      <c r="U116" s="97">
        <f t="shared" si="116"/>
        <v>0</v>
      </c>
      <c r="V116" s="97">
        <f t="shared" si="115"/>
        <v>0</v>
      </c>
      <c r="W116" s="97"/>
      <c r="X116" s="97"/>
      <c r="Y116" s="97"/>
      <c r="Z116" s="97"/>
      <c r="AA116" s="97"/>
      <c r="AB116" s="97"/>
      <c r="AC116" s="97">
        <f>9954</f>
        <v>9954</v>
      </c>
      <c r="AD116" s="97">
        <f t="shared" ref="AD116:AD127" si="117">AE116+AC116</f>
        <v>11275</v>
      </c>
      <c r="AE116" s="125">
        <f t="shared" ref="AE116:AE127" si="118">SUM(AF116:AK116)</f>
        <v>1321</v>
      </c>
      <c r="AF116" s="125"/>
      <c r="AG116" s="97">
        <f>1321</f>
        <v>1321</v>
      </c>
      <c r="AH116" s="125"/>
      <c r="AI116" s="125"/>
      <c r="AJ116" s="125"/>
      <c r="AK116" s="125"/>
      <c r="AL116" s="125"/>
      <c r="AM116" s="125"/>
      <c r="AN116" s="97"/>
      <c r="AO116" s="313"/>
      <c r="AP116" s="125"/>
      <c r="AQ116" s="97"/>
      <c r="AR116" s="125"/>
      <c r="AS116" s="125"/>
      <c r="AT116" s="125"/>
      <c r="AU116" s="125"/>
      <c r="AV116" s="98" t="s">
        <v>405</v>
      </c>
      <c r="AW116" s="105"/>
    </row>
    <row r="117" spans="1:49" ht="39.75" customHeight="1" x14ac:dyDescent="0.2">
      <c r="A117" s="167">
        <v>90009229680</v>
      </c>
      <c r="B117" s="119"/>
      <c r="C117" s="447" t="s">
        <v>192</v>
      </c>
      <c r="D117" s="448"/>
      <c r="E117" s="227" t="s">
        <v>306</v>
      </c>
      <c r="F117" s="299">
        <v>910105</v>
      </c>
      <c r="G117" s="97">
        <f>SUM(I117,U117,AD117,AL117,AN117)</f>
        <v>918384</v>
      </c>
      <c r="H117" s="299">
        <f>883228</f>
        <v>883228</v>
      </c>
      <c r="I117" s="97">
        <f t="shared" si="110"/>
        <v>883228</v>
      </c>
      <c r="J117" s="97">
        <f t="shared" si="111"/>
        <v>0</v>
      </c>
      <c r="K117" s="97"/>
      <c r="L117" s="97"/>
      <c r="M117" s="97"/>
      <c r="N117" s="97"/>
      <c r="O117" s="97"/>
      <c r="P117" s="97"/>
      <c r="Q117" s="97"/>
      <c r="R117" s="97"/>
      <c r="S117" s="97"/>
      <c r="T117" s="97">
        <v>0</v>
      </c>
      <c r="U117" s="97">
        <f t="shared" si="116"/>
        <v>7279</v>
      </c>
      <c r="V117" s="97">
        <f t="shared" si="115"/>
        <v>7279</v>
      </c>
      <c r="W117" s="97"/>
      <c r="X117" s="97">
        <v>7279</v>
      </c>
      <c r="Y117" s="97"/>
      <c r="Z117" s="97"/>
      <c r="AA117" s="97"/>
      <c r="AB117" s="97"/>
      <c r="AC117" s="97">
        <f>26877</f>
        <v>26877</v>
      </c>
      <c r="AD117" s="97">
        <f t="shared" si="117"/>
        <v>27877</v>
      </c>
      <c r="AE117" s="125">
        <f t="shared" si="118"/>
        <v>1000</v>
      </c>
      <c r="AF117" s="125"/>
      <c r="AG117" s="97">
        <f>1000</f>
        <v>1000</v>
      </c>
      <c r="AH117" s="125"/>
      <c r="AI117" s="125"/>
      <c r="AJ117" s="125"/>
      <c r="AK117" s="125"/>
      <c r="AL117" s="125"/>
      <c r="AM117" s="125"/>
      <c r="AN117" s="97"/>
      <c r="AO117" s="313"/>
      <c r="AP117" s="125"/>
      <c r="AQ117" s="97"/>
      <c r="AR117" s="125"/>
      <c r="AS117" s="125"/>
      <c r="AT117" s="125"/>
      <c r="AU117" s="125"/>
      <c r="AV117" s="98" t="s">
        <v>406</v>
      </c>
      <c r="AW117" s="105"/>
    </row>
    <row r="118" spans="1:49" ht="27.75" customHeight="1" x14ac:dyDescent="0.2">
      <c r="A118" s="167"/>
      <c r="B118" s="119"/>
      <c r="C118" s="214"/>
      <c r="D118" s="215"/>
      <c r="E118" s="227" t="s">
        <v>250</v>
      </c>
      <c r="F118" s="299">
        <v>511741</v>
      </c>
      <c r="G118" s="97">
        <f t="shared" si="114"/>
        <v>517897</v>
      </c>
      <c r="H118" s="299">
        <f>495473</f>
        <v>495473</v>
      </c>
      <c r="I118" s="97">
        <f t="shared" si="110"/>
        <v>495051</v>
      </c>
      <c r="J118" s="97">
        <f t="shared" si="111"/>
        <v>-422</v>
      </c>
      <c r="K118" s="97"/>
      <c r="L118" s="97"/>
      <c r="M118" s="97"/>
      <c r="N118" s="97">
        <f>-656+234</f>
        <v>-422</v>
      </c>
      <c r="O118" s="97"/>
      <c r="P118" s="97"/>
      <c r="Q118" s="97"/>
      <c r="R118" s="97"/>
      <c r="S118" s="97"/>
      <c r="T118" s="97">
        <v>0</v>
      </c>
      <c r="U118" s="97">
        <f t="shared" si="116"/>
        <v>0</v>
      </c>
      <c r="V118" s="97">
        <f t="shared" si="115"/>
        <v>0</v>
      </c>
      <c r="W118" s="97"/>
      <c r="X118" s="97"/>
      <c r="Y118" s="97"/>
      <c r="Z118" s="97"/>
      <c r="AA118" s="97"/>
      <c r="AB118" s="97"/>
      <c r="AC118" s="97">
        <f>16150</f>
        <v>16150</v>
      </c>
      <c r="AD118" s="97">
        <f t="shared" si="117"/>
        <v>22728</v>
      </c>
      <c r="AE118" s="125">
        <f t="shared" si="118"/>
        <v>6578</v>
      </c>
      <c r="AF118" s="125"/>
      <c r="AG118" s="97">
        <f>6578</f>
        <v>6578</v>
      </c>
      <c r="AH118" s="125"/>
      <c r="AI118" s="125"/>
      <c r="AJ118" s="125"/>
      <c r="AK118" s="125"/>
      <c r="AL118" s="125"/>
      <c r="AM118" s="125">
        <v>118</v>
      </c>
      <c r="AN118" s="97">
        <f>AM118+AO118</f>
        <v>118</v>
      </c>
      <c r="AO118" s="313">
        <f t="shared" ref="AO118" si="119">SUM(AP118:AU118)</f>
        <v>0</v>
      </c>
      <c r="AP118" s="125"/>
      <c r="AQ118" s="97"/>
      <c r="AR118" s="125"/>
      <c r="AS118" s="125"/>
      <c r="AT118" s="125"/>
      <c r="AU118" s="125"/>
      <c r="AV118" s="98" t="s">
        <v>407</v>
      </c>
      <c r="AW118" s="105" t="s">
        <v>701</v>
      </c>
    </row>
    <row r="119" spans="1:49" ht="12.75" x14ac:dyDescent="0.2">
      <c r="A119" s="167">
        <v>90001067517</v>
      </c>
      <c r="B119" s="119"/>
      <c r="C119" s="447" t="s">
        <v>342</v>
      </c>
      <c r="D119" s="448"/>
      <c r="E119" s="227" t="s">
        <v>349</v>
      </c>
      <c r="F119" s="299">
        <v>173634</v>
      </c>
      <c r="G119" s="97">
        <f t="shared" si="114"/>
        <v>39406</v>
      </c>
      <c r="H119" s="299">
        <f>143850</f>
        <v>143850</v>
      </c>
      <c r="I119" s="97">
        <f t="shared" si="110"/>
        <v>36810</v>
      </c>
      <c r="J119" s="97">
        <f t="shared" si="111"/>
        <v>-107040</v>
      </c>
      <c r="K119" s="97"/>
      <c r="L119" s="97"/>
      <c r="M119" s="97"/>
      <c r="N119" s="97"/>
      <c r="O119" s="97"/>
      <c r="P119" s="97">
        <f>-107040</f>
        <v>-107040</v>
      </c>
      <c r="Q119" s="97"/>
      <c r="R119" s="97"/>
      <c r="S119" s="97"/>
      <c r="T119" s="97">
        <v>0</v>
      </c>
      <c r="U119" s="97">
        <f t="shared" si="116"/>
        <v>0</v>
      </c>
      <c r="V119" s="97">
        <f t="shared" si="115"/>
        <v>0</v>
      </c>
      <c r="W119" s="97"/>
      <c r="X119" s="97"/>
      <c r="Y119" s="97"/>
      <c r="Z119" s="97"/>
      <c r="AA119" s="97"/>
      <c r="AB119" s="97"/>
      <c r="AC119" s="97">
        <f>29784</f>
        <v>29784</v>
      </c>
      <c r="AD119" s="97">
        <f t="shared" si="117"/>
        <v>2596</v>
      </c>
      <c r="AE119" s="125">
        <f t="shared" si="118"/>
        <v>-27188</v>
      </c>
      <c r="AF119" s="125"/>
      <c r="AG119" s="97"/>
      <c r="AH119" s="125">
        <f>-27188</f>
        <v>-27188</v>
      </c>
      <c r="AI119" s="125"/>
      <c r="AJ119" s="125"/>
      <c r="AK119" s="125"/>
      <c r="AL119" s="125"/>
      <c r="AM119" s="125"/>
      <c r="AN119" s="97"/>
      <c r="AO119" s="313"/>
      <c r="AP119" s="125"/>
      <c r="AQ119" s="97"/>
      <c r="AR119" s="125"/>
      <c r="AS119" s="125"/>
      <c r="AT119" s="125"/>
      <c r="AU119" s="125"/>
      <c r="AV119" s="98" t="s">
        <v>408</v>
      </c>
      <c r="AW119" s="105"/>
    </row>
    <row r="120" spans="1:49" ht="36" x14ac:dyDescent="0.2">
      <c r="A120" s="167">
        <v>40000056408</v>
      </c>
      <c r="B120" s="119"/>
      <c r="C120" s="447" t="s">
        <v>17</v>
      </c>
      <c r="D120" s="448"/>
      <c r="E120" s="227" t="s">
        <v>308</v>
      </c>
      <c r="F120" s="299">
        <v>406089</v>
      </c>
      <c r="G120" s="97">
        <f t="shared" si="114"/>
        <v>407523</v>
      </c>
      <c r="H120" s="299">
        <f>392928</f>
        <v>392928</v>
      </c>
      <c r="I120" s="97">
        <f t="shared" si="110"/>
        <v>392928</v>
      </c>
      <c r="J120" s="97">
        <f t="shared" si="111"/>
        <v>0</v>
      </c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0</v>
      </c>
      <c r="U120" s="97">
        <f t="shared" si="116"/>
        <v>0</v>
      </c>
      <c r="V120" s="97">
        <f t="shared" si="115"/>
        <v>0</v>
      </c>
      <c r="W120" s="97"/>
      <c r="X120" s="97"/>
      <c r="Y120" s="97"/>
      <c r="Z120" s="97"/>
      <c r="AA120" s="97"/>
      <c r="AB120" s="97"/>
      <c r="AC120" s="97">
        <f>13161</f>
        <v>13161</v>
      </c>
      <c r="AD120" s="97">
        <f t="shared" si="117"/>
        <v>14511</v>
      </c>
      <c r="AE120" s="125">
        <f t="shared" si="118"/>
        <v>1350</v>
      </c>
      <c r="AF120" s="125"/>
      <c r="AG120" s="125">
        <v>1350</v>
      </c>
      <c r="AH120" s="125"/>
      <c r="AI120" s="125"/>
      <c r="AJ120" s="125"/>
      <c r="AK120" s="125"/>
      <c r="AL120" s="125"/>
      <c r="AM120" s="125">
        <v>0</v>
      </c>
      <c r="AN120" s="97">
        <f>AM120+AO120</f>
        <v>84</v>
      </c>
      <c r="AO120" s="313">
        <f t="shared" ref="AO120" si="120">SUM(AP120:AU120)</f>
        <v>84</v>
      </c>
      <c r="AP120" s="125">
        <v>84</v>
      </c>
      <c r="AQ120" s="125"/>
      <c r="AR120" s="125"/>
      <c r="AS120" s="125"/>
      <c r="AT120" s="125"/>
      <c r="AU120" s="125"/>
      <c r="AV120" s="98" t="s">
        <v>409</v>
      </c>
      <c r="AW120" s="105"/>
    </row>
    <row r="121" spans="1:49" s="239" customFormat="1" ht="36" x14ac:dyDescent="0.2">
      <c r="A121" s="167"/>
      <c r="B121" s="119"/>
      <c r="C121" s="240"/>
      <c r="D121" s="241"/>
      <c r="E121" s="227" t="s">
        <v>650</v>
      </c>
      <c r="F121" s="299">
        <v>210000</v>
      </c>
      <c r="G121" s="97">
        <f t="shared" si="114"/>
        <v>210000</v>
      </c>
      <c r="H121" s="299">
        <f>210000</f>
        <v>210000</v>
      </c>
      <c r="I121" s="97">
        <f t="shared" si="110"/>
        <v>210000</v>
      </c>
      <c r="J121" s="97">
        <f t="shared" si="111"/>
        <v>0</v>
      </c>
      <c r="K121" s="97"/>
      <c r="L121" s="97"/>
      <c r="M121" s="97"/>
      <c r="N121" s="97"/>
      <c r="O121" s="97"/>
      <c r="P121" s="97"/>
      <c r="Q121" s="97"/>
      <c r="R121" s="97"/>
      <c r="S121" s="97"/>
      <c r="T121" s="97">
        <v>0</v>
      </c>
      <c r="U121" s="97">
        <f t="shared" si="116"/>
        <v>0</v>
      </c>
      <c r="V121" s="97">
        <f t="shared" si="115"/>
        <v>0</v>
      </c>
      <c r="W121" s="97"/>
      <c r="X121" s="97"/>
      <c r="Y121" s="97"/>
      <c r="Z121" s="97"/>
      <c r="AA121" s="97"/>
      <c r="AB121" s="97"/>
      <c r="AC121" s="97"/>
      <c r="AD121" s="97">
        <f t="shared" si="117"/>
        <v>0</v>
      </c>
      <c r="AE121" s="125">
        <f t="shared" si="118"/>
        <v>0</v>
      </c>
      <c r="AF121" s="125"/>
      <c r="AG121" s="125" t="s">
        <v>739</v>
      </c>
      <c r="AH121" s="125"/>
      <c r="AI121" s="125"/>
      <c r="AJ121" s="125"/>
      <c r="AK121" s="125"/>
      <c r="AL121" s="125"/>
      <c r="AM121" s="125"/>
      <c r="AN121" s="97"/>
      <c r="AO121" s="313"/>
      <c r="AP121" s="125"/>
      <c r="AQ121" s="125" t="s">
        <v>739</v>
      </c>
      <c r="AR121" s="125"/>
      <c r="AS121" s="125"/>
      <c r="AT121" s="125"/>
      <c r="AU121" s="125"/>
      <c r="AV121" s="98" t="s">
        <v>410</v>
      </c>
      <c r="AW121" s="105"/>
    </row>
    <row r="122" spans="1:49" s="284" customFormat="1" ht="84" x14ac:dyDescent="0.2">
      <c r="A122" s="167"/>
      <c r="B122" s="119"/>
      <c r="C122" s="282"/>
      <c r="D122" s="283"/>
      <c r="E122" s="227" t="s">
        <v>742</v>
      </c>
      <c r="F122" s="299"/>
      <c r="G122" s="97">
        <f t="shared" si="114"/>
        <v>56</v>
      </c>
      <c r="H122" s="299"/>
      <c r="I122" s="97">
        <f t="shared" si="110"/>
        <v>56</v>
      </c>
      <c r="J122" s="97">
        <f t="shared" si="111"/>
        <v>56</v>
      </c>
      <c r="K122" s="97"/>
      <c r="L122" s="97"/>
      <c r="M122" s="97"/>
      <c r="N122" s="97">
        <v>56</v>
      </c>
      <c r="O122" s="97"/>
      <c r="P122" s="97"/>
      <c r="Q122" s="97"/>
      <c r="R122" s="97"/>
      <c r="S122" s="97"/>
      <c r="T122" s="97">
        <v>0</v>
      </c>
      <c r="U122" s="97">
        <f t="shared" si="116"/>
        <v>0</v>
      </c>
      <c r="V122" s="97">
        <f t="shared" si="115"/>
        <v>0</v>
      </c>
      <c r="W122" s="97"/>
      <c r="X122" s="97"/>
      <c r="Y122" s="97"/>
      <c r="Z122" s="97"/>
      <c r="AA122" s="97"/>
      <c r="AB122" s="97"/>
      <c r="AC122" s="97"/>
      <c r="AD122" s="97">
        <f t="shared" si="117"/>
        <v>0</v>
      </c>
      <c r="AE122" s="125">
        <f t="shared" si="118"/>
        <v>0</v>
      </c>
      <c r="AF122" s="125"/>
      <c r="AG122" s="125"/>
      <c r="AH122" s="125"/>
      <c r="AI122" s="125"/>
      <c r="AJ122" s="125"/>
      <c r="AK122" s="125"/>
      <c r="AL122" s="125"/>
      <c r="AM122" s="125"/>
      <c r="AN122" s="97"/>
      <c r="AO122" s="313"/>
      <c r="AP122" s="125"/>
      <c r="AQ122" s="125"/>
      <c r="AR122" s="125"/>
      <c r="AS122" s="125"/>
      <c r="AT122" s="125"/>
      <c r="AU122" s="125"/>
      <c r="AV122" s="98" t="s">
        <v>734</v>
      </c>
      <c r="AW122" s="105"/>
    </row>
    <row r="123" spans="1:49" ht="27.75" customHeight="1" x14ac:dyDescent="0.2">
      <c r="A123" s="167"/>
      <c r="B123" s="119"/>
      <c r="C123" s="214"/>
      <c r="D123" s="215"/>
      <c r="E123" s="227" t="s">
        <v>667</v>
      </c>
      <c r="F123" s="299">
        <v>34573</v>
      </c>
      <c r="G123" s="97">
        <f t="shared" si="114"/>
        <v>34573</v>
      </c>
      <c r="H123" s="299">
        <f>34573</f>
        <v>34573</v>
      </c>
      <c r="I123" s="97">
        <f t="shared" si="110"/>
        <v>34573</v>
      </c>
      <c r="J123" s="97">
        <f t="shared" si="111"/>
        <v>0</v>
      </c>
      <c r="K123" s="97"/>
      <c r="L123" s="97"/>
      <c r="M123" s="97"/>
      <c r="N123" s="97"/>
      <c r="O123" s="97"/>
      <c r="P123" s="97"/>
      <c r="Q123" s="97"/>
      <c r="R123" s="97"/>
      <c r="S123" s="97"/>
      <c r="T123" s="97">
        <v>0</v>
      </c>
      <c r="U123" s="97">
        <f t="shared" si="116"/>
        <v>0</v>
      </c>
      <c r="V123" s="97">
        <f t="shared" si="115"/>
        <v>0</v>
      </c>
      <c r="W123" s="97"/>
      <c r="X123" s="97"/>
      <c r="Y123" s="97"/>
      <c r="Z123" s="97"/>
      <c r="AA123" s="97"/>
      <c r="AB123" s="97"/>
      <c r="AC123" s="97"/>
      <c r="AD123" s="97">
        <f t="shared" si="117"/>
        <v>0</v>
      </c>
      <c r="AE123" s="125">
        <f t="shared" si="118"/>
        <v>0</v>
      </c>
      <c r="AF123" s="125"/>
      <c r="AG123" s="125"/>
      <c r="AH123" s="125"/>
      <c r="AI123" s="125"/>
      <c r="AJ123" s="125"/>
      <c r="AK123" s="125"/>
      <c r="AL123" s="125"/>
      <c r="AM123" s="125"/>
      <c r="AN123" s="97"/>
      <c r="AO123" s="313"/>
      <c r="AP123" s="125"/>
      <c r="AQ123" s="125"/>
      <c r="AR123" s="125"/>
      <c r="AS123" s="125"/>
      <c r="AT123" s="125"/>
      <c r="AU123" s="125"/>
      <c r="AV123" s="98" t="s">
        <v>651</v>
      </c>
      <c r="AW123" s="105" t="s">
        <v>371</v>
      </c>
    </row>
    <row r="124" spans="1:49" s="12" customFormat="1" ht="24" x14ac:dyDescent="0.2">
      <c r="A124" s="170">
        <v>40003378932</v>
      </c>
      <c r="B124" s="96"/>
      <c r="C124" s="447" t="s">
        <v>193</v>
      </c>
      <c r="D124" s="448"/>
      <c r="E124" s="227" t="s">
        <v>501</v>
      </c>
      <c r="F124" s="299">
        <v>49062</v>
      </c>
      <c r="G124" s="97">
        <f t="shared" si="114"/>
        <v>49062</v>
      </c>
      <c r="H124" s="299">
        <f>49062</f>
        <v>49062</v>
      </c>
      <c r="I124" s="97">
        <f t="shared" si="110"/>
        <v>49062</v>
      </c>
      <c r="J124" s="97">
        <f t="shared" si="111"/>
        <v>0</v>
      </c>
      <c r="K124" s="97"/>
      <c r="L124" s="97"/>
      <c r="M124" s="97"/>
      <c r="N124" s="97"/>
      <c r="O124" s="97"/>
      <c r="P124" s="97"/>
      <c r="Q124" s="97"/>
      <c r="R124" s="97"/>
      <c r="S124" s="97"/>
      <c r="T124" s="97">
        <v>0</v>
      </c>
      <c r="U124" s="97">
        <f t="shared" si="116"/>
        <v>0</v>
      </c>
      <c r="V124" s="97">
        <f t="shared" si="115"/>
        <v>0</v>
      </c>
      <c r="W124" s="97"/>
      <c r="X124" s="97"/>
      <c r="Y124" s="97"/>
      <c r="Z124" s="97"/>
      <c r="AA124" s="97"/>
      <c r="AB124" s="97"/>
      <c r="AC124" s="97"/>
      <c r="AD124" s="97">
        <f t="shared" si="117"/>
        <v>0</v>
      </c>
      <c r="AE124" s="125">
        <f t="shared" si="118"/>
        <v>0</v>
      </c>
      <c r="AF124" s="125"/>
      <c r="AG124" s="125"/>
      <c r="AH124" s="125"/>
      <c r="AI124" s="125"/>
      <c r="AJ124" s="125"/>
      <c r="AK124" s="125"/>
      <c r="AL124" s="127"/>
      <c r="AM124" s="127"/>
      <c r="AN124" s="97"/>
      <c r="AO124" s="313"/>
      <c r="AP124" s="125"/>
      <c r="AQ124" s="125"/>
      <c r="AR124" s="125"/>
      <c r="AS124" s="125"/>
      <c r="AT124" s="125"/>
      <c r="AU124" s="125"/>
      <c r="AV124" s="98" t="s">
        <v>411</v>
      </c>
      <c r="AW124" s="105"/>
    </row>
    <row r="125" spans="1:49" s="12" customFormat="1" ht="41.25" customHeight="1" x14ac:dyDescent="0.2">
      <c r="A125" s="170"/>
      <c r="B125" s="96"/>
      <c r="C125" s="161"/>
      <c r="D125" s="162"/>
      <c r="E125" s="227" t="s">
        <v>510</v>
      </c>
      <c r="F125" s="299">
        <v>672120</v>
      </c>
      <c r="G125" s="97">
        <f t="shared" si="114"/>
        <v>672120</v>
      </c>
      <c r="H125" s="299">
        <f>672120</f>
        <v>672120</v>
      </c>
      <c r="I125" s="97">
        <f t="shared" si="110"/>
        <v>672120</v>
      </c>
      <c r="J125" s="97">
        <f t="shared" si="111"/>
        <v>0</v>
      </c>
      <c r="K125" s="97"/>
      <c r="L125" s="97"/>
      <c r="M125" s="97"/>
      <c r="N125" s="97"/>
      <c r="O125" s="97"/>
      <c r="P125" s="97"/>
      <c r="Q125" s="97"/>
      <c r="R125" s="97"/>
      <c r="S125" s="97"/>
      <c r="T125" s="97">
        <v>0</v>
      </c>
      <c r="U125" s="97">
        <f t="shared" si="116"/>
        <v>0</v>
      </c>
      <c r="V125" s="97">
        <f t="shared" si="115"/>
        <v>0</v>
      </c>
      <c r="W125" s="97"/>
      <c r="X125" s="97"/>
      <c r="Y125" s="97"/>
      <c r="Z125" s="97"/>
      <c r="AA125" s="97"/>
      <c r="AB125" s="97"/>
      <c r="AC125" s="97"/>
      <c r="AD125" s="97">
        <f t="shared" si="117"/>
        <v>0</v>
      </c>
      <c r="AE125" s="125">
        <f t="shared" si="118"/>
        <v>0</v>
      </c>
      <c r="AF125" s="125"/>
      <c r="AG125" s="125"/>
      <c r="AH125" s="125"/>
      <c r="AI125" s="125"/>
      <c r="AJ125" s="125"/>
      <c r="AK125" s="125"/>
      <c r="AL125" s="127"/>
      <c r="AM125" s="127"/>
      <c r="AN125" s="97"/>
      <c r="AO125" s="313"/>
      <c r="AP125" s="125"/>
      <c r="AQ125" s="125"/>
      <c r="AR125" s="125"/>
      <c r="AS125" s="125"/>
      <c r="AT125" s="125"/>
      <c r="AU125" s="125"/>
      <c r="AV125" s="98" t="s">
        <v>638</v>
      </c>
      <c r="AW125" s="105"/>
    </row>
    <row r="126" spans="1:49" s="12" customFormat="1" ht="16.5" customHeight="1" x14ac:dyDescent="0.2">
      <c r="A126" s="170"/>
      <c r="B126" s="96"/>
      <c r="C126" s="161"/>
      <c r="D126" s="162"/>
      <c r="E126" s="227" t="s">
        <v>305</v>
      </c>
      <c r="F126" s="299">
        <v>243000</v>
      </c>
      <c r="G126" s="97">
        <f t="shared" si="114"/>
        <v>243000</v>
      </c>
      <c r="H126" s="299">
        <f>243000</f>
        <v>243000</v>
      </c>
      <c r="I126" s="97">
        <f t="shared" si="110"/>
        <v>243000</v>
      </c>
      <c r="J126" s="97">
        <f t="shared" si="111"/>
        <v>0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>
        <v>0</v>
      </c>
      <c r="U126" s="97">
        <f t="shared" si="116"/>
        <v>0</v>
      </c>
      <c r="V126" s="97">
        <f t="shared" si="115"/>
        <v>0</v>
      </c>
      <c r="W126" s="97"/>
      <c r="X126" s="97"/>
      <c r="Y126" s="97"/>
      <c r="Z126" s="97"/>
      <c r="AA126" s="97"/>
      <c r="AB126" s="97"/>
      <c r="AC126" s="97"/>
      <c r="AD126" s="97">
        <f t="shared" si="117"/>
        <v>0</v>
      </c>
      <c r="AE126" s="125">
        <f t="shared" si="118"/>
        <v>0</v>
      </c>
      <c r="AF126" s="125"/>
      <c r="AG126" s="125"/>
      <c r="AH126" s="125"/>
      <c r="AI126" s="125"/>
      <c r="AJ126" s="125"/>
      <c r="AK126" s="125"/>
      <c r="AL126" s="127"/>
      <c r="AM126" s="127"/>
      <c r="AN126" s="97"/>
      <c r="AO126" s="313"/>
      <c r="AP126" s="125"/>
      <c r="AQ126" s="125"/>
      <c r="AR126" s="125"/>
      <c r="AS126" s="125"/>
      <c r="AT126" s="125"/>
      <c r="AU126" s="125"/>
      <c r="AV126" s="98" t="s">
        <v>639</v>
      </c>
      <c r="AW126" s="105"/>
    </row>
    <row r="127" spans="1:49" s="12" customFormat="1" ht="24" x14ac:dyDescent="0.2">
      <c r="A127" s="170"/>
      <c r="B127" s="96"/>
      <c r="C127" s="232"/>
      <c r="D127" s="233"/>
      <c r="E127" s="227" t="s">
        <v>654</v>
      </c>
      <c r="F127" s="299">
        <v>33500</v>
      </c>
      <c r="G127" s="97">
        <f t="shared" si="114"/>
        <v>33500</v>
      </c>
      <c r="H127" s="299">
        <f>33500</f>
        <v>33500</v>
      </c>
      <c r="I127" s="97">
        <f>H127+J127</f>
        <v>33500</v>
      </c>
      <c r="J127" s="97">
        <f>SUM(K127:S127)</f>
        <v>0</v>
      </c>
      <c r="K127" s="97"/>
      <c r="L127" s="97"/>
      <c r="M127" s="97"/>
      <c r="N127" s="97"/>
      <c r="O127" s="97"/>
      <c r="P127" s="97"/>
      <c r="Q127" s="97"/>
      <c r="R127" s="97"/>
      <c r="S127" s="97"/>
      <c r="T127" s="97">
        <v>0</v>
      </c>
      <c r="U127" s="97">
        <f t="shared" si="116"/>
        <v>0</v>
      </c>
      <c r="V127" s="97">
        <f t="shared" si="115"/>
        <v>0</v>
      </c>
      <c r="W127" s="97"/>
      <c r="X127" s="97"/>
      <c r="Y127" s="97"/>
      <c r="Z127" s="97"/>
      <c r="AA127" s="97"/>
      <c r="AB127" s="97"/>
      <c r="AC127" s="97"/>
      <c r="AD127" s="97">
        <f t="shared" si="117"/>
        <v>0</v>
      </c>
      <c r="AE127" s="125">
        <f t="shared" si="118"/>
        <v>0</v>
      </c>
      <c r="AF127" s="125"/>
      <c r="AG127" s="125"/>
      <c r="AH127" s="125"/>
      <c r="AI127" s="125"/>
      <c r="AJ127" s="125"/>
      <c r="AK127" s="125"/>
      <c r="AL127" s="127"/>
      <c r="AM127" s="127"/>
      <c r="AN127" s="97"/>
      <c r="AO127" s="313"/>
      <c r="AP127" s="125"/>
      <c r="AQ127" s="125"/>
      <c r="AR127" s="125"/>
      <c r="AS127" s="125"/>
      <c r="AT127" s="125"/>
      <c r="AU127" s="125"/>
      <c r="AV127" s="98" t="s">
        <v>640</v>
      </c>
      <c r="AW127" s="105"/>
    </row>
    <row r="128" spans="1:49" s="12" customFormat="1" ht="12.75" x14ac:dyDescent="0.2">
      <c r="A128" s="170" t="s">
        <v>759</v>
      </c>
      <c r="B128" s="96"/>
      <c r="C128" s="447" t="s">
        <v>756</v>
      </c>
      <c r="D128" s="448"/>
      <c r="E128" s="227" t="s">
        <v>240</v>
      </c>
      <c r="F128" s="299"/>
      <c r="G128" s="97">
        <f t="shared" si="114"/>
        <v>100550</v>
      </c>
      <c r="H128" s="299"/>
      <c r="I128" s="97">
        <f>H128+J128</f>
        <v>100550</v>
      </c>
      <c r="J128" s="97">
        <f t="shared" ref="J128:J130" si="121">SUM(K128:S128)</f>
        <v>100550</v>
      </c>
      <c r="K128" s="97"/>
      <c r="L128" s="97"/>
      <c r="M128" s="97"/>
      <c r="N128" s="97"/>
      <c r="O128" s="97"/>
      <c r="P128" s="97">
        <f>100550</f>
        <v>100550</v>
      </c>
      <c r="Q128" s="97"/>
      <c r="R128" s="97"/>
      <c r="S128" s="97"/>
      <c r="T128" s="97">
        <v>0</v>
      </c>
      <c r="U128" s="97">
        <f t="shared" si="116"/>
        <v>0</v>
      </c>
      <c r="V128" s="97">
        <f t="shared" si="115"/>
        <v>0</v>
      </c>
      <c r="W128" s="97"/>
      <c r="X128" s="97"/>
      <c r="Y128" s="97"/>
      <c r="Z128" s="97"/>
      <c r="AA128" s="97"/>
      <c r="AB128" s="97"/>
      <c r="AC128" s="97"/>
      <c r="AD128" s="97">
        <f>AE128+AC128</f>
        <v>0</v>
      </c>
      <c r="AE128" s="125">
        <f>SUM(AF128:AK128)</f>
        <v>0</v>
      </c>
      <c r="AF128" s="125"/>
      <c r="AG128" s="125"/>
      <c r="AH128" s="125"/>
      <c r="AI128" s="125"/>
      <c r="AJ128" s="125"/>
      <c r="AK128" s="125"/>
      <c r="AL128" s="127"/>
      <c r="AM128" s="127"/>
      <c r="AN128" s="97"/>
      <c r="AO128" s="313"/>
      <c r="AP128" s="125"/>
      <c r="AQ128" s="125"/>
      <c r="AR128" s="125"/>
      <c r="AS128" s="125"/>
      <c r="AT128" s="125"/>
      <c r="AU128" s="125"/>
      <c r="AV128" s="98" t="s">
        <v>757</v>
      </c>
      <c r="AW128" s="105"/>
    </row>
    <row r="129" spans="1:49" s="12" customFormat="1" ht="24" x14ac:dyDescent="0.2">
      <c r="A129" s="170"/>
      <c r="B129" s="96"/>
      <c r="C129" s="435"/>
      <c r="D129" s="436"/>
      <c r="E129" s="227" t="s">
        <v>765</v>
      </c>
      <c r="F129" s="299"/>
      <c r="G129" s="97">
        <f t="shared" si="114"/>
        <v>156967</v>
      </c>
      <c r="H129" s="299"/>
      <c r="I129" s="97">
        <f t="shared" ref="I129:I130" si="122">H129+J129</f>
        <v>107040</v>
      </c>
      <c r="J129" s="97">
        <f t="shared" si="121"/>
        <v>107040</v>
      </c>
      <c r="K129" s="97"/>
      <c r="L129" s="97"/>
      <c r="M129" s="97"/>
      <c r="N129" s="97"/>
      <c r="O129" s="97"/>
      <c r="P129" s="97">
        <f>107040</f>
        <v>107040</v>
      </c>
      <c r="Q129" s="97"/>
      <c r="R129" s="97"/>
      <c r="S129" s="97"/>
      <c r="T129" s="97">
        <v>0</v>
      </c>
      <c r="U129" s="97">
        <f t="shared" si="116"/>
        <v>0</v>
      </c>
      <c r="V129" s="97">
        <f t="shared" si="115"/>
        <v>0</v>
      </c>
      <c r="W129" s="97"/>
      <c r="X129" s="97"/>
      <c r="Y129" s="97"/>
      <c r="Z129" s="97"/>
      <c r="AA129" s="97"/>
      <c r="AB129" s="97"/>
      <c r="AC129" s="97"/>
      <c r="AD129" s="97">
        <f>AE129+AC129</f>
        <v>49927</v>
      </c>
      <c r="AE129" s="125">
        <f>SUM(AF129:AK129)</f>
        <v>49927</v>
      </c>
      <c r="AF129" s="125"/>
      <c r="AG129" s="125"/>
      <c r="AH129" s="125">
        <f>49927</f>
        <v>49927</v>
      </c>
      <c r="AI129" s="125"/>
      <c r="AJ129" s="125"/>
      <c r="AK129" s="125"/>
      <c r="AL129" s="127"/>
      <c r="AM129" s="127"/>
      <c r="AN129" s="97"/>
      <c r="AO129" s="313"/>
      <c r="AP129" s="125"/>
      <c r="AQ129" s="125"/>
      <c r="AR129" s="125"/>
      <c r="AS129" s="125"/>
      <c r="AT129" s="125"/>
      <c r="AU129" s="125"/>
      <c r="AV129" s="98" t="s">
        <v>758</v>
      </c>
      <c r="AW129" s="105"/>
    </row>
    <row r="130" spans="1:49" s="12" customFormat="1" ht="24" x14ac:dyDescent="0.2">
      <c r="A130" s="170"/>
      <c r="B130" s="96"/>
      <c r="C130" s="435"/>
      <c r="D130" s="436"/>
      <c r="E130" s="227" t="s">
        <v>764</v>
      </c>
      <c r="F130" s="299"/>
      <c r="G130" s="97">
        <f t="shared" si="114"/>
        <v>203102</v>
      </c>
      <c r="H130" s="299"/>
      <c r="I130" s="97">
        <f t="shared" si="122"/>
        <v>166194</v>
      </c>
      <c r="J130" s="97">
        <f t="shared" si="121"/>
        <v>166194</v>
      </c>
      <c r="K130" s="97"/>
      <c r="L130" s="97"/>
      <c r="M130" s="97"/>
      <c r="N130" s="97"/>
      <c r="O130" s="97"/>
      <c r="P130" s="97">
        <f>166194</f>
        <v>166194</v>
      </c>
      <c r="Q130" s="97"/>
      <c r="R130" s="97"/>
      <c r="S130" s="97"/>
      <c r="T130" s="97">
        <v>0</v>
      </c>
      <c r="U130" s="97">
        <f t="shared" si="116"/>
        <v>0</v>
      </c>
      <c r="V130" s="97">
        <f t="shared" si="115"/>
        <v>0</v>
      </c>
      <c r="W130" s="97"/>
      <c r="X130" s="97"/>
      <c r="Y130" s="97"/>
      <c r="Z130" s="97"/>
      <c r="AA130" s="97"/>
      <c r="AB130" s="97"/>
      <c r="AC130" s="97"/>
      <c r="AD130" s="97">
        <f>AE130+AC130</f>
        <v>36908</v>
      </c>
      <c r="AE130" s="125">
        <f>SUM(AF130:AK130)</f>
        <v>36908</v>
      </c>
      <c r="AF130" s="125"/>
      <c r="AG130" s="125"/>
      <c r="AH130" s="125">
        <f>36908</f>
        <v>36908</v>
      </c>
      <c r="AI130" s="125"/>
      <c r="AJ130" s="125"/>
      <c r="AK130" s="125"/>
      <c r="AL130" s="127"/>
      <c r="AM130" s="127"/>
      <c r="AN130" s="97"/>
      <c r="AO130" s="313"/>
      <c r="AP130" s="125"/>
      <c r="AQ130" s="125"/>
      <c r="AR130" s="125"/>
      <c r="AS130" s="125"/>
      <c r="AT130" s="125"/>
      <c r="AU130" s="125"/>
      <c r="AV130" s="98" t="s">
        <v>763</v>
      </c>
      <c r="AW130" s="105"/>
    </row>
    <row r="131" spans="1:49" ht="69.75" customHeight="1" x14ac:dyDescent="0.2">
      <c r="A131" s="167"/>
      <c r="B131" s="119"/>
      <c r="C131" s="447" t="s">
        <v>215</v>
      </c>
      <c r="D131" s="448"/>
      <c r="E131" s="424" t="s">
        <v>529</v>
      </c>
      <c r="F131" s="299">
        <v>192814</v>
      </c>
      <c r="G131" s="97">
        <f t="shared" si="114"/>
        <v>192814</v>
      </c>
      <c r="H131" s="299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>
        <v>0</v>
      </c>
      <c r="U131" s="97">
        <f t="shared" si="116"/>
        <v>0</v>
      </c>
      <c r="V131" s="97">
        <f t="shared" si="115"/>
        <v>0</v>
      </c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>
        <v>192814</v>
      </c>
      <c r="AM131" s="125"/>
      <c r="AN131" s="97"/>
      <c r="AO131" s="313"/>
      <c r="AP131" s="97"/>
      <c r="AQ131" s="97"/>
      <c r="AR131" s="97"/>
      <c r="AS131" s="97"/>
      <c r="AT131" s="97"/>
      <c r="AU131" s="97"/>
      <c r="AV131" s="98"/>
      <c r="AW131" s="105"/>
    </row>
    <row r="132" spans="1:49" ht="24" x14ac:dyDescent="0.2">
      <c r="A132" s="167"/>
      <c r="B132" s="119"/>
      <c r="C132" s="163"/>
      <c r="D132" s="164"/>
      <c r="E132" s="424" t="s">
        <v>150</v>
      </c>
      <c r="F132" s="299">
        <v>302368</v>
      </c>
      <c r="G132" s="97">
        <f t="shared" si="114"/>
        <v>302368</v>
      </c>
      <c r="H132" s="299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0</v>
      </c>
      <c r="U132" s="97">
        <f t="shared" si="116"/>
        <v>0</v>
      </c>
      <c r="V132" s="97">
        <f t="shared" si="115"/>
        <v>0</v>
      </c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>
        <v>302368</v>
      </c>
      <c r="AM132" s="125"/>
      <c r="AN132" s="97"/>
      <c r="AO132" s="313"/>
      <c r="AP132" s="97"/>
      <c r="AQ132" s="97"/>
      <c r="AR132" s="97"/>
      <c r="AS132" s="97"/>
      <c r="AT132" s="97"/>
      <c r="AU132" s="97"/>
      <c r="AV132" s="98"/>
      <c r="AW132" s="105"/>
    </row>
    <row r="133" spans="1:49" ht="24" x14ac:dyDescent="0.2">
      <c r="A133" s="167"/>
      <c r="B133" s="119"/>
      <c r="C133" s="163"/>
      <c r="D133" s="164"/>
      <c r="E133" s="424" t="s">
        <v>155</v>
      </c>
      <c r="F133" s="299">
        <v>512234</v>
      </c>
      <c r="G133" s="97">
        <f t="shared" si="114"/>
        <v>512234</v>
      </c>
      <c r="H133" s="299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0</v>
      </c>
      <c r="U133" s="97">
        <f t="shared" si="116"/>
        <v>0</v>
      </c>
      <c r="V133" s="97">
        <f t="shared" si="115"/>
        <v>0</v>
      </c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>
        <v>512234</v>
      </c>
      <c r="AM133" s="125"/>
      <c r="AN133" s="97"/>
      <c r="AO133" s="313"/>
      <c r="AP133" s="97"/>
      <c r="AQ133" s="97"/>
      <c r="AR133" s="97"/>
      <c r="AS133" s="97"/>
      <c r="AT133" s="97"/>
      <c r="AU133" s="97"/>
      <c r="AV133" s="98"/>
      <c r="AW133" s="105"/>
    </row>
    <row r="134" spans="1:49" s="203" customFormat="1" ht="48" x14ac:dyDescent="0.2">
      <c r="A134" s="167"/>
      <c r="B134" s="206"/>
      <c r="C134" s="163"/>
      <c r="D134" s="164"/>
      <c r="E134" s="424" t="s">
        <v>534</v>
      </c>
      <c r="F134" s="299">
        <v>29394</v>
      </c>
      <c r="G134" s="97">
        <f t="shared" si="114"/>
        <v>29394</v>
      </c>
      <c r="H134" s="299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>
        <f t="shared" si="115"/>
        <v>0</v>
      </c>
      <c r="W134" s="97"/>
      <c r="X134" s="97"/>
      <c r="Y134" s="97"/>
      <c r="Z134" s="97"/>
      <c r="AA134" s="97"/>
      <c r="AB134" s="97"/>
      <c r="AC134" s="97"/>
      <c r="AD134" s="97"/>
      <c r="AE134" s="125"/>
      <c r="AF134" s="125"/>
      <c r="AG134" s="125"/>
      <c r="AH134" s="125"/>
      <c r="AI134" s="125"/>
      <c r="AJ134" s="125"/>
      <c r="AK134" s="125"/>
      <c r="AL134" s="125">
        <v>29394</v>
      </c>
      <c r="AM134" s="125"/>
      <c r="AN134" s="97"/>
      <c r="AO134" s="313"/>
      <c r="AP134" s="125"/>
      <c r="AQ134" s="125"/>
      <c r="AR134" s="125"/>
      <c r="AS134" s="125"/>
      <c r="AT134" s="125"/>
      <c r="AU134" s="125"/>
      <c r="AV134" s="98"/>
      <c r="AW134" s="105"/>
    </row>
    <row r="135" spans="1:49" ht="12.75" thickBot="1" x14ac:dyDescent="0.25">
      <c r="A135" s="167"/>
      <c r="B135" s="145"/>
      <c r="C135" s="489"/>
      <c r="D135" s="490"/>
      <c r="E135" s="425"/>
      <c r="F135" s="300"/>
      <c r="G135" s="84"/>
      <c r="H135" s="300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84"/>
      <c r="AO135" s="314"/>
      <c r="AP135" s="124"/>
      <c r="AQ135" s="124"/>
      <c r="AR135" s="124"/>
      <c r="AS135" s="124"/>
      <c r="AT135" s="124"/>
      <c r="AU135" s="124"/>
      <c r="AV135" s="85"/>
      <c r="AW135" s="106"/>
    </row>
    <row r="136" spans="1:49" ht="12.75" thickBot="1" x14ac:dyDescent="0.25">
      <c r="A136" s="226"/>
      <c r="B136" s="486" t="s">
        <v>18</v>
      </c>
      <c r="C136" s="486"/>
      <c r="D136" s="223" t="s">
        <v>19</v>
      </c>
      <c r="E136" s="423"/>
      <c r="F136" s="301">
        <v>29353993</v>
      </c>
      <c r="G136" s="417">
        <f t="shared" ref="G136" si="123">SUM(I136,U136,AD136,AL136,AN136)</f>
        <v>29623108</v>
      </c>
      <c r="H136" s="7">
        <f>SUM(H137:H215,H219:H224,)</f>
        <v>19910884</v>
      </c>
      <c r="I136" s="7">
        <f>SUM(I137:I215,I219:I224,)</f>
        <v>19789798</v>
      </c>
      <c r="J136" s="7">
        <f>SUM(J137:J215,J219:J224,)</f>
        <v>-121086</v>
      </c>
      <c r="K136" s="7">
        <f>SUM(K137:K215,K219:K224,)</f>
        <v>21200</v>
      </c>
      <c r="L136" s="7">
        <f t="shared" ref="L136:S136" si="124">SUM(L137:L215,L219:L224,)</f>
        <v>230</v>
      </c>
      <c r="M136" s="7">
        <f t="shared" si="124"/>
        <v>-15560</v>
      </c>
      <c r="N136" s="7">
        <f t="shared" si="124"/>
        <v>21012</v>
      </c>
      <c r="O136" s="7">
        <f t="shared" si="124"/>
        <v>-36143</v>
      </c>
      <c r="P136" s="7">
        <f>SUM(P137:P215,P219:P224,)</f>
        <v>-111825</v>
      </c>
      <c r="Q136" s="7">
        <f t="shared" si="124"/>
        <v>0</v>
      </c>
      <c r="R136" s="7">
        <f t="shared" si="124"/>
        <v>0</v>
      </c>
      <c r="S136" s="7">
        <f t="shared" si="124"/>
        <v>0</v>
      </c>
      <c r="T136" s="7">
        <f>SUM(T137:T215,T219:T224,)</f>
        <v>7331221</v>
      </c>
      <c r="U136" s="7">
        <f t="shared" ref="U136:V136" si="125">SUM(U137:U215,U219:U224,)</f>
        <v>7532267</v>
      </c>
      <c r="V136" s="7">
        <f t="shared" si="125"/>
        <v>201046</v>
      </c>
      <c r="W136" s="7">
        <f>SUM(W137:W215,W219:W224,)</f>
        <v>146700</v>
      </c>
      <c r="X136" s="7">
        <f t="shared" ref="X136:AB136" si="126">SUM(X137:X215,X219:X224,)</f>
        <v>54346</v>
      </c>
      <c r="Y136" s="7">
        <f t="shared" si="126"/>
        <v>0</v>
      </c>
      <c r="Z136" s="7">
        <f t="shared" si="126"/>
        <v>0</v>
      </c>
      <c r="AA136" s="7">
        <f t="shared" si="126"/>
        <v>0</v>
      </c>
      <c r="AB136" s="7">
        <f t="shared" si="126"/>
        <v>0</v>
      </c>
      <c r="AC136" s="7">
        <f>SUM(AC137:AC215,AC219:AC224,)</f>
        <v>552329</v>
      </c>
      <c r="AD136" s="7">
        <f t="shared" ref="AD136:AE136" si="127">SUM(AD137:AD215,AD219:AD224,)</f>
        <v>738078</v>
      </c>
      <c r="AE136" s="7">
        <f t="shared" si="127"/>
        <v>185749</v>
      </c>
      <c r="AF136" s="7">
        <f>SUM(AF137:AF215,AF219:AF224,)</f>
        <v>22000</v>
      </c>
      <c r="AG136" s="7">
        <f t="shared" ref="AG136:AK136" si="128">SUM(AG137:AG215,AG219:AG224,)</f>
        <v>98837</v>
      </c>
      <c r="AH136" s="7">
        <f t="shared" si="128"/>
        <v>64912</v>
      </c>
      <c r="AI136" s="7">
        <f t="shared" si="128"/>
        <v>0</v>
      </c>
      <c r="AJ136" s="7">
        <f t="shared" si="128"/>
        <v>0</v>
      </c>
      <c r="AK136" s="7">
        <f t="shared" si="128"/>
        <v>0</v>
      </c>
      <c r="AL136" s="7">
        <f>SUM(AL137:AL215,AL219:AL224,)</f>
        <v>1543543</v>
      </c>
      <c r="AM136" s="7">
        <f>SUM(AM137:AM215,AM219:AM224,)</f>
        <v>16016</v>
      </c>
      <c r="AN136" s="7">
        <f t="shared" ref="AN136:AO136" si="129">SUM(AN137:AN215,AN219:AN224,)</f>
        <v>19422</v>
      </c>
      <c r="AO136" s="7">
        <f t="shared" si="129"/>
        <v>3406</v>
      </c>
      <c r="AP136" s="7">
        <f>SUM(AP137:AP215,AP219:AP224,)</f>
        <v>641</v>
      </c>
      <c r="AQ136" s="7">
        <f t="shared" ref="AQ136:AU136" si="130">SUM(AQ137:AQ215,AQ219:AQ224,)</f>
        <v>2765</v>
      </c>
      <c r="AR136" s="7">
        <f t="shared" si="130"/>
        <v>0</v>
      </c>
      <c r="AS136" s="7">
        <f t="shared" si="130"/>
        <v>0</v>
      </c>
      <c r="AT136" s="7">
        <f t="shared" si="130"/>
        <v>0</v>
      </c>
      <c r="AU136" s="7">
        <f t="shared" si="130"/>
        <v>0</v>
      </c>
      <c r="AV136" s="11"/>
      <c r="AW136" s="107"/>
    </row>
    <row r="137" spans="1:49" ht="13.5" thickTop="1" x14ac:dyDescent="0.2">
      <c r="A137" s="167">
        <v>90000056357</v>
      </c>
      <c r="B137" s="225"/>
      <c r="C137" s="476" t="s">
        <v>5</v>
      </c>
      <c r="D137" s="477"/>
      <c r="E137" s="426" t="s">
        <v>240</v>
      </c>
      <c r="F137" s="303">
        <v>405761</v>
      </c>
      <c r="G137" s="100">
        <f t="shared" ref="G137:G168" si="131">SUM(I137,U137,AD137,AL137,AN137)</f>
        <v>405761</v>
      </c>
      <c r="H137" s="303">
        <f>405761</f>
        <v>405761</v>
      </c>
      <c r="I137" s="97">
        <f t="shared" ref="I137:I200" si="132">H137+J137</f>
        <v>405761</v>
      </c>
      <c r="J137" s="100">
        <f t="shared" ref="J137:J202" si="133">SUM(K137:S137)</f>
        <v>0</v>
      </c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>
        <f t="shared" ref="AD137:AD146" si="134">AE137+AC137</f>
        <v>0</v>
      </c>
      <c r="AE137" s="126">
        <f t="shared" ref="AE137:AE146" si="135">SUM(AF137:AK137)</f>
        <v>0</v>
      </c>
      <c r="AF137" s="126"/>
      <c r="AG137" s="126"/>
      <c r="AH137" s="126"/>
      <c r="AI137" s="126"/>
      <c r="AJ137" s="126"/>
      <c r="AK137" s="126"/>
      <c r="AL137" s="126"/>
      <c r="AM137" s="126"/>
      <c r="AN137" s="100"/>
      <c r="AO137" s="316"/>
      <c r="AP137" s="126"/>
      <c r="AQ137" s="126"/>
      <c r="AR137" s="126"/>
      <c r="AS137" s="126"/>
      <c r="AT137" s="126"/>
      <c r="AU137" s="126"/>
      <c r="AV137" s="237" t="s">
        <v>641</v>
      </c>
      <c r="AW137" s="218"/>
    </row>
    <row r="138" spans="1:49" s="216" customFormat="1" ht="24" x14ac:dyDescent="0.2">
      <c r="A138" s="167"/>
      <c r="B138" s="121"/>
      <c r="C138" s="156"/>
      <c r="D138" s="157"/>
      <c r="E138" s="227" t="s">
        <v>291</v>
      </c>
      <c r="F138" s="299">
        <v>500</v>
      </c>
      <c r="G138" s="97">
        <f t="shared" si="131"/>
        <v>1700</v>
      </c>
      <c r="H138" s="299">
        <f>500</f>
        <v>500</v>
      </c>
      <c r="I138" s="97">
        <f t="shared" si="132"/>
        <v>1700</v>
      </c>
      <c r="J138" s="97">
        <f t="shared" si="133"/>
        <v>1200</v>
      </c>
      <c r="K138" s="97">
        <v>1200</v>
      </c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>
        <f t="shared" si="134"/>
        <v>0</v>
      </c>
      <c r="AE138" s="125">
        <f t="shared" si="135"/>
        <v>0</v>
      </c>
      <c r="AF138" s="125"/>
      <c r="AG138" s="125"/>
      <c r="AH138" s="125"/>
      <c r="AI138" s="125"/>
      <c r="AJ138" s="125"/>
      <c r="AK138" s="125"/>
      <c r="AL138" s="125"/>
      <c r="AM138" s="125"/>
      <c r="AN138" s="97"/>
      <c r="AO138" s="313"/>
      <c r="AP138" s="125"/>
      <c r="AQ138" s="125"/>
      <c r="AR138" s="125"/>
      <c r="AS138" s="125"/>
      <c r="AT138" s="125"/>
      <c r="AU138" s="125"/>
      <c r="AV138" s="98" t="s">
        <v>671</v>
      </c>
      <c r="AW138" s="105" t="s">
        <v>587</v>
      </c>
    </row>
    <row r="139" spans="1:49" s="216" customFormat="1" ht="24" x14ac:dyDescent="0.2">
      <c r="A139" s="167"/>
      <c r="B139" s="121"/>
      <c r="C139" s="156"/>
      <c r="D139" s="157"/>
      <c r="E139" s="227" t="s">
        <v>569</v>
      </c>
      <c r="F139" s="299">
        <v>30000</v>
      </c>
      <c r="G139" s="97">
        <f>SUM(I139,U139,AD139,AL139,AN139)</f>
        <v>30000</v>
      </c>
      <c r="H139" s="299">
        <f>30000</f>
        <v>30000</v>
      </c>
      <c r="I139" s="97">
        <f t="shared" si="132"/>
        <v>30000</v>
      </c>
      <c r="J139" s="117">
        <f t="shared" si="133"/>
        <v>0</v>
      </c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>
        <f t="shared" si="134"/>
        <v>0</v>
      </c>
      <c r="AE139" s="128">
        <f t="shared" si="135"/>
        <v>0</v>
      </c>
      <c r="AF139" s="128"/>
      <c r="AG139" s="128"/>
      <c r="AH139" s="128"/>
      <c r="AI139" s="128"/>
      <c r="AJ139" s="128"/>
      <c r="AK139" s="128"/>
      <c r="AL139" s="128"/>
      <c r="AM139" s="128"/>
      <c r="AN139" s="117"/>
      <c r="AO139" s="315"/>
      <c r="AP139" s="128"/>
      <c r="AQ139" s="128"/>
      <c r="AR139" s="128"/>
      <c r="AS139" s="128"/>
      <c r="AT139" s="128"/>
      <c r="AU139" s="128"/>
      <c r="AV139" s="236" t="s">
        <v>642</v>
      </c>
      <c r="AW139" s="105" t="s">
        <v>587</v>
      </c>
    </row>
    <row r="140" spans="1:49" ht="28.5" customHeight="1" x14ac:dyDescent="0.2">
      <c r="A140" s="167"/>
      <c r="B140" s="121"/>
      <c r="C140" s="156"/>
      <c r="D140" s="157"/>
      <c r="E140" s="227" t="s">
        <v>341</v>
      </c>
      <c r="F140" s="299">
        <v>200000</v>
      </c>
      <c r="G140" s="97">
        <f t="shared" si="131"/>
        <v>200000</v>
      </c>
      <c r="H140" s="299">
        <f>200000</f>
        <v>200000</v>
      </c>
      <c r="I140" s="97">
        <f t="shared" si="132"/>
        <v>200000</v>
      </c>
      <c r="J140" s="117">
        <f t="shared" si="133"/>
        <v>0</v>
      </c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>
        <f t="shared" si="134"/>
        <v>0</v>
      </c>
      <c r="AE140" s="128">
        <f t="shared" si="135"/>
        <v>0</v>
      </c>
      <c r="AF140" s="128"/>
      <c r="AG140" s="128"/>
      <c r="AH140" s="128"/>
      <c r="AI140" s="128"/>
      <c r="AJ140" s="128"/>
      <c r="AK140" s="128"/>
      <c r="AL140" s="128"/>
      <c r="AM140" s="128"/>
      <c r="AN140" s="117"/>
      <c r="AO140" s="315"/>
      <c r="AP140" s="128"/>
      <c r="AQ140" s="128"/>
      <c r="AR140" s="128"/>
      <c r="AS140" s="128"/>
      <c r="AT140" s="128"/>
      <c r="AU140" s="128"/>
      <c r="AV140" s="236" t="s">
        <v>413</v>
      </c>
      <c r="AW140" s="219" t="s">
        <v>368</v>
      </c>
    </row>
    <row r="141" spans="1:49" s="216" customFormat="1" ht="36" x14ac:dyDescent="0.2">
      <c r="A141" s="167"/>
      <c r="B141" s="119"/>
      <c r="C141" s="214"/>
      <c r="D141" s="215"/>
      <c r="E141" s="421" t="s">
        <v>565</v>
      </c>
      <c r="F141" s="300">
        <v>482620</v>
      </c>
      <c r="G141" s="84">
        <f t="shared" si="131"/>
        <v>520620</v>
      </c>
      <c r="H141" s="300">
        <f>482620</f>
        <v>482620</v>
      </c>
      <c r="I141" s="97">
        <f t="shared" si="132"/>
        <v>520620</v>
      </c>
      <c r="J141" s="84">
        <f t="shared" si="133"/>
        <v>38000</v>
      </c>
      <c r="K141" s="84">
        <v>8000</v>
      </c>
      <c r="L141" s="84"/>
      <c r="M141" s="84">
        <v>30000</v>
      </c>
      <c r="N141" s="84"/>
      <c r="O141" s="84"/>
      <c r="P141" s="84"/>
      <c r="Q141" s="84"/>
      <c r="R141" s="84"/>
      <c r="S141" s="84"/>
      <c r="T141" s="84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>
        <f t="shared" si="134"/>
        <v>0</v>
      </c>
      <c r="AE141" s="128">
        <f t="shared" si="135"/>
        <v>0</v>
      </c>
      <c r="AF141" s="128"/>
      <c r="AG141" s="128"/>
      <c r="AH141" s="128"/>
      <c r="AI141" s="128"/>
      <c r="AJ141" s="128"/>
      <c r="AK141" s="128"/>
      <c r="AL141" s="128"/>
      <c r="AM141" s="128"/>
      <c r="AN141" s="117"/>
      <c r="AO141" s="315"/>
      <c r="AP141" s="128"/>
      <c r="AQ141" s="128"/>
      <c r="AR141" s="128"/>
      <c r="AS141" s="128"/>
      <c r="AT141" s="128"/>
      <c r="AU141" s="128"/>
      <c r="AV141" s="236" t="s">
        <v>412</v>
      </c>
      <c r="AW141" s="219" t="s">
        <v>585</v>
      </c>
    </row>
    <row r="142" spans="1:49" ht="38.25" customHeight="1" x14ac:dyDescent="0.2">
      <c r="A142" s="167"/>
      <c r="B142" s="121"/>
      <c r="C142" s="156"/>
      <c r="D142" s="157"/>
      <c r="E142" s="227" t="s">
        <v>566</v>
      </c>
      <c r="F142" s="299">
        <v>5150941</v>
      </c>
      <c r="G142" s="97">
        <f t="shared" si="131"/>
        <v>5216770</v>
      </c>
      <c r="H142" s="299">
        <f>5150941</f>
        <v>5150941</v>
      </c>
      <c r="I142" s="97">
        <f t="shared" si="132"/>
        <v>5216770</v>
      </c>
      <c r="J142" s="117">
        <f t="shared" si="133"/>
        <v>65829</v>
      </c>
      <c r="K142" s="117">
        <v>8000</v>
      </c>
      <c r="L142" s="117"/>
      <c r="M142" s="117">
        <v>45133</v>
      </c>
      <c r="N142" s="117"/>
      <c r="O142" s="117">
        <f>8336</f>
        <v>8336</v>
      </c>
      <c r="P142" s="117">
        <f>51708-47348</f>
        <v>4360</v>
      </c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>
        <f t="shared" si="134"/>
        <v>0</v>
      </c>
      <c r="AE142" s="128">
        <f t="shared" si="135"/>
        <v>0</v>
      </c>
      <c r="AF142" s="128"/>
      <c r="AG142" s="128"/>
      <c r="AH142" s="128"/>
      <c r="AI142" s="128"/>
      <c r="AJ142" s="128"/>
      <c r="AK142" s="128"/>
      <c r="AL142" s="128"/>
      <c r="AM142" s="128"/>
      <c r="AN142" s="117"/>
      <c r="AO142" s="315"/>
      <c r="AP142" s="128"/>
      <c r="AQ142" s="128"/>
      <c r="AR142" s="128"/>
      <c r="AS142" s="128"/>
      <c r="AT142" s="128"/>
      <c r="AU142" s="128"/>
      <c r="AV142" s="236" t="s">
        <v>692</v>
      </c>
      <c r="AW142" s="219" t="s">
        <v>585</v>
      </c>
    </row>
    <row r="143" spans="1:49" ht="51" customHeight="1" x14ac:dyDescent="0.2">
      <c r="A143" s="167"/>
      <c r="B143" s="119"/>
      <c r="C143" s="214"/>
      <c r="D143" s="215"/>
      <c r="E143" s="227" t="s">
        <v>567</v>
      </c>
      <c r="F143" s="302">
        <v>169902</v>
      </c>
      <c r="G143" s="117">
        <f t="shared" si="131"/>
        <v>160423</v>
      </c>
      <c r="H143" s="302">
        <f>169902</f>
        <v>169902</v>
      </c>
      <c r="I143" s="97">
        <f t="shared" si="132"/>
        <v>160423</v>
      </c>
      <c r="J143" s="117">
        <f t="shared" si="133"/>
        <v>-9479</v>
      </c>
      <c r="K143" s="117">
        <v>4000</v>
      </c>
      <c r="L143" s="117"/>
      <c r="M143" s="117">
        <v>6000</v>
      </c>
      <c r="N143" s="117"/>
      <c r="O143" s="117">
        <f>-44479</f>
        <v>-44479</v>
      </c>
      <c r="P143" s="117">
        <f>25000</f>
        <v>25000</v>
      </c>
      <c r="Q143" s="117"/>
      <c r="R143" s="117"/>
      <c r="S143" s="117"/>
      <c r="T143" s="117"/>
      <c r="U143" s="97"/>
      <c r="V143" s="97"/>
      <c r="W143" s="97"/>
      <c r="X143" s="97"/>
      <c r="Y143" s="97"/>
      <c r="Z143" s="97"/>
      <c r="AA143" s="97"/>
      <c r="AB143" s="97"/>
      <c r="AC143" s="97"/>
      <c r="AD143" s="97">
        <f t="shared" si="134"/>
        <v>0</v>
      </c>
      <c r="AE143" s="125">
        <f t="shared" si="135"/>
        <v>0</v>
      </c>
      <c r="AF143" s="125"/>
      <c r="AG143" s="125"/>
      <c r="AH143" s="125"/>
      <c r="AI143" s="125"/>
      <c r="AJ143" s="125"/>
      <c r="AK143" s="125"/>
      <c r="AL143" s="125"/>
      <c r="AM143" s="125"/>
      <c r="AN143" s="97"/>
      <c r="AO143" s="313"/>
      <c r="AP143" s="125"/>
      <c r="AQ143" s="125"/>
      <c r="AR143" s="125"/>
      <c r="AS143" s="125"/>
      <c r="AT143" s="125"/>
      <c r="AU143" s="125"/>
      <c r="AV143" s="98" t="s">
        <v>643</v>
      </c>
      <c r="AW143" s="219" t="s">
        <v>585</v>
      </c>
    </row>
    <row r="144" spans="1:49" ht="48" x14ac:dyDescent="0.2">
      <c r="A144" s="167"/>
      <c r="B144" s="119"/>
      <c r="C144" s="214"/>
      <c r="D144" s="215"/>
      <c r="E144" s="427" t="s">
        <v>290</v>
      </c>
      <c r="F144" s="299">
        <v>147509</v>
      </c>
      <c r="G144" s="97">
        <f t="shared" si="131"/>
        <v>147509</v>
      </c>
      <c r="H144" s="299">
        <f>147509</f>
        <v>147509</v>
      </c>
      <c r="I144" s="97">
        <f t="shared" si="132"/>
        <v>147509</v>
      </c>
      <c r="J144" s="97">
        <f t="shared" si="133"/>
        <v>0</v>
      </c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>
        <f t="shared" si="134"/>
        <v>0</v>
      </c>
      <c r="AE144" s="125">
        <f t="shared" si="135"/>
        <v>0</v>
      </c>
      <c r="AF144" s="125"/>
      <c r="AG144" s="125"/>
      <c r="AH144" s="125"/>
      <c r="AI144" s="125"/>
      <c r="AJ144" s="125"/>
      <c r="AK144" s="125"/>
      <c r="AL144" s="125"/>
      <c r="AM144" s="125"/>
      <c r="AN144" s="97"/>
      <c r="AO144" s="313"/>
      <c r="AP144" s="125"/>
      <c r="AQ144" s="125"/>
      <c r="AR144" s="125"/>
      <c r="AS144" s="125"/>
      <c r="AT144" s="125"/>
      <c r="AU144" s="125"/>
      <c r="AV144" s="98" t="s">
        <v>644</v>
      </c>
      <c r="AW144" s="105" t="s">
        <v>587</v>
      </c>
    </row>
    <row r="145" spans="1:49" s="154" customFormat="1" ht="48" x14ac:dyDescent="0.2">
      <c r="A145" s="167"/>
      <c r="B145" s="119"/>
      <c r="C145" s="214"/>
      <c r="D145" s="215"/>
      <c r="E145" s="227" t="s">
        <v>598</v>
      </c>
      <c r="F145" s="299">
        <v>352537</v>
      </c>
      <c r="G145" s="97">
        <f t="shared" si="131"/>
        <v>352537</v>
      </c>
      <c r="H145" s="299">
        <f>352537</f>
        <v>352537</v>
      </c>
      <c r="I145" s="97">
        <f t="shared" si="132"/>
        <v>352537</v>
      </c>
      <c r="J145" s="97">
        <f t="shared" si="133"/>
        <v>0</v>
      </c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>
        <f t="shared" si="134"/>
        <v>0</v>
      </c>
      <c r="AE145" s="125">
        <f t="shared" si="135"/>
        <v>0</v>
      </c>
      <c r="AF145" s="125"/>
      <c r="AG145" s="125"/>
      <c r="AH145" s="125"/>
      <c r="AI145" s="125"/>
      <c r="AJ145" s="125"/>
      <c r="AK145" s="125"/>
      <c r="AL145" s="125"/>
      <c r="AM145" s="125"/>
      <c r="AN145" s="97"/>
      <c r="AO145" s="313"/>
      <c r="AP145" s="125"/>
      <c r="AQ145" s="125"/>
      <c r="AR145" s="125"/>
      <c r="AS145" s="125"/>
      <c r="AT145" s="125"/>
      <c r="AU145" s="125"/>
      <c r="AV145" s="98" t="s">
        <v>645</v>
      </c>
      <c r="AW145" s="105" t="s">
        <v>595</v>
      </c>
    </row>
    <row r="146" spans="1:49" s="275" customFormat="1" ht="24" x14ac:dyDescent="0.2">
      <c r="A146" s="167"/>
      <c r="B146" s="119"/>
      <c r="C146" s="273"/>
      <c r="D146" s="274"/>
      <c r="E146" s="227" t="s">
        <v>729</v>
      </c>
      <c r="F146" s="299"/>
      <c r="G146" s="97">
        <f t="shared" si="131"/>
        <v>797</v>
      </c>
      <c r="H146" s="299"/>
      <c r="I146" s="97">
        <f t="shared" si="132"/>
        <v>797</v>
      </c>
      <c r="J146" s="97">
        <f t="shared" si="133"/>
        <v>797</v>
      </c>
      <c r="K146" s="97"/>
      <c r="L146" s="97"/>
      <c r="M146" s="97"/>
      <c r="N146" s="97">
        <v>797</v>
      </c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>
        <f t="shared" si="134"/>
        <v>0</v>
      </c>
      <c r="AE146" s="125">
        <f t="shared" si="135"/>
        <v>0</v>
      </c>
      <c r="AF146" s="125"/>
      <c r="AG146" s="125"/>
      <c r="AH146" s="125"/>
      <c r="AI146" s="125"/>
      <c r="AJ146" s="125"/>
      <c r="AK146" s="125"/>
      <c r="AL146" s="125"/>
      <c r="AM146" s="125"/>
      <c r="AN146" s="97"/>
      <c r="AO146" s="313"/>
      <c r="AP146" s="125"/>
      <c r="AQ146" s="125"/>
      <c r="AR146" s="125"/>
      <c r="AS146" s="125"/>
      <c r="AT146" s="125"/>
      <c r="AU146" s="125"/>
      <c r="AV146" s="98" t="s">
        <v>730</v>
      </c>
      <c r="AW146" s="105"/>
    </row>
    <row r="147" spans="1:49" ht="24" x14ac:dyDescent="0.2">
      <c r="A147" s="167">
        <v>90000051665</v>
      </c>
      <c r="B147" s="119"/>
      <c r="C147" s="447" t="s">
        <v>363</v>
      </c>
      <c r="D147" s="448"/>
      <c r="E147" s="227" t="s">
        <v>309</v>
      </c>
      <c r="F147" s="299">
        <v>644899</v>
      </c>
      <c r="G147" s="97">
        <f t="shared" si="131"/>
        <v>649661</v>
      </c>
      <c r="H147" s="299">
        <f>435917</f>
        <v>435917</v>
      </c>
      <c r="I147" s="97">
        <f t="shared" si="132"/>
        <v>435917</v>
      </c>
      <c r="J147" s="97">
        <f t="shared" si="133"/>
        <v>0</v>
      </c>
      <c r="K147" s="97"/>
      <c r="L147" s="97"/>
      <c r="M147" s="97"/>
      <c r="N147" s="97"/>
      <c r="O147" s="97"/>
      <c r="P147" s="97"/>
      <c r="Q147" s="97"/>
      <c r="R147" s="97"/>
      <c r="S147" s="97"/>
      <c r="T147" s="97">
        <f>191082</f>
        <v>191082</v>
      </c>
      <c r="U147" s="97">
        <f t="shared" ref="U147:U150" si="136">T147+V147</f>
        <v>194801</v>
      </c>
      <c r="V147" s="97">
        <f>SUM(W147:AB147)</f>
        <v>3719</v>
      </c>
      <c r="W147" s="97">
        <f>3719</f>
        <v>3719</v>
      </c>
      <c r="X147" s="97"/>
      <c r="Y147" s="97"/>
      <c r="Z147" s="97"/>
      <c r="AA147" s="97"/>
      <c r="AB147" s="97"/>
      <c r="AC147" s="97">
        <f>17900</f>
        <v>17900</v>
      </c>
      <c r="AD147" s="97">
        <f>AE147+AC147</f>
        <v>18943</v>
      </c>
      <c r="AE147" s="125">
        <f t="shared" ref="AE147" si="137">SUM(AF147:AK147)</f>
        <v>1043</v>
      </c>
      <c r="AF147" s="125"/>
      <c r="AG147" s="125">
        <v>1043</v>
      </c>
      <c r="AH147" s="125"/>
      <c r="AI147" s="125"/>
      <c r="AJ147" s="125"/>
      <c r="AK147" s="125"/>
      <c r="AL147" s="125"/>
      <c r="AM147" s="125"/>
      <c r="AN147" s="97"/>
      <c r="AO147" s="313"/>
      <c r="AP147" s="125"/>
      <c r="AQ147" s="125"/>
      <c r="AR147" s="125"/>
      <c r="AS147" s="125"/>
      <c r="AT147" s="125"/>
      <c r="AU147" s="125"/>
      <c r="AV147" s="98" t="s">
        <v>414</v>
      </c>
      <c r="AW147" s="105"/>
    </row>
    <row r="148" spans="1:49" ht="12.75" x14ac:dyDescent="0.2">
      <c r="A148" s="167"/>
      <c r="B148" s="119"/>
      <c r="C148" s="172"/>
      <c r="D148" s="173"/>
      <c r="E148" s="227" t="s">
        <v>348</v>
      </c>
      <c r="F148" s="299">
        <v>57557</v>
      </c>
      <c r="G148" s="97">
        <f t="shared" si="131"/>
        <v>60503</v>
      </c>
      <c r="H148" s="299">
        <f>43215</f>
        <v>43215</v>
      </c>
      <c r="I148" s="97">
        <f t="shared" si="132"/>
        <v>43215</v>
      </c>
      <c r="J148" s="97">
        <f t="shared" si="133"/>
        <v>0</v>
      </c>
      <c r="K148" s="97"/>
      <c r="L148" s="97"/>
      <c r="M148" s="97"/>
      <c r="N148" s="97"/>
      <c r="O148" s="97"/>
      <c r="P148" s="97"/>
      <c r="Q148" s="97"/>
      <c r="R148" s="97"/>
      <c r="S148" s="97"/>
      <c r="T148" s="97">
        <f>14342</f>
        <v>14342</v>
      </c>
      <c r="U148" s="97">
        <f t="shared" si="136"/>
        <v>17288</v>
      </c>
      <c r="V148" s="97">
        <f t="shared" ref="V148:V207" si="138">SUM(W148:AB148)</f>
        <v>2946</v>
      </c>
      <c r="W148" s="97">
        <v>2946</v>
      </c>
      <c r="X148" s="97"/>
      <c r="Y148" s="97"/>
      <c r="Z148" s="97"/>
      <c r="AA148" s="97"/>
      <c r="AB148" s="97"/>
      <c r="AC148" s="97"/>
      <c r="AD148" s="97">
        <f>AE148+AC148</f>
        <v>0</v>
      </c>
      <c r="AE148" s="125">
        <f>SUM(AF148:AK148)</f>
        <v>0</v>
      </c>
      <c r="AF148" s="125"/>
      <c r="AG148" s="125"/>
      <c r="AH148" s="125"/>
      <c r="AI148" s="125"/>
      <c r="AJ148" s="125"/>
      <c r="AK148" s="125"/>
      <c r="AL148" s="125"/>
      <c r="AM148" s="125"/>
      <c r="AN148" s="97"/>
      <c r="AO148" s="313"/>
      <c r="AP148" s="125"/>
      <c r="AQ148" s="125"/>
      <c r="AR148" s="125"/>
      <c r="AS148" s="125"/>
      <c r="AT148" s="125"/>
      <c r="AU148" s="125"/>
      <c r="AV148" s="98" t="s">
        <v>415</v>
      </c>
      <c r="AW148" s="105"/>
    </row>
    <row r="149" spans="1:49" ht="36" customHeight="1" x14ac:dyDescent="0.2">
      <c r="A149" s="167">
        <v>90000051561</v>
      </c>
      <c r="B149" s="119"/>
      <c r="C149" s="447" t="s">
        <v>685</v>
      </c>
      <c r="D149" s="448"/>
      <c r="E149" s="227" t="s">
        <v>309</v>
      </c>
      <c r="F149" s="299">
        <v>564818</v>
      </c>
      <c r="G149" s="97">
        <f t="shared" si="131"/>
        <v>572243</v>
      </c>
      <c r="H149" s="299">
        <f>294044</f>
        <v>294044</v>
      </c>
      <c r="I149" s="97">
        <f t="shared" si="132"/>
        <v>295179</v>
      </c>
      <c r="J149" s="97">
        <f t="shared" si="133"/>
        <v>1135</v>
      </c>
      <c r="K149" s="97"/>
      <c r="L149" s="97"/>
      <c r="M149" s="97"/>
      <c r="N149" s="97">
        <f>1135</f>
        <v>1135</v>
      </c>
      <c r="O149" s="97"/>
      <c r="P149" s="97"/>
      <c r="Q149" s="97"/>
      <c r="R149" s="97"/>
      <c r="S149" s="97"/>
      <c r="T149" s="97">
        <f>253606</f>
        <v>253606</v>
      </c>
      <c r="U149" s="97">
        <f t="shared" si="136"/>
        <v>258312</v>
      </c>
      <c r="V149" s="97">
        <f t="shared" si="138"/>
        <v>4706</v>
      </c>
      <c r="W149" s="97">
        <f>4706</f>
        <v>4706</v>
      </c>
      <c r="X149" s="97"/>
      <c r="Y149" s="97"/>
      <c r="Z149" s="97"/>
      <c r="AA149" s="97"/>
      <c r="AB149" s="97"/>
      <c r="AC149" s="97">
        <f>16300</f>
        <v>16300</v>
      </c>
      <c r="AD149" s="97">
        <f>AE149+AC149</f>
        <v>17796</v>
      </c>
      <c r="AE149" s="125">
        <f t="shared" ref="AE149:AE151" si="139">SUM(AF149:AK149)</f>
        <v>1496</v>
      </c>
      <c r="AF149" s="125"/>
      <c r="AG149" s="125">
        <f>1496</f>
        <v>1496</v>
      </c>
      <c r="AH149" s="125"/>
      <c r="AI149" s="125"/>
      <c r="AJ149" s="125"/>
      <c r="AK149" s="125"/>
      <c r="AL149" s="125"/>
      <c r="AM149" s="125">
        <f>868</f>
        <v>868</v>
      </c>
      <c r="AN149" s="97">
        <f>AM149+AO149</f>
        <v>956</v>
      </c>
      <c r="AO149" s="313">
        <f t="shared" ref="AO149" si="140">SUM(AP149:AU149)</f>
        <v>88</v>
      </c>
      <c r="AP149" s="125">
        <v>88</v>
      </c>
      <c r="AQ149" s="125"/>
      <c r="AR149" s="125"/>
      <c r="AS149" s="125"/>
      <c r="AT149" s="125"/>
      <c r="AU149" s="125"/>
      <c r="AV149" s="98" t="s">
        <v>416</v>
      </c>
      <c r="AW149" s="105"/>
    </row>
    <row r="150" spans="1:49" ht="12.75" x14ac:dyDescent="0.2">
      <c r="A150" s="167"/>
      <c r="B150" s="119"/>
      <c r="C150" s="172"/>
      <c r="D150" s="173"/>
      <c r="E150" s="227" t="s">
        <v>348</v>
      </c>
      <c r="F150" s="299">
        <v>63399</v>
      </c>
      <c r="G150" s="97">
        <f t="shared" si="131"/>
        <v>67994</v>
      </c>
      <c r="H150" s="299">
        <f>45314</f>
        <v>45314</v>
      </c>
      <c r="I150" s="97">
        <f t="shared" si="132"/>
        <v>45314</v>
      </c>
      <c r="J150" s="97">
        <f t="shared" si="133"/>
        <v>0</v>
      </c>
      <c r="K150" s="97"/>
      <c r="L150" s="97"/>
      <c r="M150" s="97"/>
      <c r="N150" s="97"/>
      <c r="O150" s="97"/>
      <c r="P150" s="97"/>
      <c r="Q150" s="97"/>
      <c r="R150" s="97"/>
      <c r="S150" s="97"/>
      <c r="T150" s="97">
        <f>18085</f>
        <v>18085</v>
      </c>
      <c r="U150" s="97">
        <f t="shared" si="136"/>
        <v>22680</v>
      </c>
      <c r="V150" s="97">
        <f t="shared" si="138"/>
        <v>4595</v>
      </c>
      <c r="W150" s="97">
        <v>4595</v>
      </c>
      <c r="X150" s="97"/>
      <c r="Y150" s="97"/>
      <c r="Z150" s="97"/>
      <c r="AA150" s="97"/>
      <c r="AB150" s="97"/>
      <c r="AC150" s="97"/>
      <c r="AD150" s="97">
        <f t="shared" ref="AD150:AD151" si="141">AE150+AC150</f>
        <v>0</v>
      </c>
      <c r="AE150" s="125">
        <f t="shared" si="139"/>
        <v>0</v>
      </c>
      <c r="AF150" s="125"/>
      <c r="AG150" s="125"/>
      <c r="AH150" s="125"/>
      <c r="AI150" s="125"/>
      <c r="AJ150" s="125"/>
      <c r="AK150" s="125"/>
      <c r="AL150" s="125"/>
      <c r="AM150" s="125"/>
      <c r="AN150" s="97"/>
      <c r="AO150" s="313"/>
      <c r="AP150" s="125"/>
      <c r="AQ150" s="125"/>
      <c r="AR150" s="125"/>
      <c r="AS150" s="125"/>
      <c r="AT150" s="125"/>
      <c r="AU150" s="125"/>
      <c r="AV150" s="98" t="s">
        <v>417</v>
      </c>
      <c r="AW150" s="105"/>
    </row>
    <row r="151" spans="1:49" s="284" customFormat="1" ht="12.75" x14ac:dyDescent="0.2">
      <c r="A151" s="167"/>
      <c r="B151" s="119"/>
      <c r="C151" s="282"/>
      <c r="D151" s="283"/>
      <c r="E151" s="227" t="s">
        <v>735</v>
      </c>
      <c r="F151" s="299"/>
      <c r="G151" s="97">
        <f t="shared" si="131"/>
        <v>144</v>
      </c>
      <c r="H151" s="299"/>
      <c r="I151" s="97">
        <f t="shared" si="132"/>
        <v>144</v>
      </c>
      <c r="J151" s="97">
        <f t="shared" si="133"/>
        <v>144</v>
      </c>
      <c r="K151" s="97"/>
      <c r="L151" s="97"/>
      <c r="M151" s="97"/>
      <c r="N151" s="97">
        <v>144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>
        <f t="shared" si="141"/>
        <v>0</v>
      </c>
      <c r="AE151" s="125">
        <f t="shared" si="139"/>
        <v>0</v>
      </c>
      <c r="AF151" s="125"/>
      <c r="AG151" s="125"/>
      <c r="AH151" s="125"/>
      <c r="AI151" s="125"/>
      <c r="AJ151" s="125"/>
      <c r="AK151" s="125"/>
      <c r="AL151" s="125"/>
      <c r="AM151" s="125"/>
      <c r="AN151" s="97"/>
      <c r="AO151" s="313"/>
      <c r="AP151" s="125"/>
      <c r="AQ151" s="125"/>
      <c r="AR151" s="125"/>
      <c r="AS151" s="125"/>
      <c r="AT151" s="125"/>
      <c r="AU151" s="125"/>
      <c r="AV151" s="98"/>
      <c r="AW151" s="105"/>
    </row>
    <row r="152" spans="1:49" ht="36" x14ac:dyDescent="0.2">
      <c r="A152" s="167">
        <v>90009226256</v>
      </c>
      <c r="B152" s="119"/>
      <c r="C152" s="447" t="s">
        <v>195</v>
      </c>
      <c r="D152" s="448"/>
      <c r="E152" s="227" t="s">
        <v>502</v>
      </c>
      <c r="F152" s="299">
        <v>285810</v>
      </c>
      <c r="G152" s="97">
        <f t="shared" si="131"/>
        <v>289410</v>
      </c>
      <c r="H152" s="299">
        <f>222184</f>
        <v>222184</v>
      </c>
      <c r="I152" s="97">
        <f t="shared" si="132"/>
        <v>223119</v>
      </c>
      <c r="J152" s="97">
        <f t="shared" si="133"/>
        <v>935</v>
      </c>
      <c r="K152" s="97"/>
      <c r="L152" s="97"/>
      <c r="M152" s="97"/>
      <c r="N152" s="97"/>
      <c r="O152" s="97"/>
      <c r="P152" s="97">
        <f>935</f>
        <v>935</v>
      </c>
      <c r="Q152" s="97"/>
      <c r="R152" s="97"/>
      <c r="S152" s="97"/>
      <c r="T152" s="97">
        <f>56387</f>
        <v>56387</v>
      </c>
      <c r="U152" s="97">
        <f>T152+V152</f>
        <v>56387</v>
      </c>
      <c r="V152" s="97">
        <f t="shared" si="138"/>
        <v>0</v>
      </c>
      <c r="W152" s="97"/>
      <c r="X152" s="97"/>
      <c r="Y152" s="97"/>
      <c r="Z152" s="97"/>
      <c r="AA152" s="97"/>
      <c r="AB152" s="97"/>
      <c r="AC152" s="97">
        <f>7239</f>
        <v>7239</v>
      </c>
      <c r="AD152" s="97">
        <f>AE152+AC152</f>
        <v>9904</v>
      </c>
      <c r="AE152" s="125">
        <f t="shared" ref="AE152:AE154" si="142">SUM(AF152:AK152)</f>
        <v>2665</v>
      </c>
      <c r="AF152" s="125"/>
      <c r="AG152" s="125"/>
      <c r="AH152" s="125">
        <f>2665</f>
        <v>2665</v>
      </c>
      <c r="AI152" s="125"/>
      <c r="AJ152" s="125"/>
      <c r="AK152" s="125"/>
      <c r="AL152" s="125"/>
      <c r="AM152" s="125"/>
      <c r="AN152" s="97"/>
      <c r="AO152" s="313"/>
      <c r="AP152" s="125"/>
      <c r="AQ152" s="125"/>
      <c r="AR152" s="125"/>
      <c r="AS152" s="125"/>
      <c r="AT152" s="125"/>
      <c r="AU152" s="125"/>
      <c r="AV152" s="98" t="s">
        <v>418</v>
      </c>
      <c r="AW152" s="105"/>
    </row>
    <row r="153" spans="1:49" s="154" customFormat="1" ht="24" x14ac:dyDescent="0.2">
      <c r="A153" s="171"/>
      <c r="B153" s="119"/>
      <c r="C153" s="152"/>
      <c r="D153" s="153"/>
      <c r="E153" s="227" t="s">
        <v>503</v>
      </c>
      <c r="F153" s="299">
        <v>2600</v>
      </c>
      <c r="G153" s="97">
        <f t="shared" si="131"/>
        <v>2600</v>
      </c>
      <c r="H153" s="299">
        <f>2600</f>
        <v>2600</v>
      </c>
      <c r="I153" s="97">
        <f t="shared" si="132"/>
        <v>2600</v>
      </c>
      <c r="J153" s="97">
        <f t="shared" si="133"/>
        <v>0</v>
      </c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>
        <f t="shared" ref="AD153:AD154" si="143">AE153+AC153</f>
        <v>0</v>
      </c>
      <c r="AE153" s="125">
        <f t="shared" si="142"/>
        <v>0</v>
      </c>
      <c r="AF153" s="125"/>
      <c r="AG153" s="125"/>
      <c r="AH153" s="125"/>
      <c r="AI153" s="125"/>
      <c r="AJ153" s="125"/>
      <c r="AK153" s="125"/>
      <c r="AL153" s="125"/>
      <c r="AM153" s="125"/>
      <c r="AN153" s="97"/>
      <c r="AO153" s="313"/>
      <c r="AP153" s="125"/>
      <c r="AQ153" s="125"/>
      <c r="AR153" s="125"/>
      <c r="AS153" s="125"/>
      <c r="AT153" s="125"/>
      <c r="AU153" s="125"/>
      <c r="AV153" s="98" t="s">
        <v>419</v>
      </c>
      <c r="AW153" s="105"/>
    </row>
    <row r="154" spans="1:49" s="154" customFormat="1" ht="24" x14ac:dyDescent="0.2">
      <c r="A154" s="171"/>
      <c r="B154" s="119"/>
      <c r="C154" s="152"/>
      <c r="D154" s="153"/>
      <c r="E154" s="227" t="s">
        <v>356</v>
      </c>
      <c r="F154" s="299">
        <v>5760</v>
      </c>
      <c r="G154" s="97">
        <f t="shared" si="131"/>
        <v>5760</v>
      </c>
      <c r="H154" s="299">
        <f>5760</f>
        <v>5760</v>
      </c>
      <c r="I154" s="97">
        <f t="shared" si="132"/>
        <v>5760</v>
      </c>
      <c r="J154" s="97">
        <f t="shared" si="133"/>
        <v>0</v>
      </c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>
        <f t="shared" si="143"/>
        <v>0</v>
      </c>
      <c r="AE154" s="125">
        <f t="shared" si="142"/>
        <v>0</v>
      </c>
      <c r="AF154" s="125"/>
      <c r="AG154" s="125"/>
      <c r="AH154" s="125"/>
      <c r="AI154" s="125"/>
      <c r="AJ154" s="125"/>
      <c r="AK154" s="125"/>
      <c r="AL154" s="125"/>
      <c r="AM154" s="125"/>
      <c r="AN154" s="97"/>
      <c r="AO154" s="313"/>
      <c r="AP154" s="125"/>
      <c r="AQ154" s="125"/>
      <c r="AR154" s="125"/>
      <c r="AS154" s="125"/>
      <c r="AT154" s="125"/>
      <c r="AU154" s="125"/>
      <c r="AV154" s="98" t="s">
        <v>420</v>
      </c>
      <c r="AW154" s="105"/>
    </row>
    <row r="155" spans="1:49" ht="41.25" customHeight="1" x14ac:dyDescent="0.2">
      <c r="A155" s="167">
        <v>90000051487</v>
      </c>
      <c r="B155" s="119"/>
      <c r="C155" s="447" t="s">
        <v>173</v>
      </c>
      <c r="D155" s="448"/>
      <c r="E155" s="227" t="s">
        <v>309</v>
      </c>
      <c r="F155" s="299">
        <v>873953</v>
      </c>
      <c r="G155" s="97">
        <f t="shared" si="131"/>
        <v>886661</v>
      </c>
      <c r="H155" s="299">
        <f>372998</f>
        <v>372998</v>
      </c>
      <c r="I155" s="97">
        <f t="shared" si="132"/>
        <v>374133</v>
      </c>
      <c r="J155" s="97">
        <f t="shared" si="133"/>
        <v>1135</v>
      </c>
      <c r="K155" s="97"/>
      <c r="L155" s="97"/>
      <c r="M155" s="97"/>
      <c r="N155" s="97">
        <v>1135</v>
      </c>
      <c r="O155" s="97"/>
      <c r="P155" s="97"/>
      <c r="Q155" s="97"/>
      <c r="R155" s="97"/>
      <c r="S155" s="97"/>
      <c r="T155" s="97">
        <f>485309</f>
        <v>485309</v>
      </c>
      <c r="U155" s="97">
        <f>T155+V155</f>
        <v>491286</v>
      </c>
      <c r="V155" s="97">
        <f t="shared" si="138"/>
        <v>5977</v>
      </c>
      <c r="W155" s="97">
        <f>5977</f>
        <v>5977</v>
      </c>
      <c r="X155" s="97"/>
      <c r="Y155" s="97"/>
      <c r="Z155" s="97"/>
      <c r="AA155" s="97"/>
      <c r="AB155" s="97"/>
      <c r="AC155" s="97">
        <f>15646</f>
        <v>15646</v>
      </c>
      <c r="AD155" s="97">
        <f>AE155+AC155</f>
        <v>21242</v>
      </c>
      <c r="AE155" s="125">
        <f t="shared" ref="AE155:AE158" si="144">SUM(AF155:AK155)</f>
        <v>5596</v>
      </c>
      <c r="AF155" s="125"/>
      <c r="AG155" s="125">
        <f>5596</f>
        <v>5596</v>
      </c>
      <c r="AH155" s="125"/>
      <c r="AI155" s="125"/>
      <c r="AJ155" s="125"/>
      <c r="AK155" s="125"/>
      <c r="AL155" s="125"/>
      <c r="AM155" s="125"/>
      <c r="AN155" s="97"/>
      <c r="AO155" s="313"/>
      <c r="AP155" s="125"/>
      <c r="AQ155" s="125"/>
      <c r="AR155" s="125"/>
      <c r="AS155" s="125"/>
      <c r="AT155" s="125"/>
      <c r="AU155" s="125"/>
      <c r="AV155" s="98" t="s">
        <v>421</v>
      </c>
      <c r="AW155" s="105"/>
    </row>
    <row r="156" spans="1:49" s="166" customFormat="1" ht="36" x14ac:dyDescent="0.2">
      <c r="A156" s="167"/>
      <c r="B156" s="119"/>
      <c r="C156" s="168"/>
      <c r="D156" s="169"/>
      <c r="E156" s="227" t="s">
        <v>504</v>
      </c>
      <c r="F156" s="299">
        <v>1423</v>
      </c>
      <c r="G156" s="97">
        <f t="shared" si="131"/>
        <v>1423</v>
      </c>
      <c r="H156" s="299">
        <v>0</v>
      </c>
      <c r="I156" s="97">
        <f t="shared" si="132"/>
        <v>0</v>
      </c>
      <c r="J156" s="97">
        <f t="shared" si="133"/>
        <v>0</v>
      </c>
      <c r="K156" s="97"/>
      <c r="L156" s="97"/>
      <c r="M156" s="97"/>
      <c r="N156" s="97"/>
      <c r="O156" s="97"/>
      <c r="P156" s="97"/>
      <c r="Q156" s="97"/>
      <c r="R156" s="97"/>
      <c r="S156" s="97"/>
      <c r="T156" s="97">
        <f>1423</f>
        <v>1423</v>
      </c>
      <c r="U156" s="97">
        <f>T156+V156</f>
        <v>1423</v>
      </c>
      <c r="V156" s="97">
        <f t="shared" si="138"/>
        <v>0</v>
      </c>
      <c r="W156" s="97"/>
      <c r="X156" s="97"/>
      <c r="Y156" s="97"/>
      <c r="Z156" s="97"/>
      <c r="AA156" s="97"/>
      <c r="AB156" s="97"/>
      <c r="AC156" s="97"/>
      <c r="AD156" s="97">
        <f t="shared" ref="AD156:AD158" si="145">AE156+AC156</f>
        <v>0</v>
      </c>
      <c r="AE156" s="125">
        <f t="shared" si="144"/>
        <v>0</v>
      </c>
      <c r="AF156" s="125"/>
      <c r="AG156" s="125"/>
      <c r="AH156" s="125"/>
      <c r="AI156" s="125"/>
      <c r="AJ156" s="125"/>
      <c r="AK156" s="125"/>
      <c r="AL156" s="125"/>
      <c r="AM156" s="125"/>
      <c r="AN156" s="97"/>
      <c r="AO156" s="313"/>
      <c r="AP156" s="125"/>
      <c r="AQ156" s="125"/>
      <c r="AR156" s="125"/>
      <c r="AS156" s="125"/>
      <c r="AT156" s="125"/>
      <c r="AU156" s="125"/>
      <c r="AV156" s="98" t="s">
        <v>422</v>
      </c>
      <c r="AW156" s="105"/>
    </row>
    <row r="157" spans="1:49" s="177" customFormat="1" ht="36" x14ac:dyDescent="0.2">
      <c r="A157" s="167"/>
      <c r="B157" s="119"/>
      <c r="C157" s="178"/>
      <c r="D157" s="179"/>
      <c r="E157" s="227" t="s">
        <v>507</v>
      </c>
      <c r="F157" s="299">
        <v>45940</v>
      </c>
      <c r="G157" s="97">
        <f t="shared" si="131"/>
        <v>46745</v>
      </c>
      <c r="H157" s="299">
        <f>45940</f>
        <v>45940</v>
      </c>
      <c r="I157" s="97">
        <f t="shared" si="132"/>
        <v>46745</v>
      </c>
      <c r="J157" s="97">
        <f t="shared" si="133"/>
        <v>805</v>
      </c>
      <c r="K157" s="97"/>
      <c r="L157" s="97"/>
      <c r="M157" s="97"/>
      <c r="N157" s="97">
        <f>805</f>
        <v>805</v>
      </c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>
        <f t="shared" si="145"/>
        <v>0</v>
      </c>
      <c r="AE157" s="125">
        <f t="shared" si="144"/>
        <v>0</v>
      </c>
      <c r="AF157" s="125"/>
      <c r="AG157" s="125"/>
      <c r="AH157" s="125"/>
      <c r="AI157" s="125"/>
      <c r="AJ157" s="125"/>
      <c r="AK157" s="125"/>
      <c r="AL157" s="125"/>
      <c r="AM157" s="125"/>
      <c r="AN157" s="97"/>
      <c r="AO157" s="313"/>
      <c r="AP157" s="125"/>
      <c r="AQ157" s="125"/>
      <c r="AR157" s="125"/>
      <c r="AS157" s="125"/>
      <c r="AT157" s="125"/>
      <c r="AU157" s="125"/>
      <c r="AV157" s="98" t="s">
        <v>646</v>
      </c>
      <c r="AW157" s="105"/>
    </row>
    <row r="158" spans="1:49" s="150" customFormat="1" ht="12.75" x14ac:dyDescent="0.2">
      <c r="A158" s="167"/>
      <c r="B158" s="119"/>
      <c r="C158" s="172"/>
      <c r="D158" s="173"/>
      <c r="E158" s="227" t="s">
        <v>348</v>
      </c>
      <c r="F158" s="299">
        <v>81932</v>
      </c>
      <c r="G158" s="97">
        <f t="shared" si="131"/>
        <v>81932</v>
      </c>
      <c r="H158" s="299">
        <f>81932</f>
        <v>81932</v>
      </c>
      <c r="I158" s="97">
        <f t="shared" si="132"/>
        <v>81932</v>
      </c>
      <c r="J158" s="97">
        <f t="shared" si="133"/>
        <v>0</v>
      </c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>
        <f t="shared" si="145"/>
        <v>0</v>
      </c>
      <c r="AE158" s="125">
        <f t="shared" si="144"/>
        <v>0</v>
      </c>
      <c r="AF158" s="125"/>
      <c r="AG158" s="125"/>
      <c r="AH158" s="125"/>
      <c r="AI158" s="125"/>
      <c r="AJ158" s="125"/>
      <c r="AK158" s="125"/>
      <c r="AL158" s="125"/>
      <c r="AM158" s="125"/>
      <c r="AN158" s="97"/>
      <c r="AO158" s="313"/>
      <c r="AP158" s="125"/>
      <c r="AQ158" s="125"/>
      <c r="AR158" s="125"/>
      <c r="AS158" s="125"/>
      <c r="AT158" s="125"/>
      <c r="AU158" s="125"/>
      <c r="AV158" s="98" t="s">
        <v>647</v>
      </c>
      <c r="AW158" s="105"/>
    </row>
    <row r="159" spans="1:49" ht="39.75" customHeight="1" x14ac:dyDescent="0.2">
      <c r="A159" s="167">
        <v>90000051519</v>
      </c>
      <c r="B159" s="119"/>
      <c r="C159" s="447" t="s">
        <v>260</v>
      </c>
      <c r="D159" s="448"/>
      <c r="E159" s="227" t="s">
        <v>309</v>
      </c>
      <c r="F159" s="299">
        <v>1334775</v>
      </c>
      <c r="G159" s="97">
        <f t="shared" si="131"/>
        <v>1352374</v>
      </c>
      <c r="H159" s="299">
        <f>628493</f>
        <v>628493</v>
      </c>
      <c r="I159" s="97">
        <f t="shared" si="132"/>
        <v>630763</v>
      </c>
      <c r="J159" s="97">
        <f t="shared" si="133"/>
        <v>2270</v>
      </c>
      <c r="K159" s="97"/>
      <c r="L159" s="97"/>
      <c r="M159" s="97"/>
      <c r="N159" s="97">
        <v>2270</v>
      </c>
      <c r="O159" s="97"/>
      <c r="P159" s="97"/>
      <c r="Q159" s="97"/>
      <c r="R159" s="97"/>
      <c r="S159" s="97"/>
      <c r="T159" s="97">
        <f>682320</f>
        <v>682320</v>
      </c>
      <c r="U159" s="97">
        <f t="shared" ref="U159:U166" si="146">T159+V159</f>
        <v>695337</v>
      </c>
      <c r="V159" s="97">
        <f t="shared" si="138"/>
        <v>13017</v>
      </c>
      <c r="W159" s="97">
        <f>13017</f>
        <v>13017</v>
      </c>
      <c r="X159" s="97"/>
      <c r="Y159" s="97"/>
      <c r="Z159" s="97"/>
      <c r="AA159" s="97"/>
      <c r="AB159" s="97"/>
      <c r="AC159" s="97">
        <f>23962</f>
        <v>23962</v>
      </c>
      <c r="AD159" s="97">
        <f t="shared" ref="AD159:AD165" si="147">AE159+AC159</f>
        <v>26274</v>
      </c>
      <c r="AE159" s="125">
        <f t="shared" ref="AE159" si="148">SUM(AF159:AK159)</f>
        <v>2312</v>
      </c>
      <c r="AF159" s="125"/>
      <c r="AG159" s="125">
        <f>2312</f>
        <v>2312</v>
      </c>
      <c r="AH159" s="125"/>
      <c r="AI159" s="125"/>
      <c r="AJ159" s="125"/>
      <c r="AK159" s="125"/>
      <c r="AL159" s="125"/>
      <c r="AM159" s="125"/>
      <c r="AN159" s="97"/>
      <c r="AO159" s="313"/>
      <c r="AP159" s="125"/>
      <c r="AQ159" s="125"/>
      <c r="AR159" s="125"/>
      <c r="AS159" s="125"/>
      <c r="AT159" s="125"/>
      <c r="AU159" s="125"/>
      <c r="AV159" s="98" t="s">
        <v>423</v>
      </c>
      <c r="AW159" s="105"/>
    </row>
    <row r="160" spans="1:49" ht="12.75" x14ac:dyDescent="0.2">
      <c r="A160" s="167"/>
      <c r="B160" s="119"/>
      <c r="C160" s="172"/>
      <c r="D160" s="173"/>
      <c r="E160" s="227" t="s">
        <v>348</v>
      </c>
      <c r="F160" s="299">
        <v>185594</v>
      </c>
      <c r="G160" s="97">
        <f t="shared" si="131"/>
        <v>196423</v>
      </c>
      <c r="H160" s="299">
        <f>132670</f>
        <v>132670</v>
      </c>
      <c r="I160" s="97">
        <f t="shared" si="132"/>
        <v>132670</v>
      </c>
      <c r="J160" s="97">
        <f t="shared" si="133"/>
        <v>0</v>
      </c>
      <c r="K160" s="97"/>
      <c r="L160" s="97"/>
      <c r="M160" s="97"/>
      <c r="N160" s="97"/>
      <c r="O160" s="97"/>
      <c r="P160" s="97"/>
      <c r="Q160" s="97"/>
      <c r="R160" s="97"/>
      <c r="S160" s="97"/>
      <c r="T160" s="97">
        <f>52924</f>
        <v>52924</v>
      </c>
      <c r="U160" s="97">
        <f t="shared" si="146"/>
        <v>63753</v>
      </c>
      <c r="V160" s="97">
        <f t="shared" si="138"/>
        <v>10829</v>
      </c>
      <c r="W160" s="97">
        <v>10829</v>
      </c>
      <c r="X160" s="97"/>
      <c r="Y160" s="97"/>
      <c r="Z160" s="97"/>
      <c r="AA160" s="97"/>
      <c r="AB160" s="97"/>
      <c r="AC160" s="97"/>
      <c r="AD160" s="97">
        <f t="shared" si="147"/>
        <v>0</v>
      </c>
      <c r="AE160" s="125">
        <f>SUM(AF160:AK160)</f>
        <v>0</v>
      </c>
      <c r="AF160" s="125"/>
      <c r="AG160" s="125"/>
      <c r="AH160" s="125"/>
      <c r="AI160" s="125"/>
      <c r="AJ160" s="125"/>
      <c r="AK160" s="125"/>
      <c r="AL160" s="125"/>
      <c r="AM160" s="125"/>
      <c r="AN160" s="97"/>
      <c r="AO160" s="313"/>
      <c r="AP160" s="125"/>
      <c r="AQ160" s="125"/>
      <c r="AR160" s="125"/>
      <c r="AS160" s="125"/>
      <c r="AT160" s="125"/>
      <c r="AU160" s="125"/>
      <c r="AV160" s="98" t="s">
        <v>424</v>
      </c>
      <c r="AW160" s="105"/>
    </row>
    <row r="161" spans="1:49" ht="42" customHeight="1" x14ac:dyDescent="0.2">
      <c r="A161" s="167">
        <v>90009251338</v>
      </c>
      <c r="B161" s="119"/>
      <c r="C161" s="447" t="s">
        <v>261</v>
      </c>
      <c r="D161" s="448"/>
      <c r="E161" s="227" t="s">
        <v>309</v>
      </c>
      <c r="F161" s="299">
        <v>367036</v>
      </c>
      <c r="G161" s="97">
        <f t="shared" si="131"/>
        <v>370258</v>
      </c>
      <c r="H161" s="299">
        <f>248081</f>
        <v>248081</v>
      </c>
      <c r="I161" s="97">
        <f t="shared" si="132"/>
        <v>249216</v>
      </c>
      <c r="J161" s="97">
        <f t="shared" si="133"/>
        <v>1135</v>
      </c>
      <c r="K161" s="97"/>
      <c r="L161" s="97"/>
      <c r="M161" s="97"/>
      <c r="N161" s="97"/>
      <c r="O161" s="97"/>
      <c r="P161" s="97">
        <f>1135</f>
        <v>1135</v>
      </c>
      <c r="Q161" s="97"/>
      <c r="R161" s="97"/>
      <c r="S161" s="97"/>
      <c r="T161" s="97">
        <f>113989</f>
        <v>113989</v>
      </c>
      <c r="U161" s="97">
        <f t="shared" si="146"/>
        <v>116076</v>
      </c>
      <c r="V161" s="97">
        <f t="shared" si="138"/>
        <v>2087</v>
      </c>
      <c r="W161" s="97"/>
      <c r="X161" s="97">
        <f>2087</f>
        <v>2087</v>
      </c>
      <c r="Y161" s="97"/>
      <c r="Z161" s="97"/>
      <c r="AA161" s="97"/>
      <c r="AB161" s="97"/>
      <c r="AC161" s="97">
        <f>4966</f>
        <v>4966</v>
      </c>
      <c r="AD161" s="97">
        <f t="shared" si="147"/>
        <v>4966</v>
      </c>
      <c r="AE161" s="125">
        <f t="shared" ref="AE161" si="149">SUM(AF161:AK161)</f>
        <v>0</v>
      </c>
      <c r="AF161" s="125"/>
      <c r="AG161" s="125"/>
      <c r="AH161" s="125"/>
      <c r="AI161" s="125"/>
      <c r="AJ161" s="125"/>
      <c r="AK161" s="125"/>
      <c r="AL161" s="125"/>
      <c r="AM161" s="125"/>
      <c r="AN161" s="97"/>
      <c r="AO161" s="313"/>
      <c r="AP161" s="125"/>
      <c r="AQ161" s="125"/>
      <c r="AR161" s="125"/>
      <c r="AS161" s="125"/>
      <c r="AT161" s="125"/>
      <c r="AU161" s="125"/>
      <c r="AV161" s="98" t="s">
        <v>425</v>
      </c>
      <c r="AW161" s="105"/>
    </row>
    <row r="162" spans="1:49" ht="12.75" x14ac:dyDescent="0.2">
      <c r="A162" s="167"/>
      <c r="B162" s="119"/>
      <c r="C162" s="172"/>
      <c r="D162" s="173"/>
      <c r="E162" s="227" t="s">
        <v>348</v>
      </c>
      <c r="F162" s="299">
        <v>28077</v>
      </c>
      <c r="G162" s="97">
        <f t="shared" si="131"/>
        <v>28077</v>
      </c>
      <c r="H162" s="299">
        <f>17311</f>
        <v>17311</v>
      </c>
      <c r="I162" s="97">
        <f t="shared" si="132"/>
        <v>17311</v>
      </c>
      <c r="J162" s="97">
        <f t="shared" si="133"/>
        <v>0</v>
      </c>
      <c r="K162" s="97"/>
      <c r="L162" s="97"/>
      <c r="M162" s="97"/>
      <c r="N162" s="97"/>
      <c r="O162" s="97"/>
      <c r="P162" s="97"/>
      <c r="Q162" s="97"/>
      <c r="R162" s="97"/>
      <c r="S162" s="97"/>
      <c r="T162" s="97">
        <f>10766</f>
        <v>10766</v>
      </c>
      <c r="U162" s="97">
        <f t="shared" si="146"/>
        <v>10766</v>
      </c>
      <c r="V162" s="97">
        <f t="shared" si="138"/>
        <v>0</v>
      </c>
      <c r="W162" s="97"/>
      <c r="X162" s="97"/>
      <c r="Y162" s="97"/>
      <c r="Z162" s="97"/>
      <c r="AA162" s="97"/>
      <c r="AB162" s="97"/>
      <c r="AC162" s="97"/>
      <c r="AD162" s="97">
        <f t="shared" si="147"/>
        <v>0</v>
      </c>
      <c r="AE162" s="125">
        <f>SUM(AF162:AK162)</f>
        <v>0</v>
      </c>
      <c r="AF162" s="125"/>
      <c r="AG162" s="125"/>
      <c r="AH162" s="125"/>
      <c r="AI162" s="125"/>
      <c r="AJ162" s="125"/>
      <c r="AK162" s="125"/>
      <c r="AL162" s="125"/>
      <c r="AM162" s="125"/>
      <c r="AN162" s="97"/>
      <c r="AO162" s="313"/>
      <c r="AP162" s="125"/>
      <c r="AQ162" s="125"/>
      <c r="AR162" s="125"/>
      <c r="AS162" s="125"/>
      <c r="AT162" s="125"/>
      <c r="AU162" s="125"/>
      <c r="AV162" s="98" t="s">
        <v>426</v>
      </c>
      <c r="AW162" s="105"/>
    </row>
    <row r="163" spans="1:49" ht="41.25" customHeight="1" x14ac:dyDescent="0.2">
      <c r="A163" s="167">
        <v>90000051576</v>
      </c>
      <c r="B163" s="119"/>
      <c r="C163" s="447" t="s">
        <v>196</v>
      </c>
      <c r="D163" s="448"/>
      <c r="E163" s="227" t="s">
        <v>309</v>
      </c>
      <c r="F163" s="299">
        <v>611019</v>
      </c>
      <c r="G163" s="97">
        <f t="shared" si="131"/>
        <v>642395</v>
      </c>
      <c r="H163" s="299">
        <f>373995</f>
        <v>373995</v>
      </c>
      <c r="I163" s="97">
        <f t="shared" si="132"/>
        <v>389385</v>
      </c>
      <c r="J163" s="97">
        <f t="shared" si="133"/>
        <v>15390</v>
      </c>
      <c r="K163" s="97"/>
      <c r="L163" s="97"/>
      <c r="M163" s="97"/>
      <c r="N163" s="97"/>
      <c r="O163" s="97"/>
      <c r="P163" s="97">
        <f>14255+1135</f>
        <v>15390</v>
      </c>
      <c r="Q163" s="97"/>
      <c r="R163" s="97"/>
      <c r="S163" s="97"/>
      <c r="T163" s="97">
        <f>223203</f>
        <v>223203</v>
      </c>
      <c r="U163" s="97">
        <f t="shared" si="146"/>
        <v>227510</v>
      </c>
      <c r="V163" s="97">
        <f t="shared" si="138"/>
        <v>4307</v>
      </c>
      <c r="W163" s="97"/>
      <c r="X163" s="97">
        <f>4307</f>
        <v>4307</v>
      </c>
      <c r="Y163" s="97"/>
      <c r="Z163" s="97"/>
      <c r="AA163" s="97"/>
      <c r="AB163" s="97"/>
      <c r="AC163" s="97">
        <f>13821</f>
        <v>13821</v>
      </c>
      <c r="AD163" s="97">
        <f t="shared" si="147"/>
        <v>25500</v>
      </c>
      <c r="AE163" s="125">
        <f t="shared" ref="AE163" si="150">SUM(AF163:AK163)</f>
        <v>11679</v>
      </c>
      <c r="AF163" s="125"/>
      <c r="AG163" s="125"/>
      <c r="AH163" s="125">
        <f>11679</f>
        <v>11679</v>
      </c>
      <c r="AI163" s="125"/>
      <c r="AJ163" s="125"/>
      <c r="AK163" s="125"/>
      <c r="AL163" s="125"/>
      <c r="AM163" s="125"/>
      <c r="AN163" s="97"/>
      <c r="AO163" s="313"/>
      <c r="AP163" s="125"/>
      <c r="AQ163" s="125"/>
      <c r="AR163" s="125"/>
      <c r="AS163" s="125"/>
      <c r="AT163" s="125"/>
      <c r="AU163" s="125"/>
      <c r="AV163" s="98" t="s">
        <v>427</v>
      </c>
      <c r="AW163" s="105"/>
    </row>
    <row r="164" spans="1:49" ht="12.75" x14ac:dyDescent="0.2">
      <c r="A164" s="167"/>
      <c r="B164" s="119"/>
      <c r="C164" s="172"/>
      <c r="D164" s="173"/>
      <c r="E164" s="227" t="s">
        <v>348</v>
      </c>
      <c r="F164" s="299">
        <v>65672</v>
      </c>
      <c r="G164" s="97">
        <f t="shared" si="131"/>
        <v>66354</v>
      </c>
      <c r="H164" s="299">
        <f>53502</f>
        <v>53502</v>
      </c>
      <c r="I164" s="97">
        <f t="shared" si="132"/>
        <v>53502</v>
      </c>
      <c r="J164" s="97">
        <f t="shared" si="133"/>
        <v>0</v>
      </c>
      <c r="K164" s="97"/>
      <c r="L164" s="97"/>
      <c r="M164" s="97"/>
      <c r="N164" s="97"/>
      <c r="O164" s="97"/>
      <c r="P164" s="97"/>
      <c r="Q164" s="97"/>
      <c r="R164" s="97"/>
      <c r="S164" s="97"/>
      <c r="T164" s="97">
        <f>12170</f>
        <v>12170</v>
      </c>
      <c r="U164" s="97">
        <f t="shared" si="146"/>
        <v>12852</v>
      </c>
      <c r="V164" s="97">
        <f t="shared" si="138"/>
        <v>682</v>
      </c>
      <c r="W164" s="97"/>
      <c r="X164" s="97">
        <f>682</f>
        <v>682</v>
      </c>
      <c r="Y164" s="97"/>
      <c r="Z164" s="97"/>
      <c r="AA164" s="97"/>
      <c r="AB164" s="97"/>
      <c r="AC164" s="97"/>
      <c r="AD164" s="97">
        <f t="shared" si="147"/>
        <v>0</v>
      </c>
      <c r="AE164" s="125">
        <f>SUM(AF164:AK164)</f>
        <v>0</v>
      </c>
      <c r="AF164" s="125"/>
      <c r="AG164" s="125"/>
      <c r="AH164" s="125"/>
      <c r="AI164" s="125"/>
      <c r="AJ164" s="125"/>
      <c r="AK164" s="125"/>
      <c r="AL164" s="125"/>
      <c r="AM164" s="125"/>
      <c r="AN164" s="97"/>
      <c r="AO164" s="313"/>
      <c r="AP164" s="125"/>
      <c r="AQ164" s="125"/>
      <c r="AR164" s="125"/>
      <c r="AS164" s="125"/>
      <c r="AT164" s="125"/>
      <c r="AU164" s="125"/>
      <c r="AV164" s="98" t="s">
        <v>428</v>
      </c>
      <c r="AW164" s="105"/>
    </row>
    <row r="165" spans="1:49" ht="36.75" customHeight="1" x14ac:dyDescent="0.2">
      <c r="A165" s="167">
        <v>90000051627</v>
      </c>
      <c r="B165" s="119"/>
      <c r="C165" s="447" t="s">
        <v>262</v>
      </c>
      <c r="D165" s="448"/>
      <c r="E165" s="227" t="s">
        <v>309</v>
      </c>
      <c r="F165" s="299">
        <v>870627</v>
      </c>
      <c r="G165" s="97">
        <f t="shared" si="131"/>
        <v>884035</v>
      </c>
      <c r="H165" s="299">
        <f>401587</f>
        <v>401587</v>
      </c>
      <c r="I165" s="97">
        <f t="shared" si="132"/>
        <v>402722</v>
      </c>
      <c r="J165" s="97">
        <f t="shared" si="133"/>
        <v>1135</v>
      </c>
      <c r="K165" s="97"/>
      <c r="L165" s="97"/>
      <c r="M165" s="97"/>
      <c r="N165" s="97">
        <v>1135</v>
      </c>
      <c r="O165" s="97"/>
      <c r="P165" s="97"/>
      <c r="Q165" s="97"/>
      <c r="R165" s="97"/>
      <c r="S165" s="97"/>
      <c r="T165" s="97">
        <f>458672</f>
        <v>458672</v>
      </c>
      <c r="U165" s="97">
        <f t="shared" si="146"/>
        <v>467287</v>
      </c>
      <c r="V165" s="97">
        <f t="shared" si="138"/>
        <v>8615</v>
      </c>
      <c r="W165" s="97">
        <f>8615</f>
        <v>8615</v>
      </c>
      <c r="X165" s="97"/>
      <c r="Y165" s="97"/>
      <c r="Z165" s="97"/>
      <c r="AA165" s="97"/>
      <c r="AB165" s="97"/>
      <c r="AC165" s="97">
        <f>10368</f>
        <v>10368</v>
      </c>
      <c r="AD165" s="97">
        <f t="shared" si="147"/>
        <v>14026</v>
      </c>
      <c r="AE165" s="125">
        <f t="shared" ref="AE165:AE167" si="151">SUM(AF165:AK165)</f>
        <v>3658</v>
      </c>
      <c r="AF165" s="125"/>
      <c r="AG165" s="125">
        <v>3658</v>
      </c>
      <c r="AH165" s="125"/>
      <c r="AI165" s="125"/>
      <c r="AJ165" s="125"/>
      <c r="AK165" s="125"/>
      <c r="AL165" s="125"/>
      <c r="AM165" s="125"/>
      <c r="AN165" s="97"/>
      <c r="AO165" s="313"/>
      <c r="AP165" s="125"/>
      <c r="AQ165" s="125"/>
      <c r="AR165" s="125"/>
      <c r="AS165" s="125"/>
      <c r="AT165" s="125"/>
      <c r="AU165" s="125"/>
      <c r="AV165" s="98" t="s">
        <v>429</v>
      </c>
      <c r="AW165" s="105"/>
    </row>
    <row r="166" spans="1:49" ht="12.75" x14ac:dyDescent="0.2">
      <c r="A166" s="167"/>
      <c r="B166" s="119"/>
      <c r="C166" s="172"/>
      <c r="D166" s="173"/>
      <c r="E166" s="227" t="s">
        <v>348</v>
      </c>
      <c r="F166" s="299">
        <v>118878</v>
      </c>
      <c r="G166" s="97">
        <f t="shared" si="131"/>
        <v>118878</v>
      </c>
      <c r="H166" s="299">
        <f>88283</f>
        <v>88283</v>
      </c>
      <c r="I166" s="97">
        <f t="shared" si="132"/>
        <v>88283</v>
      </c>
      <c r="J166" s="97">
        <f t="shared" si="133"/>
        <v>0</v>
      </c>
      <c r="K166" s="97"/>
      <c r="L166" s="97"/>
      <c r="M166" s="97"/>
      <c r="N166" s="97"/>
      <c r="O166" s="97"/>
      <c r="P166" s="97"/>
      <c r="Q166" s="97"/>
      <c r="R166" s="97"/>
      <c r="S166" s="97"/>
      <c r="T166" s="97">
        <f>30595</f>
        <v>30595</v>
      </c>
      <c r="U166" s="97">
        <f t="shared" si="146"/>
        <v>30595</v>
      </c>
      <c r="V166" s="97">
        <f t="shared" si="138"/>
        <v>0</v>
      </c>
      <c r="W166" s="97"/>
      <c r="X166" s="97"/>
      <c r="Y166" s="97"/>
      <c r="Z166" s="97"/>
      <c r="AA166" s="97"/>
      <c r="AB166" s="97"/>
      <c r="AC166" s="97"/>
      <c r="AD166" s="97">
        <f t="shared" ref="AD166:AD167" si="152">AE166+AC166</f>
        <v>0</v>
      </c>
      <c r="AE166" s="125">
        <f t="shared" si="151"/>
        <v>0</v>
      </c>
      <c r="AF166" s="125"/>
      <c r="AG166" s="125"/>
      <c r="AH166" s="125"/>
      <c r="AI166" s="125"/>
      <c r="AJ166" s="125"/>
      <c r="AK166" s="125"/>
      <c r="AL166" s="125"/>
      <c r="AM166" s="125"/>
      <c r="AN166" s="97"/>
      <c r="AO166" s="313"/>
      <c r="AP166" s="125"/>
      <c r="AQ166" s="125"/>
      <c r="AR166" s="125"/>
      <c r="AS166" s="125"/>
      <c r="AT166" s="125"/>
      <c r="AU166" s="125"/>
      <c r="AV166" s="98" t="s">
        <v>430</v>
      </c>
      <c r="AW166" s="105"/>
    </row>
    <row r="167" spans="1:49" s="154" customFormat="1" ht="27.75" customHeight="1" x14ac:dyDescent="0.2">
      <c r="A167" s="167"/>
      <c r="B167" s="119"/>
      <c r="C167" s="172"/>
      <c r="D167" s="173"/>
      <c r="E167" s="227" t="s">
        <v>355</v>
      </c>
      <c r="F167" s="299">
        <v>3794</v>
      </c>
      <c r="G167" s="97">
        <f t="shared" si="131"/>
        <v>3794</v>
      </c>
      <c r="H167" s="299">
        <f>3794</f>
        <v>3794</v>
      </c>
      <c r="I167" s="97">
        <f t="shared" si="132"/>
        <v>3794</v>
      </c>
      <c r="J167" s="97">
        <f t="shared" si="133"/>
        <v>0</v>
      </c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>
        <f t="shared" si="152"/>
        <v>0</v>
      </c>
      <c r="AE167" s="125">
        <f t="shared" si="151"/>
        <v>0</v>
      </c>
      <c r="AF167" s="125"/>
      <c r="AG167" s="125"/>
      <c r="AH167" s="125"/>
      <c r="AI167" s="125"/>
      <c r="AJ167" s="125"/>
      <c r="AK167" s="125"/>
      <c r="AL167" s="125"/>
      <c r="AM167" s="125"/>
      <c r="AN167" s="97"/>
      <c r="AO167" s="313"/>
      <c r="AP167" s="125"/>
      <c r="AQ167" s="125"/>
      <c r="AR167" s="125"/>
      <c r="AS167" s="125"/>
      <c r="AT167" s="125"/>
      <c r="AU167" s="125"/>
      <c r="AV167" s="98" t="s">
        <v>431</v>
      </c>
      <c r="AW167" s="105"/>
    </row>
    <row r="168" spans="1:49" ht="42" customHeight="1" x14ac:dyDescent="0.2">
      <c r="A168" s="167">
        <v>90000053670</v>
      </c>
      <c r="B168" s="119"/>
      <c r="C168" s="447" t="s">
        <v>686</v>
      </c>
      <c r="D168" s="448"/>
      <c r="E168" s="227" t="s">
        <v>505</v>
      </c>
      <c r="F168" s="299">
        <v>424343</v>
      </c>
      <c r="G168" s="97">
        <f t="shared" si="131"/>
        <v>433968</v>
      </c>
      <c r="H168" s="299">
        <f>253236</f>
        <v>253236</v>
      </c>
      <c r="I168" s="97">
        <f t="shared" si="132"/>
        <v>253236</v>
      </c>
      <c r="J168" s="97">
        <f t="shared" si="133"/>
        <v>0</v>
      </c>
      <c r="K168" s="97"/>
      <c r="L168" s="97"/>
      <c r="M168" s="97"/>
      <c r="N168" s="97"/>
      <c r="O168" s="97"/>
      <c r="P168" s="97"/>
      <c r="Q168" s="97"/>
      <c r="R168" s="97"/>
      <c r="S168" s="97"/>
      <c r="T168" s="97">
        <f>117932</f>
        <v>117932</v>
      </c>
      <c r="U168" s="97">
        <f t="shared" ref="U168:U172" si="153">T168+V168</f>
        <v>121383</v>
      </c>
      <c r="V168" s="97">
        <f t="shared" si="138"/>
        <v>3451</v>
      </c>
      <c r="W168" s="97">
        <f>2710+741</f>
        <v>3451</v>
      </c>
      <c r="X168" s="97"/>
      <c r="Y168" s="97"/>
      <c r="Z168" s="97"/>
      <c r="AA168" s="97"/>
      <c r="AB168" s="97"/>
      <c r="AC168" s="97">
        <f>50235</f>
        <v>50235</v>
      </c>
      <c r="AD168" s="97">
        <f t="shared" ref="AD168:AD169" si="154">AE168+AC168</f>
        <v>55859</v>
      </c>
      <c r="AE168" s="125">
        <f t="shared" ref="AE168:AE169" si="155">SUM(AF168:AK168)</f>
        <v>5624</v>
      </c>
      <c r="AF168" s="125"/>
      <c r="AG168" s="125">
        <v>5624</v>
      </c>
      <c r="AH168" s="125"/>
      <c r="AI168" s="125"/>
      <c r="AJ168" s="125"/>
      <c r="AK168" s="125"/>
      <c r="AL168" s="125"/>
      <c r="AM168" s="125">
        <f>2940</f>
        <v>2940</v>
      </c>
      <c r="AN168" s="97">
        <f>AM168+AO168</f>
        <v>3490</v>
      </c>
      <c r="AO168" s="313">
        <f t="shared" ref="AO168" si="156">SUM(AP168:AU168)</f>
        <v>550</v>
      </c>
      <c r="AP168" s="125">
        <v>550</v>
      </c>
      <c r="AQ168" s="125"/>
      <c r="AR168" s="125"/>
      <c r="AS168" s="125"/>
      <c r="AT168" s="125"/>
      <c r="AU168" s="125"/>
      <c r="AV168" s="98" t="s">
        <v>432</v>
      </c>
      <c r="AW168" s="105"/>
    </row>
    <row r="169" spans="1:49" ht="35.25" customHeight="1" x14ac:dyDescent="0.2">
      <c r="A169" s="167">
        <v>90000051595</v>
      </c>
      <c r="B169" s="119"/>
      <c r="C169" s="447" t="s">
        <v>197</v>
      </c>
      <c r="D169" s="448"/>
      <c r="E169" s="227" t="s">
        <v>309</v>
      </c>
      <c r="F169" s="299">
        <v>971239</v>
      </c>
      <c r="G169" s="97">
        <f t="shared" ref="G169:G200" si="157">SUM(I169,U169,AD169,AL169,AN169)</f>
        <v>984776</v>
      </c>
      <c r="H169" s="299">
        <f>489791</f>
        <v>489791</v>
      </c>
      <c r="I169" s="97">
        <f t="shared" si="132"/>
        <v>490926</v>
      </c>
      <c r="J169" s="97">
        <f t="shared" si="133"/>
        <v>1135</v>
      </c>
      <c r="K169" s="97"/>
      <c r="L169" s="97"/>
      <c r="M169" s="97"/>
      <c r="N169" s="97">
        <v>1135</v>
      </c>
      <c r="O169" s="97"/>
      <c r="P169" s="97"/>
      <c r="Q169" s="97"/>
      <c r="R169" s="97"/>
      <c r="S169" s="97"/>
      <c r="T169" s="97">
        <f>472169</f>
        <v>472169</v>
      </c>
      <c r="U169" s="97">
        <f t="shared" si="153"/>
        <v>481334</v>
      </c>
      <c r="V169" s="97">
        <f t="shared" si="138"/>
        <v>9165</v>
      </c>
      <c r="W169" s="97">
        <f>9165</f>
        <v>9165</v>
      </c>
      <c r="X169" s="97"/>
      <c r="Y169" s="97"/>
      <c r="Z169" s="97"/>
      <c r="AA169" s="97"/>
      <c r="AB169" s="97"/>
      <c r="AC169" s="97">
        <f>9279</f>
        <v>9279</v>
      </c>
      <c r="AD169" s="97">
        <f t="shared" si="154"/>
        <v>12516</v>
      </c>
      <c r="AE169" s="125">
        <f t="shared" si="155"/>
        <v>3237</v>
      </c>
      <c r="AF169" s="125"/>
      <c r="AG169" s="125">
        <v>2497</v>
      </c>
      <c r="AH169" s="125">
        <f>740</f>
        <v>740</v>
      </c>
      <c r="AI169" s="125"/>
      <c r="AJ169" s="125"/>
      <c r="AK169" s="125"/>
      <c r="AL169" s="125"/>
      <c r="AM169" s="125"/>
      <c r="AN169" s="97"/>
      <c r="AO169" s="313"/>
      <c r="AP169" s="125"/>
      <c r="AQ169" s="125"/>
      <c r="AR169" s="125"/>
      <c r="AS169" s="125"/>
      <c r="AT169" s="125"/>
      <c r="AU169" s="125"/>
      <c r="AV169" s="98" t="s">
        <v>433</v>
      </c>
      <c r="AW169" s="105"/>
    </row>
    <row r="170" spans="1:49" ht="12.75" x14ac:dyDescent="0.2">
      <c r="A170" s="167"/>
      <c r="B170" s="119"/>
      <c r="C170" s="172"/>
      <c r="D170" s="173"/>
      <c r="E170" s="227" t="s">
        <v>348</v>
      </c>
      <c r="F170" s="299">
        <v>129379</v>
      </c>
      <c r="G170" s="97">
        <f t="shared" si="157"/>
        <v>139778</v>
      </c>
      <c r="H170" s="299">
        <f>98379</f>
        <v>98379</v>
      </c>
      <c r="I170" s="97">
        <f t="shared" si="132"/>
        <v>98379</v>
      </c>
      <c r="J170" s="97">
        <f t="shared" si="133"/>
        <v>0</v>
      </c>
      <c r="K170" s="97"/>
      <c r="L170" s="97"/>
      <c r="M170" s="97"/>
      <c r="N170" s="97"/>
      <c r="O170" s="97"/>
      <c r="P170" s="97"/>
      <c r="Q170" s="97"/>
      <c r="R170" s="97"/>
      <c r="S170" s="97"/>
      <c r="T170" s="97">
        <f>31000</f>
        <v>31000</v>
      </c>
      <c r="U170" s="97">
        <f t="shared" si="153"/>
        <v>41399</v>
      </c>
      <c r="V170" s="97">
        <f t="shared" si="138"/>
        <v>10399</v>
      </c>
      <c r="W170" s="97">
        <v>10399</v>
      </c>
      <c r="X170" s="97"/>
      <c r="Y170" s="97"/>
      <c r="Z170" s="97"/>
      <c r="AA170" s="97"/>
      <c r="AB170" s="97"/>
      <c r="AC170" s="97"/>
      <c r="AD170" s="97">
        <f>AE170+AC170</f>
        <v>0</v>
      </c>
      <c r="AE170" s="125">
        <f>SUM(AF170:AK170)</f>
        <v>0</v>
      </c>
      <c r="AF170" s="125"/>
      <c r="AG170" s="125"/>
      <c r="AH170" s="125"/>
      <c r="AI170" s="125"/>
      <c r="AJ170" s="125"/>
      <c r="AK170" s="125"/>
      <c r="AL170" s="125"/>
      <c r="AM170" s="125"/>
      <c r="AN170" s="97"/>
      <c r="AO170" s="313"/>
      <c r="AP170" s="125"/>
      <c r="AQ170" s="125"/>
      <c r="AR170" s="125"/>
      <c r="AS170" s="125"/>
      <c r="AT170" s="125"/>
      <c r="AU170" s="125"/>
      <c r="AV170" s="98" t="s">
        <v>434</v>
      </c>
      <c r="AW170" s="105"/>
    </row>
    <row r="171" spans="1:49" ht="36" x14ac:dyDescent="0.2">
      <c r="A171" s="167">
        <v>90000056465</v>
      </c>
      <c r="B171" s="119"/>
      <c r="C171" s="447" t="s">
        <v>687</v>
      </c>
      <c r="D171" s="448"/>
      <c r="E171" s="227" t="s">
        <v>352</v>
      </c>
      <c r="F171" s="299">
        <v>804110</v>
      </c>
      <c r="G171" s="97">
        <f t="shared" si="157"/>
        <v>829749</v>
      </c>
      <c r="H171" s="299">
        <f>379989</f>
        <v>379989</v>
      </c>
      <c r="I171" s="97">
        <f t="shared" si="132"/>
        <v>389806</v>
      </c>
      <c r="J171" s="97">
        <f t="shared" si="133"/>
        <v>9817</v>
      </c>
      <c r="K171" s="97"/>
      <c r="L171" s="97"/>
      <c r="M171" s="97"/>
      <c r="N171" s="97"/>
      <c r="O171" s="97"/>
      <c r="P171" s="97">
        <f>9817</f>
        <v>9817</v>
      </c>
      <c r="Q171" s="97"/>
      <c r="R171" s="97"/>
      <c r="S171" s="97"/>
      <c r="T171" s="97">
        <f>318345</f>
        <v>318345</v>
      </c>
      <c r="U171" s="97">
        <f t="shared" si="153"/>
        <v>317283</v>
      </c>
      <c r="V171" s="97">
        <f t="shared" si="138"/>
        <v>-1062</v>
      </c>
      <c r="W171" s="97">
        <f>-2182</f>
        <v>-2182</v>
      </c>
      <c r="X171" s="97">
        <f>1120</f>
        <v>1120</v>
      </c>
      <c r="Y171" s="97"/>
      <c r="Z171" s="97"/>
      <c r="AA171" s="97"/>
      <c r="AB171" s="97"/>
      <c r="AC171" s="97">
        <f>102925</f>
        <v>102925</v>
      </c>
      <c r="AD171" s="97">
        <f t="shared" ref="AD171:AD175" si="158">AE171+AC171</f>
        <v>119809</v>
      </c>
      <c r="AE171" s="125">
        <f t="shared" ref="AE171:AE175" si="159">SUM(AF171:AK171)</f>
        <v>16884</v>
      </c>
      <c r="AF171" s="125"/>
      <c r="AG171" s="125">
        <f>16884</f>
        <v>16884</v>
      </c>
      <c r="AH171" s="125"/>
      <c r="AI171" s="125"/>
      <c r="AJ171" s="125"/>
      <c r="AK171" s="125"/>
      <c r="AL171" s="125"/>
      <c r="AM171" s="125">
        <v>2851</v>
      </c>
      <c r="AN171" s="97">
        <f>AO171+AM171</f>
        <v>2851</v>
      </c>
      <c r="AO171" s="313">
        <f t="shared" ref="AO171:AO172" si="160">SUM(AP171:AU171)</f>
        <v>0</v>
      </c>
      <c r="AP171" s="125"/>
      <c r="AQ171" s="125"/>
      <c r="AR171" s="125"/>
      <c r="AS171" s="125"/>
      <c r="AT171" s="125"/>
      <c r="AU171" s="125"/>
      <c r="AV171" s="98" t="s">
        <v>435</v>
      </c>
      <c r="AW171" s="105"/>
    </row>
    <row r="172" spans="1:49" ht="36" x14ac:dyDescent="0.2">
      <c r="A172" s="167">
        <v>90001067517</v>
      </c>
      <c r="B172" s="119"/>
      <c r="C172" s="447" t="s">
        <v>342</v>
      </c>
      <c r="D172" s="448"/>
      <c r="E172" s="227" t="s">
        <v>351</v>
      </c>
      <c r="F172" s="299">
        <v>718790</v>
      </c>
      <c r="G172" s="97">
        <f t="shared" si="157"/>
        <v>726579</v>
      </c>
      <c r="H172" s="299">
        <f>571839</f>
        <v>571839</v>
      </c>
      <c r="I172" s="97">
        <f t="shared" si="132"/>
        <v>571839</v>
      </c>
      <c r="J172" s="97">
        <f t="shared" si="133"/>
        <v>0</v>
      </c>
      <c r="K172" s="97"/>
      <c r="L172" s="97"/>
      <c r="M172" s="97"/>
      <c r="N172" s="97"/>
      <c r="O172" s="97"/>
      <c r="P172" s="97"/>
      <c r="Q172" s="97"/>
      <c r="R172" s="97"/>
      <c r="S172" s="97"/>
      <c r="T172" s="97">
        <f>87113</f>
        <v>87113</v>
      </c>
      <c r="U172" s="97">
        <f t="shared" si="153"/>
        <v>87113</v>
      </c>
      <c r="V172" s="97">
        <f t="shared" si="138"/>
        <v>0</v>
      </c>
      <c r="W172" s="97"/>
      <c r="X172" s="97"/>
      <c r="Y172" s="97"/>
      <c r="Z172" s="97"/>
      <c r="AA172" s="97"/>
      <c r="AB172" s="97"/>
      <c r="AC172" s="97">
        <f>51651</f>
        <v>51651</v>
      </c>
      <c r="AD172" s="97">
        <f t="shared" si="158"/>
        <v>56466</v>
      </c>
      <c r="AE172" s="125">
        <f t="shared" si="159"/>
        <v>4815</v>
      </c>
      <c r="AF172" s="125"/>
      <c r="AG172" s="125"/>
      <c r="AH172" s="125">
        <f>4815</f>
        <v>4815</v>
      </c>
      <c r="AI172" s="125"/>
      <c r="AJ172" s="125"/>
      <c r="AK172" s="125"/>
      <c r="AL172" s="125"/>
      <c r="AM172" s="125">
        <v>8187</v>
      </c>
      <c r="AN172" s="97">
        <f>AO172+AM172</f>
        <v>11161</v>
      </c>
      <c r="AO172" s="313">
        <f t="shared" si="160"/>
        <v>2974</v>
      </c>
      <c r="AP172" s="125"/>
      <c r="AQ172" s="125">
        <v>2974</v>
      </c>
      <c r="AR172" s="125"/>
      <c r="AS172" s="125"/>
      <c r="AT172" s="125"/>
      <c r="AU172" s="125"/>
      <c r="AV172" s="98" t="s">
        <v>436</v>
      </c>
      <c r="AW172" s="105"/>
    </row>
    <row r="173" spans="1:49" s="151" customFormat="1" ht="24" x14ac:dyDescent="0.2">
      <c r="A173" s="167"/>
      <c r="B173" s="119"/>
      <c r="C173" s="161"/>
      <c r="D173" s="162"/>
      <c r="E173" s="227" t="s">
        <v>343</v>
      </c>
      <c r="F173" s="299">
        <v>273238</v>
      </c>
      <c r="G173" s="97">
        <f t="shared" si="157"/>
        <v>105461</v>
      </c>
      <c r="H173" s="299">
        <f>227803</f>
        <v>227803</v>
      </c>
      <c r="I173" s="97">
        <f t="shared" si="132"/>
        <v>61609</v>
      </c>
      <c r="J173" s="97">
        <f t="shared" si="133"/>
        <v>-166194</v>
      </c>
      <c r="K173" s="97"/>
      <c r="L173" s="97"/>
      <c r="M173" s="97"/>
      <c r="N173" s="97"/>
      <c r="O173" s="97"/>
      <c r="P173" s="97">
        <f>-166194</f>
        <v>-166194</v>
      </c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>
        <f>45435</f>
        <v>45435</v>
      </c>
      <c r="AD173" s="97">
        <f t="shared" si="158"/>
        <v>43852</v>
      </c>
      <c r="AE173" s="125">
        <f t="shared" si="159"/>
        <v>-1583</v>
      </c>
      <c r="AF173" s="125">
        <v>22000</v>
      </c>
      <c r="AG173" s="125"/>
      <c r="AH173" s="125">
        <f>-23583</f>
        <v>-23583</v>
      </c>
      <c r="AI173" s="125"/>
      <c r="AJ173" s="125"/>
      <c r="AK173" s="125"/>
      <c r="AL173" s="125"/>
      <c r="AM173" s="125"/>
      <c r="AN173" s="97"/>
      <c r="AO173" s="313"/>
      <c r="AP173" s="125"/>
      <c r="AQ173" s="125"/>
      <c r="AR173" s="125"/>
      <c r="AS173" s="125"/>
      <c r="AT173" s="125"/>
      <c r="AU173" s="125"/>
      <c r="AV173" s="98" t="s">
        <v>437</v>
      </c>
      <c r="AW173" s="105"/>
    </row>
    <row r="174" spans="1:49" s="151" customFormat="1" ht="12.75" x14ac:dyDescent="0.2">
      <c r="A174" s="167"/>
      <c r="B174" s="119"/>
      <c r="C174" s="172"/>
      <c r="D174" s="173"/>
      <c r="E174" s="227" t="s">
        <v>353</v>
      </c>
      <c r="F174" s="299">
        <v>77842</v>
      </c>
      <c r="G174" s="97">
        <f t="shared" si="157"/>
        <v>77842</v>
      </c>
      <c r="H174" s="299">
        <f>59678</f>
        <v>59678</v>
      </c>
      <c r="I174" s="97">
        <f t="shared" si="132"/>
        <v>59678</v>
      </c>
      <c r="J174" s="97">
        <f t="shared" si="133"/>
        <v>0</v>
      </c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>
        <f>18164</f>
        <v>18164</v>
      </c>
      <c r="AD174" s="97">
        <f t="shared" si="158"/>
        <v>18164</v>
      </c>
      <c r="AE174" s="125">
        <f t="shared" si="159"/>
        <v>0</v>
      </c>
      <c r="AF174" s="125"/>
      <c r="AG174" s="125"/>
      <c r="AH174" s="125"/>
      <c r="AI174" s="125"/>
      <c r="AJ174" s="125"/>
      <c r="AK174" s="125"/>
      <c r="AL174" s="125"/>
      <c r="AM174" s="125"/>
      <c r="AN174" s="97"/>
      <c r="AO174" s="313"/>
      <c r="AP174" s="125"/>
      <c r="AQ174" s="125"/>
      <c r="AR174" s="125"/>
      <c r="AS174" s="125"/>
      <c r="AT174" s="125"/>
      <c r="AU174" s="125"/>
      <c r="AV174" s="98" t="s">
        <v>438</v>
      </c>
      <c r="AW174" s="105" t="s">
        <v>679</v>
      </c>
    </row>
    <row r="175" spans="1:49" ht="36" x14ac:dyDescent="0.2">
      <c r="A175" s="167">
        <v>90009249140</v>
      </c>
      <c r="B175" s="119"/>
      <c r="C175" s="447" t="s">
        <v>347</v>
      </c>
      <c r="D175" s="448"/>
      <c r="E175" s="227" t="s">
        <v>310</v>
      </c>
      <c r="F175" s="299">
        <v>302528</v>
      </c>
      <c r="G175" s="97">
        <f t="shared" si="157"/>
        <v>305727</v>
      </c>
      <c r="H175" s="299">
        <f>281438</f>
        <v>281438</v>
      </c>
      <c r="I175" s="97">
        <f t="shared" si="132"/>
        <v>281578</v>
      </c>
      <c r="J175" s="97">
        <f t="shared" si="133"/>
        <v>140</v>
      </c>
      <c r="K175" s="97"/>
      <c r="L175" s="97"/>
      <c r="M175" s="97"/>
      <c r="N175" s="97">
        <v>140</v>
      </c>
      <c r="O175" s="97"/>
      <c r="P175" s="97"/>
      <c r="Q175" s="97"/>
      <c r="R175" s="97"/>
      <c r="S175" s="97"/>
      <c r="T175" s="97">
        <f>17322</f>
        <v>17322</v>
      </c>
      <c r="U175" s="97">
        <f t="shared" ref="U175" si="161">T175+V175</f>
        <v>17948</v>
      </c>
      <c r="V175" s="97">
        <f t="shared" si="138"/>
        <v>626</v>
      </c>
      <c r="W175" s="97">
        <f>626</f>
        <v>626</v>
      </c>
      <c r="X175" s="97"/>
      <c r="Y175" s="97"/>
      <c r="Z175" s="97"/>
      <c r="AA175" s="97"/>
      <c r="AB175" s="97"/>
      <c r="AC175" s="97">
        <f>3768</f>
        <v>3768</v>
      </c>
      <c r="AD175" s="97">
        <f t="shared" si="158"/>
        <v>6201</v>
      </c>
      <c r="AE175" s="125">
        <f t="shared" si="159"/>
        <v>2433</v>
      </c>
      <c r="AF175" s="125"/>
      <c r="AG175" s="125">
        <f>2433</f>
        <v>2433</v>
      </c>
      <c r="AH175" s="125"/>
      <c r="AI175" s="125"/>
      <c r="AJ175" s="125"/>
      <c r="AK175" s="125"/>
      <c r="AL175" s="125"/>
      <c r="AM175" s="125"/>
      <c r="AN175" s="97"/>
      <c r="AO175" s="313"/>
      <c r="AP175" s="125"/>
      <c r="AQ175" s="125"/>
      <c r="AR175" s="125"/>
      <c r="AS175" s="125"/>
      <c r="AT175" s="125"/>
      <c r="AU175" s="125"/>
      <c r="AV175" s="98" t="s">
        <v>439</v>
      </c>
      <c r="AW175" s="105"/>
    </row>
    <row r="176" spans="1:49" ht="12.75" x14ac:dyDescent="0.2">
      <c r="A176" s="167"/>
      <c r="B176" s="119"/>
      <c r="C176" s="172"/>
      <c r="D176" s="173"/>
      <c r="E176" s="227" t="s">
        <v>348</v>
      </c>
      <c r="F176" s="299">
        <v>36031</v>
      </c>
      <c r="G176" s="97">
        <f t="shared" si="157"/>
        <v>36031</v>
      </c>
      <c r="H176" s="299">
        <f>36031</f>
        <v>36031</v>
      </c>
      <c r="I176" s="97">
        <f t="shared" si="132"/>
        <v>36031</v>
      </c>
      <c r="J176" s="97">
        <f t="shared" si="133"/>
        <v>0</v>
      </c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>
        <f t="shared" ref="AD176:AD188" si="162">AE176+AC176</f>
        <v>0</v>
      </c>
      <c r="AE176" s="125">
        <f>SUM(AF176:AK176)</f>
        <v>0</v>
      </c>
      <c r="AF176" s="125"/>
      <c r="AG176" s="125"/>
      <c r="AH176" s="125"/>
      <c r="AI176" s="125"/>
      <c r="AJ176" s="125"/>
      <c r="AK176" s="125"/>
      <c r="AL176" s="125"/>
      <c r="AM176" s="125"/>
      <c r="AN176" s="97"/>
      <c r="AO176" s="313"/>
      <c r="AP176" s="125"/>
      <c r="AQ176" s="125"/>
      <c r="AR176" s="125"/>
      <c r="AS176" s="125"/>
      <c r="AT176" s="125"/>
      <c r="AU176" s="125"/>
      <c r="AV176" s="98" t="s">
        <v>440</v>
      </c>
      <c r="AW176" s="105"/>
    </row>
    <row r="177" spans="1:49" ht="36" x14ac:dyDescent="0.2">
      <c r="A177" s="167">
        <v>90009249210</v>
      </c>
      <c r="B177" s="119"/>
      <c r="C177" s="447" t="s">
        <v>218</v>
      </c>
      <c r="D177" s="448"/>
      <c r="E177" s="227" t="s">
        <v>310</v>
      </c>
      <c r="F177" s="299">
        <v>530635</v>
      </c>
      <c r="G177" s="97">
        <f t="shared" si="157"/>
        <v>540965</v>
      </c>
      <c r="H177" s="299">
        <f>492283</f>
        <v>492283</v>
      </c>
      <c r="I177" s="97">
        <f t="shared" si="132"/>
        <v>493827</v>
      </c>
      <c r="J177" s="97">
        <f t="shared" si="133"/>
        <v>1544</v>
      </c>
      <c r="K177" s="97"/>
      <c r="L177" s="97"/>
      <c r="M177" s="97"/>
      <c r="N177" s="97"/>
      <c r="O177" s="97"/>
      <c r="P177" s="97">
        <f>366+43+1135</f>
        <v>1544</v>
      </c>
      <c r="Q177" s="97"/>
      <c r="R177" s="97"/>
      <c r="S177" s="97"/>
      <c r="T177" s="97">
        <f>35223</f>
        <v>35223</v>
      </c>
      <c r="U177" s="97">
        <f t="shared" ref="U177" si="163">T177+V177</f>
        <v>36456</v>
      </c>
      <c r="V177" s="97">
        <f t="shared" si="138"/>
        <v>1233</v>
      </c>
      <c r="W177" s="97"/>
      <c r="X177" s="97">
        <f>1233</f>
        <v>1233</v>
      </c>
      <c r="Y177" s="97"/>
      <c r="Z177" s="97"/>
      <c r="AA177" s="97"/>
      <c r="AB177" s="97"/>
      <c r="AC177" s="97">
        <f>3129</f>
        <v>3129</v>
      </c>
      <c r="AD177" s="97">
        <f t="shared" si="162"/>
        <v>10682</v>
      </c>
      <c r="AE177" s="125">
        <f t="shared" ref="AE177" si="164">SUM(AF177:AK177)</f>
        <v>7553</v>
      </c>
      <c r="AF177" s="125"/>
      <c r="AG177" s="125"/>
      <c r="AH177" s="125">
        <f>1301+6252</f>
        <v>7553</v>
      </c>
      <c r="AI177" s="125"/>
      <c r="AJ177" s="125"/>
      <c r="AK177" s="125"/>
      <c r="AL177" s="125"/>
      <c r="AM177" s="125"/>
      <c r="AN177" s="97"/>
      <c r="AO177" s="313"/>
      <c r="AP177" s="125"/>
      <c r="AQ177" s="125"/>
      <c r="AR177" s="125"/>
      <c r="AS177" s="125"/>
      <c r="AT177" s="125"/>
      <c r="AU177" s="125"/>
      <c r="AV177" s="98" t="s">
        <v>441</v>
      </c>
      <c r="AW177" s="105"/>
    </row>
    <row r="178" spans="1:49" ht="12.75" x14ac:dyDescent="0.2">
      <c r="A178" s="167"/>
      <c r="B178" s="119"/>
      <c r="C178" s="172"/>
      <c r="D178" s="173"/>
      <c r="E178" s="227" t="s">
        <v>348</v>
      </c>
      <c r="F178" s="299">
        <v>86176</v>
      </c>
      <c r="G178" s="97">
        <f t="shared" si="157"/>
        <v>86176</v>
      </c>
      <c r="H178" s="299">
        <f>86176</f>
        <v>86176</v>
      </c>
      <c r="I178" s="97">
        <f t="shared" si="132"/>
        <v>86176</v>
      </c>
      <c r="J178" s="97">
        <f t="shared" si="133"/>
        <v>0</v>
      </c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>
        <f t="shared" si="162"/>
        <v>0</v>
      </c>
      <c r="AE178" s="125">
        <f>SUM(AF178:AK178)</f>
        <v>0</v>
      </c>
      <c r="AF178" s="125"/>
      <c r="AG178" s="125"/>
      <c r="AH178" s="125"/>
      <c r="AI178" s="125"/>
      <c r="AJ178" s="125"/>
      <c r="AK178" s="125"/>
      <c r="AL178" s="125"/>
      <c r="AM178" s="125"/>
      <c r="AN178" s="97"/>
      <c r="AO178" s="313"/>
      <c r="AP178" s="125"/>
      <c r="AQ178" s="125"/>
      <c r="AR178" s="125"/>
      <c r="AS178" s="125"/>
      <c r="AT178" s="125"/>
      <c r="AU178" s="125"/>
      <c r="AV178" s="98" t="s">
        <v>442</v>
      </c>
      <c r="AW178" s="105"/>
    </row>
    <row r="179" spans="1:49" ht="36" x14ac:dyDescent="0.2">
      <c r="A179" s="167">
        <v>90009249155</v>
      </c>
      <c r="B179" s="119"/>
      <c r="C179" s="447" t="s">
        <v>219</v>
      </c>
      <c r="D179" s="448"/>
      <c r="E179" s="227" t="s">
        <v>310</v>
      </c>
      <c r="F179" s="299">
        <v>311282</v>
      </c>
      <c r="G179" s="97">
        <f t="shared" si="157"/>
        <v>314280</v>
      </c>
      <c r="H179" s="299">
        <f>289717</f>
        <v>289717</v>
      </c>
      <c r="I179" s="97">
        <f t="shared" si="132"/>
        <v>289846</v>
      </c>
      <c r="J179" s="97">
        <f t="shared" si="133"/>
        <v>129</v>
      </c>
      <c r="K179" s="97"/>
      <c r="L179" s="97"/>
      <c r="M179" s="97"/>
      <c r="N179" s="97">
        <v>129</v>
      </c>
      <c r="O179" s="97"/>
      <c r="P179" s="97"/>
      <c r="Q179" s="97"/>
      <c r="R179" s="97"/>
      <c r="S179" s="97"/>
      <c r="T179" s="97">
        <f>21445</f>
        <v>21445</v>
      </c>
      <c r="U179" s="97">
        <f t="shared" ref="U179" si="165">T179+V179</f>
        <v>22128</v>
      </c>
      <c r="V179" s="97">
        <f t="shared" si="138"/>
        <v>683</v>
      </c>
      <c r="W179" s="97">
        <f>683</f>
        <v>683</v>
      </c>
      <c r="X179" s="97"/>
      <c r="Y179" s="97"/>
      <c r="Z179" s="97"/>
      <c r="AA179" s="97"/>
      <c r="AB179" s="97"/>
      <c r="AC179" s="97">
        <f>120</f>
        <v>120</v>
      </c>
      <c r="AD179" s="97">
        <f t="shared" si="162"/>
        <v>2306</v>
      </c>
      <c r="AE179" s="125">
        <f t="shared" ref="AE179" si="166">SUM(AF179:AK179)</f>
        <v>2186</v>
      </c>
      <c r="AF179" s="125"/>
      <c r="AG179" s="125">
        <v>2186</v>
      </c>
      <c r="AH179" s="125"/>
      <c r="AI179" s="125"/>
      <c r="AJ179" s="125"/>
      <c r="AK179" s="125"/>
      <c r="AL179" s="125"/>
      <c r="AM179" s="125"/>
      <c r="AN179" s="97"/>
      <c r="AO179" s="313"/>
      <c r="AP179" s="125"/>
      <c r="AQ179" s="125"/>
      <c r="AR179" s="125"/>
      <c r="AS179" s="125"/>
      <c r="AT179" s="125"/>
      <c r="AU179" s="125"/>
      <c r="AV179" s="98" t="s">
        <v>443</v>
      </c>
      <c r="AW179" s="105"/>
    </row>
    <row r="180" spans="1:49" ht="12.75" x14ac:dyDescent="0.2">
      <c r="A180" s="167"/>
      <c r="B180" s="119"/>
      <c r="C180" s="172"/>
      <c r="D180" s="173"/>
      <c r="E180" s="227" t="s">
        <v>348</v>
      </c>
      <c r="F180" s="299">
        <v>30459</v>
      </c>
      <c r="G180" s="97">
        <f t="shared" si="157"/>
        <v>30459</v>
      </c>
      <c r="H180" s="299">
        <f>30459</f>
        <v>30459</v>
      </c>
      <c r="I180" s="97">
        <f t="shared" si="132"/>
        <v>30459</v>
      </c>
      <c r="J180" s="97">
        <f t="shared" si="133"/>
        <v>0</v>
      </c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>
        <f t="shared" si="162"/>
        <v>0</v>
      </c>
      <c r="AE180" s="125">
        <f>SUM(AF180:AK180)</f>
        <v>0</v>
      </c>
      <c r="AF180" s="125"/>
      <c r="AG180" s="125"/>
      <c r="AH180" s="125"/>
      <c r="AI180" s="125"/>
      <c r="AJ180" s="125"/>
      <c r="AK180" s="125"/>
      <c r="AL180" s="125"/>
      <c r="AM180" s="125"/>
      <c r="AN180" s="97"/>
      <c r="AO180" s="313"/>
      <c r="AP180" s="125"/>
      <c r="AQ180" s="125"/>
      <c r="AR180" s="125"/>
      <c r="AS180" s="125"/>
      <c r="AT180" s="125"/>
      <c r="AU180" s="125"/>
      <c r="AV180" s="98" t="s">
        <v>444</v>
      </c>
      <c r="AW180" s="105"/>
    </row>
    <row r="181" spans="1:49" ht="36" x14ac:dyDescent="0.2">
      <c r="A181" s="167">
        <v>90009249259</v>
      </c>
      <c r="B181" s="119"/>
      <c r="C181" s="447" t="s">
        <v>220</v>
      </c>
      <c r="D181" s="448"/>
      <c r="E181" s="227" t="s">
        <v>310</v>
      </c>
      <c r="F181" s="299">
        <v>504096</v>
      </c>
      <c r="G181" s="97">
        <f t="shared" si="157"/>
        <v>514513</v>
      </c>
      <c r="H181" s="299">
        <f>459255</f>
        <v>459255</v>
      </c>
      <c r="I181" s="97">
        <f t="shared" si="132"/>
        <v>460610</v>
      </c>
      <c r="J181" s="97">
        <f t="shared" si="133"/>
        <v>1355</v>
      </c>
      <c r="K181" s="97"/>
      <c r="L181" s="97"/>
      <c r="M181" s="97"/>
      <c r="N181" s="97"/>
      <c r="O181" s="97"/>
      <c r="P181" s="97">
        <f>177+43+1135</f>
        <v>1355</v>
      </c>
      <c r="Q181" s="97"/>
      <c r="R181" s="97"/>
      <c r="S181" s="97"/>
      <c r="T181" s="97">
        <f>41422</f>
        <v>41422</v>
      </c>
      <c r="U181" s="97">
        <f t="shared" ref="U181" si="167">T181+V181</f>
        <v>42864</v>
      </c>
      <c r="V181" s="97">
        <f t="shared" si="138"/>
        <v>1442</v>
      </c>
      <c r="W181" s="97"/>
      <c r="X181" s="97">
        <f>1442</f>
        <v>1442</v>
      </c>
      <c r="Y181" s="97"/>
      <c r="Z181" s="97"/>
      <c r="AA181" s="97"/>
      <c r="AB181" s="97"/>
      <c r="AC181" s="97">
        <f>3419</f>
        <v>3419</v>
      </c>
      <c r="AD181" s="97">
        <f t="shared" si="162"/>
        <v>11039</v>
      </c>
      <c r="AE181" s="125">
        <f t="shared" ref="AE181" si="168">SUM(AF181:AK181)</f>
        <v>7620</v>
      </c>
      <c r="AF181" s="125"/>
      <c r="AG181" s="125"/>
      <c r="AH181" s="125">
        <f>1164+6456</f>
        <v>7620</v>
      </c>
      <c r="AI181" s="125"/>
      <c r="AJ181" s="125"/>
      <c r="AK181" s="125"/>
      <c r="AL181" s="125"/>
      <c r="AM181" s="125"/>
      <c r="AN181" s="97"/>
      <c r="AO181" s="313"/>
      <c r="AP181" s="125"/>
      <c r="AQ181" s="125"/>
      <c r="AR181" s="125"/>
      <c r="AS181" s="125"/>
      <c r="AT181" s="125"/>
      <c r="AU181" s="125"/>
      <c r="AV181" s="98" t="s">
        <v>445</v>
      </c>
      <c r="AW181" s="105"/>
    </row>
    <row r="182" spans="1:49" ht="12.75" x14ac:dyDescent="0.2">
      <c r="A182" s="167"/>
      <c r="B182" s="119"/>
      <c r="C182" s="172"/>
      <c r="D182" s="173"/>
      <c r="E182" s="227" t="s">
        <v>348</v>
      </c>
      <c r="F182" s="299">
        <v>75776</v>
      </c>
      <c r="G182" s="97">
        <f t="shared" si="157"/>
        <v>75776</v>
      </c>
      <c r="H182" s="299">
        <f>75776</f>
        <v>75776</v>
      </c>
      <c r="I182" s="97">
        <f t="shared" si="132"/>
        <v>75776</v>
      </c>
      <c r="J182" s="97">
        <f t="shared" si="133"/>
        <v>0</v>
      </c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>
        <f t="shared" si="162"/>
        <v>0</v>
      </c>
      <c r="AE182" s="125">
        <f>SUM(AF182:AK182)</f>
        <v>0</v>
      </c>
      <c r="AF182" s="125"/>
      <c r="AG182" s="125"/>
      <c r="AH182" s="125"/>
      <c r="AI182" s="125"/>
      <c r="AJ182" s="125"/>
      <c r="AK182" s="125"/>
      <c r="AL182" s="125"/>
      <c r="AM182" s="125"/>
      <c r="AN182" s="97"/>
      <c r="AO182" s="313"/>
      <c r="AP182" s="125"/>
      <c r="AQ182" s="125"/>
      <c r="AR182" s="125"/>
      <c r="AS182" s="125"/>
      <c r="AT182" s="125"/>
      <c r="AU182" s="125"/>
      <c r="AV182" s="98" t="s">
        <v>446</v>
      </c>
      <c r="AW182" s="105"/>
    </row>
    <row r="183" spans="1:49" ht="36" x14ac:dyDescent="0.2">
      <c r="A183" s="167">
        <v>90009249314</v>
      </c>
      <c r="B183" s="119"/>
      <c r="C183" s="447" t="s">
        <v>221</v>
      </c>
      <c r="D183" s="448"/>
      <c r="E183" s="227" t="s">
        <v>310</v>
      </c>
      <c r="F183" s="299">
        <v>519951</v>
      </c>
      <c r="G183" s="97">
        <f t="shared" si="157"/>
        <v>538707</v>
      </c>
      <c r="H183" s="299">
        <f>463029</f>
        <v>463029</v>
      </c>
      <c r="I183" s="97">
        <f t="shared" si="132"/>
        <v>464424</v>
      </c>
      <c r="J183" s="97">
        <f t="shared" si="133"/>
        <v>1395</v>
      </c>
      <c r="K183" s="97"/>
      <c r="L183" s="97"/>
      <c r="M183" s="97"/>
      <c r="N183" s="97"/>
      <c r="O183" s="97"/>
      <c r="P183" s="97">
        <f>238+22+1135</f>
        <v>1395</v>
      </c>
      <c r="Q183" s="97"/>
      <c r="R183" s="97"/>
      <c r="S183" s="97"/>
      <c r="T183" s="97">
        <f>51804</f>
        <v>51804</v>
      </c>
      <c r="U183" s="97">
        <f t="shared" ref="U183" si="169">T183+V183</f>
        <v>53265</v>
      </c>
      <c r="V183" s="97">
        <f t="shared" si="138"/>
        <v>1461</v>
      </c>
      <c r="W183" s="97"/>
      <c r="X183" s="97">
        <f>1461</f>
        <v>1461</v>
      </c>
      <c r="Y183" s="97"/>
      <c r="Z183" s="97"/>
      <c r="AA183" s="97"/>
      <c r="AB183" s="97"/>
      <c r="AC183" s="97">
        <f>5118</f>
        <v>5118</v>
      </c>
      <c r="AD183" s="97">
        <f t="shared" si="162"/>
        <v>21018</v>
      </c>
      <c r="AE183" s="125">
        <f t="shared" ref="AE183" si="170">SUM(AF183:AK183)</f>
        <v>15900</v>
      </c>
      <c r="AF183" s="125"/>
      <c r="AG183" s="125"/>
      <c r="AH183" s="125">
        <f>995+14905</f>
        <v>15900</v>
      </c>
      <c r="AI183" s="125"/>
      <c r="AJ183" s="125"/>
      <c r="AK183" s="125"/>
      <c r="AL183" s="125"/>
      <c r="AM183" s="125"/>
      <c r="AN183" s="97"/>
      <c r="AO183" s="313"/>
      <c r="AP183" s="125"/>
      <c r="AQ183" s="125"/>
      <c r="AR183" s="125"/>
      <c r="AS183" s="125"/>
      <c r="AT183" s="125"/>
      <c r="AU183" s="125"/>
      <c r="AV183" s="98" t="s">
        <v>447</v>
      </c>
      <c r="AW183" s="105"/>
    </row>
    <row r="184" spans="1:49" ht="12.75" x14ac:dyDescent="0.2">
      <c r="A184" s="167"/>
      <c r="B184" s="119"/>
      <c r="C184" s="172"/>
      <c r="D184" s="173"/>
      <c r="E184" s="227" t="s">
        <v>348</v>
      </c>
      <c r="F184" s="299">
        <v>73547</v>
      </c>
      <c r="G184" s="97">
        <f t="shared" si="157"/>
        <v>73547</v>
      </c>
      <c r="H184" s="299">
        <f>73547</f>
        <v>73547</v>
      </c>
      <c r="I184" s="97">
        <f t="shared" si="132"/>
        <v>73547</v>
      </c>
      <c r="J184" s="97">
        <f t="shared" si="133"/>
        <v>0</v>
      </c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f t="shared" si="162"/>
        <v>0</v>
      </c>
      <c r="AE184" s="125">
        <f>SUM(AF184:AK184)</f>
        <v>0</v>
      </c>
      <c r="AF184" s="125"/>
      <c r="AG184" s="125"/>
      <c r="AH184" s="125"/>
      <c r="AI184" s="125"/>
      <c r="AJ184" s="125"/>
      <c r="AK184" s="125"/>
      <c r="AL184" s="125"/>
      <c r="AM184" s="125"/>
      <c r="AN184" s="97"/>
      <c r="AO184" s="313"/>
      <c r="AP184" s="125"/>
      <c r="AQ184" s="125"/>
      <c r="AR184" s="125"/>
      <c r="AS184" s="125"/>
      <c r="AT184" s="125"/>
      <c r="AU184" s="125"/>
      <c r="AV184" s="98" t="s">
        <v>448</v>
      </c>
      <c r="AW184" s="105"/>
    </row>
    <row r="185" spans="1:49" ht="36" x14ac:dyDescent="0.2">
      <c r="A185" s="167">
        <v>90009249189</v>
      </c>
      <c r="B185" s="119"/>
      <c r="C185" s="447" t="s">
        <v>222</v>
      </c>
      <c r="D185" s="448"/>
      <c r="E185" s="227" t="s">
        <v>310</v>
      </c>
      <c r="F185" s="299">
        <v>518226</v>
      </c>
      <c r="G185" s="97">
        <f t="shared" si="157"/>
        <v>523537</v>
      </c>
      <c r="H185" s="299">
        <f>449388</f>
        <v>449388</v>
      </c>
      <c r="I185" s="97">
        <f t="shared" si="132"/>
        <v>450937</v>
      </c>
      <c r="J185" s="97">
        <f t="shared" si="133"/>
        <v>1549</v>
      </c>
      <c r="K185" s="97"/>
      <c r="L185" s="97"/>
      <c r="M185" s="97"/>
      <c r="N185" s="97"/>
      <c r="O185" s="97"/>
      <c r="P185" s="97">
        <f>371+43+1135</f>
        <v>1549</v>
      </c>
      <c r="Q185" s="97"/>
      <c r="R185" s="97"/>
      <c r="S185" s="97"/>
      <c r="T185" s="97">
        <f>63046</f>
        <v>63046</v>
      </c>
      <c r="U185" s="97">
        <f t="shared" ref="U185" si="171">T185+V185</f>
        <v>64773</v>
      </c>
      <c r="V185" s="97">
        <f t="shared" si="138"/>
        <v>1727</v>
      </c>
      <c r="W185" s="97"/>
      <c r="X185" s="97">
        <v>1727</v>
      </c>
      <c r="Y185" s="97"/>
      <c r="Z185" s="97"/>
      <c r="AA185" s="97"/>
      <c r="AB185" s="97"/>
      <c r="AC185" s="97">
        <f>5792</f>
        <v>5792</v>
      </c>
      <c r="AD185" s="97">
        <f t="shared" si="162"/>
        <v>7827</v>
      </c>
      <c r="AE185" s="125">
        <f t="shared" ref="AE185:AE187" si="172">SUM(AF185:AK185)</f>
        <v>2035</v>
      </c>
      <c r="AF185" s="125"/>
      <c r="AG185" s="125"/>
      <c r="AH185" s="125">
        <f>1268+767</f>
        <v>2035</v>
      </c>
      <c r="AI185" s="125"/>
      <c r="AJ185" s="125"/>
      <c r="AK185" s="125"/>
      <c r="AL185" s="125"/>
      <c r="AM185" s="125"/>
      <c r="AN185" s="97"/>
      <c r="AO185" s="313"/>
      <c r="AP185" s="125"/>
      <c r="AQ185" s="125"/>
      <c r="AR185" s="125"/>
      <c r="AS185" s="125"/>
      <c r="AT185" s="125"/>
      <c r="AU185" s="125"/>
      <c r="AV185" s="98" t="s">
        <v>449</v>
      </c>
      <c r="AW185" s="105"/>
    </row>
    <row r="186" spans="1:49" ht="12.75" x14ac:dyDescent="0.2">
      <c r="A186" s="167"/>
      <c r="B186" s="119"/>
      <c r="C186" s="172"/>
      <c r="D186" s="173"/>
      <c r="E186" s="227" t="s">
        <v>348</v>
      </c>
      <c r="F186" s="299">
        <v>70204</v>
      </c>
      <c r="G186" s="97">
        <f t="shared" si="157"/>
        <v>70204</v>
      </c>
      <c r="H186" s="299">
        <f>70204</f>
        <v>70204</v>
      </c>
      <c r="I186" s="97">
        <f t="shared" si="132"/>
        <v>70204</v>
      </c>
      <c r="J186" s="97">
        <f t="shared" si="133"/>
        <v>0</v>
      </c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>
        <f t="shared" si="162"/>
        <v>0</v>
      </c>
      <c r="AE186" s="125">
        <f>SUM(AF186:AK186)</f>
        <v>0</v>
      </c>
      <c r="AF186" s="125"/>
      <c r="AG186" s="125"/>
      <c r="AH186" s="125"/>
      <c r="AI186" s="125"/>
      <c r="AJ186" s="125"/>
      <c r="AK186" s="125"/>
      <c r="AL186" s="125"/>
      <c r="AM186" s="125"/>
      <c r="AN186" s="97"/>
      <c r="AO186" s="313"/>
      <c r="AP186" s="125"/>
      <c r="AQ186" s="125"/>
      <c r="AR186" s="125"/>
      <c r="AS186" s="125"/>
      <c r="AT186" s="125"/>
      <c r="AU186" s="125"/>
      <c r="AV186" s="98" t="s">
        <v>450</v>
      </c>
      <c r="AW186" s="105"/>
    </row>
    <row r="187" spans="1:49" ht="36" x14ac:dyDescent="0.2">
      <c r="A187" s="167">
        <v>90009249136</v>
      </c>
      <c r="B187" s="119"/>
      <c r="C187" s="447" t="s">
        <v>223</v>
      </c>
      <c r="D187" s="448"/>
      <c r="E187" s="227" t="s">
        <v>310</v>
      </c>
      <c r="F187" s="299">
        <v>266158</v>
      </c>
      <c r="G187" s="97">
        <f t="shared" si="157"/>
        <v>273169</v>
      </c>
      <c r="H187" s="299">
        <f>255168</f>
        <v>255168</v>
      </c>
      <c r="I187" s="97">
        <f t="shared" si="132"/>
        <v>256432</v>
      </c>
      <c r="J187" s="97">
        <f t="shared" si="133"/>
        <v>1264</v>
      </c>
      <c r="K187" s="97"/>
      <c r="L187" s="97"/>
      <c r="M187" s="97"/>
      <c r="N187" s="97">
        <v>1264</v>
      </c>
      <c r="O187" s="97"/>
      <c r="P187" s="97"/>
      <c r="Q187" s="97"/>
      <c r="R187" s="97"/>
      <c r="S187" s="97"/>
      <c r="T187" s="97">
        <f>10990</f>
        <v>10990</v>
      </c>
      <c r="U187" s="97">
        <f t="shared" ref="U187" si="173">T187+V187</f>
        <v>11370</v>
      </c>
      <c r="V187" s="97">
        <f t="shared" si="138"/>
        <v>380</v>
      </c>
      <c r="W187" s="97">
        <f>380</f>
        <v>380</v>
      </c>
      <c r="X187" s="97"/>
      <c r="Y187" s="97"/>
      <c r="Z187" s="97"/>
      <c r="AA187" s="97"/>
      <c r="AB187" s="97"/>
      <c r="AC187" s="97"/>
      <c r="AD187" s="97">
        <f t="shared" si="162"/>
        <v>5367</v>
      </c>
      <c r="AE187" s="125">
        <f t="shared" si="172"/>
        <v>5367</v>
      </c>
      <c r="AF187" s="125"/>
      <c r="AG187" s="125">
        <v>5367</v>
      </c>
      <c r="AH187" s="125"/>
      <c r="AI187" s="125"/>
      <c r="AJ187" s="125"/>
      <c r="AK187" s="125"/>
      <c r="AL187" s="125"/>
      <c r="AM187" s="125"/>
      <c r="AN187" s="97"/>
      <c r="AO187" s="313"/>
      <c r="AP187" s="125"/>
      <c r="AQ187" s="125"/>
      <c r="AR187" s="125"/>
      <c r="AS187" s="125"/>
      <c r="AT187" s="125"/>
      <c r="AU187" s="125"/>
      <c r="AV187" s="98" t="s">
        <v>451</v>
      </c>
      <c r="AW187" s="105"/>
    </row>
    <row r="188" spans="1:49" ht="12.75" x14ac:dyDescent="0.2">
      <c r="A188" s="167"/>
      <c r="B188" s="119"/>
      <c r="C188" s="172"/>
      <c r="D188" s="173"/>
      <c r="E188" s="227" t="s">
        <v>348</v>
      </c>
      <c r="F188" s="299">
        <v>30830</v>
      </c>
      <c r="G188" s="97">
        <f t="shared" si="157"/>
        <v>30830</v>
      </c>
      <c r="H188" s="299">
        <f>30830</f>
        <v>30830</v>
      </c>
      <c r="I188" s="97">
        <f t="shared" si="132"/>
        <v>30830</v>
      </c>
      <c r="J188" s="97">
        <f t="shared" si="133"/>
        <v>0</v>
      </c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>
        <f t="shared" si="162"/>
        <v>0</v>
      </c>
      <c r="AE188" s="125">
        <f>SUM(AF188:AK188)</f>
        <v>0</v>
      </c>
      <c r="AF188" s="125"/>
      <c r="AG188" s="125"/>
      <c r="AH188" s="125"/>
      <c r="AI188" s="125"/>
      <c r="AJ188" s="125"/>
      <c r="AK188" s="125"/>
      <c r="AL188" s="125"/>
      <c r="AM188" s="125"/>
      <c r="AN188" s="97"/>
      <c r="AO188" s="313"/>
      <c r="AP188" s="125"/>
      <c r="AQ188" s="125"/>
      <c r="AR188" s="125"/>
      <c r="AS188" s="125"/>
      <c r="AT188" s="125"/>
      <c r="AU188" s="125"/>
      <c r="AV188" s="98" t="s">
        <v>452</v>
      </c>
      <c r="AW188" s="105"/>
    </row>
    <row r="189" spans="1:49" ht="36" x14ac:dyDescent="0.2">
      <c r="A189" s="167">
        <v>90009563202</v>
      </c>
      <c r="B189" s="119"/>
      <c r="C189" s="447" t="s">
        <v>668</v>
      </c>
      <c r="D189" s="448"/>
      <c r="E189" s="227" t="s">
        <v>310</v>
      </c>
      <c r="F189" s="299">
        <v>278959</v>
      </c>
      <c r="G189" s="97">
        <f t="shared" si="157"/>
        <v>293919</v>
      </c>
      <c r="H189" s="299">
        <f>41370</f>
        <v>41370</v>
      </c>
      <c r="I189" s="97">
        <f t="shared" si="132"/>
        <v>41370</v>
      </c>
      <c r="J189" s="97">
        <f t="shared" si="133"/>
        <v>0</v>
      </c>
      <c r="K189" s="97"/>
      <c r="L189" s="97"/>
      <c r="M189" s="97"/>
      <c r="N189" s="97"/>
      <c r="O189" s="97"/>
      <c r="P189" s="97"/>
      <c r="Q189" s="97"/>
      <c r="R189" s="97"/>
      <c r="S189" s="97"/>
      <c r="T189" s="97">
        <f>235272</f>
        <v>235272</v>
      </c>
      <c r="U189" s="97">
        <f t="shared" ref="U189:U190" si="174">T189+V189</f>
        <v>250335</v>
      </c>
      <c r="V189" s="97">
        <f t="shared" si="138"/>
        <v>15063</v>
      </c>
      <c r="W189" s="97"/>
      <c r="X189" s="97">
        <f>3186+11877</f>
        <v>15063</v>
      </c>
      <c r="Y189" s="97"/>
      <c r="Z189" s="97"/>
      <c r="AA189" s="97"/>
      <c r="AB189" s="97"/>
      <c r="AC189" s="97">
        <f>2317</f>
        <v>2317</v>
      </c>
      <c r="AD189" s="97">
        <f t="shared" ref="AD189:AD190" si="175">AE189+AC189</f>
        <v>2214</v>
      </c>
      <c r="AE189" s="125">
        <f t="shared" ref="AE189:AE190" si="176">SUM(AF189:AK189)</f>
        <v>-103</v>
      </c>
      <c r="AF189" s="125"/>
      <c r="AG189" s="125"/>
      <c r="AH189" s="125">
        <f>-103</f>
        <v>-103</v>
      </c>
      <c r="AI189" s="125"/>
      <c r="AJ189" s="125"/>
      <c r="AK189" s="125"/>
      <c r="AL189" s="125"/>
      <c r="AM189" s="125"/>
      <c r="AN189" s="97"/>
      <c r="AO189" s="313"/>
      <c r="AP189" s="125"/>
      <c r="AQ189" s="125"/>
      <c r="AR189" s="125"/>
      <c r="AS189" s="125"/>
      <c r="AT189" s="125"/>
      <c r="AU189" s="125"/>
      <c r="AV189" s="98" t="s">
        <v>453</v>
      </c>
      <c r="AW189" s="105"/>
    </row>
    <row r="190" spans="1:49" ht="36" x14ac:dyDescent="0.2">
      <c r="A190" s="167">
        <v>90009249206</v>
      </c>
      <c r="B190" s="119"/>
      <c r="C190" s="447" t="s">
        <v>224</v>
      </c>
      <c r="D190" s="448"/>
      <c r="E190" s="227" t="s">
        <v>310</v>
      </c>
      <c r="F190" s="299">
        <v>537115</v>
      </c>
      <c r="G190" s="97">
        <f t="shared" si="157"/>
        <v>548848</v>
      </c>
      <c r="H190" s="299">
        <f>486033</f>
        <v>486033</v>
      </c>
      <c r="I190" s="97">
        <f t="shared" si="132"/>
        <v>487637</v>
      </c>
      <c r="J190" s="97">
        <f t="shared" si="133"/>
        <v>1604</v>
      </c>
      <c r="K190" s="97"/>
      <c r="L190" s="97"/>
      <c r="M190" s="97"/>
      <c r="N190" s="97"/>
      <c r="O190" s="97"/>
      <c r="P190" s="97">
        <f>426+43+1135</f>
        <v>1604</v>
      </c>
      <c r="Q190" s="97"/>
      <c r="R190" s="97"/>
      <c r="S190" s="97"/>
      <c r="T190" s="97">
        <f>47459</f>
        <v>47459</v>
      </c>
      <c r="U190" s="97">
        <f t="shared" si="174"/>
        <v>49224</v>
      </c>
      <c r="V190" s="97">
        <f t="shared" si="138"/>
        <v>1765</v>
      </c>
      <c r="W190" s="97"/>
      <c r="X190" s="97">
        <v>1765</v>
      </c>
      <c r="Y190" s="97"/>
      <c r="Z190" s="97"/>
      <c r="AA190" s="97"/>
      <c r="AB190" s="97"/>
      <c r="AC190" s="97">
        <f>3623</f>
        <v>3623</v>
      </c>
      <c r="AD190" s="97">
        <f t="shared" si="175"/>
        <v>11987</v>
      </c>
      <c r="AE190" s="125">
        <f t="shared" si="176"/>
        <v>8364</v>
      </c>
      <c r="AF190" s="125"/>
      <c r="AG190" s="125"/>
      <c r="AH190" s="125">
        <f>1965+6399</f>
        <v>8364</v>
      </c>
      <c r="AI190" s="125"/>
      <c r="AJ190" s="125"/>
      <c r="AK190" s="125"/>
      <c r="AL190" s="125"/>
      <c r="AM190" s="125"/>
      <c r="AN190" s="97"/>
      <c r="AO190" s="313"/>
      <c r="AP190" s="125"/>
      <c r="AQ190" s="125"/>
      <c r="AR190" s="125"/>
      <c r="AS190" s="125"/>
      <c r="AT190" s="125"/>
      <c r="AU190" s="125"/>
      <c r="AV190" s="98" t="s">
        <v>454</v>
      </c>
      <c r="AW190" s="105"/>
    </row>
    <row r="191" spans="1:49" ht="12.75" x14ac:dyDescent="0.2">
      <c r="A191" s="167"/>
      <c r="B191" s="119"/>
      <c r="C191" s="172"/>
      <c r="D191" s="173"/>
      <c r="E191" s="227" t="s">
        <v>348</v>
      </c>
      <c r="F191" s="299">
        <v>86176</v>
      </c>
      <c r="G191" s="97">
        <f t="shared" si="157"/>
        <v>86176</v>
      </c>
      <c r="H191" s="299">
        <f>86176</f>
        <v>86176</v>
      </c>
      <c r="I191" s="97">
        <f t="shared" si="132"/>
        <v>86176</v>
      </c>
      <c r="J191" s="97">
        <f t="shared" si="133"/>
        <v>0</v>
      </c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>
        <f>AE191+AC191</f>
        <v>0</v>
      </c>
      <c r="AE191" s="125">
        <f>SUM(AF191:AK191)</f>
        <v>0</v>
      </c>
      <c r="AF191" s="125"/>
      <c r="AG191" s="125"/>
      <c r="AH191" s="125"/>
      <c r="AI191" s="125"/>
      <c r="AJ191" s="125"/>
      <c r="AK191" s="125"/>
      <c r="AL191" s="125"/>
      <c r="AM191" s="125"/>
      <c r="AN191" s="97"/>
      <c r="AO191" s="313"/>
      <c r="AP191" s="125"/>
      <c r="AQ191" s="125"/>
      <c r="AR191" s="125"/>
      <c r="AS191" s="125"/>
      <c r="AT191" s="125"/>
      <c r="AU191" s="125"/>
      <c r="AV191" s="98" t="s">
        <v>455</v>
      </c>
      <c r="AW191" s="105"/>
    </row>
    <row r="192" spans="1:49" ht="36" x14ac:dyDescent="0.2">
      <c r="A192" s="167">
        <v>90009251357</v>
      </c>
      <c r="B192" s="119"/>
      <c r="C192" s="447" t="s">
        <v>225</v>
      </c>
      <c r="D192" s="448"/>
      <c r="E192" s="227" t="s">
        <v>310</v>
      </c>
      <c r="F192" s="299">
        <v>330553</v>
      </c>
      <c r="G192" s="97">
        <f t="shared" si="157"/>
        <v>345110</v>
      </c>
      <c r="H192" s="299">
        <f>294644</f>
        <v>294644</v>
      </c>
      <c r="I192" s="97">
        <f t="shared" si="132"/>
        <v>295872</v>
      </c>
      <c r="J192" s="97">
        <f t="shared" si="133"/>
        <v>1228</v>
      </c>
      <c r="K192" s="97"/>
      <c r="L192" s="97"/>
      <c r="M192" s="97"/>
      <c r="N192" s="97"/>
      <c r="O192" s="97"/>
      <c r="P192" s="97">
        <f>71+22+1135</f>
        <v>1228</v>
      </c>
      <c r="Q192" s="97"/>
      <c r="R192" s="97"/>
      <c r="S192" s="97"/>
      <c r="T192" s="97">
        <f>31960</f>
        <v>31960</v>
      </c>
      <c r="U192" s="97">
        <f t="shared" ref="U192" si="177">T192+V192</f>
        <v>33061</v>
      </c>
      <c r="V192" s="97">
        <f t="shared" si="138"/>
        <v>1101</v>
      </c>
      <c r="W192" s="97"/>
      <c r="X192" s="97">
        <v>1101</v>
      </c>
      <c r="Y192" s="97"/>
      <c r="Z192" s="97"/>
      <c r="AA192" s="97"/>
      <c r="AB192" s="97"/>
      <c r="AC192" s="97">
        <f>3320</f>
        <v>3320</v>
      </c>
      <c r="AD192" s="97">
        <f>AE192+AC192</f>
        <v>15757</v>
      </c>
      <c r="AE192" s="125">
        <f t="shared" ref="AE192" si="178">SUM(AF192:AK192)</f>
        <v>12437</v>
      </c>
      <c r="AF192" s="125"/>
      <c r="AG192" s="125"/>
      <c r="AH192" s="125">
        <f>1253+11184</f>
        <v>12437</v>
      </c>
      <c r="AI192" s="125"/>
      <c r="AJ192" s="125"/>
      <c r="AK192" s="125"/>
      <c r="AL192" s="125"/>
      <c r="AM192" s="125">
        <v>629</v>
      </c>
      <c r="AN192" s="97">
        <f>AO192+AM192</f>
        <v>420</v>
      </c>
      <c r="AO192" s="313">
        <f t="shared" ref="AO192" si="179">SUM(AP192:AU192)</f>
        <v>-209</v>
      </c>
      <c r="AP192" s="125"/>
      <c r="AQ192" s="125">
        <f>-209</f>
        <v>-209</v>
      </c>
      <c r="AR192" s="125"/>
      <c r="AS192" s="125"/>
      <c r="AT192" s="125"/>
      <c r="AU192" s="125"/>
      <c r="AV192" s="98" t="s">
        <v>456</v>
      </c>
      <c r="AW192" s="105"/>
    </row>
    <row r="193" spans="1:49" ht="12.75" x14ac:dyDescent="0.2">
      <c r="A193" s="167"/>
      <c r="B193" s="119"/>
      <c r="C193" s="172"/>
      <c r="D193" s="173"/>
      <c r="E193" s="227" t="s">
        <v>348</v>
      </c>
      <c r="F193" s="299">
        <v>44945</v>
      </c>
      <c r="G193" s="97">
        <f t="shared" si="157"/>
        <v>44945</v>
      </c>
      <c r="H193" s="299">
        <f>44945</f>
        <v>44945</v>
      </c>
      <c r="I193" s="97">
        <f t="shared" si="132"/>
        <v>44945</v>
      </c>
      <c r="J193" s="97">
        <f t="shared" si="133"/>
        <v>0</v>
      </c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>
        <f>AE193+AC193</f>
        <v>0</v>
      </c>
      <c r="AE193" s="125">
        <f>SUM(AF193:AK193)</f>
        <v>0</v>
      </c>
      <c r="AF193" s="125"/>
      <c r="AG193" s="125"/>
      <c r="AH193" s="125"/>
      <c r="AI193" s="125"/>
      <c r="AJ193" s="125"/>
      <c r="AK193" s="125"/>
      <c r="AL193" s="125"/>
      <c r="AM193" s="125"/>
      <c r="AN193" s="97"/>
      <c r="AO193" s="313"/>
      <c r="AP193" s="125"/>
      <c r="AQ193" s="125"/>
      <c r="AR193" s="125"/>
      <c r="AS193" s="125"/>
      <c r="AT193" s="125"/>
      <c r="AU193" s="125"/>
      <c r="AV193" s="98" t="s">
        <v>457</v>
      </c>
      <c r="AW193" s="105"/>
    </row>
    <row r="194" spans="1:49" ht="39.75" customHeight="1" x14ac:dyDescent="0.2">
      <c r="A194" s="167">
        <v>90000051542</v>
      </c>
      <c r="B194" s="119"/>
      <c r="C194" s="447" t="s">
        <v>21</v>
      </c>
      <c r="D194" s="448"/>
      <c r="E194" s="227" t="s">
        <v>309</v>
      </c>
      <c r="F194" s="299">
        <v>1071792</v>
      </c>
      <c r="G194" s="97">
        <f t="shared" si="157"/>
        <v>1083810</v>
      </c>
      <c r="H194" s="299">
        <f>454775</f>
        <v>454775</v>
      </c>
      <c r="I194" s="97">
        <f t="shared" si="132"/>
        <v>456140</v>
      </c>
      <c r="J194" s="97">
        <f t="shared" si="133"/>
        <v>1365</v>
      </c>
      <c r="K194" s="97"/>
      <c r="L194" s="97">
        <v>230</v>
      </c>
      <c r="M194" s="97"/>
      <c r="N194" s="97">
        <v>1135</v>
      </c>
      <c r="O194" s="97"/>
      <c r="P194" s="97"/>
      <c r="Q194" s="97"/>
      <c r="R194" s="97"/>
      <c r="S194" s="97"/>
      <c r="T194" s="97">
        <f>600985</f>
        <v>600985</v>
      </c>
      <c r="U194" s="97">
        <f t="shared" ref="U194:U195" si="180">T194+V194</f>
        <v>610530</v>
      </c>
      <c r="V194" s="97">
        <f t="shared" si="138"/>
        <v>9545</v>
      </c>
      <c r="W194" s="97">
        <f>9545</f>
        <v>9545</v>
      </c>
      <c r="X194" s="97"/>
      <c r="Y194" s="97"/>
      <c r="Z194" s="97"/>
      <c r="AA194" s="97"/>
      <c r="AB194" s="97"/>
      <c r="AC194" s="97">
        <f>16032</f>
        <v>16032</v>
      </c>
      <c r="AD194" s="97">
        <f>AE194+AC194</f>
        <v>17140</v>
      </c>
      <c r="AE194" s="125">
        <f t="shared" ref="AE194:AE197" si="181">SUM(AF194:AK194)</f>
        <v>1108</v>
      </c>
      <c r="AF194" s="125"/>
      <c r="AG194" s="125">
        <v>1108</v>
      </c>
      <c r="AH194" s="125"/>
      <c r="AI194" s="125"/>
      <c r="AJ194" s="125"/>
      <c r="AK194" s="125"/>
      <c r="AL194" s="125"/>
      <c r="AM194" s="125"/>
      <c r="AN194" s="97"/>
      <c r="AO194" s="313"/>
      <c r="AP194" s="125"/>
      <c r="AQ194" s="125"/>
      <c r="AR194" s="125"/>
      <c r="AS194" s="125"/>
      <c r="AT194" s="125"/>
      <c r="AU194" s="125"/>
      <c r="AV194" s="98" t="s">
        <v>458</v>
      </c>
      <c r="AW194" s="105"/>
    </row>
    <row r="195" spans="1:49" ht="12.75" x14ac:dyDescent="0.2">
      <c r="A195" s="167"/>
      <c r="B195" s="119"/>
      <c r="C195" s="172"/>
      <c r="D195" s="173"/>
      <c r="E195" s="227" t="s">
        <v>348</v>
      </c>
      <c r="F195" s="299">
        <v>135397</v>
      </c>
      <c r="G195" s="97">
        <f t="shared" si="157"/>
        <v>139555</v>
      </c>
      <c r="H195" s="299">
        <f>107996</f>
        <v>107996</v>
      </c>
      <c r="I195" s="97">
        <f t="shared" si="132"/>
        <v>107996</v>
      </c>
      <c r="J195" s="97">
        <f t="shared" si="133"/>
        <v>0</v>
      </c>
      <c r="K195" s="97"/>
      <c r="L195" s="97"/>
      <c r="M195" s="97"/>
      <c r="N195" s="97"/>
      <c r="O195" s="97"/>
      <c r="P195" s="97"/>
      <c r="Q195" s="97"/>
      <c r="R195" s="97"/>
      <c r="S195" s="97"/>
      <c r="T195" s="97">
        <f>27401</f>
        <v>27401</v>
      </c>
      <c r="U195" s="97">
        <f t="shared" si="180"/>
        <v>31559</v>
      </c>
      <c r="V195" s="97">
        <f t="shared" si="138"/>
        <v>4158</v>
      </c>
      <c r="W195" s="97">
        <v>4158</v>
      </c>
      <c r="X195" s="97"/>
      <c r="Y195" s="97"/>
      <c r="Z195" s="97"/>
      <c r="AA195" s="97"/>
      <c r="AB195" s="97"/>
      <c r="AC195" s="97"/>
      <c r="AD195" s="97">
        <f t="shared" ref="AD195:AD197" si="182">AE195+AC195</f>
        <v>0</v>
      </c>
      <c r="AE195" s="125">
        <f t="shared" si="181"/>
        <v>0</v>
      </c>
      <c r="AF195" s="125"/>
      <c r="AG195" s="125"/>
      <c r="AH195" s="125"/>
      <c r="AI195" s="125"/>
      <c r="AJ195" s="125"/>
      <c r="AK195" s="125"/>
      <c r="AL195" s="125"/>
      <c r="AM195" s="125"/>
      <c r="AN195" s="97"/>
      <c r="AO195" s="313"/>
      <c r="AP195" s="125"/>
      <c r="AQ195" s="125"/>
      <c r="AR195" s="125"/>
      <c r="AS195" s="125"/>
      <c r="AT195" s="125"/>
      <c r="AU195" s="125"/>
      <c r="AV195" s="98" t="s">
        <v>459</v>
      </c>
      <c r="AW195" s="105"/>
    </row>
    <row r="196" spans="1:49" s="177" customFormat="1" ht="24" x14ac:dyDescent="0.2">
      <c r="A196" s="167"/>
      <c r="B196" s="119"/>
      <c r="C196" s="178"/>
      <c r="D196" s="179"/>
      <c r="E196" s="227" t="s">
        <v>508</v>
      </c>
      <c r="F196" s="299">
        <v>11690</v>
      </c>
      <c r="G196" s="97">
        <f t="shared" si="157"/>
        <v>11690</v>
      </c>
      <c r="H196" s="299">
        <f>11690</f>
        <v>11690</v>
      </c>
      <c r="I196" s="97">
        <f t="shared" si="132"/>
        <v>11690</v>
      </c>
      <c r="J196" s="97">
        <f t="shared" si="133"/>
        <v>0</v>
      </c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>
        <f t="shared" si="182"/>
        <v>0</v>
      </c>
      <c r="AE196" s="125">
        <f t="shared" si="181"/>
        <v>0</v>
      </c>
      <c r="AF196" s="125"/>
      <c r="AG196" s="125"/>
      <c r="AH196" s="125"/>
      <c r="AI196" s="125"/>
      <c r="AJ196" s="125"/>
      <c r="AK196" s="125"/>
      <c r="AL196" s="125"/>
      <c r="AM196" s="125"/>
      <c r="AN196" s="97"/>
      <c r="AO196" s="313"/>
      <c r="AP196" s="125"/>
      <c r="AQ196" s="125"/>
      <c r="AR196" s="125"/>
      <c r="AS196" s="125"/>
      <c r="AT196" s="125"/>
      <c r="AU196" s="125"/>
      <c r="AV196" s="98" t="s">
        <v>460</v>
      </c>
      <c r="AW196" s="105"/>
    </row>
    <row r="197" spans="1:49" s="154" customFormat="1" ht="12.75" x14ac:dyDescent="0.2">
      <c r="A197" s="167"/>
      <c r="B197" s="119"/>
      <c r="C197" s="161"/>
      <c r="D197" s="162"/>
      <c r="E197" s="227" t="s">
        <v>509</v>
      </c>
      <c r="F197" s="299">
        <v>5855</v>
      </c>
      <c r="G197" s="97">
        <f t="shared" si="157"/>
        <v>6962</v>
      </c>
      <c r="H197" s="299">
        <f>5855</f>
        <v>5855</v>
      </c>
      <c r="I197" s="97">
        <f t="shared" si="132"/>
        <v>6962</v>
      </c>
      <c r="J197" s="97">
        <f t="shared" si="133"/>
        <v>1107</v>
      </c>
      <c r="K197" s="97"/>
      <c r="L197" s="97"/>
      <c r="M197" s="97"/>
      <c r="N197" s="97">
        <f>1107</f>
        <v>1107</v>
      </c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>
        <f t="shared" si="182"/>
        <v>0</v>
      </c>
      <c r="AE197" s="125">
        <f t="shared" si="181"/>
        <v>0</v>
      </c>
      <c r="AF197" s="125"/>
      <c r="AG197" s="125"/>
      <c r="AH197" s="125"/>
      <c r="AI197" s="125"/>
      <c r="AJ197" s="125"/>
      <c r="AK197" s="125"/>
      <c r="AL197" s="125"/>
      <c r="AM197" s="125"/>
      <c r="AN197" s="97"/>
      <c r="AO197" s="313"/>
      <c r="AP197" s="125"/>
      <c r="AQ197" s="125"/>
      <c r="AR197" s="125"/>
      <c r="AS197" s="125"/>
      <c r="AT197" s="125"/>
      <c r="AU197" s="125"/>
      <c r="AV197" s="98" t="s">
        <v>648</v>
      </c>
      <c r="AW197" s="105"/>
    </row>
    <row r="198" spans="1:49" ht="36.75" customHeight="1" x14ac:dyDescent="0.2">
      <c r="A198" s="167">
        <v>90001175873</v>
      </c>
      <c r="B198" s="119"/>
      <c r="C198" s="447" t="s">
        <v>198</v>
      </c>
      <c r="D198" s="448"/>
      <c r="E198" s="227" t="s">
        <v>309</v>
      </c>
      <c r="F198" s="299">
        <v>656203</v>
      </c>
      <c r="G198" s="97">
        <f t="shared" si="157"/>
        <v>672647</v>
      </c>
      <c r="H198" s="299">
        <f>266517</f>
        <v>266517</v>
      </c>
      <c r="I198" s="97">
        <f t="shared" si="132"/>
        <v>267959</v>
      </c>
      <c r="J198" s="97">
        <f t="shared" si="133"/>
        <v>1442</v>
      </c>
      <c r="K198" s="97"/>
      <c r="L198" s="97"/>
      <c r="M198" s="97"/>
      <c r="N198" s="97">
        <v>1442</v>
      </c>
      <c r="O198" s="97"/>
      <c r="P198" s="97"/>
      <c r="Q198" s="97"/>
      <c r="R198" s="97"/>
      <c r="S198" s="97"/>
      <c r="T198" s="97">
        <f>379446</f>
        <v>379446</v>
      </c>
      <c r="U198" s="97">
        <f t="shared" ref="U198:U207" si="183">T198+V198</f>
        <v>386106</v>
      </c>
      <c r="V198" s="97">
        <f t="shared" si="138"/>
        <v>6660</v>
      </c>
      <c r="W198" s="97">
        <f>6660</f>
        <v>6660</v>
      </c>
      <c r="X198" s="97"/>
      <c r="Y198" s="97"/>
      <c r="Z198" s="97"/>
      <c r="AA198" s="97"/>
      <c r="AB198" s="97"/>
      <c r="AC198" s="97">
        <f>9740</f>
        <v>9740</v>
      </c>
      <c r="AD198" s="97">
        <f t="shared" ref="AD198:AD205" si="184">AE198+AC198</f>
        <v>18082</v>
      </c>
      <c r="AE198" s="125">
        <f t="shared" ref="AE198" si="185">SUM(AF198:AK198)</f>
        <v>8342</v>
      </c>
      <c r="AF198" s="125"/>
      <c r="AG198" s="125">
        <f>8342</f>
        <v>8342</v>
      </c>
      <c r="AH198" s="125"/>
      <c r="AI198" s="125"/>
      <c r="AJ198" s="125"/>
      <c r="AK198" s="125"/>
      <c r="AL198" s="125"/>
      <c r="AM198" s="125">
        <v>500</v>
      </c>
      <c r="AN198" s="97">
        <f>AO198+AM198</f>
        <v>500</v>
      </c>
      <c r="AO198" s="313">
        <f t="shared" ref="AO198" si="186">SUM(AP198:AU198)</f>
        <v>0</v>
      </c>
      <c r="AP198" s="125"/>
      <c r="AQ198" s="125"/>
      <c r="AR198" s="125"/>
      <c r="AS198" s="125"/>
      <c r="AT198" s="125"/>
      <c r="AU198" s="125"/>
      <c r="AV198" s="98" t="s">
        <v>461</v>
      </c>
      <c r="AW198" s="105"/>
    </row>
    <row r="199" spans="1:49" ht="12.75" x14ac:dyDescent="0.2">
      <c r="A199" s="167"/>
      <c r="B199" s="119"/>
      <c r="C199" s="172"/>
      <c r="D199" s="173"/>
      <c r="E199" s="227" t="s">
        <v>348</v>
      </c>
      <c r="F199" s="299">
        <v>88938</v>
      </c>
      <c r="G199" s="97">
        <f t="shared" si="157"/>
        <v>96460</v>
      </c>
      <c r="H199" s="299">
        <f>42291</f>
        <v>42291</v>
      </c>
      <c r="I199" s="97">
        <f t="shared" si="132"/>
        <v>42291</v>
      </c>
      <c r="J199" s="97">
        <f t="shared" si="133"/>
        <v>0</v>
      </c>
      <c r="K199" s="97"/>
      <c r="L199" s="97"/>
      <c r="M199" s="97"/>
      <c r="N199" s="97"/>
      <c r="O199" s="97"/>
      <c r="P199" s="97"/>
      <c r="Q199" s="97"/>
      <c r="R199" s="97"/>
      <c r="S199" s="97"/>
      <c r="T199" s="97">
        <f>46647</f>
        <v>46647</v>
      </c>
      <c r="U199" s="97">
        <f t="shared" si="183"/>
        <v>54169</v>
      </c>
      <c r="V199" s="97">
        <f t="shared" si="138"/>
        <v>7522</v>
      </c>
      <c r="W199" s="97">
        <v>7522</v>
      </c>
      <c r="X199" s="97"/>
      <c r="Y199" s="97"/>
      <c r="Z199" s="97"/>
      <c r="AA199" s="97"/>
      <c r="AB199" s="97"/>
      <c r="AC199" s="97"/>
      <c r="AD199" s="97">
        <f t="shared" si="184"/>
        <v>0</v>
      </c>
      <c r="AE199" s="125">
        <f>SUM(AF199:AK199)</f>
        <v>0</v>
      </c>
      <c r="AF199" s="125"/>
      <c r="AG199" s="125"/>
      <c r="AH199" s="125"/>
      <c r="AI199" s="125"/>
      <c r="AJ199" s="125"/>
      <c r="AK199" s="125"/>
      <c r="AL199" s="125"/>
      <c r="AM199" s="125"/>
      <c r="AN199" s="97"/>
      <c r="AO199" s="313"/>
      <c r="AP199" s="125"/>
      <c r="AQ199" s="125"/>
      <c r="AR199" s="125"/>
      <c r="AS199" s="125"/>
      <c r="AT199" s="125"/>
      <c r="AU199" s="125"/>
      <c r="AV199" s="98" t="s">
        <v>462</v>
      </c>
      <c r="AW199" s="105"/>
    </row>
    <row r="200" spans="1:49" ht="36" customHeight="1" x14ac:dyDescent="0.2">
      <c r="A200" s="167">
        <v>90009251361</v>
      </c>
      <c r="B200" s="119"/>
      <c r="C200" s="447" t="s">
        <v>263</v>
      </c>
      <c r="D200" s="448"/>
      <c r="E200" s="227" t="s">
        <v>309</v>
      </c>
      <c r="F200" s="299">
        <v>582540</v>
      </c>
      <c r="G200" s="97">
        <f t="shared" si="157"/>
        <v>611887</v>
      </c>
      <c r="H200" s="299">
        <f>414716</f>
        <v>414716</v>
      </c>
      <c r="I200" s="97">
        <f t="shared" si="132"/>
        <v>416329</v>
      </c>
      <c r="J200" s="97">
        <f t="shared" si="133"/>
        <v>1613</v>
      </c>
      <c r="K200" s="97"/>
      <c r="L200" s="97"/>
      <c r="M200" s="97"/>
      <c r="N200" s="97">
        <v>1613</v>
      </c>
      <c r="O200" s="97"/>
      <c r="P200" s="97"/>
      <c r="Q200" s="97"/>
      <c r="R200" s="97"/>
      <c r="S200" s="97"/>
      <c r="T200" s="97">
        <f>161519</f>
        <v>161519</v>
      </c>
      <c r="U200" s="97">
        <f t="shared" si="183"/>
        <v>165987</v>
      </c>
      <c r="V200" s="97">
        <f t="shared" si="138"/>
        <v>4468</v>
      </c>
      <c r="W200" s="97">
        <f>3529+939</f>
        <v>4468</v>
      </c>
      <c r="X200" s="97"/>
      <c r="Y200" s="97"/>
      <c r="Z200" s="97"/>
      <c r="AA200" s="97"/>
      <c r="AB200" s="97"/>
      <c r="AC200" s="97">
        <f>6305</f>
        <v>6305</v>
      </c>
      <c r="AD200" s="97">
        <f t="shared" si="184"/>
        <v>29571</v>
      </c>
      <c r="AE200" s="125">
        <f t="shared" ref="AE200" si="187">SUM(AF200:AK200)</f>
        <v>23266</v>
      </c>
      <c r="AF200" s="125"/>
      <c r="AG200" s="125">
        <f>23266</f>
        <v>23266</v>
      </c>
      <c r="AH200" s="125"/>
      <c r="AI200" s="125"/>
      <c r="AJ200" s="125"/>
      <c r="AK200" s="125"/>
      <c r="AL200" s="125"/>
      <c r="AM200" s="125"/>
      <c r="AN200" s="97"/>
      <c r="AO200" s="313"/>
      <c r="AP200" s="125"/>
      <c r="AQ200" s="125"/>
      <c r="AR200" s="125"/>
      <c r="AS200" s="125"/>
      <c r="AT200" s="125"/>
      <c r="AU200" s="125"/>
      <c r="AV200" s="98" t="s">
        <v>463</v>
      </c>
      <c r="AW200" s="105"/>
    </row>
    <row r="201" spans="1:49" ht="12.75" x14ac:dyDescent="0.2">
      <c r="A201" s="167"/>
      <c r="B201" s="119"/>
      <c r="C201" s="172"/>
      <c r="D201" s="173"/>
      <c r="E201" s="227" t="s">
        <v>348</v>
      </c>
      <c r="F201" s="299">
        <v>74682</v>
      </c>
      <c r="G201" s="97">
        <f t="shared" ref="G201:G218" si="188">SUM(I201,U201,AD201,AL201,AN201)</f>
        <v>79264</v>
      </c>
      <c r="H201" s="299">
        <f>56057</f>
        <v>56057</v>
      </c>
      <c r="I201" s="97">
        <f t="shared" ref="I201:I214" si="189">H201+J201</f>
        <v>56057</v>
      </c>
      <c r="J201" s="97">
        <f t="shared" si="133"/>
        <v>0</v>
      </c>
      <c r="K201" s="97"/>
      <c r="L201" s="97"/>
      <c r="M201" s="97"/>
      <c r="N201" s="97"/>
      <c r="O201" s="97"/>
      <c r="P201" s="97"/>
      <c r="Q201" s="97"/>
      <c r="R201" s="97"/>
      <c r="S201" s="97"/>
      <c r="T201" s="97">
        <f>18625</f>
        <v>18625</v>
      </c>
      <c r="U201" s="97">
        <f t="shared" si="183"/>
        <v>23207</v>
      </c>
      <c r="V201" s="97">
        <f t="shared" si="138"/>
        <v>4582</v>
      </c>
      <c r="W201" s="97">
        <v>4582</v>
      </c>
      <c r="X201" s="97"/>
      <c r="Y201" s="97"/>
      <c r="Z201" s="97"/>
      <c r="AA201" s="97"/>
      <c r="AB201" s="97"/>
      <c r="AC201" s="97"/>
      <c r="AD201" s="97">
        <f t="shared" si="184"/>
        <v>0</v>
      </c>
      <c r="AE201" s="125">
        <f>SUM(AF201:AK201)</f>
        <v>0</v>
      </c>
      <c r="AF201" s="125"/>
      <c r="AG201" s="125"/>
      <c r="AH201" s="125"/>
      <c r="AI201" s="125"/>
      <c r="AJ201" s="125"/>
      <c r="AK201" s="125"/>
      <c r="AL201" s="125"/>
      <c r="AM201" s="125"/>
      <c r="AN201" s="97"/>
      <c r="AO201" s="313"/>
      <c r="AP201" s="125"/>
      <c r="AQ201" s="125"/>
      <c r="AR201" s="125"/>
      <c r="AS201" s="125"/>
      <c r="AT201" s="125"/>
      <c r="AU201" s="125"/>
      <c r="AV201" s="98" t="s">
        <v>464</v>
      </c>
      <c r="AW201" s="105"/>
    </row>
    <row r="202" spans="1:49" ht="36" customHeight="1" x14ac:dyDescent="0.2">
      <c r="A202" s="167">
        <v>90000051699</v>
      </c>
      <c r="B202" s="119"/>
      <c r="C202" s="447" t="s">
        <v>264</v>
      </c>
      <c r="D202" s="448"/>
      <c r="E202" s="227" t="s">
        <v>309</v>
      </c>
      <c r="F202" s="299">
        <v>667748</v>
      </c>
      <c r="G202" s="97">
        <f t="shared" si="188"/>
        <v>684310</v>
      </c>
      <c r="H202" s="299">
        <f>446922</f>
        <v>446922</v>
      </c>
      <c r="I202" s="97">
        <f t="shared" si="189"/>
        <v>448057</v>
      </c>
      <c r="J202" s="97">
        <f t="shared" si="133"/>
        <v>1135</v>
      </c>
      <c r="K202" s="97"/>
      <c r="L202" s="97"/>
      <c r="M202" s="97"/>
      <c r="N202" s="97">
        <v>1135</v>
      </c>
      <c r="O202" s="97"/>
      <c r="P202" s="97"/>
      <c r="Q202" s="97"/>
      <c r="R202" s="97"/>
      <c r="S202" s="97"/>
      <c r="T202" s="97">
        <f>160775</f>
        <v>160775</v>
      </c>
      <c r="U202" s="97">
        <f t="shared" si="183"/>
        <v>164252</v>
      </c>
      <c r="V202" s="97">
        <f t="shared" si="138"/>
        <v>3477</v>
      </c>
      <c r="W202" s="97">
        <f>3474+3</f>
        <v>3477</v>
      </c>
      <c r="X202" s="97"/>
      <c r="Y202" s="97"/>
      <c r="Z202" s="97"/>
      <c r="AA202" s="97"/>
      <c r="AB202" s="97"/>
      <c r="AC202" s="97">
        <f>60051</f>
        <v>60051</v>
      </c>
      <c r="AD202" s="97">
        <f t="shared" si="184"/>
        <v>72001</v>
      </c>
      <c r="AE202" s="125">
        <f t="shared" ref="AE202" si="190">SUM(AF202:AK202)</f>
        <v>11950</v>
      </c>
      <c r="AF202" s="125"/>
      <c r="AG202" s="125">
        <f>11950</f>
        <v>11950</v>
      </c>
      <c r="AH202" s="125"/>
      <c r="AI202" s="125"/>
      <c r="AJ202" s="125"/>
      <c r="AK202" s="125"/>
      <c r="AL202" s="125"/>
      <c r="AM202" s="125"/>
      <c r="AN202" s="97"/>
      <c r="AO202" s="313"/>
      <c r="AP202" s="125"/>
      <c r="AQ202" s="125"/>
      <c r="AR202" s="125"/>
      <c r="AS202" s="125"/>
      <c r="AT202" s="125"/>
      <c r="AU202" s="125"/>
      <c r="AV202" s="98" t="s">
        <v>465</v>
      </c>
      <c r="AW202" s="105"/>
    </row>
    <row r="203" spans="1:49" ht="12.75" x14ac:dyDescent="0.2">
      <c r="A203" s="167"/>
      <c r="B203" s="119"/>
      <c r="C203" s="172"/>
      <c r="D203" s="173"/>
      <c r="E203" s="227" t="s">
        <v>348</v>
      </c>
      <c r="F203" s="299">
        <v>67312</v>
      </c>
      <c r="G203" s="97">
        <f t="shared" si="188"/>
        <v>69133</v>
      </c>
      <c r="H203" s="299">
        <f>50582</f>
        <v>50582</v>
      </c>
      <c r="I203" s="97">
        <f t="shared" si="189"/>
        <v>50582</v>
      </c>
      <c r="J203" s="97">
        <f t="shared" ref="J203:J214" si="191">SUM(K203:S203)</f>
        <v>0</v>
      </c>
      <c r="K203" s="97"/>
      <c r="L203" s="97"/>
      <c r="M203" s="97"/>
      <c r="N203" s="97"/>
      <c r="O203" s="97"/>
      <c r="P203" s="97"/>
      <c r="Q203" s="97"/>
      <c r="R203" s="97"/>
      <c r="S203" s="97"/>
      <c r="T203" s="97">
        <f>16730</f>
        <v>16730</v>
      </c>
      <c r="U203" s="97">
        <f t="shared" si="183"/>
        <v>18551</v>
      </c>
      <c r="V203" s="97">
        <f t="shared" si="138"/>
        <v>1821</v>
      </c>
      <c r="W203" s="97">
        <v>1821</v>
      </c>
      <c r="X203" s="97"/>
      <c r="Y203" s="97"/>
      <c r="Z203" s="97"/>
      <c r="AA203" s="97"/>
      <c r="AB203" s="97"/>
      <c r="AC203" s="97"/>
      <c r="AD203" s="97">
        <f t="shared" si="184"/>
        <v>0</v>
      </c>
      <c r="AE203" s="125">
        <f>SUM(AF203:AK203)</f>
        <v>0</v>
      </c>
      <c r="AF203" s="125"/>
      <c r="AG203" s="125"/>
      <c r="AH203" s="125"/>
      <c r="AI203" s="125"/>
      <c r="AJ203" s="125"/>
      <c r="AK203" s="125"/>
      <c r="AL203" s="125"/>
      <c r="AM203" s="125"/>
      <c r="AN203" s="97"/>
      <c r="AO203" s="313"/>
      <c r="AP203" s="125"/>
      <c r="AQ203" s="125"/>
      <c r="AR203" s="125"/>
      <c r="AS203" s="125"/>
      <c r="AT203" s="125"/>
      <c r="AU203" s="125"/>
      <c r="AV203" s="98" t="s">
        <v>466</v>
      </c>
      <c r="AW203" s="105"/>
    </row>
    <row r="204" spans="1:49" ht="36.75" customHeight="1" x14ac:dyDescent="0.2">
      <c r="A204" s="167">
        <v>90000051612</v>
      </c>
      <c r="B204" s="119"/>
      <c r="C204" s="447" t="s">
        <v>265</v>
      </c>
      <c r="D204" s="448"/>
      <c r="E204" s="227" t="s">
        <v>309</v>
      </c>
      <c r="F204" s="299">
        <v>611616</v>
      </c>
      <c r="G204" s="97">
        <f t="shared" si="188"/>
        <v>619290</v>
      </c>
      <c r="H204" s="299">
        <f>301265</f>
        <v>301265</v>
      </c>
      <c r="I204" s="97">
        <f t="shared" si="189"/>
        <v>302400</v>
      </c>
      <c r="J204" s="97">
        <f t="shared" si="191"/>
        <v>1135</v>
      </c>
      <c r="K204" s="97"/>
      <c r="L204" s="97"/>
      <c r="M204" s="97"/>
      <c r="N204" s="97"/>
      <c r="O204" s="97"/>
      <c r="P204" s="97">
        <f>1135</f>
        <v>1135</v>
      </c>
      <c r="Q204" s="97"/>
      <c r="R204" s="97"/>
      <c r="S204" s="97"/>
      <c r="T204" s="97">
        <f>305054</f>
        <v>305054</v>
      </c>
      <c r="U204" s="97">
        <f t="shared" si="183"/>
        <v>311126</v>
      </c>
      <c r="V204" s="97">
        <f t="shared" si="138"/>
        <v>6072</v>
      </c>
      <c r="W204" s="97"/>
      <c r="X204" s="97">
        <f>6072</f>
        <v>6072</v>
      </c>
      <c r="Y204" s="97"/>
      <c r="Z204" s="97"/>
      <c r="AA204" s="97"/>
      <c r="AB204" s="97"/>
      <c r="AC204" s="97">
        <f>5297</f>
        <v>5297</v>
      </c>
      <c r="AD204" s="97">
        <f t="shared" si="184"/>
        <v>5764</v>
      </c>
      <c r="AE204" s="125">
        <f t="shared" ref="AE204" si="192">SUM(AF204:AK204)</f>
        <v>467</v>
      </c>
      <c r="AF204" s="125"/>
      <c r="AG204" s="125"/>
      <c r="AH204" s="125">
        <v>467</v>
      </c>
      <c r="AI204" s="125"/>
      <c r="AJ204" s="125"/>
      <c r="AK204" s="125"/>
      <c r="AL204" s="125"/>
      <c r="AM204" s="125"/>
      <c r="AN204" s="97"/>
      <c r="AO204" s="313"/>
      <c r="AP204" s="125"/>
      <c r="AQ204" s="125"/>
      <c r="AR204" s="125"/>
      <c r="AS204" s="125"/>
      <c r="AT204" s="125"/>
      <c r="AU204" s="125"/>
      <c r="AV204" s="98" t="s">
        <v>467</v>
      </c>
      <c r="AW204" s="105"/>
    </row>
    <row r="205" spans="1:49" ht="12.75" x14ac:dyDescent="0.2">
      <c r="A205" s="167"/>
      <c r="B205" s="119"/>
      <c r="C205" s="161"/>
      <c r="D205" s="162"/>
      <c r="E205" s="227" t="s">
        <v>348</v>
      </c>
      <c r="F205" s="299">
        <v>81435</v>
      </c>
      <c r="G205" s="97">
        <f t="shared" si="188"/>
        <v>91971</v>
      </c>
      <c r="H205" s="299">
        <f>54908</f>
        <v>54908</v>
      </c>
      <c r="I205" s="97">
        <f t="shared" si="189"/>
        <v>54908</v>
      </c>
      <c r="J205" s="97">
        <f t="shared" si="191"/>
        <v>0</v>
      </c>
      <c r="K205" s="97"/>
      <c r="L205" s="97"/>
      <c r="M205" s="97"/>
      <c r="N205" s="97"/>
      <c r="O205" s="97"/>
      <c r="P205" s="97"/>
      <c r="Q205" s="97"/>
      <c r="R205" s="97"/>
      <c r="S205" s="97"/>
      <c r="T205" s="97">
        <f>26527</f>
        <v>26527</v>
      </c>
      <c r="U205" s="97">
        <f t="shared" si="183"/>
        <v>37063</v>
      </c>
      <c r="V205" s="97">
        <f t="shared" si="138"/>
        <v>10536</v>
      </c>
      <c r="W205" s="97"/>
      <c r="X205" s="97">
        <f>10536</f>
        <v>10536</v>
      </c>
      <c r="Y205" s="97"/>
      <c r="Z205" s="97"/>
      <c r="AA205" s="97"/>
      <c r="AB205" s="97"/>
      <c r="AC205" s="97"/>
      <c r="AD205" s="97">
        <f t="shared" si="184"/>
        <v>0</v>
      </c>
      <c r="AE205" s="125">
        <f>SUM(AF205:AK205)</f>
        <v>0</v>
      </c>
      <c r="AF205" s="125"/>
      <c r="AG205" s="125"/>
      <c r="AH205" s="125"/>
      <c r="AI205" s="125"/>
      <c r="AJ205" s="125"/>
      <c r="AK205" s="125"/>
      <c r="AL205" s="125"/>
      <c r="AM205" s="125"/>
      <c r="AN205" s="97"/>
      <c r="AO205" s="313"/>
      <c r="AP205" s="125"/>
      <c r="AQ205" s="125"/>
      <c r="AR205" s="125"/>
      <c r="AS205" s="125"/>
      <c r="AT205" s="125"/>
      <c r="AU205" s="125"/>
      <c r="AV205" s="98" t="s">
        <v>468</v>
      </c>
      <c r="AW205" s="105"/>
    </row>
    <row r="206" spans="1:49" ht="36" customHeight="1" x14ac:dyDescent="0.2">
      <c r="A206" s="167">
        <v>90009251342</v>
      </c>
      <c r="B206" s="119"/>
      <c r="C206" s="447" t="s">
        <v>350</v>
      </c>
      <c r="D206" s="448"/>
      <c r="E206" s="227" t="s">
        <v>309</v>
      </c>
      <c r="F206" s="299">
        <v>710154</v>
      </c>
      <c r="G206" s="97">
        <f t="shared" si="188"/>
        <v>711959</v>
      </c>
      <c r="H206" s="299">
        <f>44897</f>
        <v>44897</v>
      </c>
      <c r="I206" s="97">
        <f t="shared" si="189"/>
        <v>44897</v>
      </c>
      <c r="J206" s="97">
        <f t="shared" si="191"/>
        <v>0</v>
      </c>
      <c r="K206" s="97"/>
      <c r="L206" s="97"/>
      <c r="M206" s="97"/>
      <c r="N206" s="97"/>
      <c r="O206" s="97"/>
      <c r="P206" s="97"/>
      <c r="Q206" s="97"/>
      <c r="R206" s="97"/>
      <c r="S206" s="97"/>
      <c r="T206" s="97">
        <f>652571</f>
        <v>652571</v>
      </c>
      <c r="U206" s="97">
        <f t="shared" si="183"/>
        <v>652571</v>
      </c>
      <c r="V206" s="97">
        <f t="shared" si="138"/>
        <v>0</v>
      </c>
      <c r="W206" s="97"/>
      <c r="X206" s="97"/>
      <c r="Y206" s="97"/>
      <c r="Z206" s="97"/>
      <c r="AA206" s="97"/>
      <c r="AB206" s="97"/>
      <c r="AC206" s="97">
        <f>12686</f>
        <v>12686</v>
      </c>
      <c r="AD206" s="97">
        <f t="shared" ref="AD206:AD208" si="193">AE206+AC206</f>
        <v>14491</v>
      </c>
      <c r="AE206" s="125">
        <f t="shared" ref="AE206:AE218" si="194">SUM(AF206:AK206)</f>
        <v>1805</v>
      </c>
      <c r="AF206" s="125"/>
      <c r="AG206" s="125">
        <f>1805</f>
        <v>1805</v>
      </c>
      <c r="AH206" s="125"/>
      <c r="AI206" s="125"/>
      <c r="AJ206" s="125"/>
      <c r="AK206" s="125"/>
      <c r="AL206" s="125"/>
      <c r="AM206" s="125"/>
      <c r="AN206" s="97"/>
      <c r="AO206" s="313"/>
      <c r="AP206" s="125"/>
      <c r="AQ206" s="125"/>
      <c r="AR206" s="125"/>
      <c r="AS206" s="125"/>
      <c r="AT206" s="125"/>
      <c r="AU206" s="125"/>
      <c r="AV206" s="98" t="s">
        <v>469</v>
      </c>
      <c r="AW206" s="105"/>
    </row>
    <row r="207" spans="1:49" ht="41.25" customHeight="1" x14ac:dyDescent="0.2">
      <c r="A207" s="167">
        <v>90009249367</v>
      </c>
      <c r="B207" s="119"/>
      <c r="C207" s="447" t="s">
        <v>688</v>
      </c>
      <c r="D207" s="448"/>
      <c r="E207" s="227" t="s">
        <v>351</v>
      </c>
      <c r="F207" s="299">
        <v>527928</v>
      </c>
      <c r="G207" s="97">
        <f t="shared" si="188"/>
        <v>530173</v>
      </c>
      <c r="H207" s="299">
        <f>316654</f>
        <v>316654</v>
      </c>
      <c r="I207" s="97">
        <f t="shared" si="189"/>
        <v>304576</v>
      </c>
      <c r="J207" s="97">
        <f t="shared" si="191"/>
        <v>-12078</v>
      </c>
      <c r="K207" s="97"/>
      <c r="L207" s="97"/>
      <c r="M207" s="97"/>
      <c r="N207" s="97"/>
      <c r="O207" s="97"/>
      <c r="P207" s="97">
        <f>1010-13088</f>
        <v>-12078</v>
      </c>
      <c r="Q207" s="97"/>
      <c r="R207" s="97"/>
      <c r="S207" s="97"/>
      <c r="T207" s="97">
        <f>205785</f>
        <v>205785</v>
      </c>
      <c r="U207" s="97">
        <f t="shared" si="183"/>
        <v>205785</v>
      </c>
      <c r="V207" s="97">
        <f t="shared" si="138"/>
        <v>0</v>
      </c>
      <c r="W207" s="97"/>
      <c r="X207" s="97"/>
      <c r="Y207" s="97"/>
      <c r="Z207" s="97"/>
      <c r="AA207" s="97"/>
      <c r="AB207" s="97"/>
      <c r="AC207" s="97">
        <f>5489</f>
        <v>5489</v>
      </c>
      <c r="AD207" s="97">
        <f t="shared" si="193"/>
        <v>19812</v>
      </c>
      <c r="AE207" s="125">
        <f t="shared" si="194"/>
        <v>14323</v>
      </c>
      <c r="AF207" s="125"/>
      <c r="AG207" s="125"/>
      <c r="AH207" s="125">
        <f>14323</f>
        <v>14323</v>
      </c>
      <c r="AI207" s="125"/>
      <c r="AJ207" s="125"/>
      <c r="AK207" s="125"/>
      <c r="AL207" s="125"/>
      <c r="AM207" s="125"/>
      <c r="AN207" s="97"/>
      <c r="AO207" s="313"/>
      <c r="AP207" s="125"/>
      <c r="AQ207" s="125"/>
      <c r="AR207" s="125"/>
      <c r="AS207" s="125"/>
      <c r="AT207" s="125"/>
      <c r="AU207" s="125"/>
      <c r="AV207" s="98" t="s">
        <v>470</v>
      </c>
      <c r="AW207" s="105"/>
    </row>
    <row r="208" spans="1:49" s="151" customFormat="1" ht="12.75" x14ac:dyDescent="0.2">
      <c r="A208" s="167"/>
      <c r="B208" s="119"/>
      <c r="C208" s="172"/>
      <c r="D208" s="173"/>
      <c r="E208" s="227" t="s">
        <v>533</v>
      </c>
      <c r="F208" s="299">
        <v>210310</v>
      </c>
      <c r="G208" s="97">
        <f t="shared" si="188"/>
        <v>210310</v>
      </c>
      <c r="H208" s="299">
        <f>198310</f>
        <v>198310</v>
      </c>
      <c r="I208" s="97">
        <f t="shared" si="189"/>
        <v>198310</v>
      </c>
      <c r="J208" s="97">
        <f t="shared" si="191"/>
        <v>0</v>
      </c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>
        <f>12000</f>
        <v>12000</v>
      </c>
      <c r="AD208" s="97">
        <f t="shared" si="193"/>
        <v>12000</v>
      </c>
      <c r="AE208" s="125">
        <f t="shared" si="194"/>
        <v>0</v>
      </c>
      <c r="AF208" s="125"/>
      <c r="AG208" s="125"/>
      <c r="AH208" s="125"/>
      <c r="AI208" s="125"/>
      <c r="AJ208" s="125"/>
      <c r="AK208" s="125"/>
      <c r="AL208" s="125"/>
      <c r="AM208" s="125"/>
      <c r="AN208" s="97"/>
      <c r="AO208" s="313"/>
      <c r="AP208" s="125"/>
      <c r="AQ208" s="125"/>
      <c r="AR208" s="125"/>
      <c r="AS208" s="125"/>
      <c r="AT208" s="125"/>
      <c r="AU208" s="125"/>
      <c r="AV208" s="98" t="s">
        <v>471</v>
      </c>
      <c r="AW208" s="105" t="s">
        <v>674</v>
      </c>
    </row>
    <row r="209" spans="1:49" ht="38.25" customHeight="1" x14ac:dyDescent="0.2">
      <c r="A209" s="167">
        <v>90000783949</v>
      </c>
      <c r="B209" s="119"/>
      <c r="C209" s="447" t="s">
        <v>20</v>
      </c>
      <c r="D209" s="448"/>
      <c r="E209" s="227" t="s">
        <v>309</v>
      </c>
      <c r="F209" s="299">
        <v>502205</v>
      </c>
      <c r="G209" s="97">
        <f t="shared" si="188"/>
        <v>530157</v>
      </c>
      <c r="H209" s="299">
        <f>267395</f>
        <v>267395</v>
      </c>
      <c r="I209" s="97">
        <f t="shared" si="189"/>
        <v>271886</v>
      </c>
      <c r="J209" s="97">
        <f t="shared" si="191"/>
        <v>4491</v>
      </c>
      <c r="K209" s="97"/>
      <c r="L209" s="97"/>
      <c r="M209" s="97"/>
      <c r="N209" s="97">
        <v>4491</v>
      </c>
      <c r="O209" s="97"/>
      <c r="P209" s="97"/>
      <c r="Q209" s="97"/>
      <c r="R209" s="97"/>
      <c r="S209" s="97"/>
      <c r="T209" s="97">
        <f>228537</f>
        <v>228537</v>
      </c>
      <c r="U209" s="97">
        <f t="shared" ref="U209:U210" si="195">T209+V209</f>
        <v>248725</v>
      </c>
      <c r="V209" s="97">
        <f>SUM(W209:AB209)</f>
        <v>20188</v>
      </c>
      <c r="W209" s="97">
        <f>16845+3150+59+134</f>
        <v>20188</v>
      </c>
      <c r="X209" s="97"/>
      <c r="Y209" s="97"/>
      <c r="Z209" s="97"/>
      <c r="AA209" s="97"/>
      <c r="AB209" s="97"/>
      <c r="AC209" s="97">
        <f>6232</f>
        <v>6232</v>
      </c>
      <c r="AD209" s="97">
        <f>AE209+AC209</f>
        <v>9502</v>
      </c>
      <c r="AE209" s="125">
        <f>SUM(AF209:AK209)</f>
        <v>3270</v>
      </c>
      <c r="AF209" s="125"/>
      <c r="AG209" s="125">
        <f>3270</f>
        <v>3270</v>
      </c>
      <c r="AH209" s="125"/>
      <c r="AI209" s="125"/>
      <c r="AJ209" s="125"/>
      <c r="AK209" s="125"/>
      <c r="AL209" s="125"/>
      <c r="AM209" s="125">
        <f>41</f>
        <v>41</v>
      </c>
      <c r="AN209" s="97">
        <f>AO209+AM209</f>
        <v>44</v>
      </c>
      <c r="AO209" s="313">
        <f t="shared" ref="AO209" si="196">SUM(AP209:AU209)</f>
        <v>3</v>
      </c>
      <c r="AP209" s="125">
        <v>3</v>
      </c>
      <c r="AQ209" s="125"/>
      <c r="AR209" s="125"/>
      <c r="AS209" s="125"/>
      <c r="AT209" s="125"/>
      <c r="AU209" s="125"/>
      <c r="AV209" s="98" t="s">
        <v>472</v>
      </c>
      <c r="AW209" s="105"/>
    </row>
    <row r="210" spans="1:49" ht="12.75" x14ac:dyDescent="0.2">
      <c r="A210" s="167"/>
      <c r="B210" s="119"/>
      <c r="C210" s="172"/>
      <c r="D210" s="173"/>
      <c r="E210" s="227" t="s">
        <v>348</v>
      </c>
      <c r="F210" s="299">
        <v>49094</v>
      </c>
      <c r="G210" s="97">
        <f t="shared" si="188"/>
        <v>52265</v>
      </c>
      <c r="H210" s="299">
        <f>35980</f>
        <v>35980</v>
      </c>
      <c r="I210" s="97">
        <f t="shared" si="189"/>
        <v>35980</v>
      </c>
      <c r="J210" s="97">
        <f t="shared" si="191"/>
        <v>0</v>
      </c>
      <c r="K210" s="97"/>
      <c r="L210" s="97"/>
      <c r="M210" s="97"/>
      <c r="N210" s="97"/>
      <c r="O210" s="97"/>
      <c r="P210" s="97"/>
      <c r="Q210" s="97"/>
      <c r="R210" s="97"/>
      <c r="S210" s="97"/>
      <c r="T210" s="97">
        <f>13114</f>
        <v>13114</v>
      </c>
      <c r="U210" s="97">
        <f t="shared" si="195"/>
        <v>16285</v>
      </c>
      <c r="V210" s="97">
        <f>SUM(W210:AB210)</f>
        <v>3171</v>
      </c>
      <c r="W210" s="97">
        <v>3171</v>
      </c>
      <c r="X210" s="97"/>
      <c r="Y210" s="97"/>
      <c r="Z210" s="97"/>
      <c r="AA210" s="97"/>
      <c r="AB210" s="97"/>
      <c r="AC210" s="97"/>
      <c r="AD210" s="97">
        <f t="shared" ref="AD210:AD214" si="197">AE210+AC210</f>
        <v>0</v>
      </c>
      <c r="AE210" s="125">
        <f>SUM(AF210:AK210)</f>
        <v>0</v>
      </c>
      <c r="AF210" s="125"/>
      <c r="AG210" s="125"/>
      <c r="AH210" s="125"/>
      <c r="AI210" s="125"/>
      <c r="AJ210" s="125"/>
      <c r="AK210" s="125"/>
      <c r="AL210" s="125"/>
      <c r="AM210" s="125"/>
      <c r="AN210" s="97"/>
      <c r="AO210" s="313"/>
      <c r="AP210" s="125"/>
      <c r="AQ210" s="125"/>
      <c r="AR210" s="125"/>
      <c r="AS210" s="125"/>
      <c r="AT210" s="125"/>
      <c r="AU210" s="125"/>
      <c r="AV210" s="98" t="s">
        <v>473</v>
      </c>
      <c r="AW210" s="105"/>
    </row>
    <row r="211" spans="1:49" s="262" customFormat="1" ht="60" x14ac:dyDescent="0.2">
      <c r="A211" s="167"/>
      <c r="B211" s="119"/>
      <c r="C211" s="259"/>
      <c r="D211" s="260"/>
      <c r="E211" s="227" t="s">
        <v>717</v>
      </c>
      <c r="F211" s="299"/>
      <c r="G211" s="97">
        <f t="shared" si="188"/>
        <v>7491</v>
      </c>
      <c r="H211" s="299"/>
      <c r="I211" s="97">
        <f t="shared" si="189"/>
        <v>7491</v>
      </c>
      <c r="J211" s="97">
        <f t="shared" si="191"/>
        <v>7491</v>
      </c>
      <c r="K211" s="97"/>
      <c r="L211" s="97"/>
      <c r="M211" s="97">
        <v>7491</v>
      </c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>
        <f t="shared" si="197"/>
        <v>0</v>
      </c>
      <c r="AE211" s="125">
        <f t="shared" si="194"/>
        <v>0</v>
      </c>
      <c r="AF211" s="125"/>
      <c r="AG211" s="125"/>
      <c r="AH211" s="125"/>
      <c r="AI211" s="125"/>
      <c r="AJ211" s="125"/>
      <c r="AK211" s="125"/>
      <c r="AL211" s="125"/>
      <c r="AM211" s="125"/>
      <c r="AN211" s="97"/>
      <c r="AO211" s="313"/>
      <c r="AP211" s="125"/>
      <c r="AQ211" s="125"/>
      <c r="AR211" s="125"/>
      <c r="AS211" s="125"/>
      <c r="AT211" s="125"/>
      <c r="AU211" s="125"/>
      <c r="AV211" s="98" t="s">
        <v>718</v>
      </c>
      <c r="AW211" s="105"/>
    </row>
    <row r="212" spans="1:49" ht="36.75" customHeight="1" x14ac:dyDescent="0.2">
      <c r="A212" s="167">
        <v>90000051646</v>
      </c>
      <c r="B212" s="119"/>
      <c r="C212" s="447" t="s">
        <v>199</v>
      </c>
      <c r="D212" s="448"/>
      <c r="E212" s="227" t="s">
        <v>309</v>
      </c>
      <c r="F212" s="299">
        <v>369374</v>
      </c>
      <c r="G212" s="97">
        <f t="shared" si="188"/>
        <v>375124</v>
      </c>
      <c r="H212" s="299">
        <f>86506</f>
        <v>86506</v>
      </c>
      <c r="I212" s="97">
        <f>H212+J212</f>
        <v>86506</v>
      </c>
      <c r="J212" s="97">
        <f t="shared" si="191"/>
        <v>0</v>
      </c>
      <c r="K212" s="97"/>
      <c r="L212" s="97"/>
      <c r="M212" s="97"/>
      <c r="N212" s="97"/>
      <c r="O212" s="97"/>
      <c r="P212" s="97"/>
      <c r="Q212" s="97"/>
      <c r="R212" s="97"/>
      <c r="S212" s="97"/>
      <c r="T212" s="97">
        <f>282868</f>
        <v>282868</v>
      </c>
      <c r="U212" s="97">
        <f t="shared" ref="U212" si="198">T212+V212</f>
        <v>288618</v>
      </c>
      <c r="V212" s="97">
        <f>SUM(W212:AB212)</f>
        <v>5750</v>
      </c>
      <c r="W212" s="97"/>
      <c r="X212" s="97">
        <f>5750</f>
        <v>5750</v>
      </c>
      <c r="Y212" s="97"/>
      <c r="Z212" s="97"/>
      <c r="AA212" s="97"/>
      <c r="AB212" s="97"/>
      <c r="AC212" s="97"/>
      <c r="AD212" s="97">
        <f t="shared" si="197"/>
        <v>0</v>
      </c>
      <c r="AE212" s="125">
        <f t="shared" si="194"/>
        <v>0</v>
      </c>
      <c r="AF212" s="125"/>
      <c r="AG212" s="125"/>
      <c r="AH212" s="125"/>
      <c r="AI212" s="125"/>
      <c r="AJ212" s="125"/>
      <c r="AK212" s="125"/>
      <c r="AL212" s="125"/>
      <c r="AM212" s="125"/>
      <c r="AN212" s="97"/>
      <c r="AO212" s="313"/>
      <c r="AP212" s="125"/>
      <c r="AQ212" s="125"/>
      <c r="AR212" s="125"/>
      <c r="AS212" s="125"/>
      <c r="AT212" s="125"/>
      <c r="AU212" s="125"/>
      <c r="AV212" s="98" t="s">
        <v>474</v>
      </c>
      <c r="AW212" s="105"/>
    </row>
    <row r="213" spans="1:49" s="150" customFormat="1" ht="12.75" x14ac:dyDescent="0.2">
      <c r="A213" s="167"/>
      <c r="B213" s="119"/>
      <c r="C213" s="172"/>
      <c r="D213" s="173"/>
      <c r="E213" s="227" t="s">
        <v>348</v>
      </c>
      <c r="F213" s="299">
        <v>78810</v>
      </c>
      <c r="G213" s="97">
        <f t="shared" si="188"/>
        <v>78810</v>
      </c>
      <c r="H213" s="299">
        <f>78810</f>
        <v>78810</v>
      </c>
      <c r="I213" s="97">
        <f t="shared" si="189"/>
        <v>78810</v>
      </c>
      <c r="J213" s="97">
        <f t="shared" si="191"/>
        <v>0</v>
      </c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>
        <f t="shared" si="197"/>
        <v>0</v>
      </c>
      <c r="AE213" s="125">
        <f t="shared" si="194"/>
        <v>0</v>
      </c>
      <c r="AF213" s="125"/>
      <c r="AG213" s="125"/>
      <c r="AH213" s="125"/>
      <c r="AI213" s="125"/>
      <c r="AJ213" s="125"/>
      <c r="AK213" s="125"/>
      <c r="AL213" s="125"/>
      <c r="AM213" s="125"/>
      <c r="AN213" s="97"/>
      <c r="AO213" s="313"/>
      <c r="AP213" s="125"/>
      <c r="AQ213" s="125"/>
      <c r="AR213" s="125"/>
      <c r="AS213" s="125"/>
      <c r="AT213" s="125"/>
      <c r="AU213" s="125"/>
      <c r="AV213" s="98" t="s">
        <v>475</v>
      </c>
      <c r="AW213" s="105"/>
    </row>
    <row r="214" spans="1:49" s="159" customFormat="1" ht="12.75" customHeight="1" x14ac:dyDescent="0.2">
      <c r="A214" s="167">
        <v>40008006745</v>
      </c>
      <c r="B214" s="119"/>
      <c r="C214" s="447" t="s">
        <v>364</v>
      </c>
      <c r="D214" s="448"/>
      <c r="E214" s="227" t="s">
        <v>348</v>
      </c>
      <c r="F214" s="299">
        <v>17262</v>
      </c>
      <c r="G214" s="97">
        <f t="shared" si="188"/>
        <v>21444</v>
      </c>
      <c r="H214" s="299">
        <v>0</v>
      </c>
      <c r="I214" s="97">
        <f t="shared" si="189"/>
        <v>0</v>
      </c>
      <c r="J214" s="97">
        <f t="shared" si="191"/>
        <v>0</v>
      </c>
      <c r="K214" s="97"/>
      <c r="L214" s="97"/>
      <c r="M214" s="97"/>
      <c r="N214" s="97"/>
      <c r="O214" s="97"/>
      <c r="P214" s="97"/>
      <c r="Q214" s="97"/>
      <c r="R214" s="97"/>
      <c r="S214" s="97"/>
      <c r="T214" s="97">
        <f>17262</f>
        <v>17262</v>
      </c>
      <c r="U214" s="97">
        <f t="shared" ref="U214" si="199">T214+V214</f>
        <v>21444</v>
      </c>
      <c r="V214" s="97">
        <f>SUM(W214:AB214)</f>
        <v>4182</v>
      </c>
      <c r="W214" s="97">
        <f>4182</f>
        <v>4182</v>
      </c>
      <c r="X214" s="97"/>
      <c r="Y214" s="97"/>
      <c r="Z214" s="97"/>
      <c r="AA214" s="97"/>
      <c r="AB214" s="97"/>
      <c r="AC214" s="97"/>
      <c r="AD214" s="97">
        <f t="shared" si="197"/>
        <v>0</v>
      </c>
      <c r="AE214" s="125">
        <f t="shared" si="194"/>
        <v>0</v>
      </c>
      <c r="AF214" s="125"/>
      <c r="AG214" s="125"/>
      <c r="AH214" s="125"/>
      <c r="AI214" s="125"/>
      <c r="AJ214" s="125"/>
      <c r="AK214" s="125"/>
      <c r="AL214" s="125"/>
      <c r="AM214" s="125"/>
      <c r="AN214" s="97"/>
      <c r="AO214" s="313"/>
      <c r="AP214" s="125"/>
      <c r="AQ214" s="125"/>
      <c r="AR214" s="125"/>
      <c r="AS214" s="125"/>
      <c r="AT214" s="125"/>
      <c r="AU214" s="125"/>
      <c r="AV214" s="98" t="s">
        <v>476</v>
      </c>
      <c r="AW214" s="105"/>
    </row>
    <row r="215" spans="1:49" s="272" customFormat="1" ht="36.75" customHeight="1" x14ac:dyDescent="0.2">
      <c r="A215" s="167">
        <v>40003426429</v>
      </c>
      <c r="B215" s="250"/>
      <c r="C215" s="478" t="s">
        <v>720</v>
      </c>
      <c r="D215" s="479"/>
      <c r="E215" s="227" t="s">
        <v>722</v>
      </c>
      <c r="F215" s="299">
        <v>104184</v>
      </c>
      <c r="G215" s="97">
        <f t="shared" si="188"/>
        <v>0</v>
      </c>
      <c r="H215" s="299">
        <f>SUM(H216:H218)</f>
        <v>104184</v>
      </c>
      <c r="I215" s="97">
        <f t="shared" ref="I215:I218" si="200">H215+J215</f>
        <v>0</v>
      </c>
      <c r="J215" s="97">
        <f t="shared" ref="J215:J218" si="201">SUM(K215:S215)</f>
        <v>-104184</v>
      </c>
      <c r="K215" s="97"/>
      <c r="L215" s="97"/>
      <c r="M215" s="97">
        <f t="shared" ref="M215" si="202">SUM(M216:M218)</f>
        <v>-104184</v>
      </c>
      <c r="N215" s="97">
        <f t="shared" ref="N215:S215" si="203">SUM(N216:N218)</f>
        <v>0</v>
      </c>
      <c r="O215" s="97">
        <f t="shared" si="203"/>
        <v>0</v>
      </c>
      <c r="P215" s="97">
        <f t="shared" si="203"/>
        <v>0</v>
      </c>
      <c r="Q215" s="97">
        <f t="shared" si="203"/>
        <v>0</v>
      </c>
      <c r="R215" s="97">
        <f t="shared" si="203"/>
        <v>0</v>
      </c>
      <c r="S215" s="97">
        <f t="shared" si="203"/>
        <v>0</v>
      </c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125">
        <f t="shared" si="194"/>
        <v>0</v>
      </c>
      <c r="AF215" s="125"/>
      <c r="AG215" s="125"/>
      <c r="AH215" s="125"/>
      <c r="AI215" s="125"/>
      <c r="AJ215" s="125"/>
      <c r="AK215" s="125"/>
      <c r="AL215" s="125"/>
      <c r="AM215" s="125"/>
      <c r="AN215" s="97"/>
      <c r="AO215" s="313"/>
      <c r="AP215" s="125"/>
      <c r="AQ215" s="125"/>
      <c r="AR215" s="125"/>
      <c r="AS215" s="125"/>
      <c r="AT215" s="125"/>
      <c r="AU215" s="125"/>
      <c r="AV215" s="98"/>
      <c r="AW215" s="105"/>
    </row>
    <row r="216" spans="1:49" s="272" customFormat="1" ht="24" x14ac:dyDescent="0.2">
      <c r="A216" s="167"/>
      <c r="B216" s="119"/>
      <c r="C216" s="270"/>
      <c r="D216" s="271"/>
      <c r="E216" s="429" t="s">
        <v>723</v>
      </c>
      <c r="F216" s="299">
        <v>34410</v>
      </c>
      <c r="G216" s="97">
        <f t="shared" si="188"/>
        <v>0</v>
      </c>
      <c r="H216" s="299">
        <f>34410</f>
        <v>34410</v>
      </c>
      <c r="I216" s="97">
        <f t="shared" si="200"/>
        <v>0</v>
      </c>
      <c r="J216" s="97">
        <f t="shared" si="201"/>
        <v>-34410</v>
      </c>
      <c r="K216" s="97"/>
      <c r="L216" s="97"/>
      <c r="M216" s="97">
        <v>-34410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125">
        <f t="shared" si="194"/>
        <v>0</v>
      </c>
      <c r="AF216" s="125"/>
      <c r="AG216" s="125"/>
      <c r="AH216" s="125"/>
      <c r="AI216" s="125"/>
      <c r="AJ216" s="125"/>
      <c r="AK216" s="125"/>
      <c r="AL216" s="125"/>
      <c r="AM216" s="125"/>
      <c r="AN216" s="97"/>
      <c r="AO216" s="313"/>
      <c r="AP216" s="125"/>
      <c r="AQ216" s="125"/>
      <c r="AR216" s="125"/>
      <c r="AS216" s="125"/>
      <c r="AT216" s="125"/>
      <c r="AU216" s="125"/>
      <c r="AV216" s="98"/>
      <c r="AW216" s="105"/>
    </row>
    <row r="217" spans="1:49" s="272" customFormat="1" ht="36" x14ac:dyDescent="0.2">
      <c r="A217" s="167"/>
      <c r="B217" s="119"/>
      <c r="C217" s="270"/>
      <c r="D217" s="271"/>
      <c r="E217" s="429" t="s">
        <v>724</v>
      </c>
      <c r="F217" s="299">
        <v>6744</v>
      </c>
      <c r="G217" s="97">
        <f t="shared" si="188"/>
        <v>0</v>
      </c>
      <c r="H217" s="299">
        <f>6744</f>
        <v>6744</v>
      </c>
      <c r="I217" s="97">
        <f t="shared" si="200"/>
        <v>0</v>
      </c>
      <c r="J217" s="97">
        <f t="shared" si="201"/>
        <v>-6744</v>
      </c>
      <c r="K217" s="97"/>
      <c r="L217" s="97"/>
      <c r="M217" s="97">
        <v>-6744</v>
      </c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125">
        <f t="shared" si="194"/>
        <v>0</v>
      </c>
      <c r="AF217" s="125"/>
      <c r="AG217" s="125"/>
      <c r="AH217" s="125"/>
      <c r="AI217" s="125"/>
      <c r="AJ217" s="125"/>
      <c r="AK217" s="125"/>
      <c r="AL217" s="125"/>
      <c r="AM217" s="125"/>
      <c r="AN217" s="97"/>
      <c r="AO217" s="313"/>
      <c r="AP217" s="125"/>
      <c r="AQ217" s="125"/>
      <c r="AR217" s="125"/>
      <c r="AS217" s="125"/>
      <c r="AT217" s="125"/>
      <c r="AU217" s="125"/>
      <c r="AV217" s="98"/>
      <c r="AW217" s="105"/>
    </row>
    <row r="218" spans="1:49" s="272" customFormat="1" ht="24" x14ac:dyDescent="0.2">
      <c r="A218" s="167"/>
      <c r="B218" s="119"/>
      <c r="C218" s="270"/>
      <c r="D218" s="271"/>
      <c r="E218" s="429" t="s">
        <v>725</v>
      </c>
      <c r="F218" s="299">
        <v>63030</v>
      </c>
      <c r="G218" s="97">
        <f t="shared" si="188"/>
        <v>0</v>
      </c>
      <c r="H218" s="299">
        <f>63030</f>
        <v>63030</v>
      </c>
      <c r="I218" s="97">
        <f t="shared" si="200"/>
        <v>0</v>
      </c>
      <c r="J218" s="97">
        <f t="shared" si="201"/>
        <v>-63030</v>
      </c>
      <c r="K218" s="97"/>
      <c r="L218" s="97"/>
      <c r="M218" s="97">
        <v>-63030</v>
      </c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125">
        <f t="shared" si="194"/>
        <v>0</v>
      </c>
      <c r="AF218" s="125"/>
      <c r="AG218" s="125"/>
      <c r="AH218" s="125"/>
      <c r="AI218" s="125"/>
      <c r="AJ218" s="125"/>
      <c r="AK218" s="125"/>
      <c r="AL218" s="125"/>
      <c r="AM218" s="125"/>
      <c r="AN218" s="97"/>
      <c r="AO218" s="313"/>
      <c r="AP218" s="125"/>
      <c r="AQ218" s="125"/>
      <c r="AR218" s="125"/>
      <c r="AS218" s="125"/>
      <c r="AT218" s="125"/>
      <c r="AU218" s="125"/>
      <c r="AV218" s="98"/>
      <c r="AW218" s="105"/>
    </row>
    <row r="219" spans="1:49" ht="60" x14ac:dyDescent="0.2">
      <c r="A219" s="167"/>
      <c r="B219" s="119"/>
      <c r="C219" s="447" t="s">
        <v>215</v>
      </c>
      <c r="D219" s="448"/>
      <c r="E219" s="424" t="s">
        <v>530</v>
      </c>
      <c r="F219" s="299">
        <v>400000</v>
      </c>
      <c r="G219" s="97">
        <f t="shared" ref="G219:G223" si="204">SUM(I219,U219,AD219,AL219,AN219)</f>
        <v>400000</v>
      </c>
      <c r="H219" s="299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125"/>
      <c r="AF219" s="97"/>
      <c r="AG219" s="97"/>
      <c r="AH219" s="97"/>
      <c r="AI219" s="97"/>
      <c r="AJ219" s="97"/>
      <c r="AK219" s="97"/>
      <c r="AL219" s="97">
        <v>400000</v>
      </c>
      <c r="AM219" s="125"/>
      <c r="AN219" s="97"/>
      <c r="AO219" s="313"/>
      <c r="AP219" s="97"/>
      <c r="AQ219" s="97"/>
      <c r="AR219" s="97"/>
      <c r="AS219" s="97"/>
      <c r="AT219" s="97"/>
      <c r="AU219" s="97"/>
      <c r="AV219" s="98"/>
      <c r="AW219" s="105"/>
    </row>
    <row r="220" spans="1:49" ht="24" x14ac:dyDescent="0.2">
      <c r="A220" s="167"/>
      <c r="B220" s="119"/>
      <c r="C220" s="214"/>
      <c r="D220" s="164"/>
      <c r="E220" s="424" t="s">
        <v>174</v>
      </c>
      <c r="F220" s="299">
        <v>554920</v>
      </c>
      <c r="G220" s="97">
        <f t="shared" si="204"/>
        <v>554920</v>
      </c>
      <c r="H220" s="299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125"/>
      <c r="AF220" s="97"/>
      <c r="AG220" s="97"/>
      <c r="AH220" s="97"/>
      <c r="AI220" s="97"/>
      <c r="AJ220" s="97"/>
      <c r="AK220" s="97"/>
      <c r="AL220" s="97">
        <v>554920</v>
      </c>
      <c r="AM220" s="125"/>
      <c r="AN220" s="97"/>
      <c r="AO220" s="313"/>
      <c r="AP220" s="97"/>
      <c r="AQ220" s="97"/>
      <c r="AR220" s="97"/>
      <c r="AS220" s="97"/>
      <c r="AT220" s="97"/>
      <c r="AU220" s="97"/>
      <c r="AV220" s="98"/>
      <c r="AW220" s="105"/>
    </row>
    <row r="221" spans="1:49" s="160" customFormat="1" ht="24" x14ac:dyDescent="0.2">
      <c r="A221" s="167"/>
      <c r="B221" s="119"/>
      <c r="C221" s="214"/>
      <c r="D221" s="164"/>
      <c r="E221" s="424" t="s">
        <v>525</v>
      </c>
      <c r="F221" s="299">
        <v>284577</v>
      </c>
      <c r="G221" s="97">
        <f t="shared" si="204"/>
        <v>284577</v>
      </c>
      <c r="H221" s="299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125"/>
      <c r="AF221" s="97"/>
      <c r="AG221" s="97"/>
      <c r="AH221" s="97"/>
      <c r="AI221" s="97"/>
      <c r="AJ221" s="97"/>
      <c r="AK221" s="97"/>
      <c r="AL221" s="97">
        <v>284577</v>
      </c>
      <c r="AM221" s="125"/>
      <c r="AN221" s="97"/>
      <c r="AO221" s="313"/>
      <c r="AP221" s="97"/>
      <c r="AQ221" s="97"/>
      <c r="AR221" s="97"/>
      <c r="AS221" s="97"/>
      <c r="AT221" s="97"/>
      <c r="AU221" s="97"/>
      <c r="AV221" s="98"/>
      <c r="AW221" s="105"/>
    </row>
    <row r="222" spans="1:49" ht="24" x14ac:dyDescent="0.2">
      <c r="A222" s="167"/>
      <c r="B222" s="119"/>
      <c r="C222" s="214"/>
      <c r="D222" s="164"/>
      <c r="E222" s="424" t="s">
        <v>526</v>
      </c>
      <c r="F222" s="299">
        <v>95785</v>
      </c>
      <c r="G222" s="97">
        <f t="shared" si="204"/>
        <v>95785</v>
      </c>
      <c r="H222" s="299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125"/>
      <c r="AF222" s="97"/>
      <c r="AG222" s="97"/>
      <c r="AH222" s="97"/>
      <c r="AI222" s="97"/>
      <c r="AJ222" s="97"/>
      <c r="AK222" s="97"/>
      <c r="AL222" s="97">
        <v>95785</v>
      </c>
      <c r="AM222" s="125"/>
      <c r="AN222" s="97"/>
      <c r="AO222" s="313"/>
      <c r="AP222" s="97"/>
      <c r="AQ222" s="97"/>
      <c r="AR222" s="97"/>
      <c r="AS222" s="97"/>
      <c r="AT222" s="97"/>
      <c r="AU222" s="97"/>
      <c r="AV222" s="98"/>
      <c r="AW222" s="105"/>
    </row>
    <row r="223" spans="1:49" s="203" customFormat="1" ht="52.5" customHeight="1" x14ac:dyDescent="0.2">
      <c r="A223" s="167"/>
      <c r="B223" s="206"/>
      <c r="C223" s="214"/>
      <c r="D223" s="164"/>
      <c r="E223" s="424" t="s">
        <v>536</v>
      </c>
      <c r="F223" s="299">
        <v>208261</v>
      </c>
      <c r="G223" s="97">
        <f t="shared" si="204"/>
        <v>208261</v>
      </c>
      <c r="H223" s="299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125"/>
      <c r="AF223" s="125"/>
      <c r="AG223" s="125"/>
      <c r="AH223" s="125"/>
      <c r="AI223" s="125"/>
      <c r="AJ223" s="125"/>
      <c r="AK223" s="125"/>
      <c r="AL223" s="125">
        <v>208261</v>
      </c>
      <c r="AM223" s="125"/>
      <c r="AN223" s="97"/>
      <c r="AO223" s="313"/>
      <c r="AP223" s="125"/>
      <c r="AQ223" s="125"/>
      <c r="AR223" s="125"/>
      <c r="AS223" s="125"/>
      <c r="AT223" s="125"/>
      <c r="AU223" s="125"/>
      <c r="AV223" s="98"/>
      <c r="AW223" s="105"/>
    </row>
    <row r="224" spans="1:49" ht="13.5" thickBot="1" x14ac:dyDescent="0.25">
      <c r="A224" s="167"/>
      <c r="B224" s="145"/>
      <c r="C224" s="487"/>
      <c r="D224" s="488"/>
      <c r="E224" s="425"/>
      <c r="F224" s="300"/>
      <c r="G224" s="84"/>
      <c r="H224" s="300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84"/>
      <c r="AO224" s="314"/>
      <c r="AP224" s="124"/>
      <c r="AQ224" s="124"/>
      <c r="AR224" s="124"/>
      <c r="AS224" s="124"/>
      <c r="AT224" s="124"/>
      <c r="AU224" s="124"/>
      <c r="AV224" s="85"/>
      <c r="AW224" s="106"/>
    </row>
    <row r="225" spans="1:49" ht="12.75" thickBot="1" x14ac:dyDescent="0.25">
      <c r="A225" s="226"/>
      <c r="B225" s="486" t="s">
        <v>22</v>
      </c>
      <c r="C225" s="486"/>
      <c r="D225" s="223" t="s">
        <v>23</v>
      </c>
      <c r="E225" s="423"/>
      <c r="F225" s="301">
        <v>5922231</v>
      </c>
      <c r="G225" s="417">
        <f t="shared" ref="G225" si="205">SUM(I225,U225,AD225,AL225,AN225)</f>
        <v>5925155</v>
      </c>
      <c r="H225" s="301">
        <f>SUM(H226:H252)</f>
        <v>4728324</v>
      </c>
      <c r="I225" s="7">
        <f>SUM(I226:I252)</f>
        <v>4729467</v>
      </c>
      <c r="J225" s="7">
        <f t="shared" ref="J225:AL225" si="206">SUM(J226:J252)</f>
        <v>1143</v>
      </c>
      <c r="K225" s="7">
        <f t="shared" si="206"/>
        <v>0</v>
      </c>
      <c r="L225" s="7">
        <f t="shared" ref="L225" si="207">SUM(L226:L252)</f>
        <v>0</v>
      </c>
      <c r="M225" s="7">
        <f t="shared" ref="M225" si="208">SUM(M226:M252)</f>
        <v>0</v>
      </c>
      <c r="N225" s="7">
        <f t="shared" si="206"/>
        <v>1143</v>
      </c>
      <c r="O225" s="7">
        <f t="shared" si="206"/>
        <v>0</v>
      </c>
      <c r="P225" s="7">
        <f t="shared" si="206"/>
        <v>0</v>
      </c>
      <c r="Q225" s="7">
        <f t="shared" si="206"/>
        <v>0</v>
      </c>
      <c r="R225" s="7">
        <f t="shared" si="206"/>
        <v>0</v>
      </c>
      <c r="S225" s="7">
        <f t="shared" si="206"/>
        <v>0</v>
      </c>
      <c r="T225" s="7">
        <f t="shared" ref="T225" si="209">SUM(T226:T252)</f>
        <v>194430</v>
      </c>
      <c r="U225" s="7">
        <f t="shared" si="206"/>
        <v>194430</v>
      </c>
      <c r="V225" s="7">
        <f t="shared" si="206"/>
        <v>0</v>
      </c>
      <c r="W225" s="7">
        <f t="shared" si="206"/>
        <v>0</v>
      </c>
      <c r="X225" s="7">
        <f t="shared" si="206"/>
        <v>0</v>
      </c>
      <c r="Y225" s="7">
        <f t="shared" si="206"/>
        <v>0</v>
      </c>
      <c r="Z225" s="7">
        <f t="shared" si="206"/>
        <v>0</v>
      </c>
      <c r="AA225" s="7">
        <f t="shared" si="206"/>
        <v>0</v>
      </c>
      <c r="AB225" s="7">
        <f t="shared" si="206"/>
        <v>0</v>
      </c>
      <c r="AC225" s="7">
        <f t="shared" ref="AC225" si="210">SUM(AC226:AC252)</f>
        <v>642276</v>
      </c>
      <c r="AD225" s="7">
        <f t="shared" si="206"/>
        <v>643403</v>
      </c>
      <c r="AE225" s="7">
        <f t="shared" si="206"/>
        <v>1127</v>
      </c>
      <c r="AF225" s="7">
        <f t="shared" si="206"/>
        <v>0</v>
      </c>
      <c r="AG225" s="7">
        <f t="shared" si="206"/>
        <v>1127</v>
      </c>
      <c r="AH225" s="7">
        <f t="shared" si="206"/>
        <v>0</v>
      </c>
      <c r="AI225" s="7">
        <f t="shared" si="206"/>
        <v>0</v>
      </c>
      <c r="AJ225" s="7">
        <f t="shared" si="206"/>
        <v>0</v>
      </c>
      <c r="AK225" s="7">
        <f t="shared" si="206"/>
        <v>0</v>
      </c>
      <c r="AL225" s="7">
        <f t="shared" si="206"/>
        <v>348605</v>
      </c>
      <c r="AM225" s="7">
        <f t="shared" ref="AM225" si="211">SUM(AM226:AM252)</f>
        <v>8596</v>
      </c>
      <c r="AN225" s="7">
        <f>SUM(AN226:AN252)</f>
        <v>9250</v>
      </c>
      <c r="AO225" s="319">
        <f t="shared" ref="AO225" si="212">SUM(AO226:AO252)</f>
        <v>654</v>
      </c>
      <c r="AP225" s="7">
        <f t="shared" ref="AP225:AU225" si="213">SUM(AP226:AP252)</f>
        <v>654</v>
      </c>
      <c r="AQ225" s="7">
        <f t="shared" si="213"/>
        <v>0</v>
      </c>
      <c r="AR225" s="7">
        <f t="shared" si="213"/>
        <v>0</v>
      </c>
      <c r="AS225" s="7">
        <f t="shared" si="213"/>
        <v>0</v>
      </c>
      <c r="AT225" s="7">
        <f t="shared" si="213"/>
        <v>0</v>
      </c>
      <c r="AU225" s="7">
        <f t="shared" si="213"/>
        <v>0</v>
      </c>
      <c r="AV225" s="11"/>
      <c r="AW225" s="107"/>
    </row>
    <row r="226" spans="1:49" s="216" customFormat="1" ht="48.75" thickTop="1" x14ac:dyDescent="0.2">
      <c r="A226" s="167">
        <v>90000056357</v>
      </c>
      <c r="B226" s="225"/>
      <c r="C226" s="476" t="s">
        <v>5</v>
      </c>
      <c r="D226" s="477"/>
      <c r="E226" s="426" t="s">
        <v>599</v>
      </c>
      <c r="F226" s="299">
        <v>848</v>
      </c>
      <c r="G226" s="97">
        <f t="shared" ref="G226:G251" si="214">SUM(I226,U226,AD226,AL226,AN226)</f>
        <v>848</v>
      </c>
      <c r="H226" s="299">
        <f>848</f>
        <v>848</v>
      </c>
      <c r="I226" s="97">
        <f t="shared" ref="I226:I249" si="215">H226+J226</f>
        <v>848</v>
      </c>
      <c r="J226" s="97">
        <f t="shared" ref="J226:J249" si="216">SUM(K226:S226)</f>
        <v>0</v>
      </c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>
        <f t="shared" ref="AD226:AD229" si="217">AE226+AC226</f>
        <v>0</v>
      </c>
      <c r="AE226" s="125">
        <f t="shared" ref="AE226:AE229" si="218">SUM(AF226:AK226)</f>
        <v>0</v>
      </c>
      <c r="AF226" s="125"/>
      <c r="AG226" s="125"/>
      <c r="AH226" s="125"/>
      <c r="AI226" s="125"/>
      <c r="AJ226" s="125"/>
      <c r="AK226" s="125"/>
      <c r="AL226" s="125"/>
      <c r="AM226" s="125"/>
      <c r="AN226" s="97"/>
      <c r="AO226" s="313"/>
      <c r="AP226" s="125"/>
      <c r="AQ226" s="125"/>
      <c r="AR226" s="125"/>
      <c r="AS226" s="125"/>
      <c r="AT226" s="125"/>
      <c r="AU226" s="125"/>
      <c r="AV226" s="98" t="s">
        <v>649</v>
      </c>
      <c r="AW226" s="106"/>
    </row>
    <row r="227" spans="1:49" ht="12.75" x14ac:dyDescent="0.2">
      <c r="A227" s="167">
        <v>90000594245</v>
      </c>
      <c r="B227" s="119"/>
      <c r="C227" s="447" t="s">
        <v>24</v>
      </c>
      <c r="D227" s="448"/>
      <c r="E227" s="227" t="s">
        <v>240</v>
      </c>
      <c r="F227" s="299">
        <v>739626</v>
      </c>
      <c r="G227" s="97">
        <f t="shared" si="214"/>
        <v>739626</v>
      </c>
      <c r="H227" s="299">
        <f>739626</f>
        <v>739626</v>
      </c>
      <c r="I227" s="97">
        <f t="shared" si="215"/>
        <v>739626</v>
      </c>
      <c r="J227" s="97">
        <f t="shared" si="216"/>
        <v>0</v>
      </c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>
        <f t="shared" si="217"/>
        <v>0</v>
      </c>
      <c r="AE227" s="125">
        <f t="shared" si="218"/>
        <v>0</v>
      </c>
      <c r="AF227" s="125"/>
      <c r="AG227" s="125"/>
      <c r="AH227" s="125"/>
      <c r="AI227" s="125"/>
      <c r="AJ227" s="125"/>
      <c r="AK227" s="125"/>
      <c r="AL227" s="125"/>
      <c r="AM227" s="125"/>
      <c r="AN227" s="97"/>
      <c r="AO227" s="313"/>
      <c r="AP227" s="125"/>
      <c r="AQ227" s="125"/>
      <c r="AR227" s="125"/>
      <c r="AS227" s="125"/>
      <c r="AT227" s="125"/>
      <c r="AU227" s="125"/>
      <c r="AV227" s="98" t="s">
        <v>693</v>
      </c>
      <c r="AW227" s="105"/>
    </row>
    <row r="228" spans="1:49" s="216" customFormat="1" ht="27" customHeight="1" x14ac:dyDescent="0.2">
      <c r="A228" s="167"/>
      <c r="B228" s="119"/>
      <c r="C228" s="214"/>
      <c r="D228" s="215"/>
      <c r="E228" s="227" t="s">
        <v>273</v>
      </c>
      <c r="F228" s="299">
        <v>170896</v>
      </c>
      <c r="G228" s="97">
        <f t="shared" si="214"/>
        <v>170896</v>
      </c>
      <c r="H228" s="299">
        <f>14896</f>
        <v>14896</v>
      </c>
      <c r="I228" s="97">
        <f t="shared" si="215"/>
        <v>14896</v>
      </c>
      <c r="J228" s="97">
        <f t="shared" si="216"/>
        <v>0</v>
      </c>
      <c r="K228" s="97"/>
      <c r="L228" s="97"/>
      <c r="M228" s="97"/>
      <c r="N228" s="97"/>
      <c r="O228" s="97"/>
      <c r="P228" s="97"/>
      <c r="Q228" s="97"/>
      <c r="R228" s="97"/>
      <c r="S228" s="97"/>
      <c r="T228" s="97">
        <f>156000</f>
        <v>156000</v>
      </c>
      <c r="U228" s="97">
        <f t="shared" ref="U228:U229" si="219">T228+V228</f>
        <v>156000</v>
      </c>
      <c r="V228" s="97">
        <f t="shared" ref="V228:V229" si="220">SUM(W228:AB228)</f>
        <v>0</v>
      </c>
      <c r="W228" s="97"/>
      <c r="X228" s="97"/>
      <c r="Y228" s="97"/>
      <c r="Z228" s="97"/>
      <c r="AA228" s="97"/>
      <c r="AB228" s="97"/>
      <c r="AC228" s="97"/>
      <c r="AD228" s="97">
        <f t="shared" si="217"/>
        <v>0</v>
      </c>
      <c r="AE228" s="125">
        <f t="shared" si="218"/>
        <v>0</v>
      </c>
      <c r="AF228" s="125"/>
      <c r="AG228" s="125"/>
      <c r="AH228" s="125"/>
      <c r="AI228" s="125"/>
      <c r="AJ228" s="125"/>
      <c r="AK228" s="125"/>
      <c r="AL228" s="125"/>
      <c r="AM228" s="125"/>
      <c r="AN228" s="97"/>
      <c r="AO228" s="313"/>
      <c r="AP228" s="125"/>
      <c r="AQ228" s="125"/>
      <c r="AR228" s="125"/>
      <c r="AS228" s="125"/>
      <c r="AT228" s="125"/>
      <c r="AU228" s="125"/>
      <c r="AV228" s="98" t="s">
        <v>477</v>
      </c>
      <c r="AW228" s="105" t="s">
        <v>702</v>
      </c>
    </row>
    <row r="229" spans="1:49" ht="24" x14ac:dyDescent="0.2">
      <c r="A229" s="167"/>
      <c r="B229" s="119"/>
      <c r="C229" s="214"/>
      <c r="D229" s="215"/>
      <c r="E229" s="227" t="s">
        <v>274</v>
      </c>
      <c r="F229" s="299">
        <v>179203</v>
      </c>
      <c r="G229" s="97">
        <f t="shared" si="214"/>
        <v>179203</v>
      </c>
      <c r="H229" s="299">
        <f>170663</f>
        <v>170663</v>
      </c>
      <c r="I229" s="97">
        <f t="shared" si="215"/>
        <v>170663</v>
      </c>
      <c r="J229" s="97">
        <f t="shared" si="216"/>
        <v>0</v>
      </c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f>8540</f>
        <v>8540</v>
      </c>
      <c r="U229" s="97">
        <f t="shared" si="219"/>
        <v>8540</v>
      </c>
      <c r="V229" s="97">
        <f t="shared" si="220"/>
        <v>0</v>
      </c>
      <c r="W229" s="97"/>
      <c r="X229" s="97"/>
      <c r="Y229" s="97"/>
      <c r="Z229" s="97"/>
      <c r="AA229" s="97"/>
      <c r="AB229" s="97"/>
      <c r="AC229" s="97"/>
      <c r="AD229" s="97">
        <f t="shared" si="217"/>
        <v>0</v>
      </c>
      <c r="AE229" s="125">
        <f t="shared" si="218"/>
        <v>0</v>
      </c>
      <c r="AF229" s="125"/>
      <c r="AG229" s="125"/>
      <c r="AH229" s="125"/>
      <c r="AI229" s="125"/>
      <c r="AJ229" s="125"/>
      <c r="AK229" s="125"/>
      <c r="AL229" s="125"/>
      <c r="AM229" s="125"/>
      <c r="AN229" s="97"/>
      <c r="AO229" s="313"/>
      <c r="AP229" s="125"/>
      <c r="AQ229" s="125"/>
      <c r="AR229" s="125"/>
      <c r="AS229" s="125"/>
      <c r="AT229" s="125"/>
      <c r="AU229" s="125"/>
      <c r="AV229" s="98" t="s">
        <v>478</v>
      </c>
      <c r="AW229" s="105" t="s">
        <v>702</v>
      </c>
    </row>
    <row r="230" spans="1:49" ht="24" x14ac:dyDescent="0.2">
      <c r="A230" s="167"/>
      <c r="B230" s="119"/>
      <c r="C230" s="214"/>
      <c r="D230" s="215"/>
      <c r="E230" s="227" t="s">
        <v>275</v>
      </c>
      <c r="F230" s="299">
        <v>342750</v>
      </c>
      <c r="G230" s="97">
        <f t="shared" si="214"/>
        <v>342750</v>
      </c>
      <c r="H230" s="299">
        <f>340614</f>
        <v>340614</v>
      </c>
      <c r="I230" s="97">
        <f t="shared" si="215"/>
        <v>340614</v>
      </c>
      <c r="J230" s="97">
        <f t="shared" si="216"/>
        <v>0</v>
      </c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>
        <v>2136</v>
      </c>
      <c r="AD230" s="97">
        <f>AE230+AC230</f>
        <v>2136</v>
      </c>
      <c r="AE230" s="125">
        <f t="shared" ref="AE230:AE249" si="221">SUM(AF230:AK230)</f>
        <v>0</v>
      </c>
      <c r="AF230" s="125"/>
      <c r="AG230" s="125"/>
      <c r="AH230" s="125"/>
      <c r="AI230" s="125"/>
      <c r="AJ230" s="125"/>
      <c r="AK230" s="125"/>
      <c r="AL230" s="125"/>
      <c r="AM230" s="125"/>
      <c r="AN230" s="97"/>
      <c r="AO230" s="313"/>
      <c r="AP230" s="125"/>
      <c r="AQ230" s="125"/>
      <c r="AR230" s="125"/>
      <c r="AS230" s="125"/>
      <c r="AT230" s="125"/>
      <c r="AU230" s="125"/>
      <c r="AV230" s="98" t="s">
        <v>479</v>
      </c>
      <c r="AW230" s="105" t="s">
        <v>703</v>
      </c>
    </row>
    <row r="231" spans="1:49" ht="24" x14ac:dyDescent="0.2">
      <c r="A231" s="167"/>
      <c r="B231" s="119"/>
      <c r="C231" s="214"/>
      <c r="D231" s="215"/>
      <c r="E231" s="227" t="s">
        <v>276</v>
      </c>
      <c r="F231" s="299">
        <v>455973</v>
      </c>
      <c r="G231" s="97">
        <f t="shared" si="214"/>
        <v>455973</v>
      </c>
      <c r="H231" s="299">
        <f>455973</f>
        <v>455973</v>
      </c>
      <c r="I231" s="97">
        <f t="shared" si="215"/>
        <v>455973</v>
      </c>
      <c r="J231" s="97">
        <f t="shared" si="216"/>
        <v>0</v>
      </c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>
        <f t="shared" ref="AD231:AD235" si="222">AE231+AC231</f>
        <v>0</v>
      </c>
      <c r="AE231" s="125">
        <f t="shared" si="221"/>
        <v>0</v>
      </c>
      <c r="AF231" s="125"/>
      <c r="AG231" s="125"/>
      <c r="AH231" s="125"/>
      <c r="AI231" s="125"/>
      <c r="AJ231" s="125"/>
      <c r="AK231" s="125"/>
      <c r="AL231" s="125"/>
      <c r="AM231" s="125"/>
      <c r="AN231" s="97"/>
      <c r="AO231" s="313"/>
      <c r="AP231" s="125"/>
      <c r="AQ231" s="125"/>
      <c r="AR231" s="125"/>
      <c r="AS231" s="125"/>
      <c r="AT231" s="125"/>
      <c r="AU231" s="125"/>
      <c r="AV231" s="98" t="s">
        <v>480</v>
      </c>
      <c r="AW231" s="105" t="s">
        <v>704</v>
      </c>
    </row>
    <row r="232" spans="1:49" ht="24" x14ac:dyDescent="0.2">
      <c r="A232" s="167"/>
      <c r="B232" s="119"/>
      <c r="C232" s="214"/>
      <c r="D232" s="215"/>
      <c r="E232" s="227" t="s">
        <v>597</v>
      </c>
      <c r="F232" s="299">
        <v>380200</v>
      </c>
      <c r="G232" s="97">
        <f t="shared" si="214"/>
        <v>380200</v>
      </c>
      <c r="H232" s="299">
        <f>380200</f>
        <v>380200</v>
      </c>
      <c r="I232" s="97">
        <f t="shared" si="215"/>
        <v>380200</v>
      </c>
      <c r="J232" s="97">
        <f t="shared" si="216"/>
        <v>0</v>
      </c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>
        <f t="shared" si="222"/>
        <v>0</v>
      </c>
      <c r="AE232" s="125">
        <f t="shared" si="221"/>
        <v>0</v>
      </c>
      <c r="AF232" s="125"/>
      <c r="AG232" s="125"/>
      <c r="AH232" s="125"/>
      <c r="AI232" s="125"/>
      <c r="AJ232" s="125"/>
      <c r="AK232" s="125"/>
      <c r="AL232" s="125"/>
      <c r="AM232" s="125"/>
      <c r="AN232" s="97"/>
      <c r="AO232" s="313"/>
      <c r="AP232" s="125"/>
      <c r="AQ232" s="125"/>
      <c r="AR232" s="125"/>
      <c r="AS232" s="125"/>
      <c r="AT232" s="125"/>
      <c r="AU232" s="125"/>
      <c r="AV232" s="98" t="s">
        <v>481</v>
      </c>
      <c r="AW232" s="105" t="s">
        <v>361</v>
      </c>
    </row>
    <row r="233" spans="1:49" s="216" customFormat="1" ht="36" x14ac:dyDescent="0.2">
      <c r="A233" s="167"/>
      <c r="B233" s="119"/>
      <c r="C233" s="214"/>
      <c r="D233" s="215"/>
      <c r="E233" s="227" t="s">
        <v>596</v>
      </c>
      <c r="F233" s="299">
        <v>470965</v>
      </c>
      <c r="G233" s="97">
        <f t="shared" si="214"/>
        <v>470965</v>
      </c>
      <c r="H233" s="299">
        <f>470965</f>
        <v>470965</v>
      </c>
      <c r="I233" s="97">
        <f t="shared" si="215"/>
        <v>470965</v>
      </c>
      <c r="J233" s="97">
        <f t="shared" si="216"/>
        <v>0</v>
      </c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>
        <f t="shared" si="222"/>
        <v>0</v>
      </c>
      <c r="AE233" s="125">
        <f t="shared" si="221"/>
        <v>0</v>
      </c>
      <c r="AF233" s="125"/>
      <c r="AG233" s="125"/>
      <c r="AH233" s="125"/>
      <c r="AI233" s="125"/>
      <c r="AJ233" s="125"/>
      <c r="AK233" s="125"/>
      <c r="AL233" s="125"/>
      <c r="AM233" s="125"/>
      <c r="AN233" s="97"/>
      <c r="AO233" s="313"/>
      <c r="AP233" s="125"/>
      <c r="AQ233" s="125"/>
      <c r="AR233" s="125"/>
      <c r="AS233" s="125"/>
      <c r="AT233" s="125"/>
      <c r="AU233" s="125"/>
      <c r="AV233" s="98" t="s">
        <v>482</v>
      </c>
      <c r="AW233" s="105" t="s">
        <v>704</v>
      </c>
    </row>
    <row r="234" spans="1:49" s="177" customFormat="1" ht="36" x14ac:dyDescent="0.2">
      <c r="A234" s="167"/>
      <c r="B234" s="119"/>
      <c r="C234" s="178"/>
      <c r="D234" s="179"/>
      <c r="E234" s="227" t="s">
        <v>653</v>
      </c>
      <c r="F234" s="299">
        <v>10529</v>
      </c>
      <c r="G234" s="97">
        <f t="shared" si="214"/>
        <v>10529</v>
      </c>
      <c r="H234" s="299">
        <f>10529</f>
        <v>10529</v>
      </c>
      <c r="I234" s="97">
        <f t="shared" si="215"/>
        <v>10529</v>
      </c>
      <c r="J234" s="97">
        <f t="shared" si="216"/>
        <v>0</v>
      </c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>
        <f t="shared" si="222"/>
        <v>0</v>
      </c>
      <c r="AE234" s="125">
        <f t="shared" si="221"/>
        <v>0</v>
      </c>
      <c r="AF234" s="125"/>
      <c r="AG234" s="125"/>
      <c r="AH234" s="125"/>
      <c r="AI234" s="125"/>
      <c r="AJ234" s="125"/>
      <c r="AK234" s="125"/>
      <c r="AL234" s="125"/>
      <c r="AM234" s="125"/>
      <c r="AN234" s="97"/>
      <c r="AO234" s="313"/>
      <c r="AP234" s="125"/>
      <c r="AQ234" s="125"/>
      <c r="AR234" s="125"/>
      <c r="AS234" s="125"/>
      <c r="AT234" s="125"/>
      <c r="AU234" s="125"/>
      <c r="AV234" s="98" t="s">
        <v>483</v>
      </c>
      <c r="AW234" s="105"/>
    </row>
    <row r="235" spans="1:49" ht="24" x14ac:dyDescent="0.2">
      <c r="A235" s="167"/>
      <c r="B235" s="119"/>
      <c r="C235" s="161"/>
      <c r="D235" s="162"/>
      <c r="E235" s="227" t="s">
        <v>676</v>
      </c>
      <c r="F235" s="299">
        <v>32707</v>
      </c>
      <c r="G235" s="97">
        <f t="shared" si="214"/>
        <v>32707</v>
      </c>
      <c r="H235" s="299">
        <f>32707</f>
        <v>32707</v>
      </c>
      <c r="I235" s="97">
        <f t="shared" si="215"/>
        <v>32707</v>
      </c>
      <c r="J235" s="97">
        <f t="shared" si="216"/>
        <v>0</v>
      </c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>
        <f t="shared" si="222"/>
        <v>0</v>
      </c>
      <c r="AE235" s="125">
        <f t="shared" si="221"/>
        <v>0</v>
      </c>
      <c r="AF235" s="125"/>
      <c r="AG235" s="125"/>
      <c r="AH235" s="125"/>
      <c r="AI235" s="125"/>
      <c r="AJ235" s="125"/>
      <c r="AK235" s="125"/>
      <c r="AL235" s="125"/>
      <c r="AM235" s="125"/>
      <c r="AN235" s="97"/>
      <c r="AO235" s="313"/>
      <c r="AP235" s="125"/>
      <c r="AQ235" s="125"/>
      <c r="AR235" s="125"/>
      <c r="AS235" s="125"/>
      <c r="AT235" s="125"/>
      <c r="AU235" s="125"/>
      <c r="AV235" s="98" t="s">
        <v>663</v>
      </c>
      <c r="AW235" s="105"/>
    </row>
    <row r="236" spans="1:49" ht="24" x14ac:dyDescent="0.2">
      <c r="A236" s="167">
        <v>90001876536</v>
      </c>
      <c r="B236" s="119"/>
      <c r="C236" s="447" t="s">
        <v>200</v>
      </c>
      <c r="D236" s="448"/>
      <c r="E236" s="227" t="s">
        <v>278</v>
      </c>
      <c r="F236" s="299">
        <v>1192241</v>
      </c>
      <c r="G236" s="97">
        <f t="shared" si="214"/>
        <v>1193368</v>
      </c>
      <c r="H236" s="299">
        <f>529443</f>
        <v>529443</v>
      </c>
      <c r="I236" s="97">
        <f t="shared" si="215"/>
        <v>529443</v>
      </c>
      <c r="J236" s="97">
        <f t="shared" si="216"/>
        <v>0</v>
      </c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f>29890</f>
        <v>29890</v>
      </c>
      <c r="U236" s="97">
        <f t="shared" ref="U236" si="223">T236+V236</f>
        <v>29890</v>
      </c>
      <c r="V236" s="97">
        <f>SUM(W236:AB236)</f>
        <v>0</v>
      </c>
      <c r="W236" s="97"/>
      <c r="X236" s="97"/>
      <c r="Y236" s="97"/>
      <c r="Z236" s="97"/>
      <c r="AA236" s="97"/>
      <c r="AB236" s="97"/>
      <c r="AC236" s="97">
        <f>630634</f>
        <v>630634</v>
      </c>
      <c r="AD236" s="97">
        <f t="shared" ref="AD236:AD243" si="224">AE236+AC236</f>
        <v>631761</v>
      </c>
      <c r="AE236" s="125">
        <f t="shared" si="221"/>
        <v>1127</v>
      </c>
      <c r="AF236" s="125"/>
      <c r="AG236" s="125">
        <v>1127</v>
      </c>
      <c r="AH236" s="125"/>
      <c r="AI236" s="125"/>
      <c r="AJ236" s="125"/>
      <c r="AK236" s="125"/>
      <c r="AL236" s="125"/>
      <c r="AM236" s="125">
        <v>2274</v>
      </c>
      <c r="AN236" s="97">
        <f>AM236+AO236</f>
        <v>2274</v>
      </c>
      <c r="AO236" s="313">
        <f t="shared" ref="AO236:AO246" si="225">SUM(AP236:AU236)</f>
        <v>0</v>
      </c>
      <c r="AP236" s="125"/>
      <c r="AQ236" s="125"/>
      <c r="AR236" s="125"/>
      <c r="AS236" s="125"/>
      <c r="AT236" s="125"/>
      <c r="AU236" s="125"/>
      <c r="AV236" s="98" t="s">
        <v>484</v>
      </c>
      <c r="AW236" s="105"/>
    </row>
    <row r="237" spans="1:49" ht="36" x14ac:dyDescent="0.2">
      <c r="A237" s="167"/>
      <c r="B237" s="119"/>
      <c r="C237" s="161"/>
      <c r="D237" s="162"/>
      <c r="E237" s="227" t="s">
        <v>279</v>
      </c>
      <c r="F237" s="299">
        <v>27755</v>
      </c>
      <c r="G237" s="97">
        <f t="shared" si="214"/>
        <v>27755</v>
      </c>
      <c r="H237" s="299">
        <f>24194</f>
        <v>24194</v>
      </c>
      <c r="I237" s="97">
        <f t="shared" si="215"/>
        <v>24194</v>
      </c>
      <c r="J237" s="97">
        <f t="shared" si="216"/>
        <v>0</v>
      </c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>
        <v>3561</v>
      </c>
      <c r="AD237" s="97">
        <f t="shared" si="224"/>
        <v>3561</v>
      </c>
      <c r="AE237" s="125">
        <f t="shared" si="221"/>
        <v>0</v>
      </c>
      <c r="AF237" s="125"/>
      <c r="AG237" s="125"/>
      <c r="AH237" s="125"/>
      <c r="AI237" s="125"/>
      <c r="AJ237" s="125"/>
      <c r="AK237" s="125"/>
      <c r="AL237" s="125"/>
      <c r="AM237" s="125"/>
      <c r="AN237" s="97"/>
      <c r="AO237" s="313"/>
      <c r="AP237" s="125"/>
      <c r="AQ237" s="125"/>
      <c r="AR237" s="125"/>
      <c r="AS237" s="125"/>
      <c r="AT237" s="125"/>
      <c r="AU237" s="125"/>
      <c r="AV237" s="98" t="s">
        <v>485</v>
      </c>
      <c r="AW237" s="105"/>
    </row>
    <row r="238" spans="1:49" ht="12.75" x14ac:dyDescent="0.2">
      <c r="A238" s="167"/>
      <c r="B238" s="119"/>
      <c r="C238" s="161"/>
      <c r="D238" s="162"/>
      <c r="E238" s="227" t="s">
        <v>358</v>
      </c>
      <c r="F238" s="299">
        <v>32245</v>
      </c>
      <c r="G238" s="97">
        <f t="shared" si="214"/>
        <v>32245</v>
      </c>
      <c r="H238" s="299">
        <f>32245</f>
        <v>32245</v>
      </c>
      <c r="I238" s="97">
        <f t="shared" si="215"/>
        <v>32245</v>
      </c>
      <c r="J238" s="97">
        <f t="shared" si="216"/>
        <v>0</v>
      </c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>
        <f t="shared" si="224"/>
        <v>0</v>
      </c>
      <c r="AE238" s="125">
        <f t="shared" si="221"/>
        <v>0</v>
      </c>
      <c r="AF238" s="125"/>
      <c r="AG238" s="125"/>
      <c r="AH238" s="125"/>
      <c r="AI238" s="125"/>
      <c r="AJ238" s="125"/>
      <c r="AK238" s="125"/>
      <c r="AL238" s="125"/>
      <c r="AM238" s="125"/>
      <c r="AN238" s="97"/>
      <c r="AO238" s="313"/>
      <c r="AP238" s="125"/>
      <c r="AQ238" s="125"/>
      <c r="AR238" s="125"/>
      <c r="AS238" s="125"/>
      <c r="AT238" s="125"/>
      <c r="AU238" s="125"/>
      <c r="AV238" s="98" t="s">
        <v>486</v>
      </c>
      <c r="AW238" s="105"/>
    </row>
    <row r="239" spans="1:49" ht="24" x14ac:dyDescent="0.2">
      <c r="A239" s="167"/>
      <c r="B239" s="119"/>
      <c r="C239" s="161"/>
      <c r="D239" s="162"/>
      <c r="E239" s="227" t="s">
        <v>282</v>
      </c>
      <c r="F239" s="299">
        <v>10500</v>
      </c>
      <c r="G239" s="97">
        <f t="shared" si="214"/>
        <v>10500</v>
      </c>
      <c r="H239" s="299">
        <f>10500</f>
        <v>10500</v>
      </c>
      <c r="I239" s="97">
        <f t="shared" si="215"/>
        <v>10500</v>
      </c>
      <c r="J239" s="97">
        <f t="shared" si="216"/>
        <v>0</v>
      </c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>
        <f t="shared" si="224"/>
        <v>0</v>
      </c>
      <c r="AE239" s="125">
        <f t="shared" si="221"/>
        <v>0</v>
      </c>
      <c r="AF239" s="125"/>
      <c r="AG239" s="125"/>
      <c r="AH239" s="125"/>
      <c r="AI239" s="125"/>
      <c r="AJ239" s="125"/>
      <c r="AK239" s="125"/>
      <c r="AL239" s="125"/>
      <c r="AM239" s="125"/>
      <c r="AN239" s="97"/>
      <c r="AO239" s="313"/>
      <c r="AP239" s="125"/>
      <c r="AQ239" s="125"/>
      <c r="AR239" s="125"/>
      <c r="AS239" s="125"/>
      <c r="AT239" s="125"/>
      <c r="AU239" s="125"/>
      <c r="AV239" s="98" t="s">
        <v>487</v>
      </c>
      <c r="AW239" s="105"/>
    </row>
    <row r="240" spans="1:49" ht="12.75" x14ac:dyDescent="0.2">
      <c r="A240" s="167"/>
      <c r="B240" s="119"/>
      <c r="C240" s="161"/>
      <c r="D240" s="162"/>
      <c r="E240" s="227" t="s">
        <v>280</v>
      </c>
      <c r="F240" s="299">
        <v>85885</v>
      </c>
      <c r="G240" s="97">
        <f t="shared" si="214"/>
        <v>85885</v>
      </c>
      <c r="H240" s="299">
        <f>85885</f>
        <v>85885</v>
      </c>
      <c r="I240" s="97">
        <f t="shared" si="215"/>
        <v>85885</v>
      </c>
      <c r="J240" s="97">
        <f t="shared" si="216"/>
        <v>0</v>
      </c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>
        <f t="shared" si="224"/>
        <v>0</v>
      </c>
      <c r="AE240" s="125">
        <f t="shared" si="221"/>
        <v>0</v>
      </c>
      <c r="AF240" s="125"/>
      <c r="AG240" s="125"/>
      <c r="AH240" s="125"/>
      <c r="AI240" s="125"/>
      <c r="AJ240" s="125"/>
      <c r="AK240" s="125"/>
      <c r="AL240" s="125"/>
      <c r="AM240" s="125"/>
      <c r="AN240" s="97"/>
      <c r="AO240" s="313"/>
      <c r="AP240" s="125"/>
      <c r="AQ240" s="125"/>
      <c r="AR240" s="125"/>
      <c r="AS240" s="125"/>
      <c r="AT240" s="125"/>
      <c r="AU240" s="125"/>
      <c r="AV240" s="98" t="s">
        <v>488</v>
      </c>
      <c r="AW240" s="105"/>
    </row>
    <row r="241" spans="1:49" ht="24" x14ac:dyDescent="0.2">
      <c r="A241" s="167"/>
      <c r="B241" s="119"/>
      <c r="C241" s="161"/>
      <c r="D241" s="162"/>
      <c r="E241" s="227" t="s">
        <v>652</v>
      </c>
      <c r="F241" s="299">
        <v>368615</v>
      </c>
      <c r="G241" s="97">
        <f t="shared" si="214"/>
        <v>368615</v>
      </c>
      <c r="H241" s="299">
        <f>368615</f>
        <v>368615</v>
      </c>
      <c r="I241" s="97">
        <f t="shared" si="215"/>
        <v>368615</v>
      </c>
      <c r="J241" s="97">
        <f t="shared" si="216"/>
        <v>0</v>
      </c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>
        <f t="shared" si="224"/>
        <v>0</v>
      </c>
      <c r="AE241" s="125">
        <f t="shared" si="221"/>
        <v>0</v>
      </c>
      <c r="AF241" s="125"/>
      <c r="AG241" s="125"/>
      <c r="AH241" s="125"/>
      <c r="AI241" s="125"/>
      <c r="AJ241" s="125"/>
      <c r="AK241" s="125"/>
      <c r="AL241" s="125"/>
      <c r="AM241" s="125"/>
      <c r="AN241" s="97"/>
      <c r="AO241" s="313"/>
      <c r="AP241" s="125"/>
      <c r="AQ241" s="125"/>
      <c r="AR241" s="125"/>
      <c r="AS241" s="125"/>
      <c r="AT241" s="125"/>
      <c r="AU241" s="125"/>
      <c r="AV241" s="98" t="s">
        <v>489</v>
      </c>
      <c r="AW241" s="105"/>
    </row>
    <row r="242" spans="1:49" ht="24" x14ac:dyDescent="0.2">
      <c r="A242" s="167"/>
      <c r="B242" s="119"/>
      <c r="C242" s="161"/>
      <c r="D242" s="162"/>
      <c r="E242" s="227" t="s">
        <v>281</v>
      </c>
      <c r="F242" s="299">
        <v>42976</v>
      </c>
      <c r="G242" s="97">
        <f t="shared" si="214"/>
        <v>42976</v>
      </c>
      <c r="H242" s="299">
        <f>42976</f>
        <v>42976</v>
      </c>
      <c r="I242" s="97">
        <f t="shared" si="215"/>
        <v>42976</v>
      </c>
      <c r="J242" s="97">
        <f t="shared" si="216"/>
        <v>0</v>
      </c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>
        <f t="shared" si="224"/>
        <v>0</v>
      </c>
      <c r="AE242" s="125">
        <f t="shared" si="221"/>
        <v>0</v>
      </c>
      <c r="AF242" s="125"/>
      <c r="AG242" s="125"/>
      <c r="AH242" s="125"/>
      <c r="AI242" s="125"/>
      <c r="AJ242" s="125"/>
      <c r="AK242" s="125"/>
      <c r="AL242" s="125"/>
      <c r="AM242" s="125"/>
      <c r="AN242" s="97"/>
      <c r="AO242" s="313"/>
      <c r="AP242" s="125"/>
      <c r="AQ242" s="125"/>
      <c r="AR242" s="125"/>
      <c r="AS242" s="125"/>
      <c r="AT242" s="125"/>
      <c r="AU242" s="125"/>
      <c r="AV242" s="98" t="s">
        <v>490</v>
      </c>
      <c r="AW242" s="105"/>
    </row>
    <row r="243" spans="1:49" s="174" customFormat="1" ht="24" x14ac:dyDescent="0.2">
      <c r="A243" s="167"/>
      <c r="B243" s="119"/>
      <c r="C243" s="175"/>
      <c r="D243" s="176"/>
      <c r="E243" s="227" t="s">
        <v>506</v>
      </c>
      <c r="F243" s="299">
        <v>31630</v>
      </c>
      <c r="G243" s="97">
        <f t="shared" si="214"/>
        <v>31630</v>
      </c>
      <c r="H243" s="299">
        <f>31630</f>
        <v>31630</v>
      </c>
      <c r="I243" s="97">
        <f t="shared" si="215"/>
        <v>31630</v>
      </c>
      <c r="J243" s="97">
        <f t="shared" si="216"/>
        <v>0</v>
      </c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>
        <f t="shared" si="224"/>
        <v>0</v>
      </c>
      <c r="AE243" s="125">
        <f t="shared" si="221"/>
        <v>0</v>
      </c>
      <c r="AF243" s="125"/>
      <c r="AG243" s="125"/>
      <c r="AH243" s="125"/>
      <c r="AI243" s="125"/>
      <c r="AJ243" s="125"/>
      <c r="AK243" s="125"/>
      <c r="AL243" s="125"/>
      <c r="AM243" s="125"/>
      <c r="AN243" s="97"/>
      <c r="AO243" s="313"/>
      <c r="AP243" s="125"/>
      <c r="AQ243" s="125"/>
      <c r="AR243" s="125"/>
      <c r="AS243" s="125"/>
      <c r="AT243" s="125"/>
      <c r="AU243" s="125"/>
      <c r="AV243" s="98" t="s">
        <v>665</v>
      </c>
      <c r="AW243" s="105"/>
    </row>
    <row r="244" spans="1:49" s="155" customFormat="1" ht="48" x14ac:dyDescent="0.2">
      <c r="A244" s="167"/>
      <c r="B244" s="119"/>
      <c r="C244" s="161"/>
      <c r="D244" s="162"/>
      <c r="E244" s="227" t="s">
        <v>359</v>
      </c>
      <c r="F244" s="299">
        <v>186887</v>
      </c>
      <c r="G244" s="97">
        <f t="shared" si="214"/>
        <v>186887</v>
      </c>
      <c r="H244" s="299">
        <f>185242</f>
        <v>185242</v>
      </c>
      <c r="I244" s="97">
        <f t="shared" si="215"/>
        <v>185242</v>
      </c>
      <c r="J244" s="97">
        <f t="shared" si="216"/>
        <v>0</v>
      </c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>
        <v>1645</v>
      </c>
      <c r="AD244" s="97">
        <f>AE244+AC244</f>
        <v>1645</v>
      </c>
      <c r="AE244" s="125">
        <f t="shared" si="221"/>
        <v>0</v>
      </c>
      <c r="AF244" s="125"/>
      <c r="AG244" s="125"/>
      <c r="AH244" s="125"/>
      <c r="AI244" s="125"/>
      <c r="AJ244" s="125"/>
      <c r="AK244" s="125"/>
      <c r="AL244" s="125"/>
      <c r="AM244" s="125"/>
      <c r="AN244" s="97"/>
      <c r="AO244" s="313"/>
      <c r="AP244" s="125"/>
      <c r="AQ244" s="125"/>
      <c r="AR244" s="125"/>
      <c r="AS244" s="125"/>
      <c r="AT244" s="125"/>
      <c r="AU244" s="125"/>
      <c r="AV244" s="98" t="s">
        <v>491</v>
      </c>
      <c r="AW244" s="105"/>
    </row>
    <row r="245" spans="1:49" ht="48" x14ac:dyDescent="0.2">
      <c r="A245" s="167"/>
      <c r="B245" s="119"/>
      <c r="C245" s="161"/>
      <c r="D245" s="162"/>
      <c r="E245" s="227" t="s">
        <v>672</v>
      </c>
      <c r="F245" s="299">
        <v>63079</v>
      </c>
      <c r="G245" s="97">
        <f t="shared" si="214"/>
        <v>64070</v>
      </c>
      <c r="H245" s="299">
        <f>63079</f>
        <v>63079</v>
      </c>
      <c r="I245" s="97">
        <f t="shared" si="215"/>
        <v>64070</v>
      </c>
      <c r="J245" s="97">
        <f t="shared" si="216"/>
        <v>991</v>
      </c>
      <c r="K245" s="97"/>
      <c r="L245" s="97"/>
      <c r="M245" s="97"/>
      <c r="N245" s="97">
        <v>991</v>
      </c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>
        <f>AE245+AC245</f>
        <v>0</v>
      </c>
      <c r="AE245" s="125">
        <f>SUM(AF245:AK245)</f>
        <v>0</v>
      </c>
      <c r="AF245" s="125"/>
      <c r="AG245" s="125"/>
      <c r="AH245" s="125"/>
      <c r="AI245" s="125"/>
      <c r="AJ245" s="125"/>
      <c r="AK245" s="125"/>
      <c r="AL245" s="125"/>
      <c r="AM245" s="125"/>
      <c r="AN245" s="97"/>
      <c r="AO245" s="313"/>
      <c r="AP245" s="125"/>
      <c r="AQ245" s="125"/>
      <c r="AR245" s="125"/>
      <c r="AS245" s="125"/>
      <c r="AT245" s="125"/>
      <c r="AU245" s="125"/>
      <c r="AV245" s="98" t="s">
        <v>666</v>
      </c>
      <c r="AW245" s="105"/>
    </row>
    <row r="246" spans="1:49" ht="24" x14ac:dyDescent="0.2">
      <c r="A246" s="167">
        <v>90001868844</v>
      </c>
      <c r="B246" s="119"/>
      <c r="C246" s="447" t="s">
        <v>201</v>
      </c>
      <c r="D246" s="448"/>
      <c r="E246" s="227" t="s">
        <v>251</v>
      </c>
      <c r="F246" s="299">
        <v>596329</v>
      </c>
      <c r="G246" s="97">
        <f t="shared" si="214"/>
        <v>597111</v>
      </c>
      <c r="H246" s="299">
        <f>585707</f>
        <v>585707</v>
      </c>
      <c r="I246" s="97">
        <f t="shared" si="215"/>
        <v>585835</v>
      </c>
      <c r="J246" s="97">
        <f t="shared" si="216"/>
        <v>128</v>
      </c>
      <c r="K246" s="97"/>
      <c r="L246" s="97"/>
      <c r="M246" s="97"/>
      <c r="N246" s="97">
        <v>128</v>
      </c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>
        <v>4300</v>
      </c>
      <c r="AD246" s="97">
        <f>AE246+AC246</f>
        <v>4300</v>
      </c>
      <c r="AE246" s="125">
        <f t="shared" si="221"/>
        <v>0</v>
      </c>
      <c r="AF246" s="125"/>
      <c r="AG246" s="125"/>
      <c r="AH246" s="125"/>
      <c r="AI246" s="125"/>
      <c r="AJ246" s="125"/>
      <c r="AK246" s="125"/>
      <c r="AL246" s="125"/>
      <c r="AM246" s="125">
        <f>6322</f>
        <v>6322</v>
      </c>
      <c r="AN246" s="97">
        <f>AM246+AO246</f>
        <v>6976</v>
      </c>
      <c r="AO246" s="313">
        <f t="shared" si="225"/>
        <v>654</v>
      </c>
      <c r="AP246" s="125">
        <v>654</v>
      </c>
      <c r="AQ246" s="125"/>
      <c r="AR246" s="125"/>
      <c r="AS246" s="125"/>
      <c r="AT246" s="125"/>
      <c r="AU246" s="125"/>
      <c r="AV246" s="98" t="s">
        <v>492</v>
      </c>
      <c r="AW246" s="105"/>
    </row>
    <row r="247" spans="1:49" ht="24" x14ac:dyDescent="0.2">
      <c r="A247" s="167"/>
      <c r="B247" s="119"/>
      <c r="C247" s="161"/>
      <c r="D247" s="162"/>
      <c r="E247" s="227" t="s">
        <v>282</v>
      </c>
      <c r="F247" s="299">
        <v>1770</v>
      </c>
      <c r="G247" s="97">
        <f t="shared" si="214"/>
        <v>1770</v>
      </c>
      <c r="H247" s="299">
        <f>1770</f>
        <v>1770</v>
      </c>
      <c r="I247" s="97">
        <f t="shared" si="215"/>
        <v>1770</v>
      </c>
      <c r="J247" s="97">
        <f t="shared" si="216"/>
        <v>0</v>
      </c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>
        <f t="shared" ref="AD247:AD249" si="226">AE247+AC247</f>
        <v>0</v>
      </c>
      <c r="AE247" s="125">
        <f t="shared" si="221"/>
        <v>0</v>
      </c>
      <c r="AF247" s="97"/>
      <c r="AG247" s="97"/>
      <c r="AH247" s="97"/>
      <c r="AI247" s="97"/>
      <c r="AJ247" s="97"/>
      <c r="AK247" s="97"/>
      <c r="AL247" s="97"/>
      <c r="AM247" s="125"/>
      <c r="AN247" s="97"/>
      <c r="AO247" s="313"/>
      <c r="AP247" s="97"/>
      <c r="AQ247" s="97"/>
      <c r="AR247" s="97"/>
      <c r="AS247" s="97"/>
      <c r="AT247" s="97"/>
      <c r="AU247" s="97"/>
      <c r="AV247" s="98" t="s">
        <v>493</v>
      </c>
      <c r="AW247" s="105"/>
    </row>
    <row r="248" spans="1:49" ht="24" x14ac:dyDescent="0.2">
      <c r="A248" s="167">
        <v>90000091456</v>
      </c>
      <c r="B248" s="119"/>
      <c r="C248" s="447" t="s">
        <v>259</v>
      </c>
      <c r="D248" s="448"/>
      <c r="E248" s="227" t="s">
        <v>252</v>
      </c>
      <c r="F248" s="299">
        <v>134178</v>
      </c>
      <c r="G248" s="97">
        <f t="shared" si="214"/>
        <v>134202</v>
      </c>
      <c r="H248" s="299">
        <f>134178</f>
        <v>134178</v>
      </c>
      <c r="I248" s="97">
        <f t="shared" si="215"/>
        <v>134202</v>
      </c>
      <c r="J248" s="97">
        <f t="shared" si="216"/>
        <v>24</v>
      </c>
      <c r="K248" s="97"/>
      <c r="L248" s="97"/>
      <c r="M248" s="97"/>
      <c r="N248" s="97">
        <v>24</v>
      </c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>
        <f t="shared" si="226"/>
        <v>0</v>
      </c>
      <c r="AE248" s="125">
        <f t="shared" si="221"/>
        <v>0</v>
      </c>
      <c r="AF248" s="125"/>
      <c r="AG248" s="125"/>
      <c r="AH248" s="125"/>
      <c r="AI248" s="125"/>
      <c r="AJ248" s="125"/>
      <c r="AK248" s="125"/>
      <c r="AL248" s="125"/>
      <c r="AM248" s="125"/>
      <c r="AN248" s="97"/>
      <c r="AO248" s="313"/>
      <c r="AP248" s="125"/>
      <c r="AQ248" s="125"/>
      <c r="AR248" s="125"/>
      <c r="AS248" s="125"/>
      <c r="AT248" s="125"/>
      <c r="AU248" s="125"/>
      <c r="AV248" s="98" t="s">
        <v>494</v>
      </c>
      <c r="AW248" s="105"/>
    </row>
    <row r="249" spans="1:49" ht="72" x14ac:dyDescent="0.2">
      <c r="A249" s="167">
        <v>50003220021</v>
      </c>
      <c r="B249" s="119"/>
      <c r="C249" s="447" t="s">
        <v>333</v>
      </c>
      <c r="D249" s="448"/>
      <c r="E249" s="227" t="s">
        <v>673</v>
      </c>
      <c r="F249" s="299">
        <v>15839</v>
      </c>
      <c r="G249" s="97">
        <f t="shared" si="214"/>
        <v>15839</v>
      </c>
      <c r="H249" s="299">
        <f>15839</f>
        <v>15839</v>
      </c>
      <c r="I249" s="97">
        <f t="shared" si="215"/>
        <v>15839</v>
      </c>
      <c r="J249" s="97">
        <f t="shared" si="216"/>
        <v>0</v>
      </c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>
        <f t="shared" si="226"/>
        <v>0</v>
      </c>
      <c r="AE249" s="125">
        <f t="shared" si="221"/>
        <v>0</v>
      </c>
      <c r="AF249" s="125"/>
      <c r="AG249" s="125"/>
      <c r="AH249" s="125"/>
      <c r="AI249" s="125"/>
      <c r="AJ249" s="125"/>
      <c r="AK249" s="125"/>
      <c r="AL249" s="125"/>
      <c r="AM249" s="125"/>
      <c r="AN249" s="97"/>
      <c r="AO249" s="313"/>
      <c r="AP249" s="125"/>
      <c r="AQ249" s="125"/>
      <c r="AR249" s="125"/>
      <c r="AS249" s="125"/>
      <c r="AT249" s="125"/>
      <c r="AU249" s="125"/>
      <c r="AV249" s="98" t="s">
        <v>495</v>
      </c>
      <c r="AW249" s="105"/>
    </row>
    <row r="250" spans="1:49" ht="64.5" customHeight="1" x14ac:dyDescent="0.2">
      <c r="A250" s="167"/>
      <c r="B250" s="119"/>
      <c r="C250" s="447" t="s">
        <v>215</v>
      </c>
      <c r="D250" s="448"/>
      <c r="E250" s="424" t="s">
        <v>528</v>
      </c>
      <c r="F250" s="299">
        <v>241889</v>
      </c>
      <c r="G250" s="97">
        <f t="shared" si="214"/>
        <v>241889</v>
      </c>
      <c r="H250" s="299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125"/>
      <c r="AF250" s="97"/>
      <c r="AG250" s="97"/>
      <c r="AH250" s="97"/>
      <c r="AI250" s="97"/>
      <c r="AJ250" s="97"/>
      <c r="AK250" s="97"/>
      <c r="AL250" s="97">
        <v>241889</v>
      </c>
      <c r="AM250" s="125"/>
      <c r="AN250" s="97"/>
      <c r="AO250" s="313"/>
      <c r="AP250" s="97"/>
      <c r="AQ250" s="97"/>
      <c r="AR250" s="97"/>
      <c r="AS250" s="97"/>
      <c r="AT250" s="97"/>
      <c r="AU250" s="97"/>
      <c r="AV250" s="98"/>
      <c r="AW250" s="105"/>
    </row>
    <row r="251" spans="1:49" s="160" customFormat="1" ht="48" x14ac:dyDescent="0.2">
      <c r="A251" s="167"/>
      <c r="B251" s="119"/>
      <c r="C251" s="214"/>
      <c r="D251" s="215"/>
      <c r="E251" s="424" t="s">
        <v>365</v>
      </c>
      <c r="F251" s="299">
        <v>106716</v>
      </c>
      <c r="G251" s="97">
        <f t="shared" si="214"/>
        <v>106716</v>
      </c>
      <c r="H251" s="299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125"/>
      <c r="AF251" s="97"/>
      <c r="AG251" s="97"/>
      <c r="AH251" s="97"/>
      <c r="AI251" s="97"/>
      <c r="AJ251" s="97"/>
      <c r="AK251" s="97"/>
      <c r="AL251" s="97">
        <v>106716</v>
      </c>
      <c r="AM251" s="125"/>
      <c r="AN251" s="97"/>
      <c r="AO251" s="313"/>
      <c r="AP251" s="97"/>
      <c r="AQ251" s="97"/>
      <c r="AR251" s="97"/>
      <c r="AS251" s="97"/>
      <c r="AT251" s="97"/>
      <c r="AU251" s="97"/>
      <c r="AV251" s="98"/>
      <c r="AW251" s="105"/>
    </row>
    <row r="252" spans="1:49" ht="12.75" thickBot="1" x14ac:dyDescent="0.25">
      <c r="A252" s="147"/>
      <c r="B252" s="139"/>
      <c r="C252" s="484"/>
      <c r="D252" s="485"/>
      <c r="E252" s="425"/>
      <c r="F252" s="300"/>
      <c r="G252" s="84"/>
      <c r="H252" s="300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84"/>
      <c r="AO252" s="314"/>
      <c r="AP252" s="124"/>
      <c r="AQ252" s="124"/>
      <c r="AR252" s="124"/>
      <c r="AS252" s="124"/>
      <c r="AT252" s="124"/>
      <c r="AU252" s="124"/>
      <c r="AV252" s="85"/>
      <c r="AW252" s="108"/>
    </row>
    <row r="253" spans="1:49" ht="13.5" thickTop="1" thickBot="1" x14ac:dyDescent="0.25">
      <c r="A253" s="148"/>
      <c r="B253" s="480" t="s">
        <v>149</v>
      </c>
      <c r="C253" s="480"/>
      <c r="D253" s="481"/>
      <c r="E253" s="430"/>
      <c r="F253" s="306">
        <v>403848</v>
      </c>
      <c r="G253" s="418">
        <f>SUM(I253,U253,AD253,AL253,AN253)</f>
        <v>1110426</v>
      </c>
      <c r="H253" s="306">
        <f>SUM(H254)</f>
        <v>289094</v>
      </c>
      <c r="I253" s="13">
        <f>SUM(I254)</f>
        <v>762506</v>
      </c>
      <c r="J253" s="13">
        <f t="shared" ref="J253:AU253" si="227">SUM(J254)</f>
        <v>473412</v>
      </c>
      <c r="K253" s="13">
        <f t="shared" si="227"/>
        <v>0</v>
      </c>
      <c r="L253" s="13">
        <f t="shared" si="227"/>
        <v>0</v>
      </c>
      <c r="M253" s="13">
        <f t="shared" si="227"/>
        <v>0</v>
      </c>
      <c r="N253" s="13">
        <f t="shared" si="227"/>
        <v>1030341</v>
      </c>
      <c r="O253" s="13">
        <f t="shared" si="227"/>
        <v>-113825</v>
      </c>
      <c r="P253" s="13">
        <f t="shared" si="227"/>
        <v>-443104</v>
      </c>
      <c r="Q253" s="13">
        <f t="shared" si="227"/>
        <v>0</v>
      </c>
      <c r="R253" s="13">
        <f t="shared" si="227"/>
        <v>0</v>
      </c>
      <c r="S253" s="13">
        <f t="shared" si="227"/>
        <v>0</v>
      </c>
      <c r="T253" s="13">
        <f t="shared" si="227"/>
        <v>2942</v>
      </c>
      <c r="U253" s="13">
        <f t="shared" si="227"/>
        <v>293400</v>
      </c>
      <c r="V253" s="13">
        <f t="shared" si="227"/>
        <v>290458</v>
      </c>
      <c r="W253" s="13">
        <f t="shared" si="227"/>
        <v>352083</v>
      </c>
      <c r="X253" s="13">
        <f t="shared" si="227"/>
        <v>-61625</v>
      </c>
      <c r="Y253" s="13">
        <f t="shared" si="227"/>
        <v>0</v>
      </c>
      <c r="Z253" s="13">
        <f t="shared" si="227"/>
        <v>0</v>
      </c>
      <c r="AA253" s="13">
        <f t="shared" si="227"/>
        <v>0</v>
      </c>
      <c r="AB253" s="13">
        <f t="shared" si="227"/>
        <v>0</v>
      </c>
      <c r="AC253" s="13">
        <f t="shared" si="227"/>
        <v>111076</v>
      </c>
      <c r="AD253" s="13">
        <f t="shared" si="227"/>
        <v>53734</v>
      </c>
      <c r="AE253" s="99">
        <f t="shared" si="227"/>
        <v>-57342</v>
      </c>
      <c r="AF253" s="99">
        <f t="shared" si="227"/>
        <v>13324</v>
      </c>
      <c r="AG253" s="99">
        <f t="shared" si="227"/>
        <v>-5256</v>
      </c>
      <c r="AH253" s="99">
        <f t="shared" si="227"/>
        <v>-65410</v>
      </c>
      <c r="AI253" s="99">
        <f t="shared" si="227"/>
        <v>0</v>
      </c>
      <c r="AJ253" s="99">
        <f t="shared" si="227"/>
        <v>0</v>
      </c>
      <c r="AK253" s="99">
        <f t="shared" si="227"/>
        <v>0</v>
      </c>
      <c r="AL253" s="99">
        <f t="shared" si="227"/>
        <v>0</v>
      </c>
      <c r="AM253" s="99">
        <f t="shared" si="227"/>
        <v>736</v>
      </c>
      <c r="AN253" s="13">
        <f t="shared" si="227"/>
        <v>786</v>
      </c>
      <c r="AO253" s="310">
        <f t="shared" si="227"/>
        <v>50</v>
      </c>
      <c r="AP253" s="99">
        <f t="shared" si="227"/>
        <v>3024</v>
      </c>
      <c r="AQ253" s="99">
        <f t="shared" si="227"/>
        <v>-2974</v>
      </c>
      <c r="AR253" s="99">
        <f t="shared" si="227"/>
        <v>0</v>
      </c>
      <c r="AS253" s="99">
        <f t="shared" si="227"/>
        <v>0</v>
      </c>
      <c r="AT253" s="99">
        <f t="shared" si="227"/>
        <v>0</v>
      </c>
      <c r="AU253" s="99">
        <f t="shared" si="227"/>
        <v>0</v>
      </c>
      <c r="AV253" s="14"/>
      <c r="AW253" s="109"/>
    </row>
    <row r="254" spans="1:49" ht="36" customHeight="1" thickTop="1" thickBot="1" x14ac:dyDescent="0.25">
      <c r="A254" s="149"/>
      <c r="B254" s="146"/>
      <c r="C254" s="482" t="s">
        <v>736</v>
      </c>
      <c r="D254" s="483"/>
      <c r="E254" s="431"/>
      <c r="F254" s="307">
        <v>403848</v>
      </c>
      <c r="G254" s="9">
        <f>SUM(I254,U254,AD254,AL254,AN254)</f>
        <v>1110426</v>
      </c>
      <c r="H254" s="307">
        <f>289094</f>
        <v>289094</v>
      </c>
      <c r="I254" s="97">
        <f t="shared" ref="I254" si="228">H254+J254</f>
        <v>762506</v>
      </c>
      <c r="J254" s="9">
        <f>SUM(K254:S254)</f>
        <v>473412</v>
      </c>
      <c r="K254" s="9"/>
      <c r="L254" s="9"/>
      <c r="M254" s="9"/>
      <c r="N254" s="9">
        <f>984100+46241</f>
        <v>1030341</v>
      </c>
      <c r="O254" s="9">
        <f>-78774-35051</f>
        <v>-113825</v>
      </c>
      <c r="P254" s="9">
        <f>89378-894137+204047+14223+45963+173600-76178</f>
        <v>-443104</v>
      </c>
      <c r="Q254" s="9"/>
      <c r="R254" s="9"/>
      <c r="S254" s="9"/>
      <c r="T254" s="9">
        <f>2942</f>
        <v>2942</v>
      </c>
      <c r="U254" s="9">
        <f t="shared" ref="U254" si="229">T254+V254</f>
        <v>293400</v>
      </c>
      <c r="V254" s="9">
        <f>SUM(W254:AB254)</f>
        <v>290458</v>
      </c>
      <c r="W254" s="9">
        <v>352083</v>
      </c>
      <c r="X254" s="9">
        <f>-15063-11218-8399-26945</f>
        <v>-61625</v>
      </c>
      <c r="Y254" s="9"/>
      <c r="Z254" s="9"/>
      <c r="AA254" s="9"/>
      <c r="AB254" s="9"/>
      <c r="AC254" s="9">
        <f>111076</f>
        <v>111076</v>
      </c>
      <c r="AD254" s="9">
        <f>AE254+AC254</f>
        <v>53734</v>
      </c>
      <c r="AE254" s="129">
        <f>SUM(AF254:AK254)</f>
        <v>-57342</v>
      </c>
      <c r="AF254" s="129">
        <v>13324</v>
      </c>
      <c r="AG254" s="129">
        <v>-5256</v>
      </c>
      <c r="AH254" s="129">
        <f>-37670-13325-14415</f>
        <v>-65410</v>
      </c>
      <c r="AI254" s="129"/>
      <c r="AJ254" s="129"/>
      <c r="AK254" s="129"/>
      <c r="AL254" s="129"/>
      <c r="AM254" s="129">
        <f>622+114</f>
        <v>736</v>
      </c>
      <c r="AN254" s="9">
        <f>AM254+AO254</f>
        <v>786</v>
      </c>
      <c r="AO254" s="320">
        <f>SUM(AP254:AU254)</f>
        <v>50</v>
      </c>
      <c r="AP254" s="129">
        <f>2974+50</f>
        <v>3024</v>
      </c>
      <c r="AQ254" s="129">
        <v>-2974</v>
      </c>
      <c r="AR254" s="129"/>
      <c r="AS254" s="129"/>
      <c r="AT254" s="129"/>
      <c r="AU254" s="129"/>
      <c r="AV254" s="10"/>
      <c r="AW254" s="109"/>
    </row>
    <row r="255" spans="1:49" ht="28.5" customHeight="1" thickTop="1" thickBot="1" x14ac:dyDescent="0.25">
      <c r="A255" s="148"/>
      <c r="B255" s="480" t="s">
        <v>146</v>
      </c>
      <c r="C255" s="480"/>
      <c r="D255" s="481"/>
      <c r="E255" s="430"/>
      <c r="F255" s="306">
        <v>104220855.3208452</v>
      </c>
      <c r="G255" s="418">
        <f>SUM(I255,U255,AD255,AL255,AN255)</f>
        <v>105494990</v>
      </c>
      <c r="H255" s="306">
        <f t="shared" ref="H255:AK255" si="230">H12+H26+H34-SUM(H56:H58)+H60+H74-H85+H88+H97-SUM(H131:H133)+H136-SUM(H219:H222)+H225-SUM(H250:H251)-H72</f>
        <v>93497782.370000005</v>
      </c>
      <c r="I255" s="13">
        <f t="shared" si="230"/>
        <v>94293303</v>
      </c>
      <c r="J255" s="13">
        <f t="shared" si="230"/>
        <v>795520</v>
      </c>
      <c r="K255" s="13">
        <f t="shared" si="230"/>
        <v>0</v>
      </c>
      <c r="L255" s="13">
        <f t="shared" si="230"/>
        <v>0</v>
      </c>
      <c r="M255" s="13">
        <f t="shared" si="230"/>
        <v>7491</v>
      </c>
      <c r="N255" s="13">
        <f t="shared" si="230"/>
        <v>49661</v>
      </c>
      <c r="O255" s="13">
        <f t="shared" si="230"/>
        <v>113825</v>
      </c>
      <c r="P255" s="13">
        <f t="shared" si="230"/>
        <v>624543</v>
      </c>
      <c r="Q255" s="13">
        <f t="shared" si="230"/>
        <v>0</v>
      </c>
      <c r="R255" s="13">
        <f t="shared" si="230"/>
        <v>0</v>
      </c>
      <c r="S255" s="13">
        <f t="shared" si="230"/>
        <v>0</v>
      </c>
      <c r="T255" s="13">
        <f t="shared" si="230"/>
        <v>9032053</v>
      </c>
      <c r="U255" s="13">
        <f t="shared" si="230"/>
        <v>9243038</v>
      </c>
      <c r="V255" s="13">
        <f t="shared" si="230"/>
        <v>210985</v>
      </c>
      <c r="W255" s="13">
        <f t="shared" si="230"/>
        <v>149360</v>
      </c>
      <c r="X255" s="13">
        <f t="shared" si="230"/>
        <v>61625</v>
      </c>
      <c r="Y255" s="13">
        <f t="shared" si="230"/>
        <v>0</v>
      </c>
      <c r="Z255" s="13">
        <f t="shared" si="230"/>
        <v>0</v>
      </c>
      <c r="AA255" s="13">
        <f t="shared" si="230"/>
        <v>0</v>
      </c>
      <c r="AB255" s="13">
        <f t="shared" si="230"/>
        <v>0</v>
      </c>
      <c r="AC255" s="13">
        <f t="shared" si="230"/>
        <v>1665090</v>
      </c>
      <c r="AD255" s="13">
        <f t="shared" si="230"/>
        <v>1928575</v>
      </c>
      <c r="AE255" s="13">
        <f t="shared" si="230"/>
        <v>263485</v>
      </c>
      <c r="AF255" s="13">
        <f t="shared" si="230"/>
        <v>22000</v>
      </c>
      <c r="AG255" s="13">
        <f t="shared" si="230"/>
        <v>110215</v>
      </c>
      <c r="AH255" s="13">
        <f t="shared" si="230"/>
        <v>131270</v>
      </c>
      <c r="AI255" s="13">
        <f t="shared" si="230"/>
        <v>0</v>
      </c>
      <c r="AJ255" s="13">
        <f t="shared" si="230"/>
        <v>0</v>
      </c>
      <c r="AK255" s="13">
        <f t="shared" si="230"/>
        <v>0</v>
      </c>
      <c r="AL255" s="13">
        <f>AL12+AL26+AL34-SUM(AL56:AL58)+AL60+AL74-AL85-AL86+AL88+AL97-SUM(AL131:AL134)+AL136-SUM(AL219:AL223)+AL225-SUM(AL250:AL251)-AL72</f>
        <v>0</v>
      </c>
      <c r="AM255" s="13">
        <f t="shared" ref="AM255:AU255" si="231">AM12+AM26+AM34-SUM(AM56:AM58)+AM60+AM74-AM85+AM88+AM97-SUM(AM131:AM133)+AM136-SUM(AM219:AM222)+AM225-SUM(AM250:AM251)-AM72</f>
        <v>25930</v>
      </c>
      <c r="AN255" s="13">
        <f t="shared" si="231"/>
        <v>30074</v>
      </c>
      <c r="AO255" s="321">
        <f t="shared" si="231"/>
        <v>4144</v>
      </c>
      <c r="AP255" s="13">
        <f t="shared" si="231"/>
        <v>1379</v>
      </c>
      <c r="AQ255" s="13">
        <f t="shared" si="231"/>
        <v>2765</v>
      </c>
      <c r="AR255" s="13">
        <f t="shared" si="231"/>
        <v>0</v>
      </c>
      <c r="AS255" s="13">
        <f t="shared" si="231"/>
        <v>0</v>
      </c>
      <c r="AT255" s="13">
        <f t="shared" si="231"/>
        <v>0</v>
      </c>
      <c r="AU255" s="13">
        <f t="shared" si="231"/>
        <v>0</v>
      </c>
      <c r="AV255" s="14"/>
      <c r="AW255" s="110"/>
    </row>
    <row r="256" spans="1:49" ht="13.5" thickTop="1" thickBot="1" x14ac:dyDescent="0.25">
      <c r="A256" s="148"/>
      <c r="B256" s="480" t="s">
        <v>147</v>
      </c>
      <c r="C256" s="480"/>
      <c r="D256" s="481"/>
      <c r="E256" s="420"/>
      <c r="F256" s="301">
        <v>109347454.3208452</v>
      </c>
      <c r="G256" s="417">
        <f>SUM(I256,U256,AD256,AL256,AN256)</f>
        <v>111532214</v>
      </c>
      <c r="H256" s="301">
        <f t="shared" ref="H256:AU256" si="232">SUM(H12,H26,H34,H60,H74,H88,H97,H136,H225,H253)</f>
        <v>93786876.370000005</v>
      </c>
      <c r="I256" s="7">
        <f t="shared" si="232"/>
        <v>95055809</v>
      </c>
      <c r="J256" s="7">
        <f t="shared" si="232"/>
        <v>1268932</v>
      </c>
      <c r="K256" s="7">
        <f t="shared" si="232"/>
        <v>0</v>
      </c>
      <c r="L256" s="7">
        <f t="shared" si="232"/>
        <v>0</v>
      </c>
      <c r="M256" s="7">
        <f t="shared" si="232"/>
        <v>7491</v>
      </c>
      <c r="N256" s="7">
        <f t="shared" si="232"/>
        <v>1080002</v>
      </c>
      <c r="O256" s="7">
        <f t="shared" si="232"/>
        <v>0</v>
      </c>
      <c r="P256" s="7">
        <f t="shared" si="232"/>
        <v>181439</v>
      </c>
      <c r="Q256" s="7">
        <f t="shared" si="232"/>
        <v>0</v>
      </c>
      <c r="R256" s="7">
        <f t="shared" si="232"/>
        <v>0</v>
      </c>
      <c r="S256" s="7">
        <f t="shared" si="232"/>
        <v>0</v>
      </c>
      <c r="T256" s="7">
        <f t="shared" si="232"/>
        <v>9034995</v>
      </c>
      <c r="U256" s="7">
        <f t="shared" si="232"/>
        <v>9536438</v>
      </c>
      <c r="V256" s="7">
        <f t="shared" si="232"/>
        <v>501443</v>
      </c>
      <c r="W256" s="7">
        <f t="shared" si="232"/>
        <v>501443</v>
      </c>
      <c r="X256" s="7">
        <f t="shared" si="232"/>
        <v>0</v>
      </c>
      <c r="Y256" s="7">
        <f t="shared" si="232"/>
        <v>0</v>
      </c>
      <c r="Z256" s="7">
        <f t="shared" si="232"/>
        <v>0</v>
      </c>
      <c r="AA256" s="7">
        <f t="shared" si="232"/>
        <v>0</v>
      </c>
      <c r="AB256" s="7">
        <f t="shared" si="232"/>
        <v>0</v>
      </c>
      <c r="AC256" s="7">
        <f t="shared" si="232"/>
        <v>1776166</v>
      </c>
      <c r="AD256" s="7">
        <f t="shared" si="232"/>
        <v>1982309</v>
      </c>
      <c r="AE256" s="123">
        <f t="shared" si="232"/>
        <v>206143</v>
      </c>
      <c r="AF256" s="123">
        <f t="shared" si="232"/>
        <v>35324</v>
      </c>
      <c r="AG256" s="123">
        <f t="shared" si="232"/>
        <v>104959</v>
      </c>
      <c r="AH256" s="123">
        <f t="shared" si="232"/>
        <v>65860</v>
      </c>
      <c r="AI256" s="123">
        <f t="shared" si="232"/>
        <v>0</v>
      </c>
      <c r="AJ256" s="123">
        <f t="shared" si="232"/>
        <v>0</v>
      </c>
      <c r="AK256" s="123">
        <f t="shared" si="232"/>
        <v>0</v>
      </c>
      <c r="AL256" s="123">
        <f t="shared" si="232"/>
        <v>4926798</v>
      </c>
      <c r="AM256" s="123">
        <f t="shared" si="232"/>
        <v>26666</v>
      </c>
      <c r="AN256" s="7">
        <f t="shared" si="232"/>
        <v>30860</v>
      </c>
      <c r="AO256" s="309">
        <f t="shared" si="232"/>
        <v>4194</v>
      </c>
      <c r="AP256" s="123">
        <f t="shared" si="232"/>
        <v>4403</v>
      </c>
      <c r="AQ256" s="123">
        <f t="shared" si="232"/>
        <v>-209</v>
      </c>
      <c r="AR256" s="123">
        <f t="shared" si="232"/>
        <v>0</v>
      </c>
      <c r="AS256" s="123">
        <f t="shared" si="232"/>
        <v>0</v>
      </c>
      <c r="AT256" s="123">
        <f t="shared" si="232"/>
        <v>0</v>
      </c>
      <c r="AU256" s="123">
        <f t="shared" si="232"/>
        <v>0</v>
      </c>
      <c r="AV256" s="15"/>
      <c r="AW256" s="110"/>
    </row>
    <row r="257" spans="3:49" ht="12.75" hidden="1" thickTop="1" x14ac:dyDescent="0.2">
      <c r="C257" s="16"/>
      <c r="D257" s="17" t="s">
        <v>25</v>
      </c>
      <c r="E257" s="17"/>
      <c r="F257" s="17"/>
      <c r="G257" s="18">
        <f>SUM(G13:G19,G27:G33,G35:G58,G61:G70,G72,G75:G83,G89:G96,G98:G135,G137:G214,G226:G252,G253,G85:G87,G219:G224)</f>
        <v>111394532</v>
      </c>
      <c r="H257" s="18"/>
      <c r="I257" s="18">
        <f>SUM(I13:I19,I27:I33,I35:I58,I61:I70,I72,I75:I83,I89:I96,I98:I135,I137:I214,I226:I252,I253,I85:I87,I219:I224)</f>
        <v>94979631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>
        <f>SUM(U13:U19,U27:U33,U35:U58,U61:U70,U72,U75:U83,U89:U96,U98:U135,U137:U214,U226:U252,U253,U85:U87,U219:U224)</f>
        <v>9536438</v>
      </c>
      <c r="V257" s="18"/>
      <c r="W257" s="18"/>
      <c r="X257" s="18"/>
      <c r="Y257" s="18"/>
      <c r="Z257" s="18"/>
      <c r="AA257" s="18"/>
      <c r="AB257" s="18"/>
      <c r="AC257" s="18"/>
      <c r="AD257" s="18">
        <f>SUM(AD13:AD19,AD27:AD33,AD35:AD58,AD61:AD70,AD72,AD75:AD83,AD89:AD96,AD98:AD135,AD137:AD214,AD226:AD252,AD253,AD85:AD87,AD219:AD224)</f>
        <v>1982309</v>
      </c>
      <c r="AE257" s="18"/>
      <c r="AF257" s="18"/>
      <c r="AG257" s="18"/>
      <c r="AH257" s="18"/>
      <c r="AI257" s="18"/>
      <c r="AJ257" s="18"/>
      <c r="AK257" s="18"/>
      <c r="AL257" s="18">
        <f>SUM(AL13:AL19,AL27:AL33,AL35:AL58,AL61:AL70,AL72,AL75:AL83,AL89:AL96,AL98:AL135,AL137:AL214,AL226:AL252,AL253,AL85:AL87,AL219:AL224)</f>
        <v>4926798</v>
      </c>
      <c r="AM257" s="18"/>
      <c r="AN257" s="18">
        <f>SUM(AN13:AN19,AN27:AN33,AN35:AN58,AN61:AN70,AN72,AN75:AN83,AN89:AN96,AN98:AN135,AN137:AN214,AN226:AN252,AN253,AN85:AN87,AN219:AN224)</f>
        <v>30860</v>
      </c>
      <c r="AO257" s="18"/>
      <c r="AP257" s="18"/>
      <c r="AQ257" s="18"/>
      <c r="AR257" s="18"/>
      <c r="AS257" s="18"/>
      <c r="AT257" s="18"/>
      <c r="AU257" s="18"/>
      <c r="AV257" s="19">
        <f>SUM(AV15:AV19,AV28:AV32,AV36:AV58,AV61:AV61,AV75:AV85,AV89:AV93,AV98:AV133,AV140:AV222,AV228:AV251,AV253)</f>
        <v>0</v>
      </c>
    </row>
    <row r="258" spans="3:49" ht="12.75" hidden="1" thickTop="1" x14ac:dyDescent="0.2">
      <c r="C258" s="16"/>
      <c r="D258" s="17" t="s">
        <v>26</v>
      </c>
      <c r="E258" s="17"/>
      <c r="F258" s="17"/>
      <c r="G258" s="18">
        <f>SUM(G12,G26,G34,G60,G74,G88,G97,G136,G225,G253)</f>
        <v>111532214</v>
      </c>
      <c r="H258" s="18"/>
      <c r="I258" s="18">
        <f>SUM(I12,I26,I34,I60,I74,I88,I97,I136,I225,I253)</f>
        <v>95055809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>
        <f>SUM(U12,U26,U34,U60,U74,U88,U97,U136,U225,U253)</f>
        <v>9536438</v>
      </c>
      <c r="V258" s="18"/>
      <c r="W258" s="18"/>
      <c r="X258" s="18"/>
      <c r="Y258" s="18"/>
      <c r="Z258" s="18"/>
      <c r="AA258" s="18"/>
      <c r="AB258" s="18"/>
      <c r="AC258" s="18"/>
      <c r="AD258" s="18">
        <f>SUM(AD12,AD26,AD34,AD60,AD74,AD88,AD97,AD136,AD225,AD253)</f>
        <v>1982309</v>
      </c>
      <c r="AE258" s="18"/>
      <c r="AF258" s="18"/>
      <c r="AG258" s="18"/>
      <c r="AH258" s="18"/>
      <c r="AI258" s="18"/>
      <c r="AJ258" s="18"/>
      <c r="AK258" s="18"/>
      <c r="AL258" s="18">
        <f>SUM(AL12,AL26,AL34,AL60,AL74,AL88,AL97,AL136,AL225,AL253)</f>
        <v>4926798</v>
      </c>
      <c r="AM258" s="18"/>
      <c r="AN258" s="18">
        <f>SUM(AN12,AN26,AN34,AN60,AN74,AN88,AN97,AN136,AN225,AN253)</f>
        <v>30860</v>
      </c>
      <c r="AO258" s="18"/>
      <c r="AP258" s="18"/>
      <c r="AQ258" s="18"/>
      <c r="AR258" s="18"/>
      <c r="AS258" s="18"/>
      <c r="AT258" s="18"/>
      <c r="AU258" s="18"/>
      <c r="AV258" s="19">
        <f>SUM(AV12,AV26,AV34,AV60,AV74,AV88,AV97,AV136,AV225,AV253)</f>
        <v>0</v>
      </c>
    </row>
    <row r="259" spans="3:49" ht="12.75" hidden="1" thickTop="1" x14ac:dyDescent="0.2">
      <c r="C259" s="16"/>
      <c r="D259" s="17" t="s">
        <v>27</v>
      </c>
      <c r="E259" s="17"/>
      <c r="F259" s="17"/>
      <c r="G259" s="20" t="str">
        <f t="shared" ref="G259:AV259" si="233">IF(G256=G257=G258,"PROBLEM","")</f>
        <v/>
      </c>
      <c r="H259" s="20"/>
      <c r="I259" s="20" t="str">
        <f t="shared" si="233"/>
        <v/>
      </c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 t="str">
        <f t="shared" si="233"/>
        <v/>
      </c>
      <c r="V259" s="20"/>
      <c r="W259" s="20"/>
      <c r="X259" s="20"/>
      <c r="Y259" s="20"/>
      <c r="Z259" s="20"/>
      <c r="AA259" s="20"/>
      <c r="AB259" s="20"/>
      <c r="AC259" s="20"/>
      <c r="AD259" s="20" t="str">
        <f t="shared" si="233"/>
        <v/>
      </c>
      <c r="AE259" s="20"/>
      <c r="AF259" s="20"/>
      <c r="AG259" s="20"/>
      <c r="AH259" s="20"/>
      <c r="AI259" s="20"/>
      <c r="AJ259" s="20"/>
      <c r="AK259" s="20"/>
      <c r="AL259" s="20" t="str">
        <f t="shared" si="233"/>
        <v/>
      </c>
      <c r="AM259" s="20"/>
      <c r="AN259" s="20" t="str">
        <f t="shared" si="233"/>
        <v/>
      </c>
      <c r="AO259" s="20"/>
      <c r="AP259" s="20"/>
      <c r="AQ259" s="20"/>
      <c r="AR259" s="20"/>
      <c r="AS259" s="20"/>
      <c r="AT259" s="20"/>
      <c r="AU259" s="20"/>
      <c r="AV259" s="21" t="str">
        <f t="shared" si="233"/>
        <v/>
      </c>
    </row>
    <row r="260" spans="3:49" ht="12.75" hidden="1" thickTop="1" x14ac:dyDescent="0.2">
      <c r="C260" s="16"/>
      <c r="D260" s="12"/>
      <c r="E260" s="12"/>
      <c r="F260" s="12"/>
      <c r="G260" s="12"/>
      <c r="H260" s="12"/>
      <c r="AE260" s="289"/>
    </row>
    <row r="261" spans="3:49" s="24" customFormat="1" ht="12.75" hidden="1" thickTop="1" x14ac:dyDescent="0.2">
      <c r="C261" s="22"/>
      <c r="D261" s="23"/>
      <c r="E261" s="23" t="s">
        <v>601</v>
      </c>
      <c r="F261" s="23"/>
      <c r="G261" s="23"/>
      <c r="H261" s="23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31"/>
      <c r="AQ261" s="25"/>
      <c r="AR261" s="25"/>
      <c r="AS261" s="25"/>
      <c r="AT261" s="25"/>
      <c r="AU261" s="25"/>
      <c r="AV261" s="25"/>
      <c r="AW261" s="25"/>
    </row>
    <row r="262" spans="3:49" ht="12.75" thickTop="1" x14ac:dyDescent="0.2">
      <c r="C262" s="16"/>
      <c r="D262" s="12"/>
      <c r="E262" s="12"/>
      <c r="F262" s="12"/>
      <c r="G262" s="12"/>
      <c r="H262" s="12"/>
      <c r="AE262" s="289"/>
      <c r="AN262" s="231"/>
      <c r="AO262" s="231"/>
      <c r="AP262" s="231"/>
      <c r="AQ262" s="231"/>
      <c r="AR262" s="231"/>
      <c r="AS262" s="231"/>
      <c r="AT262" s="231"/>
      <c r="AU262" s="231"/>
    </row>
    <row r="263" spans="3:49" x14ac:dyDescent="0.2">
      <c r="C263" s="16"/>
      <c r="D263" s="12"/>
      <c r="E263" s="12"/>
      <c r="F263" s="12"/>
      <c r="G263" s="12"/>
      <c r="H263" s="288"/>
      <c r="I263" s="322"/>
      <c r="AE263" s="289"/>
      <c r="AN263" s="231"/>
    </row>
    <row r="264" spans="3:49" x14ac:dyDescent="0.2">
      <c r="C264" s="16"/>
      <c r="D264" s="12"/>
      <c r="E264" s="12"/>
      <c r="F264" s="12"/>
      <c r="G264" s="12"/>
      <c r="H264" s="288">
        <f>Ienemumi!I185-Izdevumi!G256</f>
        <v>0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3:49" x14ac:dyDescent="0.2">
      <c r="C265" s="16"/>
      <c r="D265" s="12"/>
      <c r="E265" s="12"/>
      <c r="F265" s="12"/>
      <c r="G265" s="12"/>
      <c r="H265" s="12"/>
      <c r="AE265" s="289"/>
    </row>
    <row r="266" spans="3:49" x14ac:dyDescent="0.2">
      <c r="C266" s="16"/>
      <c r="D266" s="12"/>
      <c r="E266" s="12"/>
      <c r="F266" s="12"/>
      <c r="G266" s="288"/>
      <c r="H266" s="288"/>
      <c r="AE266" s="289"/>
    </row>
    <row r="267" spans="3:49" x14ac:dyDescent="0.2">
      <c r="C267" s="16"/>
      <c r="D267" s="12"/>
      <c r="E267" s="12"/>
      <c r="F267" s="12"/>
      <c r="G267" s="12"/>
      <c r="H267" s="12"/>
      <c r="AE267" s="289"/>
    </row>
    <row r="268" spans="3:49" x14ac:dyDescent="0.2">
      <c r="C268" s="16"/>
      <c r="D268" s="12"/>
      <c r="E268" s="12"/>
      <c r="F268" s="12"/>
      <c r="G268" s="12"/>
      <c r="H268" s="12"/>
      <c r="AE268" s="289"/>
    </row>
    <row r="269" spans="3:49" x14ac:dyDescent="0.2">
      <c r="C269" s="16"/>
      <c r="D269" s="12"/>
      <c r="E269" s="12"/>
      <c r="F269" s="12"/>
      <c r="G269" s="12"/>
      <c r="H269" s="12"/>
      <c r="AE269" s="289"/>
    </row>
    <row r="270" spans="3:49" x14ac:dyDescent="0.2">
      <c r="C270" s="16"/>
      <c r="D270" s="12"/>
      <c r="E270" s="12"/>
      <c r="F270" s="12"/>
      <c r="G270" s="12"/>
      <c r="H270" s="12"/>
      <c r="AE270" s="289"/>
    </row>
    <row r="271" spans="3:49" x14ac:dyDescent="0.2">
      <c r="C271" s="16"/>
      <c r="D271" s="12"/>
      <c r="E271" s="12"/>
      <c r="F271" s="12"/>
      <c r="G271" s="12"/>
      <c r="H271" s="12"/>
      <c r="AE271" s="289"/>
    </row>
    <row r="272" spans="3:49" x14ac:dyDescent="0.2">
      <c r="C272" s="16"/>
      <c r="D272" s="12"/>
      <c r="E272" s="12"/>
      <c r="F272" s="12"/>
      <c r="G272" s="12"/>
      <c r="H272" s="12"/>
      <c r="AE272" s="289"/>
    </row>
    <row r="273" spans="3:31" x14ac:dyDescent="0.2">
      <c r="C273" s="16"/>
      <c r="D273" s="12"/>
      <c r="E273" s="12"/>
      <c r="F273" s="12"/>
      <c r="G273" s="12"/>
      <c r="H273" s="12"/>
      <c r="AE273" s="289"/>
    </row>
    <row r="274" spans="3:31" x14ac:dyDescent="0.2">
      <c r="C274" s="16"/>
      <c r="D274" s="12"/>
      <c r="E274" s="12"/>
      <c r="F274" s="12"/>
      <c r="G274" s="12"/>
      <c r="H274" s="12"/>
      <c r="AE274" s="289"/>
    </row>
    <row r="275" spans="3:31" x14ac:dyDescent="0.2">
      <c r="C275" s="16"/>
      <c r="D275" s="12"/>
      <c r="E275" s="12"/>
      <c r="F275" s="12"/>
      <c r="G275" s="12"/>
      <c r="H275" s="12"/>
      <c r="AE275" s="289"/>
    </row>
    <row r="276" spans="3:31" x14ac:dyDescent="0.2">
      <c r="C276" s="16"/>
      <c r="D276" s="12"/>
      <c r="E276" s="12"/>
      <c r="F276" s="12"/>
      <c r="G276" s="12"/>
      <c r="H276" s="12"/>
      <c r="AE276" s="289"/>
    </row>
    <row r="277" spans="3:31" x14ac:dyDescent="0.2">
      <c r="C277" s="16"/>
      <c r="D277" s="12"/>
      <c r="E277" s="12"/>
      <c r="F277" s="12"/>
      <c r="G277" s="12"/>
      <c r="H277" s="12"/>
      <c r="AE277" s="289"/>
    </row>
    <row r="278" spans="3:31" x14ac:dyDescent="0.2">
      <c r="C278" s="16"/>
      <c r="D278" s="12"/>
      <c r="E278" s="12"/>
      <c r="F278" s="12"/>
      <c r="G278" s="12"/>
      <c r="H278" s="12"/>
      <c r="AE278" s="289"/>
    </row>
    <row r="279" spans="3:31" x14ac:dyDescent="0.2">
      <c r="C279" s="16"/>
      <c r="D279" s="12"/>
      <c r="E279" s="12"/>
      <c r="F279" s="12"/>
      <c r="G279" s="12"/>
      <c r="H279" s="12"/>
      <c r="AE279" s="289"/>
    </row>
    <row r="280" spans="3:31" x14ac:dyDescent="0.2">
      <c r="C280" s="16"/>
      <c r="D280" s="12"/>
      <c r="E280" s="12"/>
      <c r="F280" s="12"/>
      <c r="G280" s="12"/>
      <c r="H280" s="12"/>
      <c r="AE280" s="289"/>
    </row>
    <row r="281" spans="3:31" x14ac:dyDescent="0.2">
      <c r="C281" s="16"/>
      <c r="D281" s="12"/>
      <c r="E281" s="12"/>
      <c r="F281" s="12"/>
      <c r="G281" s="12"/>
      <c r="H281" s="12"/>
      <c r="AE281" s="289"/>
    </row>
    <row r="282" spans="3:31" x14ac:dyDescent="0.2">
      <c r="C282" s="16"/>
      <c r="D282" s="12"/>
      <c r="E282" s="12"/>
      <c r="F282" s="12"/>
      <c r="G282" s="12"/>
      <c r="H282" s="12"/>
      <c r="AE282" s="289"/>
    </row>
    <row r="283" spans="3:31" x14ac:dyDescent="0.2">
      <c r="C283" s="16"/>
      <c r="D283" s="12"/>
      <c r="E283" s="12"/>
      <c r="F283" s="12"/>
      <c r="G283" s="12"/>
      <c r="H283" s="12"/>
      <c r="AE283" s="289"/>
    </row>
    <row r="284" spans="3:31" x14ac:dyDescent="0.2">
      <c r="C284" s="16"/>
      <c r="D284" s="12"/>
      <c r="E284" s="12"/>
      <c r="F284" s="12"/>
      <c r="G284" s="12"/>
      <c r="H284" s="12"/>
      <c r="AE284" s="289"/>
    </row>
    <row r="285" spans="3:31" x14ac:dyDescent="0.2">
      <c r="C285" s="16"/>
      <c r="D285" s="12"/>
      <c r="E285" s="12"/>
      <c r="F285" s="12"/>
      <c r="G285" s="12"/>
      <c r="H285" s="12"/>
      <c r="AE285" s="289"/>
    </row>
    <row r="286" spans="3:31" x14ac:dyDescent="0.2">
      <c r="C286" s="16"/>
      <c r="D286" s="12"/>
      <c r="E286" s="12"/>
      <c r="F286" s="12"/>
      <c r="G286" s="12"/>
      <c r="H286" s="12"/>
      <c r="AE286" s="289"/>
    </row>
    <row r="287" spans="3:31" x14ac:dyDescent="0.2">
      <c r="C287" s="16"/>
      <c r="D287" s="12"/>
      <c r="E287" s="12"/>
      <c r="F287" s="12"/>
      <c r="G287" s="12"/>
      <c r="H287" s="12"/>
      <c r="AE287" s="289"/>
    </row>
    <row r="288" spans="3:31" x14ac:dyDescent="0.2">
      <c r="C288" s="16"/>
      <c r="D288" s="12"/>
      <c r="E288" s="12"/>
      <c r="F288" s="12"/>
      <c r="G288" s="12"/>
      <c r="H288" s="12"/>
      <c r="AE288" s="289"/>
    </row>
    <row r="289" spans="3:31" x14ac:dyDescent="0.2">
      <c r="C289" s="16"/>
      <c r="D289" s="12"/>
      <c r="E289" s="12"/>
      <c r="F289" s="12"/>
      <c r="G289" s="12"/>
      <c r="H289" s="12"/>
      <c r="AE289" s="289"/>
    </row>
    <row r="290" spans="3:31" x14ac:dyDescent="0.2">
      <c r="C290" s="16"/>
      <c r="D290" s="12"/>
      <c r="E290" s="12"/>
      <c r="F290" s="12"/>
      <c r="G290" s="12"/>
      <c r="H290" s="12"/>
      <c r="AE290" s="289"/>
    </row>
    <row r="291" spans="3:31" x14ac:dyDescent="0.2">
      <c r="C291" s="16"/>
      <c r="D291" s="12"/>
      <c r="E291" s="12"/>
      <c r="F291" s="12"/>
      <c r="G291" s="12"/>
      <c r="H291" s="12"/>
      <c r="AE291" s="289"/>
    </row>
    <row r="292" spans="3:31" x14ac:dyDescent="0.2">
      <c r="C292" s="16"/>
      <c r="D292" s="12"/>
      <c r="E292" s="12"/>
      <c r="F292" s="12"/>
      <c r="G292" s="12"/>
      <c r="H292" s="12"/>
      <c r="AE292" s="289"/>
    </row>
    <row r="293" spans="3:31" x14ac:dyDescent="0.2">
      <c r="C293" s="16"/>
      <c r="D293" s="12"/>
      <c r="E293" s="12"/>
      <c r="F293" s="12"/>
      <c r="G293" s="12"/>
      <c r="H293" s="12"/>
      <c r="AE293" s="289"/>
    </row>
    <row r="294" spans="3:31" x14ac:dyDescent="0.2">
      <c r="C294" s="16"/>
      <c r="D294" s="12"/>
      <c r="E294" s="12"/>
      <c r="F294" s="12"/>
      <c r="G294" s="12"/>
      <c r="H294" s="12"/>
      <c r="AE294" s="289"/>
    </row>
    <row r="295" spans="3:31" x14ac:dyDescent="0.2">
      <c r="C295" s="16"/>
      <c r="D295" s="12"/>
      <c r="E295" s="12"/>
      <c r="F295" s="12"/>
      <c r="G295" s="12"/>
      <c r="H295" s="12"/>
      <c r="AE295" s="289"/>
    </row>
    <row r="296" spans="3:31" x14ac:dyDescent="0.2">
      <c r="C296" s="16"/>
      <c r="D296" s="12"/>
      <c r="E296" s="12"/>
      <c r="F296" s="12"/>
      <c r="G296" s="12"/>
      <c r="H296" s="12"/>
      <c r="AE296" s="289"/>
    </row>
    <row r="297" spans="3:31" x14ac:dyDescent="0.2">
      <c r="C297" s="16"/>
      <c r="D297" s="12"/>
      <c r="E297" s="12"/>
      <c r="F297" s="12"/>
      <c r="G297" s="12"/>
      <c r="H297" s="12"/>
      <c r="AE297" s="289"/>
    </row>
    <row r="298" spans="3:31" x14ac:dyDescent="0.2">
      <c r="C298" s="16"/>
      <c r="D298" s="12"/>
      <c r="E298" s="12"/>
      <c r="F298" s="12"/>
      <c r="G298" s="12"/>
      <c r="H298" s="12"/>
      <c r="AE298" s="289"/>
    </row>
    <row r="299" spans="3:31" x14ac:dyDescent="0.2">
      <c r="C299" s="16"/>
      <c r="D299" s="12"/>
      <c r="E299" s="12"/>
      <c r="F299" s="12"/>
      <c r="G299" s="12"/>
      <c r="H299" s="12"/>
      <c r="AE299" s="289"/>
    </row>
    <row r="300" spans="3:31" x14ac:dyDescent="0.2">
      <c r="C300" s="16"/>
      <c r="D300" s="12"/>
      <c r="E300" s="12"/>
      <c r="F300" s="12"/>
      <c r="G300" s="12"/>
      <c r="H300" s="12"/>
      <c r="AE300" s="289"/>
    </row>
    <row r="301" spans="3:31" x14ac:dyDescent="0.2">
      <c r="C301" s="16"/>
      <c r="D301" s="12"/>
      <c r="E301" s="12"/>
      <c r="F301" s="12"/>
      <c r="G301" s="12"/>
      <c r="H301" s="12"/>
      <c r="AE301" s="289"/>
    </row>
    <row r="302" spans="3:31" x14ac:dyDescent="0.2">
      <c r="C302" s="16"/>
      <c r="D302" s="12"/>
      <c r="E302" s="12"/>
      <c r="F302" s="12"/>
      <c r="G302" s="12"/>
      <c r="H302" s="12"/>
      <c r="AE302" s="289"/>
    </row>
    <row r="303" spans="3:31" x14ac:dyDescent="0.2">
      <c r="C303" s="16"/>
      <c r="D303" s="12"/>
      <c r="E303" s="12"/>
      <c r="F303" s="12"/>
      <c r="G303" s="12"/>
      <c r="H303" s="12"/>
      <c r="AE303" s="289"/>
    </row>
    <row r="304" spans="3:31" x14ac:dyDescent="0.2">
      <c r="C304" s="16"/>
      <c r="D304" s="12"/>
      <c r="E304" s="12"/>
      <c r="F304" s="12"/>
      <c r="G304" s="12"/>
      <c r="H304" s="12"/>
      <c r="AE304" s="289"/>
    </row>
    <row r="305" spans="3:31" x14ac:dyDescent="0.2">
      <c r="C305" s="16"/>
      <c r="D305" s="12"/>
      <c r="E305" s="12"/>
      <c r="F305" s="12"/>
      <c r="G305" s="12"/>
      <c r="H305" s="12"/>
      <c r="AE305" s="289"/>
    </row>
    <row r="306" spans="3:31" x14ac:dyDescent="0.2">
      <c r="C306" s="16"/>
      <c r="D306" s="12"/>
      <c r="E306" s="12"/>
      <c r="F306" s="12"/>
      <c r="G306" s="12"/>
      <c r="H306" s="12"/>
      <c r="AE306" s="289"/>
    </row>
    <row r="307" spans="3:31" x14ac:dyDescent="0.2">
      <c r="C307" s="16"/>
      <c r="D307" s="12"/>
      <c r="E307" s="12"/>
      <c r="F307" s="12"/>
      <c r="G307" s="12"/>
      <c r="H307" s="12"/>
      <c r="AE307" s="289"/>
    </row>
    <row r="308" spans="3:31" x14ac:dyDescent="0.2">
      <c r="C308" s="16"/>
      <c r="D308" s="12"/>
      <c r="E308" s="12"/>
      <c r="F308" s="12"/>
      <c r="G308" s="12"/>
      <c r="H308" s="12"/>
      <c r="AE308" s="289"/>
    </row>
    <row r="309" spans="3:31" x14ac:dyDescent="0.2">
      <c r="C309" s="16"/>
      <c r="D309" s="12"/>
      <c r="E309" s="12"/>
      <c r="F309" s="12"/>
      <c r="G309" s="12"/>
      <c r="H309" s="12"/>
      <c r="AE309" s="289"/>
    </row>
    <row r="310" spans="3:31" x14ac:dyDescent="0.2">
      <c r="C310" s="16"/>
      <c r="D310" s="12"/>
      <c r="E310" s="12"/>
      <c r="F310" s="12"/>
      <c r="G310" s="12"/>
      <c r="H310" s="12"/>
      <c r="AE310" s="289"/>
    </row>
    <row r="311" spans="3:31" x14ac:dyDescent="0.2">
      <c r="C311" s="16"/>
      <c r="D311" s="12"/>
      <c r="E311" s="12"/>
      <c r="F311" s="12"/>
      <c r="G311" s="12"/>
      <c r="H311" s="12"/>
      <c r="AE311" s="289"/>
    </row>
    <row r="312" spans="3:31" x14ac:dyDescent="0.2">
      <c r="C312" s="16"/>
      <c r="D312" s="12"/>
      <c r="E312" s="12"/>
      <c r="F312" s="12"/>
      <c r="G312" s="12"/>
      <c r="H312" s="12"/>
      <c r="AE312" s="289"/>
    </row>
    <row r="313" spans="3:31" x14ac:dyDescent="0.2">
      <c r="C313" s="16"/>
      <c r="D313" s="12"/>
      <c r="E313" s="12"/>
      <c r="F313" s="12"/>
      <c r="G313" s="12"/>
      <c r="H313" s="12"/>
      <c r="AE313" s="289"/>
    </row>
    <row r="314" spans="3:31" x14ac:dyDescent="0.2">
      <c r="C314" s="16"/>
      <c r="D314" s="12"/>
      <c r="E314" s="12"/>
      <c r="F314" s="12"/>
      <c r="G314" s="12"/>
      <c r="H314" s="12"/>
      <c r="AE314" s="289"/>
    </row>
    <row r="315" spans="3:31" x14ac:dyDescent="0.2">
      <c r="C315" s="16"/>
      <c r="D315" s="12"/>
      <c r="E315" s="12"/>
      <c r="F315" s="12"/>
      <c r="G315" s="12"/>
      <c r="H315" s="12"/>
      <c r="AE315" s="289"/>
    </row>
    <row r="316" spans="3:31" x14ac:dyDescent="0.2">
      <c r="C316" s="16"/>
      <c r="D316" s="12"/>
      <c r="E316" s="12"/>
      <c r="F316" s="12"/>
      <c r="G316" s="12"/>
      <c r="H316" s="12"/>
      <c r="AE316" s="289"/>
    </row>
    <row r="317" spans="3:31" x14ac:dyDescent="0.2">
      <c r="C317" s="16"/>
      <c r="D317" s="12"/>
      <c r="E317" s="12"/>
      <c r="F317" s="12"/>
      <c r="G317" s="12"/>
      <c r="H317" s="12"/>
      <c r="AE317" s="289"/>
    </row>
    <row r="318" spans="3:31" x14ac:dyDescent="0.2">
      <c r="C318" s="16"/>
      <c r="D318" s="12"/>
      <c r="E318" s="12"/>
      <c r="F318" s="12"/>
      <c r="G318" s="12"/>
      <c r="H318" s="12"/>
      <c r="AE318" s="289"/>
    </row>
    <row r="319" spans="3:31" x14ac:dyDescent="0.2">
      <c r="C319" s="16"/>
      <c r="D319" s="12"/>
      <c r="E319" s="12"/>
      <c r="F319" s="12"/>
      <c r="G319" s="12"/>
      <c r="H319" s="12"/>
      <c r="AE319" s="289"/>
    </row>
    <row r="320" spans="3:31" x14ac:dyDescent="0.2">
      <c r="C320" s="16"/>
      <c r="D320" s="12"/>
      <c r="E320" s="12"/>
      <c r="F320" s="12"/>
      <c r="G320" s="12"/>
      <c r="H320" s="12"/>
      <c r="AE320" s="289"/>
    </row>
    <row r="321" spans="3:31" x14ac:dyDescent="0.2">
      <c r="C321" s="16"/>
      <c r="D321" s="12"/>
      <c r="E321" s="12"/>
      <c r="F321" s="12"/>
      <c r="G321" s="12"/>
      <c r="H321" s="12"/>
      <c r="AE321" s="289"/>
    </row>
    <row r="322" spans="3:31" x14ac:dyDescent="0.2">
      <c r="C322" s="16"/>
      <c r="D322" s="12"/>
      <c r="E322" s="12"/>
      <c r="F322" s="12"/>
      <c r="G322" s="12"/>
      <c r="H322" s="12"/>
      <c r="AE322" s="289"/>
    </row>
    <row r="323" spans="3:31" x14ac:dyDescent="0.2">
      <c r="C323" s="16"/>
      <c r="D323" s="12"/>
      <c r="E323" s="12"/>
      <c r="F323" s="12"/>
      <c r="G323" s="12"/>
      <c r="H323" s="12"/>
      <c r="AE323" s="289"/>
    </row>
    <row r="324" spans="3:31" x14ac:dyDescent="0.2">
      <c r="C324" s="16"/>
      <c r="D324" s="12"/>
      <c r="E324" s="12"/>
      <c r="F324" s="12"/>
      <c r="G324" s="12"/>
      <c r="H324" s="12"/>
      <c r="AE324" s="289"/>
    </row>
    <row r="325" spans="3:31" x14ac:dyDescent="0.2">
      <c r="C325" s="16"/>
      <c r="D325" s="12"/>
      <c r="E325" s="12"/>
      <c r="F325" s="12"/>
      <c r="G325" s="12"/>
      <c r="H325" s="12"/>
      <c r="AE325" s="289"/>
    </row>
    <row r="326" spans="3:31" x14ac:dyDescent="0.2">
      <c r="C326" s="16"/>
      <c r="D326" s="12"/>
      <c r="E326" s="12"/>
      <c r="F326" s="12"/>
      <c r="G326" s="12"/>
      <c r="H326" s="12"/>
      <c r="AE326" s="289"/>
    </row>
    <row r="327" spans="3:31" x14ac:dyDescent="0.2">
      <c r="C327" s="16"/>
      <c r="D327" s="12"/>
      <c r="E327" s="12"/>
      <c r="F327" s="12"/>
      <c r="G327" s="12"/>
      <c r="H327" s="12"/>
      <c r="AE327" s="289"/>
    </row>
    <row r="328" spans="3:31" x14ac:dyDescent="0.2">
      <c r="C328" s="16"/>
      <c r="D328" s="12"/>
      <c r="E328" s="12"/>
      <c r="F328" s="12"/>
      <c r="G328" s="12"/>
      <c r="H328" s="12"/>
      <c r="AE328" s="289"/>
    </row>
    <row r="329" spans="3:31" x14ac:dyDescent="0.2">
      <c r="C329" s="16"/>
      <c r="D329" s="12"/>
      <c r="E329" s="12"/>
      <c r="F329" s="12"/>
      <c r="G329" s="12"/>
      <c r="H329" s="12"/>
      <c r="AE329" s="289"/>
    </row>
    <row r="330" spans="3:31" x14ac:dyDescent="0.2">
      <c r="C330" s="16"/>
      <c r="D330" s="12"/>
      <c r="E330" s="12"/>
      <c r="F330" s="12"/>
      <c r="G330" s="12"/>
      <c r="H330" s="12"/>
      <c r="AE330" s="289"/>
    </row>
    <row r="331" spans="3:31" x14ac:dyDescent="0.2">
      <c r="C331" s="16"/>
      <c r="D331" s="12"/>
      <c r="E331" s="12"/>
      <c r="F331" s="12"/>
      <c r="G331" s="12"/>
      <c r="H331" s="12"/>
      <c r="AE331" s="289"/>
    </row>
    <row r="332" spans="3:31" x14ac:dyDescent="0.2">
      <c r="C332" s="16"/>
      <c r="D332" s="12"/>
      <c r="E332" s="12"/>
      <c r="F332" s="12"/>
      <c r="G332" s="12"/>
      <c r="H332" s="12"/>
      <c r="AE332" s="289"/>
    </row>
    <row r="333" spans="3:31" x14ac:dyDescent="0.2">
      <c r="C333" s="16"/>
      <c r="D333" s="12"/>
      <c r="E333" s="12"/>
      <c r="F333" s="12"/>
      <c r="G333" s="12"/>
      <c r="H333" s="12"/>
      <c r="AE333" s="289"/>
    </row>
    <row r="334" spans="3:31" x14ac:dyDescent="0.2">
      <c r="C334" s="16"/>
      <c r="D334" s="12"/>
      <c r="E334" s="12"/>
      <c r="F334" s="12"/>
      <c r="G334" s="12"/>
      <c r="H334" s="12"/>
      <c r="AE334" s="289"/>
    </row>
    <row r="335" spans="3:31" x14ac:dyDescent="0.2">
      <c r="C335" s="16"/>
      <c r="D335" s="12"/>
      <c r="E335" s="12"/>
      <c r="F335" s="12"/>
      <c r="G335" s="12"/>
      <c r="H335" s="12"/>
      <c r="AE335" s="289"/>
    </row>
    <row r="336" spans="3:31" x14ac:dyDescent="0.2">
      <c r="C336" s="16"/>
      <c r="D336" s="12"/>
      <c r="E336" s="12"/>
      <c r="F336" s="12"/>
      <c r="G336" s="12"/>
      <c r="H336" s="12"/>
      <c r="AE336" s="289"/>
    </row>
    <row r="337" spans="3:31" x14ac:dyDescent="0.2">
      <c r="C337" s="16"/>
      <c r="D337" s="12"/>
      <c r="E337" s="12"/>
      <c r="F337" s="12"/>
      <c r="G337" s="12"/>
      <c r="H337" s="12"/>
      <c r="AE337" s="289"/>
    </row>
    <row r="338" spans="3:31" x14ac:dyDescent="0.2">
      <c r="C338" s="16"/>
      <c r="D338" s="12"/>
      <c r="E338" s="12"/>
      <c r="F338" s="12"/>
      <c r="G338" s="12"/>
      <c r="H338" s="12"/>
      <c r="AE338" s="289"/>
    </row>
    <row r="339" spans="3:31" x14ac:dyDescent="0.2">
      <c r="C339" s="16"/>
      <c r="D339" s="12"/>
      <c r="E339" s="12"/>
      <c r="F339" s="12"/>
      <c r="G339" s="12"/>
      <c r="H339" s="12"/>
      <c r="AE339" s="289"/>
    </row>
    <row r="340" spans="3:31" x14ac:dyDescent="0.2">
      <c r="C340" s="16"/>
      <c r="D340" s="12"/>
      <c r="E340" s="12"/>
      <c r="F340" s="12"/>
      <c r="G340" s="12"/>
      <c r="H340" s="12"/>
      <c r="AE340" s="289"/>
    </row>
    <row r="341" spans="3:31" x14ac:dyDescent="0.2">
      <c r="C341" s="16"/>
      <c r="D341" s="12"/>
      <c r="E341" s="12"/>
      <c r="F341" s="12"/>
      <c r="G341" s="12"/>
      <c r="H341" s="12"/>
      <c r="AE341" s="289"/>
    </row>
    <row r="342" spans="3:31" x14ac:dyDescent="0.2">
      <c r="C342" s="16"/>
      <c r="D342" s="12"/>
      <c r="E342" s="12"/>
      <c r="F342" s="12"/>
      <c r="G342" s="12"/>
      <c r="H342" s="12"/>
      <c r="AE342" s="289"/>
    </row>
    <row r="343" spans="3:31" x14ac:dyDescent="0.2">
      <c r="C343" s="16"/>
      <c r="D343" s="12"/>
      <c r="E343" s="12"/>
      <c r="F343" s="12"/>
      <c r="G343" s="12"/>
      <c r="H343" s="12"/>
      <c r="AE343" s="289"/>
    </row>
    <row r="344" spans="3:31" x14ac:dyDescent="0.2">
      <c r="C344" s="16"/>
      <c r="D344" s="12"/>
      <c r="E344" s="12"/>
      <c r="F344" s="12"/>
      <c r="G344" s="12"/>
      <c r="H344" s="12"/>
      <c r="AE344" s="289"/>
    </row>
    <row r="345" spans="3:31" x14ac:dyDescent="0.2">
      <c r="C345" s="16"/>
      <c r="D345" s="12"/>
      <c r="E345" s="12"/>
      <c r="F345" s="12"/>
      <c r="G345" s="12"/>
      <c r="H345" s="12"/>
      <c r="AE345" s="289"/>
    </row>
    <row r="346" spans="3:31" x14ac:dyDescent="0.2">
      <c r="C346" s="16"/>
      <c r="D346" s="12"/>
      <c r="E346" s="12"/>
      <c r="F346" s="12"/>
      <c r="G346" s="12"/>
      <c r="H346" s="12"/>
      <c r="AE346" s="289"/>
    </row>
    <row r="347" spans="3:31" x14ac:dyDescent="0.2">
      <c r="C347" s="16"/>
      <c r="D347" s="12"/>
      <c r="E347" s="12"/>
      <c r="F347" s="12"/>
      <c r="G347" s="12"/>
      <c r="H347" s="12"/>
      <c r="AE347" s="289"/>
    </row>
    <row r="348" spans="3:31" x14ac:dyDescent="0.2">
      <c r="C348" s="16"/>
      <c r="D348" s="12"/>
      <c r="E348" s="12"/>
      <c r="F348" s="12"/>
      <c r="G348" s="12"/>
      <c r="H348" s="12"/>
      <c r="AE348" s="289"/>
    </row>
    <row r="349" spans="3:31" x14ac:dyDescent="0.2">
      <c r="C349" s="16"/>
      <c r="D349" s="12"/>
      <c r="E349" s="12"/>
      <c r="F349" s="12"/>
      <c r="G349" s="12"/>
      <c r="H349" s="12"/>
      <c r="AE349" s="289"/>
    </row>
    <row r="350" spans="3:31" x14ac:dyDescent="0.2">
      <c r="C350" s="16"/>
      <c r="D350" s="12"/>
      <c r="E350" s="12"/>
      <c r="F350" s="12"/>
      <c r="G350" s="12"/>
      <c r="H350" s="12"/>
      <c r="AE350" s="289"/>
    </row>
    <row r="351" spans="3:31" x14ac:dyDescent="0.2">
      <c r="C351" s="16"/>
      <c r="D351" s="12"/>
      <c r="E351" s="12"/>
      <c r="F351" s="12"/>
      <c r="G351" s="12"/>
      <c r="H351" s="12"/>
      <c r="AE351" s="289"/>
    </row>
    <row r="352" spans="3:31" x14ac:dyDescent="0.2">
      <c r="C352" s="16"/>
      <c r="D352" s="12"/>
      <c r="E352" s="12"/>
      <c r="F352" s="12"/>
      <c r="G352" s="12"/>
      <c r="H352" s="12"/>
      <c r="AE352" s="289"/>
    </row>
    <row r="353" spans="3:31" x14ac:dyDescent="0.2">
      <c r="C353" s="16"/>
      <c r="D353" s="12"/>
      <c r="E353" s="12"/>
      <c r="F353" s="12"/>
      <c r="G353" s="12"/>
      <c r="H353" s="12"/>
      <c r="AE353" s="289"/>
    </row>
    <row r="354" spans="3:31" x14ac:dyDescent="0.2">
      <c r="C354" s="16"/>
      <c r="D354" s="12"/>
      <c r="E354" s="12"/>
      <c r="F354" s="12"/>
      <c r="G354" s="12"/>
      <c r="H354" s="12"/>
      <c r="AE354" s="289"/>
    </row>
    <row r="355" spans="3:31" x14ac:dyDescent="0.2">
      <c r="C355" s="16"/>
      <c r="D355" s="12"/>
      <c r="E355" s="12"/>
      <c r="F355" s="12"/>
      <c r="G355" s="12"/>
      <c r="H355" s="12"/>
      <c r="AE355" s="289"/>
    </row>
    <row r="356" spans="3:31" x14ac:dyDescent="0.2">
      <c r="C356" s="16"/>
      <c r="D356" s="12"/>
      <c r="E356" s="12"/>
      <c r="F356" s="12"/>
      <c r="G356" s="12"/>
      <c r="H356" s="12"/>
      <c r="AE356" s="289"/>
    </row>
    <row r="357" spans="3:31" x14ac:dyDescent="0.2">
      <c r="C357" s="16"/>
      <c r="D357" s="12"/>
      <c r="E357" s="12"/>
      <c r="F357" s="12"/>
      <c r="G357" s="12"/>
      <c r="H357" s="12"/>
      <c r="AE357" s="289"/>
    </row>
    <row r="358" spans="3:31" x14ac:dyDescent="0.2">
      <c r="C358" s="16"/>
      <c r="D358" s="12"/>
      <c r="E358" s="12"/>
      <c r="F358" s="12"/>
      <c r="G358" s="12"/>
      <c r="H358" s="12"/>
    </row>
    <row r="359" spans="3:31" x14ac:dyDescent="0.2">
      <c r="C359" s="16"/>
      <c r="D359" s="12"/>
      <c r="E359" s="12"/>
      <c r="F359" s="12"/>
      <c r="G359" s="12"/>
      <c r="H359" s="12"/>
    </row>
    <row r="360" spans="3:31" x14ac:dyDescent="0.2">
      <c r="C360" s="16"/>
      <c r="D360" s="12"/>
      <c r="E360" s="12"/>
      <c r="F360" s="12"/>
      <c r="G360" s="12"/>
      <c r="H360" s="12"/>
    </row>
    <row r="361" spans="3:31" x14ac:dyDescent="0.2">
      <c r="C361" s="16"/>
      <c r="D361" s="12"/>
      <c r="E361" s="12"/>
      <c r="F361" s="12"/>
      <c r="G361" s="12"/>
      <c r="H361" s="12"/>
    </row>
    <row r="362" spans="3:31" x14ac:dyDescent="0.2">
      <c r="C362" s="16"/>
      <c r="D362" s="12"/>
      <c r="E362" s="12"/>
      <c r="F362" s="12"/>
      <c r="G362" s="12"/>
      <c r="H362" s="12"/>
    </row>
    <row r="363" spans="3:31" x14ac:dyDescent="0.2">
      <c r="C363" s="16"/>
      <c r="D363" s="12"/>
      <c r="E363" s="12"/>
      <c r="F363" s="12"/>
      <c r="G363" s="12"/>
      <c r="H363" s="12"/>
    </row>
    <row r="364" spans="3:31" x14ac:dyDescent="0.2">
      <c r="C364" s="16"/>
      <c r="D364" s="12"/>
      <c r="E364" s="12"/>
      <c r="F364" s="12"/>
      <c r="G364" s="12"/>
      <c r="H364" s="12"/>
    </row>
    <row r="365" spans="3:31" x14ac:dyDescent="0.2">
      <c r="C365" s="16"/>
      <c r="D365" s="12"/>
      <c r="E365" s="12"/>
      <c r="F365" s="12"/>
      <c r="G365" s="12"/>
      <c r="H365" s="12"/>
    </row>
    <row r="366" spans="3:31" x14ac:dyDescent="0.2">
      <c r="C366" s="16"/>
      <c r="D366" s="12"/>
      <c r="E366" s="12"/>
      <c r="F366" s="12"/>
      <c r="G366" s="12"/>
      <c r="H366" s="12"/>
    </row>
    <row r="367" spans="3:31" x14ac:dyDescent="0.2">
      <c r="C367" s="16"/>
      <c r="D367" s="12"/>
      <c r="E367" s="12"/>
      <c r="F367" s="12"/>
      <c r="G367" s="12"/>
      <c r="H367" s="12"/>
    </row>
    <row r="368" spans="3:31" x14ac:dyDescent="0.2">
      <c r="C368" s="16"/>
      <c r="D368" s="12"/>
      <c r="E368" s="12"/>
      <c r="F368" s="12"/>
      <c r="G368" s="12"/>
      <c r="H368" s="12"/>
    </row>
    <row r="369" spans="3:8" x14ac:dyDescent="0.2">
      <c r="C369" s="16"/>
      <c r="D369" s="12"/>
      <c r="E369" s="12"/>
      <c r="F369" s="12"/>
      <c r="G369" s="12"/>
      <c r="H369" s="12"/>
    </row>
    <row r="370" spans="3:8" x14ac:dyDescent="0.2">
      <c r="C370" s="16"/>
      <c r="D370" s="12"/>
      <c r="E370" s="12"/>
      <c r="F370" s="12"/>
      <c r="G370" s="12"/>
      <c r="H370" s="12"/>
    </row>
    <row r="371" spans="3:8" x14ac:dyDescent="0.2">
      <c r="C371" s="16"/>
      <c r="D371" s="12"/>
      <c r="E371" s="12"/>
      <c r="F371" s="12"/>
      <c r="G371" s="12"/>
      <c r="H371" s="12"/>
    </row>
    <row r="372" spans="3:8" x14ac:dyDescent="0.2">
      <c r="C372" s="16"/>
      <c r="D372" s="12"/>
      <c r="E372" s="12"/>
      <c r="F372" s="12"/>
      <c r="G372" s="12"/>
      <c r="H372" s="12"/>
    </row>
    <row r="373" spans="3:8" x14ac:dyDescent="0.2">
      <c r="C373" s="16"/>
      <c r="D373" s="12"/>
      <c r="E373" s="12"/>
      <c r="F373" s="12"/>
      <c r="G373" s="12"/>
      <c r="H373" s="12"/>
    </row>
    <row r="374" spans="3:8" x14ac:dyDescent="0.2">
      <c r="C374" s="16"/>
      <c r="D374" s="12"/>
      <c r="E374" s="12"/>
      <c r="F374" s="12"/>
      <c r="G374" s="12"/>
      <c r="H374" s="12"/>
    </row>
    <row r="375" spans="3:8" x14ac:dyDescent="0.2">
      <c r="C375" s="16"/>
      <c r="D375" s="12"/>
      <c r="E375" s="12"/>
      <c r="F375" s="12"/>
      <c r="G375" s="12"/>
      <c r="H375" s="12"/>
    </row>
    <row r="376" spans="3:8" x14ac:dyDescent="0.2">
      <c r="C376" s="16"/>
      <c r="D376" s="12"/>
      <c r="E376" s="12"/>
      <c r="F376" s="12"/>
      <c r="G376" s="12"/>
      <c r="H376" s="12"/>
    </row>
    <row r="377" spans="3:8" x14ac:dyDescent="0.2">
      <c r="C377" s="16"/>
      <c r="D377" s="12"/>
      <c r="E377" s="12"/>
      <c r="F377" s="12"/>
      <c r="G377" s="12"/>
      <c r="H377" s="12"/>
    </row>
    <row r="378" spans="3:8" x14ac:dyDescent="0.2">
      <c r="C378" s="16"/>
      <c r="D378" s="12"/>
      <c r="E378" s="12"/>
      <c r="F378" s="12"/>
      <c r="G378" s="12"/>
      <c r="H378" s="12"/>
    </row>
    <row r="379" spans="3:8" x14ac:dyDescent="0.2">
      <c r="C379" s="16"/>
      <c r="D379" s="12"/>
      <c r="E379" s="12"/>
      <c r="F379" s="12"/>
      <c r="G379" s="12"/>
      <c r="H379" s="12"/>
    </row>
    <row r="380" spans="3:8" x14ac:dyDescent="0.2">
      <c r="C380" s="16"/>
      <c r="D380" s="12"/>
      <c r="E380" s="12"/>
      <c r="F380" s="12"/>
      <c r="G380" s="12"/>
      <c r="H380" s="12"/>
    </row>
    <row r="381" spans="3:8" x14ac:dyDescent="0.2">
      <c r="C381" s="16"/>
      <c r="D381" s="12"/>
      <c r="E381" s="12"/>
      <c r="F381" s="12"/>
      <c r="G381" s="12"/>
      <c r="H381" s="12"/>
    </row>
    <row r="382" spans="3:8" x14ac:dyDescent="0.2">
      <c r="C382" s="16"/>
      <c r="D382" s="12"/>
      <c r="E382" s="12"/>
      <c r="F382" s="12"/>
      <c r="G382" s="12"/>
      <c r="H382" s="12"/>
    </row>
    <row r="383" spans="3:8" x14ac:dyDescent="0.2">
      <c r="C383" s="16"/>
      <c r="D383" s="12"/>
      <c r="E383" s="12"/>
      <c r="F383" s="12"/>
      <c r="G383" s="12"/>
      <c r="H383" s="12"/>
    </row>
    <row r="384" spans="3:8" x14ac:dyDescent="0.2">
      <c r="C384" s="16"/>
      <c r="D384" s="12"/>
      <c r="E384" s="12"/>
      <c r="F384" s="12"/>
      <c r="G384" s="12"/>
      <c r="H384" s="12"/>
    </row>
    <row r="385" spans="3:8" x14ac:dyDescent="0.2">
      <c r="C385" s="16"/>
      <c r="D385" s="12"/>
      <c r="E385" s="12"/>
      <c r="F385" s="12"/>
      <c r="G385" s="12"/>
      <c r="H385" s="12"/>
    </row>
    <row r="386" spans="3:8" x14ac:dyDescent="0.2">
      <c r="C386" s="16"/>
      <c r="D386" s="12"/>
      <c r="E386" s="12"/>
      <c r="F386" s="12"/>
      <c r="G386" s="12"/>
      <c r="H386" s="12"/>
    </row>
    <row r="387" spans="3:8" x14ac:dyDescent="0.2">
      <c r="C387" s="16"/>
      <c r="D387" s="12"/>
      <c r="E387" s="12"/>
      <c r="F387" s="12"/>
      <c r="G387" s="12"/>
      <c r="H387" s="12"/>
    </row>
    <row r="388" spans="3:8" x14ac:dyDescent="0.2">
      <c r="C388" s="16"/>
      <c r="D388" s="12"/>
      <c r="E388" s="12"/>
      <c r="F388" s="12"/>
      <c r="G388" s="12"/>
      <c r="H388" s="12"/>
    </row>
    <row r="389" spans="3:8" x14ac:dyDescent="0.2">
      <c r="C389" s="16"/>
      <c r="D389" s="12"/>
      <c r="E389" s="12"/>
      <c r="F389" s="12"/>
      <c r="G389" s="12"/>
      <c r="H389" s="12"/>
    </row>
    <row r="390" spans="3:8" x14ac:dyDescent="0.2">
      <c r="C390" s="16"/>
      <c r="D390" s="12"/>
      <c r="E390" s="12"/>
      <c r="F390" s="12"/>
      <c r="G390" s="12"/>
      <c r="H390" s="12"/>
    </row>
    <row r="391" spans="3:8" x14ac:dyDescent="0.2">
      <c r="C391" s="16"/>
      <c r="D391" s="12"/>
      <c r="E391" s="12"/>
      <c r="F391" s="12"/>
      <c r="G391" s="12"/>
      <c r="H391" s="12"/>
    </row>
    <row r="392" spans="3:8" x14ac:dyDescent="0.2">
      <c r="C392" s="16"/>
      <c r="D392" s="12"/>
      <c r="E392" s="12"/>
      <c r="F392" s="12"/>
      <c r="G392" s="12"/>
      <c r="H392" s="12"/>
    </row>
    <row r="393" spans="3:8" x14ac:dyDescent="0.2">
      <c r="C393" s="16"/>
      <c r="D393" s="12"/>
      <c r="E393" s="12"/>
      <c r="F393" s="12"/>
      <c r="G393" s="12"/>
      <c r="H393" s="12"/>
    </row>
    <row r="394" spans="3:8" x14ac:dyDescent="0.2">
      <c r="C394" s="16"/>
      <c r="D394" s="12"/>
      <c r="E394" s="12"/>
      <c r="F394" s="12"/>
      <c r="G394" s="12"/>
      <c r="H394" s="12"/>
    </row>
    <row r="395" spans="3:8" x14ac:dyDescent="0.2">
      <c r="C395" s="16"/>
      <c r="D395" s="12"/>
      <c r="E395" s="12"/>
      <c r="F395" s="12"/>
      <c r="G395" s="12"/>
      <c r="H395" s="12"/>
    </row>
    <row r="396" spans="3:8" x14ac:dyDescent="0.2">
      <c r="C396" s="16"/>
      <c r="D396" s="12"/>
      <c r="E396" s="12"/>
      <c r="F396" s="12"/>
      <c r="G396" s="12"/>
      <c r="H396" s="12"/>
    </row>
    <row r="397" spans="3:8" x14ac:dyDescent="0.2">
      <c r="C397" s="16"/>
      <c r="D397" s="12"/>
      <c r="E397" s="12"/>
      <c r="F397" s="12"/>
      <c r="G397" s="12"/>
      <c r="H397" s="12"/>
    </row>
    <row r="398" spans="3:8" x14ac:dyDescent="0.2">
      <c r="C398" s="16"/>
      <c r="D398" s="12"/>
      <c r="E398" s="12"/>
      <c r="F398" s="12"/>
      <c r="G398" s="12"/>
      <c r="H398" s="12"/>
    </row>
    <row r="399" spans="3:8" x14ac:dyDescent="0.2">
      <c r="C399" s="16"/>
      <c r="D399" s="12"/>
      <c r="E399" s="12"/>
      <c r="F399" s="12"/>
      <c r="G399" s="12"/>
      <c r="H399" s="12"/>
    </row>
    <row r="400" spans="3:8" x14ac:dyDescent="0.2">
      <c r="C400" s="16"/>
      <c r="D400" s="12"/>
      <c r="E400" s="12"/>
      <c r="F400" s="12"/>
      <c r="G400" s="12"/>
      <c r="H400" s="12"/>
    </row>
    <row r="401" spans="3:8" x14ac:dyDescent="0.2">
      <c r="C401" s="16"/>
      <c r="D401" s="12"/>
      <c r="E401" s="12"/>
      <c r="F401" s="12"/>
      <c r="G401" s="12"/>
      <c r="H401" s="12"/>
    </row>
    <row r="402" spans="3:8" x14ac:dyDescent="0.2">
      <c r="C402" s="16"/>
      <c r="D402" s="12"/>
      <c r="E402" s="12"/>
      <c r="F402" s="12"/>
      <c r="G402" s="12"/>
      <c r="H402" s="12"/>
    </row>
    <row r="403" spans="3:8" x14ac:dyDescent="0.2">
      <c r="C403" s="16"/>
      <c r="D403" s="12"/>
      <c r="E403" s="12"/>
      <c r="F403" s="12"/>
      <c r="G403" s="12"/>
      <c r="H403" s="12"/>
    </row>
    <row r="404" spans="3:8" x14ac:dyDescent="0.2">
      <c r="C404" s="16"/>
      <c r="D404" s="12"/>
      <c r="E404" s="12"/>
      <c r="F404" s="12"/>
      <c r="G404" s="12"/>
      <c r="H404" s="12"/>
    </row>
    <row r="405" spans="3:8" x14ac:dyDescent="0.2">
      <c r="C405" s="16"/>
      <c r="D405" s="12"/>
      <c r="E405" s="12"/>
      <c r="F405" s="12"/>
      <c r="G405" s="12"/>
      <c r="H405" s="12"/>
    </row>
    <row r="406" spans="3:8" x14ac:dyDescent="0.2">
      <c r="C406" s="16"/>
      <c r="D406" s="12"/>
      <c r="E406" s="12"/>
      <c r="F406" s="12"/>
      <c r="G406" s="12"/>
      <c r="H406" s="12"/>
    </row>
    <row r="407" spans="3:8" x14ac:dyDescent="0.2">
      <c r="C407" s="16"/>
      <c r="D407" s="12"/>
      <c r="E407" s="12"/>
      <c r="F407" s="12"/>
      <c r="G407" s="12"/>
      <c r="H407" s="12"/>
    </row>
    <row r="408" spans="3:8" x14ac:dyDescent="0.2">
      <c r="C408" s="16"/>
      <c r="D408" s="12"/>
      <c r="E408" s="12"/>
      <c r="F408" s="12"/>
      <c r="G408" s="12"/>
      <c r="H408" s="12"/>
    </row>
    <row r="409" spans="3:8" x14ac:dyDescent="0.2">
      <c r="C409" s="16"/>
      <c r="D409" s="12"/>
      <c r="E409" s="12"/>
      <c r="F409" s="12"/>
      <c r="G409" s="12"/>
      <c r="H409" s="12"/>
    </row>
    <row r="410" spans="3:8" x14ac:dyDescent="0.2">
      <c r="C410" s="16"/>
      <c r="D410" s="12"/>
      <c r="E410" s="12"/>
      <c r="F410" s="12"/>
      <c r="G410" s="12"/>
      <c r="H410" s="12"/>
    </row>
    <row r="411" spans="3:8" x14ac:dyDescent="0.2">
      <c r="C411" s="16"/>
      <c r="D411" s="12"/>
      <c r="E411" s="12"/>
      <c r="F411" s="12"/>
      <c r="G411" s="12"/>
      <c r="H411" s="12"/>
    </row>
    <row r="412" spans="3:8" x14ac:dyDescent="0.2">
      <c r="C412" s="16"/>
      <c r="D412" s="12"/>
      <c r="E412" s="12"/>
      <c r="F412" s="12"/>
      <c r="G412" s="12"/>
      <c r="H412" s="12"/>
    </row>
    <row r="413" spans="3:8" x14ac:dyDescent="0.2">
      <c r="C413" s="16"/>
      <c r="D413" s="12"/>
      <c r="E413" s="12"/>
      <c r="F413" s="12"/>
      <c r="G413" s="12"/>
      <c r="H413" s="12"/>
    </row>
    <row r="414" spans="3:8" x14ac:dyDescent="0.2">
      <c r="C414" s="16"/>
      <c r="D414" s="12"/>
      <c r="E414" s="12"/>
      <c r="F414" s="12"/>
      <c r="G414" s="12"/>
      <c r="H414" s="12"/>
    </row>
    <row r="415" spans="3:8" x14ac:dyDescent="0.2">
      <c r="C415" s="16"/>
      <c r="D415" s="12"/>
      <c r="E415" s="12"/>
      <c r="F415" s="12"/>
      <c r="G415" s="12"/>
      <c r="H415" s="12"/>
    </row>
    <row r="416" spans="3:8" x14ac:dyDescent="0.2">
      <c r="C416" s="16"/>
      <c r="D416" s="12"/>
      <c r="E416" s="12"/>
      <c r="F416" s="12"/>
      <c r="G416" s="12"/>
      <c r="H416" s="12"/>
    </row>
    <row r="417" spans="3:8" x14ac:dyDescent="0.2">
      <c r="C417" s="16"/>
      <c r="D417" s="12"/>
      <c r="E417" s="12"/>
      <c r="F417" s="12"/>
      <c r="G417" s="12"/>
      <c r="H417" s="12"/>
    </row>
    <row r="418" spans="3:8" x14ac:dyDescent="0.2">
      <c r="C418" s="16"/>
      <c r="D418" s="12"/>
      <c r="E418" s="12"/>
      <c r="F418" s="12"/>
      <c r="G418" s="12"/>
      <c r="H418" s="12"/>
    </row>
    <row r="419" spans="3:8" x14ac:dyDescent="0.2">
      <c r="C419" s="16"/>
      <c r="D419" s="12"/>
      <c r="E419" s="12"/>
      <c r="F419" s="12"/>
      <c r="G419" s="12"/>
      <c r="H419" s="12"/>
    </row>
    <row r="420" spans="3:8" x14ac:dyDescent="0.2">
      <c r="C420" s="16"/>
      <c r="D420" s="12"/>
      <c r="E420" s="12"/>
      <c r="F420" s="12"/>
      <c r="G420" s="12"/>
      <c r="H420" s="12"/>
    </row>
    <row r="421" spans="3:8" x14ac:dyDescent="0.2">
      <c r="C421" s="16"/>
      <c r="D421" s="12"/>
      <c r="E421" s="12"/>
      <c r="F421" s="12"/>
      <c r="G421" s="12"/>
      <c r="H421" s="12"/>
    </row>
    <row r="422" spans="3:8" x14ac:dyDescent="0.2">
      <c r="C422" s="16"/>
      <c r="D422" s="12"/>
      <c r="E422" s="12"/>
      <c r="F422" s="12"/>
      <c r="G422" s="12"/>
      <c r="H422" s="12"/>
    </row>
    <row r="423" spans="3:8" x14ac:dyDescent="0.2">
      <c r="C423" s="16"/>
      <c r="D423" s="12"/>
      <c r="E423" s="12"/>
      <c r="F423" s="12"/>
      <c r="G423" s="12"/>
      <c r="H423" s="12"/>
    </row>
    <row r="424" spans="3:8" x14ac:dyDescent="0.2">
      <c r="C424" s="16"/>
      <c r="D424" s="12"/>
      <c r="E424" s="12"/>
      <c r="F424" s="12"/>
      <c r="G424" s="12"/>
      <c r="H424" s="12"/>
    </row>
    <row r="425" spans="3:8" x14ac:dyDescent="0.2">
      <c r="C425" s="16"/>
      <c r="D425" s="12"/>
      <c r="E425" s="12"/>
      <c r="F425" s="12"/>
      <c r="G425" s="12"/>
      <c r="H425" s="12"/>
    </row>
    <row r="426" spans="3:8" x14ac:dyDescent="0.2">
      <c r="C426" s="16"/>
      <c r="D426" s="12"/>
      <c r="E426" s="12"/>
      <c r="F426" s="12"/>
      <c r="G426" s="12"/>
      <c r="H426" s="12"/>
    </row>
    <row r="427" spans="3:8" x14ac:dyDescent="0.2">
      <c r="C427" s="16"/>
      <c r="D427" s="12"/>
      <c r="E427" s="12"/>
      <c r="F427" s="12"/>
      <c r="G427" s="12"/>
      <c r="H427" s="12"/>
    </row>
    <row r="428" spans="3:8" x14ac:dyDescent="0.2">
      <c r="C428" s="16"/>
      <c r="D428" s="12"/>
      <c r="E428" s="12"/>
      <c r="F428" s="12"/>
      <c r="G428" s="12"/>
      <c r="H428" s="12"/>
    </row>
    <row r="429" spans="3:8" x14ac:dyDescent="0.2">
      <c r="C429" s="16"/>
      <c r="D429" s="12"/>
      <c r="E429" s="12"/>
      <c r="F429" s="12"/>
      <c r="G429" s="12"/>
      <c r="H429" s="12"/>
    </row>
    <row r="430" spans="3:8" x14ac:dyDescent="0.2">
      <c r="C430" s="16"/>
      <c r="D430" s="12"/>
      <c r="E430" s="12"/>
      <c r="F430" s="12"/>
      <c r="G430" s="12"/>
      <c r="H430" s="12"/>
    </row>
    <row r="431" spans="3:8" x14ac:dyDescent="0.2">
      <c r="C431" s="16"/>
      <c r="D431" s="12"/>
      <c r="E431" s="12"/>
      <c r="F431" s="12"/>
      <c r="G431" s="12"/>
      <c r="H431" s="12"/>
    </row>
    <row r="432" spans="3:8" x14ac:dyDescent="0.2">
      <c r="C432" s="16"/>
      <c r="D432" s="12"/>
      <c r="E432" s="12"/>
      <c r="F432" s="12"/>
      <c r="G432" s="12"/>
      <c r="H432" s="12"/>
    </row>
    <row r="433" spans="3:8" x14ac:dyDescent="0.2">
      <c r="C433" s="16"/>
      <c r="D433" s="12"/>
      <c r="E433" s="12"/>
      <c r="F433" s="12"/>
      <c r="G433" s="12"/>
      <c r="H433" s="12"/>
    </row>
    <row r="434" spans="3:8" x14ac:dyDescent="0.2">
      <c r="C434" s="16"/>
      <c r="D434" s="12"/>
      <c r="E434" s="12"/>
      <c r="F434" s="12"/>
      <c r="G434" s="12"/>
      <c r="H434" s="12"/>
    </row>
    <row r="435" spans="3:8" x14ac:dyDescent="0.2">
      <c r="C435" s="16"/>
      <c r="D435" s="12"/>
      <c r="E435" s="12"/>
      <c r="F435" s="12"/>
      <c r="G435" s="12"/>
      <c r="H435" s="12"/>
    </row>
    <row r="436" spans="3:8" x14ac:dyDescent="0.2">
      <c r="C436" s="16"/>
      <c r="D436" s="12"/>
      <c r="E436" s="12"/>
      <c r="F436" s="12"/>
      <c r="G436" s="12"/>
      <c r="H436" s="12"/>
    </row>
    <row r="437" spans="3:8" x14ac:dyDescent="0.2">
      <c r="C437" s="16"/>
      <c r="D437" s="12"/>
      <c r="E437" s="12"/>
      <c r="F437" s="12"/>
      <c r="G437" s="12"/>
      <c r="H437" s="12"/>
    </row>
    <row r="438" spans="3:8" x14ac:dyDescent="0.2">
      <c r="C438" s="16"/>
      <c r="D438" s="12"/>
      <c r="E438" s="12"/>
      <c r="F438" s="12"/>
      <c r="G438" s="12"/>
      <c r="H438" s="12"/>
    </row>
    <row r="439" spans="3:8" x14ac:dyDescent="0.2">
      <c r="C439" s="16"/>
      <c r="D439" s="12"/>
      <c r="E439" s="12"/>
      <c r="F439" s="12"/>
      <c r="G439" s="12"/>
      <c r="H439" s="12"/>
    </row>
    <row r="440" spans="3:8" x14ac:dyDescent="0.2">
      <c r="C440" s="16"/>
      <c r="D440" s="12"/>
      <c r="E440" s="12"/>
      <c r="F440" s="12"/>
      <c r="G440" s="12"/>
      <c r="H440" s="12"/>
    </row>
    <row r="441" spans="3:8" x14ac:dyDescent="0.2">
      <c r="C441" s="16"/>
      <c r="D441" s="12"/>
      <c r="E441" s="12"/>
      <c r="F441" s="12"/>
      <c r="G441" s="12"/>
      <c r="H441" s="12"/>
    </row>
    <row r="442" spans="3:8" x14ac:dyDescent="0.2">
      <c r="C442" s="16"/>
      <c r="D442" s="12"/>
      <c r="E442" s="12"/>
      <c r="F442" s="12"/>
      <c r="G442" s="12"/>
      <c r="H442" s="12"/>
    </row>
    <row r="443" spans="3:8" x14ac:dyDescent="0.2">
      <c r="C443" s="16"/>
      <c r="D443" s="12"/>
      <c r="E443" s="12"/>
      <c r="F443" s="12"/>
      <c r="G443" s="12"/>
      <c r="H443" s="12"/>
    </row>
    <row r="444" spans="3:8" x14ac:dyDescent="0.2">
      <c r="C444" s="16"/>
      <c r="D444" s="12"/>
      <c r="E444" s="12"/>
      <c r="F444" s="12"/>
      <c r="G444" s="12"/>
      <c r="H444" s="12"/>
    </row>
    <row r="445" spans="3:8" x14ac:dyDescent="0.2">
      <c r="C445" s="16"/>
      <c r="D445" s="12"/>
      <c r="E445" s="12"/>
      <c r="F445" s="12"/>
      <c r="G445" s="12"/>
      <c r="H445" s="12"/>
    </row>
    <row r="446" spans="3:8" x14ac:dyDescent="0.2">
      <c r="C446" s="16"/>
      <c r="D446" s="12"/>
      <c r="E446" s="12"/>
      <c r="F446" s="12"/>
      <c r="G446" s="12"/>
      <c r="H446" s="12"/>
    </row>
    <row r="447" spans="3:8" x14ac:dyDescent="0.2">
      <c r="C447" s="16"/>
      <c r="D447" s="12"/>
      <c r="E447" s="12"/>
      <c r="F447" s="12"/>
      <c r="G447" s="12"/>
      <c r="H447" s="12"/>
    </row>
    <row r="448" spans="3:8" x14ac:dyDescent="0.2">
      <c r="C448" s="16"/>
      <c r="D448" s="12"/>
      <c r="E448" s="12"/>
      <c r="F448" s="12"/>
      <c r="G448" s="12"/>
      <c r="H448" s="12"/>
    </row>
    <row r="449" spans="3:8" x14ac:dyDescent="0.2">
      <c r="C449" s="16"/>
      <c r="D449" s="12"/>
      <c r="E449" s="12"/>
      <c r="F449" s="12"/>
      <c r="G449" s="12"/>
      <c r="H449" s="12"/>
    </row>
    <row r="450" spans="3:8" x14ac:dyDescent="0.2">
      <c r="C450" s="16"/>
      <c r="D450" s="12"/>
      <c r="E450" s="12"/>
      <c r="F450" s="12"/>
      <c r="G450" s="12"/>
      <c r="H450" s="12"/>
    </row>
    <row r="451" spans="3:8" x14ac:dyDescent="0.2">
      <c r="C451" s="16"/>
      <c r="D451" s="12"/>
      <c r="E451" s="12"/>
      <c r="F451" s="12"/>
      <c r="G451" s="12"/>
      <c r="H451" s="12"/>
    </row>
    <row r="452" spans="3:8" x14ac:dyDescent="0.2">
      <c r="C452" s="16"/>
      <c r="D452" s="12"/>
      <c r="E452" s="12"/>
      <c r="F452" s="12"/>
      <c r="G452" s="12"/>
      <c r="H452" s="12"/>
    </row>
    <row r="453" spans="3:8" x14ac:dyDescent="0.2">
      <c r="C453" s="16"/>
      <c r="D453" s="12"/>
      <c r="E453" s="12"/>
      <c r="F453" s="12"/>
      <c r="G453" s="12"/>
      <c r="H453" s="12"/>
    </row>
    <row r="454" spans="3:8" x14ac:dyDescent="0.2">
      <c r="C454" s="16"/>
      <c r="D454" s="12"/>
      <c r="E454" s="12"/>
      <c r="F454" s="12"/>
      <c r="G454" s="12"/>
      <c r="H454" s="12"/>
    </row>
    <row r="455" spans="3:8" x14ac:dyDescent="0.2">
      <c r="C455" s="16"/>
      <c r="D455" s="12"/>
      <c r="E455" s="12"/>
      <c r="F455" s="12"/>
      <c r="G455" s="12"/>
      <c r="H455" s="12"/>
    </row>
    <row r="456" spans="3:8" x14ac:dyDescent="0.2">
      <c r="C456" s="16"/>
      <c r="D456" s="12"/>
      <c r="E456" s="12"/>
      <c r="F456" s="12"/>
      <c r="G456" s="12"/>
      <c r="H456" s="12"/>
    </row>
    <row r="457" spans="3:8" x14ac:dyDescent="0.2">
      <c r="C457" s="16"/>
      <c r="D457" s="12"/>
      <c r="E457" s="12"/>
      <c r="F457" s="12"/>
      <c r="G457" s="12"/>
      <c r="H457" s="12"/>
    </row>
    <row r="458" spans="3:8" x14ac:dyDescent="0.2">
      <c r="C458" s="16"/>
      <c r="D458" s="12"/>
      <c r="E458" s="12"/>
      <c r="F458" s="12"/>
      <c r="G458" s="12"/>
      <c r="H458" s="12"/>
    </row>
    <row r="459" spans="3:8" x14ac:dyDescent="0.2">
      <c r="C459" s="16"/>
      <c r="D459" s="12"/>
      <c r="E459" s="12"/>
      <c r="F459" s="12"/>
      <c r="G459" s="12"/>
      <c r="H459" s="12"/>
    </row>
    <row r="460" spans="3:8" x14ac:dyDescent="0.2">
      <c r="C460" s="16"/>
      <c r="D460" s="12"/>
      <c r="E460" s="12"/>
      <c r="F460" s="12"/>
      <c r="G460" s="12"/>
      <c r="H460" s="12"/>
    </row>
    <row r="461" spans="3:8" x14ac:dyDescent="0.2">
      <c r="C461" s="16"/>
      <c r="D461" s="12"/>
      <c r="E461" s="12"/>
      <c r="F461" s="12"/>
      <c r="G461" s="12"/>
      <c r="H461" s="12"/>
    </row>
    <row r="462" spans="3:8" x14ac:dyDescent="0.2">
      <c r="C462" s="16"/>
      <c r="D462" s="12"/>
      <c r="E462" s="12"/>
      <c r="F462" s="12"/>
      <c r="G462" s="12"/>
      <c r="H462" s="12"/>
    </row>
    <row r="463" spans="3:8" x14ac:dyDescent="0.2">
      <c r="C463" s="16"/>
      <c r="D463" s="12"/>
      <c r="E463" s="12"/>
      <c r="F463" s="12"/>
      <c r="G463" s="12"/>
      <c r="H463" s="12"/>
    </row>
    <row r="464" spans="3:8" x14ac:dyDescent="0.2">
      <c r="C464" s="16"/>
      <c r="D464" s="12"/>
      <c r="E464" s="12"/>
      <c r="F464" s="12"/>
      <c r="G464" s="12"/>
      <c r="H464" s="12"/>
    </row>
    <row r="465" spans="3:8" x14ac:dyDescent="0.2">
      <c r="C465" s="16"/>
      <c r="D465" s="12"/>
      <c r="E465" s="12"/>
      <c r="F465" s="12"/>
      <c r="G465" s="12"/>
      <c r="H465" s="12"/>
    </row>
    <row r="466" spans="3:8" x14ac:dyDescent="0.2">
      <c r="C466" s="16"/>
      <c r="D466" s="12"/>
      <c r="E466" s="12"/>
      <c r="F466" s="12"/>
      <c r="G466" s="12"/>
      <c r="H466" s="12"/>
    </row>
    <row r="467" spans="3:8" x14ac:dyDescent="0.2">
      <c r="C467" s="16"/>
      <c r="D467" s="12"/>
      <c r="E467" s="12"/>
      <c r="F467" s="12"/>
      <c r="G467" s="12"/>
      <c r="H467" s="12"/>
    </row>
    <row r="468" spans="3:8" x14ac:dyDescent="0.2">
      <c r="C468" s="16"/>
      <c r="D468" s="12"/>
      <c r="E468" s="12"/>
      <c r="F468" s="12"/>
      <c r="G468" s="12"/>
      <c r="H468" s="12"/>
    </row>
    <row r="469" spans="3:8" x14ac:dyDescent="0.2">
      <c r="C469" s="16"/>
      <c r="D469" s="12"/>
      <c r="E469" s="12"/>
      <c r="F469" s="12"/>
      <c r="G469" s="12"/>
      <c r="H469" s="12"/>
    </row>
    <row r="470" spans="3:8" x14ac:dyDescent="0.2">
      <c r="C470" s="16"/>
      <c r="D470" s="12"/>
      <c r="E470" s="12"/>
      <c r="F470" s="12"/>
      <c r="G470" s="12"/>
      <c r="H470" s="12"/>
    </row>
    <row r="471" spans="3:8" x14ac:dyDescent="0.2">
      <c r="C471" s="16"/>
      <c r="D471" s="12"/>
      <c r="E471" s="12"/>
      <c r="F471" s="12"/>
      <c r="G471" s="12"/>
      <c r="H471" s="12"/>
    </row>
    <row r="472" spans="3:8" x14ac:dyDescent="0.2">
      <c r="C472" s="16"/>
      <c r="D472" s="12"/>
      <c r="E472" s="12"/>
      <c r="F472" s="12"/>
      <c r="G472" s="12"/>
      <c r="H472" s="12"/>
    </row>
    <row r="473" spans="3:8" x14ac:dyDescent="0.2">
      <c r="C473" s="16"/>
      <c r="D473" s="12"/>
      <c r="E473" s="12"/>
      <c r="F473" s="12"/>
      <c r="G473" s="12"/>
      <c r="H473" s="12"/>
    </row>
    <row r="474" spans="3:8" x14ac:dyDescent="0.2">
      <c r="C474" s="16"/>
      <c r="D474" s="12"/>
      <c r="E474" s="12"/>
      <c r="F474" s="12"/>
      <c r="G474" s="12"/>
      <c r="H474" s="12"/>
    </row>
    <row r="475" spans="3:8" x14ac:dyDescent="0.2">
      <c r="C475" s="16"/>
      <c r="D475" s="12"/>
      <c r="E475" s="12"/>
      <c r="F475" s="12"/>
      <c r="G475" s="12"/>
      <c r="H475" s="12"/>
    </row>
    <row r="476" spans="3:8" x14ac:dyDescent="0.2">
      <c r="C476" s="16"/>
      <c r="D476" s="12"/>
      <c r="E476" s="12"/>
      <c r="F476" s="12"/>
      <c r="G476" s="12"/>
      <c r="H476" s="12"/>
    </row>
    <row r="477" spans="3:8" x14ac:dyDescent="0.2">
      <c r="C477" s="16"/>
      <c r="D477" s="12"/>
      <c r="E477" s="12"/>
      <c r="F477" s="12"/>
      <c r="G477" s="12"/>
      <c r="H477" s="12"/>
    </row>
    <row r="478" spans="3:8" x14ac:dyDescent="0.2">
      <c r="C478" s="16"/>
      <c r="D478" s="12"/>
      <c r="E478" s="12"/>
      <c r="F478" s="12"/>
      <c r="G478" s="12"/>
      <c r="H478" s="12"/>
    </row>
    <row r="479" spans="3:8" x14ac:dyDescent="0.2">
      <c r="C479" s="16"/>
      <c r="D479" s="12"/>
      <c r="E479" s="12"/>
      <c r="F479" s="12"/>
      <c r="G479" s="12"/>
      <c r="H479" s="12"/>
    </row>
    <row r="480" spans="3:8" x14ac:dyDescent="0.2">
      <c r="C480" s="16"/>
      <c r="D480" s="12"/>
      <c r="E480" s="12"/>
      <c r="F480" s="12"/>
      <c r="G480" s="12"/>
      <c r="H480" s="12"/>
    </row>
    <row r="481" spans="3:8" x14ac:dyDescent="0.2">
      <c r="C481" s="16"/>
      <c r="D481" s="12"/>
      <c r="E481" s="12"/>
      <c r="F481" s="12"/>
      <c r="G481" s="12"/>
      <c r="H481" s="12"/>
    </row>
    <row r="482" spans="3:8" x14ac:dyDescent="0.2">
      <c r="C482" s="16"/>
      <c r="D482" s="12"/>
      <c r="E482" s="12"/>
      <c r="F482" s="12"/>
      <c r="G482" s="12"/>
      <c r="H482" s="12"/>
    </row>
    <row r="483" spans="3:8" x14ac:dyDescent="0.2">
      <c r="C483" s="16"/>
      <c r="D483" s="12"/>
      <c r="E483" s="12"/>
      <c r="F483" s="12"/>
      <c r="G483" s="12"/>
      <c r="H483" s="12"/>
    </row>
    <row r="484" spans="3:8" x14ac:dyDescent="0.2">
      <c r="C484" s="16"/>
      <c r="D484" s="12"/>
      <c r="E484" s="12"/>
      <c r="F484" s="12"/>
      <c r="G484" s="12"/>
      <c r="H484" s="12"/>
    </row>
    <row r="485" spans="3:8" x14ac:dyDescent="0.2">
      <c r="C485" s="16"/>
      <c r="D485" s="12"/>
      <c r="E485" s="12"/>
      <c r="F485" s="12"/>
      <c r="G485" s="12"/>
      <c r="H485" s="12"/>
    </row>
    <row r="486" spans="3:8" x14ac:dyDescent="0.2">
      <c r="C486" s="16"/>
      <c r="D486" s="12"/>
      <c r="E486" s="12"/>
      <c r="F486" s="12"/>
      <c r="G486" s="12"/>
      <c r="H486" s="12"/>
    </row>
    <row r="487" spans="3:8" x14ac:dyDescent="0.2">
      <c r="C487" s="16"/>
      <c r="D487" s="12"/>
      <c r="E487" s="12"/>
      <c r="F487" s="12"/>
      <c r="G487" s="12"/>
      <c r="H487" s="12"/>
    </row>
    <row r="488" spans="3:8" x14ac:dyDescent="0.2">
      <c r="C488" s="16"/>
      <c r="D488" s="12"/>
      <c r="E488" s="12"/>
      <c r="F488" s="12"/>
      <c r="G488" s="12"/>
      <c r="H488" s="12"/>
    </row>
    <row r="489" spans="3:8" x14ac:dyDescent="0.2">
      <c r="C489" s="16"/>
      <c r="D489" s="12"/>
      <c r="E489" s="12"/>
      <c r="F489" s="12"/>
      <c r="G489" s="12"/>
      <c r="H489" s="12"/>
    </row>
    <row r="490" spans="3:8" x14ac:dyDescent="0.2">
      <c r="C490" s="16"/>
      <c r="D490" s="12"/>
      <c r="E490" s="12"/>
      <c r="F490" s="12"/>
      <c r="G490" s="12"/>
      <c r="H490" s="12"/>
    </row>
    <row r="491" spans="3:8" x14ac:dyDescent="0.2">
      <c r="C491" s="16"/>
      <c r="D491" s="12"/>
      <c r="E491" s="12"/>
      <c r="F491" s="12"/>
      <c r="G491" s="12"/>
      <c r="H491" s="12"/>
    </row>
    <row r="492" spans="3:8" x14ac:dyDescent="0.2">
      <c r="C492" s="16"/>
      <c r="D492" s="12"/>
      <c r="E492" s="12"/>
      <c r="F492" s="12"/>
      <c r="G492" s="12"/>
      <c r="H492" s="12"/>
    </row>
    <row r="493" spans="3:8" x14ac:dyDescent="0.2">
      <c r="C493" s="16"/>
      <c r="D493" s="12"/>
      <c r="E493" s="12"/>
      <c r="F493" s="12"/>
      <c r="G493" s="12"/>
      <c r="H493" s="12"/>
    </row>
    <row r="494" spans="3:8" x14ac:dyDescent="0.2">
      <c r="C494" s="16"/>
      <c r="D494" s="12"/>
      <c r="E494" s="12"/>
      <c r="F494" s="12"/>
      <c r="G494" s="12"/>
      <c r="H494" s="12"/>
    </row>
    <row r="495" spans="3:8" x14ac:dyDescent="0.2">
      <c r="C495" s="16"/>
      <c r="D495" s="12"/>
      <c r="E495" s="12"/>
      <c r="F495" s="12"/>
      <c r="G495" s="12"/>
      <c r="H495" s="12"/>
    </row>
    <row r="496" spans="3:8" x14ac:dyDescent="0.2">
      <c r="C496" s="16"/>
      <c r="D496" s="12"/>
      <c r="E496" s="12"/>
      <c r="F496" s="12"/>
      <c r="G496" s="12"/>
      <c r="H496" s="12"/>
    </row>
    <row r="497" spans="3:8" x14ac:dyDescent="0.2">
      <c r="C497" s="16"/>
      <c r="D497" s="12"/>
      <c r="E497" s="12"/>
      <c r="F497" s="12"/>
      <c r="G497" s="12"/>
      <c r="H497" s="12"/>
    </row>
    <row r="498" spans="3:8" x14ac:dyDescent="0.2">
      <c r="C498" s="16"/>
      <c r="D498" s="12"/>
      <c r="E498" s="12"/>
      <c r="F498" s="12"/>
      <c r="G498" s="12"/>
      <c r="H498" s="12"/>
    </row>
    <row r="499" spans="3:8" x14ac:dyDescent="0.2">
      <c r="C499" s="16"/>
      <c r="D499" s="12"/>
      <c r="E499" s="12"/>
      <c r="F499" s="12"/>
      <c r="G499" s="12"/>
      <c r="H499" s="12"/>
    </row>
    <row r="500" spans="3:8" x14ac:dyDescent="0.2">
      <c r="C500" s="16"/>
      <c r="D500" s="12"/>
      <c r="E500" s="12"/>
      <c r="F500" s="12"/>
      <c r="G500" s="12"/>
      <c r="H500" s="12"/>
    </row>
    <row r="501" spans="3:8" x14ac:dyDescent="0.2">
      <c r="C501" s="16"/>
      <c r="D501" s="12"/>
      <c r="E501" s="12"/>
      <c r="F501" s="12"/>
      <c r="G501" s="12"/>
      <c r="H501" s="12"/>
    </row>
    <row r="502" spans="3:8" x14ac:dyDescent="0.2">
      <c r="C502" s="16"/>
      <c r="D502" s="12"/>
      <c r="E502" s="12"/>
      <c r="F502" s="12"/>
      <c r="G502" s="12"/>
      <c r="H502" s="12"/>
    </row>
    <row r="503" spans="3:8" x14ac:dyDescent="0.2">
      <c r="C503" s="16"/>
      <c r="D503" s="12"/>
      <c r="E503" s="12"/>
      <c r="F503" s="12"/>
      <c r="G503" s="12"/>
      <c r="H503" s="12"/>
    </row>
    <row r="504" spans="3:8" x14ac:dyDescent="0.2">
      <c r="C504" s="16"/>
      <c r="D504" s="12"/>
      <c r="E504" s="12"/>
      <c r="F504" s="12"/>
      <c r="G504" s="12"/>
      <c r="H504" s="12"/>
    </row>
    <row r="505" spans="3:8" x14ac:dyDescent="0.2">
      <c r="C505" s="16"/>
      <c r="D505" s="12"/>
      <c r="E505" s="12"/>
      <c r="F505" s="12"/>
      <c r="G505" s="12"/>
      <c r="H505" s="12"/>
    </row>
    <row r="506" spans="3:8" x14ac:dyDescent="0.2">
      <c r="C506" s="16"/>
      <c r="D506" s="12"/>
      <c r="E506" s="12"/>
      <c r="F506" s="12"/>
      <c r="G506" s="12"/>
      <c r="H506" s="12"/>
    </row>
    <row r="507" spans="3:8" x14ac:dyDescent="0.2">
      <c r="C507" s="16"/>
      <c r="D507" s="12"/>
      <c r="E507" s="12"/>
      <c r="F507" s="12"/>
      <c r="G507" s="12"/>
      <c r="H507" s="12"/>
    </row>
    <row r="508" spans="3:8" x14ac:dyDescent="0.2">
      <c r="C508" s="16"/>
      <c r="D508" s="12"/>
      <c r="E508" s="12"/>
      <c r="F508" s="12"/>
      <c r="G508" s="12"/>
      <c r="H508" s="12"/>
    </row>
    <row r="509" spans="3:8" x14ac:dyDescent="0.2">
      <c r="C509" s="16"/>
      <c r="D509" s="12"/>
      <c r="E509" s="12"/>
      <c r="F509" s="12"/>
      <c r="G509" s="12"/>
      <c r="H509" s="12"/>
    </row>
    <row r="510" spans="3:8" x14ac:dyDescent="0.2">
      <c r="C510" s="16"/>
      <c r="D510" s="12"/>
      <c r="E510" s="12"/>
      <c r="F510" s="12"/>
      <c r="G510" s="12"/>
      <c r="H510" s="12"/>
    </row>
    <row r="511" spans="3:8" x14ac:dyDescent="0.2">
      <c r="C511" s="16"/>
      <c r="D511" s="12"/>
      <c r="E511" s="12"/>
      <c r="F511" s="12"/>
      <c r="G511" s="12"/>
      <c r="H511" s="12"/>
    </row>
    <row r="512" spans="3:8" x14ac:dyDescent="0.2">
      <c r="C512" s="16"/>
      <c r="D512" s="12"/>
      <c r="E512" s="12"/>
      <c r="F512" s="12"/>
      <c r="G512" s="12"/>
      <c r="H512" s="12"/>
    </row>
    <row r="513" spans="3:8" x14ac:dyDescent="0.2">
      <c r="C513" s="16"/>
      <c r="D513" s="12"/>
      <c r="E513" s="12"/>
      <c r="F513" s="12"/>
      <c r="G513" s="12"/>
      <c r="H513" s="12"/>
    </row>
    <row r="514" spans="3:8" x14ac:dyDescent="0.2">
      <c r="C514" s="16"/>
      <c r="D514" s="12"/>
      <c r="E514" s="12"/>
      <c r="F514" s="12"/>
      <c r="G514" s="12"/>
      <c r="H514" s="12"/>
    </row>
    <row r="515" spans="3:8" x14ac:dyDescent="0.2">
      <c r="C515" s="16"/>
      <c r="D515" s="12"/>
      <c r="E515" s="12"/>
      <c r="F515" s="12"/>
      <c r="G515" s="12"/>
      <c r="H515" s="12"/>
    </row>
    <row r="516" spans="3:8" x14ac:dyDescent="0.2">
      <c r="C516" s="16"/>
      <c r="D516" s="12"/>
      <c r="E516" s="12"/>
      <c r="F516" s="12"/>
      <c r="G516" s="12"/>
      <c r="H516" s="12"/>
    </row>
    <row r="517" spans="3:8" x14ac:dyDescent="0.2">
      <c r="C517" s="16"/>
      <c r="D517" s="12"/>
      <c r="E517" s="12"/>
      <c r="F517" s="12"/>
      <c r="G517" s="12"/>
      <c r="H517" s="12"/>
    </row>
    <row r="518" spans="3:8" x14ac:dyDescent="0.2">
      <c r="C518" s="16"/>
      <c r="D518" s="12"/>
      <c r="E518" s="12"/>
      <c r="F518" s="12"/>
      <c r="G518" s="12"/>
      <c r="H518" s="12"/>
    </row>
    <row r="519" spans="3:8" x14ac:dyDescent="0.2">
      <c r="C519" s="16"/>
      <c r="D519" s="12"/>
      <c r="E519" s="12"/>
      <c r="F519" s="12"/>
      <c r="G519" s="12"/>
      <c r="H519" s="12"/>
    </row>
    <row r="520" spans="3:8" x14ac:dyDescent="0.2">
      <c r="C520" s="16"/>
      <c r="D520" s="12"/>
      <c r="E520" s="12"/>
      <c r="F520" s="12"/>
      <c r="G520" s="12"/>
      <c r="H520" s="12"/>
    </row>
    <row r="521" spans="3:8" x14ac:dyDescent="0.2">
      <c r="C521" s="16"/>
      <c r="D521" s="12"/>
      <c r="E521" s="12"/>
      <c r="F521" s="12"/>
      <c r="G521" s="12"/>
      <c r="H521" s="12"/>
    </row>
    <row r="522" spans="3:8" x14ac:dyDescent="0.2">
      <c r="C522" s="16"/>
      <c r="D522" s="12"/>
      <c r="E522" s="12"/>
      <c r="F522" s="12"/>
      <c r="G522" s="12"/>
      <c r="H522" s="12"/>
    </row>
    <row r="523" spans="3:8" x14ac:dyDescent="0.2">
      <c r="C523" s="16"/>
      <c r="D523" s="12"/>
      <c r="E523" s="12"/>
      <c r="F523" s="12"/>
      <c r="G523" s="12"/>
      <c r="H523" s="12"/>
    </row>
    <row r="524" spans="3:8" x14ac:dyDescent="0.2">
      <c r="C524" s="16"/>
      <c r="D524" s="12"/>
      <c r="E524" s="12"/>
      <c r="F524" s="12"/>
      <c r="G524" s="12"/>
      <c r="H524" s="12"/>
    </row>
    <row r="525" spans="3:8" x14ac:dyDescent="0.2">
      <c r="C525" s="16"/>
      <c r="D525" s="12"/>
      <c r="E525" s="12"/>
      <c r="F525" s="12"/>
      <c r="G525" s="12"/>
      <c r="H525" s="12"/>
    </row>
    <row r="526" spans="3:8" x14ac:dyDescent="0.2">
      <c r="C526" s="16"/>
      <c r="D526" s="12"/>
      <c r="E526" s="12"/>
      <c r="F526" s="12"/>
      <c r="G526" s="12"/>
      <c r="H526" s="12"/>
    </row>
    <row r="527" spans="3:8" x14ac:dyDescent="0.2">
      <c r="C527" s="16"/>
      <c r="D527" s="12"/>
      <c r="E527" s="12"/>
      <c r="F527" s="12"/>
      <c r="G527" s="12"/>
      <c r="H527" s="12"/>
    </row>
    <row r="528" spans="3:8" x14ac:dyDescent="0.2">
      <c r="C528" s="16"/>
      <c r="D528" s="12"/>
      <c r="E528" s="12"/>
      <c r="F528" s="12"/>
      <c r="G528" s="12"/>
      <c r="H528" s="12"/>
    </row>
    <row r="529" spans="3:8" x14ac:dyDescent="0.2">
      <c r="C529" s="16"/>
      <c r="D529" s="12"/>
      <c r="E529" s="12"/>
      <c r="F529" s="12"/>
      <c r="G529" s="12"/>
      <c r="H529" s="12"/>
    </row>
    <row r="530" spans="3:8" x14ac:dyDescent="0.2">
      <c r="C530" s="16"/>
      <c r="D530" s="12"/>
      <c r="E530" s="12"/>
      <c r="F530" s="12"/>
      <c r="G530" s="12"/>
      <c r="H530" s="12"/>
    </row>
    <row r="531" spans="3:8" x14ac:dyDescent="0.2">
      <c r="C531" s="16"/>
      <c r="D531" s="12"/>
      <c r="E531" s="12"/>
      <c r="F531" s="12"/>
      <c r="G531" s="12"/>
      <c r="H531" s="12"/>
    </row>
    <row r="532" spans="3:8" x14ac:dyDescent="0.2">
      <c r="C532" s="16"/>
      <c r="D532" s="12"/>
      <c r="E532" s="12"/>
      <c r="F532" s="12"/>
      <c r="G532" s="12"/>
      <c r="H532" s="12"/>
    </row>
    <row r="533" spans="3:8" x14ac:dyDescent="0.2">
      <c r="C533" s="16"/>
      <c r="D533" s="12"/>
      <c r="E533" s="12"/>
      <c r="F533" s="12"/>
      <c r="G533" s="12"/>
      <c r="H533" s="12"/>
    </row>
    <row r="534" spans="3:8" x14ac:dyDescent="0.2">
      <c r="C534" s="16"/>
      <c r="D534" s="12"/>
      <c r="E534" s="12"/>
      <c r="F534" s="12"/>
      <c r="G534" s="12"/>
      <c r="H534" s="12"/>
    </row>
    <row r="535" spans="3:8" x14ac:dyDescent="0.2">
      <c r="C535" s="16"/>
      <c r="D535" s="12"/>
      <c r="E535" s="12"/>
      <c r="F535" s="12"/>
      <c r="G535" s="12"/>
      <c r="H535" s="12"/>
    </row>
    <row r="536" spans="3:8" x14ac:dyDescent="0.2">
      <c r="C536" s="16"/>
      <c r="D536" s="12"/>
      <c r="E536" s="12"/>
      <c r="F536" s="12"/>
      <c r="G536" s="12"/>
      <c r="H536" s="12"/>
    </row>
    <row r="537" spans="3:8" x14ac:dyDescent="0.2">
      <c r="C537" s="16"/>
      <c r="D537" s="12"/>
      <c r="E537" s="12"/>
      <c r="F537" s="12"/>
      <c r="G537" s="12"/>
      <c r="H537" s="12"/>
    </row>
    <row r="538" spans="3:8" x14ac:dyDescent="0.2">
      <c r="C538" s="16"/>
      <c r="D538" s="12"/>
      <c r="E538" s="12"/>
      <c r="F538" s="12"/>
      <c r="G538" s="12"/>
      <c r="H538" s="12"/>
    </row>
    <row r="539" spans="3:8" x14ac:dyDescent="0.2">
      <c r="C539" s="16"/>
      <c r="D539" s="12"/>
      <c r="E539" s="12"/>
      <c r="F539" s="12"/>
      <c r="G539" s="12"/>
      <c r="H539" s="12"/>
    </row>
    <row r="540" spans="3:8" x14ac:dyDescent="0.2">
      <c r="C540" s="16"/>
      <c r="D540" s="12"/>
      <c r="E540" s="12"/>
      <c r="F540" s="12"/>
      <c r="G540" s="12"/>
      <c r="H540" s="12"/>
    </row>
    <row r="541" spans="3:8" x14ac:dyDescent="0.2">
      <c r="C541" s="16"/>
      <c r="D541" s="12"/>
      <c r="E541" s="12"/>
      <c r="F541" s="12"/>
      <c r="G541" s="12"/>
      <c r="H541" s="12"/>
    </row>
    <row r="542" spans="3:8" x14ac:dyDescent="0.2">
      <c r="C542" s="16"/>
      <c r="D542" s="12"/>
      <c r="E542" s="12"/>
      <c r="F542" s="12"/>
      <c r="G542" s="12"/>
      <c r="H542" s="12"/>
    </row>
    <row r="543" spans="3:8" x14ac:dyDescent="0.2">
      <c r="C543" s="16"/>
      <c r="D543" s="12"/>
      <c r="E543" s="12"/>
      <c r="F543" s="12"/>
      <c r="G543" s="12"/>
      <c r="H543" s="12"/>
    </row>
    <row r="544" spans="3:8" x14ac:dyDescent="0.2">
      <c r="C544" s="16"/>
      <c r="D544" s="12"/>
      <c r="E544" s="12"/>
      <c r="F544" s="12"/>
      <c r="G544" s="12"/>
      <c r="H544" s="12"/>
    </row>
    <row r="545" spans="3:8" x14ac:dyDescent="0.2">
      <c r="C545" s="16"/>
      <c r="D545" s="12"/>
      <c r="E545" s="12"/>
      <c r="F545" s="12"/>
      <c r="G545" s="12"/>
      <c r="H545" s="12"/>
    </row>
    <row r="546" spans="3:8" x14ac:dyDescent="0.2">
      <c r="C546" s="16"/>
      <c r="D546" s="12"/>
      <c r="E546" s="12"/>
      <c r="F546" s="12"/>
      <c r="G546" s="12"/>
      <c r="H546" s="12"/>
    </row>
    <row r="547" spans="3:8" x14ac:dyDescent="0.2">
      <c r="C547" s="16"/>
      <c r="D547" s="12"/>
      <c r="E547" s="12"/>
      <c r="F547" s="12"/>
      <c r="G547" s="12"/>
      <c r="H547" s="12"/>
    </row>
    <row r="548" spans="3:8" x14ac:dyDescent="0.2">
      <c r="C548" s="16"/>
      <c r="D548" s="12"/>
      <c r="E548" s="12"/>
      <c r="F548" s="12"/>
      <c r="G548" s="12"/>
      <c r="H548" s="12"/>
    </row>
    <row r="549" spans="3:8" x14ac:dyDescent="0.2">
      <c r="C549" s="16"/>
      <c r="D549" s="12"/>
      <c r="E549" s="12"/>
      <c r="F549" s="12"/>
      <c r="G549" s="12"/>
      <c r="H549" s="12"/>
    </row>
    <row r="550" spans="3:8" x14ac:dyDescent="0.2">
      <c r="C550" s="16"/>
      <c r="D550" s="12"/>
      <c r="E550" s="12"/>
      <c r="F550" s="12"/>
      <c r="G550" s="12"/>
      <c r="H550" s="12"/>
    </row>
    <row r="551" spans="3:8" x14ac:dyDescent="0.2">
      <c r="C551" s="16"/>
      <c r="D551" s="12"/>
      <c r="E551" s="12"/>
      <c r="F551" s="12"/>
      <c r="G551" s="12"/>
      <c r="H551" s="12"/>
    </row>
    <row r="552" spans="3:8" x14ac:dyDescent="0.2">
      <c r="C552" s="16"/>
      <c r="D552" s="12"/>
      <c r="E552" s="12"/>
      <c r="F552" s="12"/>
      <c r="G552" s="12"/>
      <c r="H552" s="12"/>
    </row>
    <row r="553" spans="3:8" x14ac:dyDescent="0.2">
      <c r="C553" s="16"/>
      <c r="D553" s="12"/>
      <c r="E553" s="12"/>
      <c r="F553" s="12"/>
      <c r="G553" s="12"/>
      <c r="H553" s="12"/>
    </row>
    <row r="554" spans="3:8" x14ac:dyDescent="0.2">
      <c r="C554" s="16"/>
      <c r="D554" s="12"/>
      <c r="E554" s="12"/>
      <c r="F554" s="12"/>
      <c r="G554" s="12"/>
      <c r="H554" s="12"/>
    </row>
    <row r="555" spans="3:8" x14ac:dyDescent="0.2">
      <c r="C555" s="16"/>
      <c r="D555" s="12"/>
      <c r="E555" s="12"/>
      <c r="F555" s="12"/>
      <c r="G555" s="12"/>
      <c r="H555" s="12"/>
    </row>
    <row r="556" spans="3:8" x14ac:dyDescent="0.2">
      <c r="C556" s="16"/>
      <c r="D556" s="12"/>
      <c r="E556" s="12"/>
      <c r="F556" s="12"/>
      <c r="G556" s="12"/>
      <c r="H556" s="12"/>
    </row>
    <row r="557" spans="3:8" x14ac:dyDescent="0.2">
      <c r="C557" s="16"/>
      <c r="D557" s="12"/>
      <c r="E557" s="12"/>
      <c r="F557" s="12"/>
      <c r="G557" s="12"/>
      <c r="H557" s="12"/>
    </row>
    <row r="558" spans="3:8" x14ac:dyDescent="0.2">
      <c r="C558" s="16"/>
      <c r="D558" s="12"/>
      <c r="E558" s="12"/>
      <c r="F558" s="12"/>
      <c r="G558" s="12"/>
      <c r="H558" s="12"/>
    </row>
    <row r="559" spans="3:8" x14ac:dyDescent="0.2">
      <c r="C559" s="16"/>
      <c r="D559" s="12"/>
      <c r="E559" s="12"/>
      <c r="F559" s="12"/>
      <c r="G559" s="12"/>
      <c r="H559" s="12"/>
    </row>
    <row r="560" spans="3:8" x14ac:dyDescent="0.2">
      <c r="C560" s="16"/>
      <c r="D560" s="12"/>
      <c r="E560" s="12"/>
      <c r="F560" s="12"/>
      <c r="G560" s="12"/>
      <c r="H560" s="12"/>
    </row>
    <row r="561" spans="3:8" x14ac:dyDescent="0.2">
      <c r="C561" s="16"/>
      <c r="D561" s="12"/>
      <c r="E561" s="12"/>
      <c r="F561" s="12"/>
      <c r="G561" s="12"/>
      <c r="H561" s="12"/>
    </row>
    <row r="562" spans="3:8" x14ac:dyDescent="0.2">
      <c r="C562" s="16"/>
      <c r="D562" s="12"/>
      <c r="E562" s="12"/>
      <c r="F562" s="12"/>
      <c r="G562" s="12"/>
      <c r="H562" s="12"/>
    </row>
    <row r="563" spans="3:8" x14ac:dyDescent="0.2">
      <c r="C563" s="16"/>
      <c r="D563" s="12"/>
      <c r="E563" s="12"/>
      <c r="F563" s="12"/>
      <c r="G563" s="12"/>
      <c r="H563" s="12"/>
    </row>
    <row r="564" spans="3:8" x14ac:dyDescent="0.2">
      <c r="C564" s="16"/>
      <c r="D564" s="12"/>
      <c r="E564" s="12"/>
      <c r="F564" s="12"/>
      <c r="G564" s="12"/>
      <c r="H564" s="12"/>
    </row>
    <row r="565" spans="3:8" x14ac:dyDescent="0.2">
      <c r="C565" s="16"/>
      <c r="D565" s="12"/>
      <c r="E565" s="12"/>
      <c r="F565" s="12"/>
      <c r="G565" s="12"/>
      <c r="H565" s="12"/>
    </row>
    <row r="566" spans="3:8" x14ac:dyDescent="0.2">
      <c r="C566" s="16"/>
      <c r="D566" s="12"/>
      <c r="E566" s="12"/>
      <c r="F566" s="12"/>
      <c r="G566" s="12"/>
      <c r="H566" s="12"/>
    </row>
    <row r="567" spans="3:8" x14ac:dyDescent="0.2">
      <c r="C567" s="16"/>
      <c r="D567" s="12"/>
      <c r="E567" s="12"/>
      <c r="F567" s="12"/>
      <c r="G567" s="12"/>
      <c r="H567" s="12"/>
    </row>
    <row r="568" spans="3:8" x14ac:dyDescent="0.2">
      <c r="C568" s="16"/>
      <c r="D568" s="12"/>
      <c r="E568" s="12"/>
      <c r="F568" s="12"/>
      <c r="G568" s="12"/>
      <c r="H568" s="12"/>
    </row>
    <row r="569" spans="3:8" x14ac:dyDescent="0.2">
      <c r="C569" s="16"/>
      <c r="D569" s="12"/>
      <c r="E569" s="12"/>
      <c r="F569" s="12"/>
      <c r="G569" s="12"/>
      <c r="H569" s="12"/>
    </row>
    <row r="570" spans="3:8" x14ac:dyDescent="0.2">
      <c r="C570" s="16"/>
      <c r="D570" s="12"/>
      <c r="E570" s="12"/>
      <c r="F570" s="12"/>
      <c r="G570" s="12"/>
      <c r="H570" s="12"/>
    </row>
    <row r="571" spans="3:8" x14ac:dyDescent="0.2">
      <c r="C571" s="16"/>
      <c r="D571" s="12"/>
      <c r="E571" s="12"/>
      <c r="F571" s="12"/>
      <c r="G571" s="12"/>
      <c r="H571" s="12"/>
    </row>
    <row r="572" spans="3:8" x14ac:dyDescent="0.2">
      <c r="C572" s="16"/>
      <c r="D572" s="12"/>
      <c r="E572" s="12"/>
      <c r="F572" s="12"/>
      <c r="G572" s="12"/>
      <c r="H572" s="12"/>
    </row>
    <row r="573" spans="3:8" x14ac:dyDescent="0.2">
      <c r="C573" s="16"/>
      <c r="D573" s="12"/>
      <c r="E573" s="12"/>
      <c r="F573" s="12"/>
      <c r="G573" s="12"/>
      <c r="H573" s="12"/>
    </row>
    <row r="574" spans="3:8" x14ac:dyDescent="0.2">
      <c r="C574" s="16"/>
      <c r="D574" s="12"/>
      <c r="E574" s="12"/>
      <c r="F574" s="12"/>
      <c r="G574" s="12"/>
      <c r="H574" s="12"/>
    </row>
    <row r="575" spans="3:8" x14ac:dyDescent="0.2">
      <c r="C575" s="16"/>
      <c r="D575" s="12"/>
      <c r="E575" s="12"/>
      <c r="F575" s="12"/>
      <c r="G575" s="12"/>
      <c r="H575" s="12"/>
    </row>
    <row r="576" spans="3:8" x14ac:dyDescent="0.2">
      <c r="C576" s="16"/>
      <c r="D576" s="12"/>
      <c r="E576" s="12"/>
      <c r="F576" s="12"/>
      <c r="G576" s="12"/>
      <c r="H576" s="12"/>
    </row>
    <row r="577" spans="3:8" x14ac:dyDescent="0.2">
      <c r="C577" s="16"/>
      <c r="D577" s="12"/>
      <c r="E577" s="12"/>
      <c r="F577" s="12"/>
      <c r="G577" s="12"/>
      <c r="H577" s="12"/>
    </row>
    <row r="578" spans="3:8" x14ac:dyDescent="0.2">
      <c r="C578" s="16"/>
      <c r="D578" s="12"/>
      <c r="E578" s="12"/>
      <c r="F578" s="12"/>
      <c r="G578" s="12"/>
      <c r="H578" s="12"/>
    </row>
    <row r="579" spans="3:8" x14ac:dyDescent="0.2">
      <c r="C579" s="16"/>
      <c r="D579" s="12"/>
      <c r="E579" s="12"/>
      <c r="F579" s="12"/>
      <c r="G579" s="12"/>
      <c r="H579" s="12"/>
    </row>
    <row r="580" spans="3:8" x14ac:dyDescent="0.2">
      <c r="C580" s="16"/>
      <c r="D580" s="12"/>
      <c r="E580" s="12"/>
      <c r="F580" s="12"/>
      <c r="G580" s="12"/>
      <c r="H580" s="12"/>
    </row>
    <row r="581" spans="3:8" x14ac:dyDescent="0.2">
      <c r="C581" s="16"/>
      <c r="D581" s="12"/>
      <c r="E581" s="12"/>
      <c r="F581" s="12"/>
      <c r="G581" s="12"/>
      <c r="H581" s="12"/>
    </row>
    <row r="582" spans="3:8" x14ac:dyDescent="0.2">
      <c r="C582" s="16"/>
      <c r="D582" s="12"/>
      <c r="E582" s="12"/>
      <c r="F582" s="12"/>
      <c r="G582" s="12"/>
      <c r="H582" s="12"/>
    </row>
    <row r="583" spans="3:8" x14ac:dyDescent="0.2">
      <c r="C583" s="16"/>
      <c r="D583" s="12"/>
      <c r="E583" s="12"/>
      <c r="F583" s="12"/>
      <c r="G583" s="12"/>
      <c r="H583" s="12"/>
    </row>
    <row r="584" spans="3:8" x14ac:dyDescent="0.2">
      <c r="C584" s="16"/>
      <c r="D584" s="12"/>
      <c r="E584" s="12"/>
      <c r="F584" s="12"/>
      <c r="G584" s="12"/>
      <c r="H584" s="12"/>
    </row>
    <row r="585" spans="3:8" x14ac:dyDescent="0.2">
      <c r="C585" s="16"/>
      <c r="D585" s="12"/>
      <c r="E585" s="12"/>
      <c r="F585" s="12"/>
      <c r="G585" s="12"/>
      <c r="H585" s="12"/>
    </row>
    <row r="586" spans="3:8" x14ac:dyDescent="0.2">
      <c r="C586" s="16"/>
      <c r="D586" s="12"/>
      <c r="E586" s="12"/>
      <c r="F586" s="12"/>
      <c r="G586" s="12"/>
      <c r="H586" s="12"/>
    </row>
    <row r="587" spans="3:8" x14ac:dyDescent="0.2">
      <c r="C587" s="16"/>
      <c r="D587" s="12"/>
      <c r="E587" s="12"/>
      <c r="F587" s="12"/>
      <c r="G587" s="12"/>
      <c r="H587" s="12"/>
    </row>
    <row r="588" spans="3:8" x14ac:dyDescent="0.2">
      <c r="C588" s="16"/>
      <c r="D588" s="12"/>
      <c r="E588" s="12"/>
      <c r="F588" s="12"/>
      <c r="G588" s="12"/>
      <c r="H588" s="12"/>
    </row>
    <row r="589" spans="3:8" x14ac:dyDescent="0.2">
      <c r="C589" s="16"/>
      <c r="D589" s="12"/>
      <c r="E589" s="12"/>
      <c r="F589" s="12"/>
      <c r="G589" s="12"/>
      <c r="H589" s="12"/>
    </row>
    <row r="590" spans="3:8" x14ac:dyDescent="0.2">
      <c r="C590" s="16"/>
      <c r="D590" s="12"/>
      <c r="E590" s="12"/>
      <c r="F590" s="12"/>
      <c r="G590" s="12"/>
      <c r="H590" s="12"/>
    </row>
    <row r="591" spans="3:8" x14ac:dyDescent="0.2">
      <c r="C591" s="16"/>
      <c r="D591" s="12"/>
      <c r="E591" s="12"/>
      <c r="F591" s="12"/>
      <c r="G591" s="12"/>
      <c r="H591" s="12"/>
    </row>
    <row r="592" spans="3:8" x14ac:dyDescent="0.2">
      <c r="C592" s="16"/>
      <c r="D592" s="12"/>
      <c r="E592" s="12"/>
      <c r="F592" s="12"/>
      <c r="G592" s="12"/>
      <c r="H592" s="12"/>
    </row>
    <row r="593" spans="3:8" x14ac:dyDescent="0.2">
      <c r="C593" s="16"/>
      <c r="D593" s="12"/>
      <c r="E593" s="12"/>
      <c r="F593" s="12"/>
      <c r="G593" s="12"/>
      <c r="H593" s="12"/>
    </row>
    <row r="594" spans="3:8" x14ac:dyDescent="0.2">
      <c r="C594" s="16"/>
      <c r="D594" s="12"/>
      <c r="E594" s="12"/>
      <c r="F594" s="12"/>
      <c r="G594" s="12"/>
      <c r="H594" s="12"/>
    </row>
    <row r="595" spans="3:8" x14ac:dyDescent="0.2">
      <c r="C595" s="16"/>
      <c r="D595" s="12"/>
      <c r="E595" s="12"/>
      <c r="F595" s="12"/>
      <c r="G595" s="12"/>
      <c r="H595" s="12"/>
    </row>
    <row r="596" spans="3:8" x14ac:dyDescent="0.2">
      <c r="C596" s="16"/>
      <c r="D596" s="12"/>
      <c r="E596" s="12"/>
      <c r="F596" s="12"/>
      <c r="G596" s="12"/>
      <c r="H596" s="12"/>
    </row>
    <row r="597" spans="3:8" x14ac:dyDescent="0.2">
      <c r="C597" s="16"/>
      <c r="D597" s="12"/>
      <c r="E597" s="12"/>
      <c r="F597" s="12"/>
      <c r="G597" s="12"/>
      <c r="H597" s="12"/>
    </row>
    <row r="598" spans="3:8" x14ac:dyDescent="0.2">
      <c r="C598" s="16"/>
      <c r="D598" s="12"/>
      <c r="E598" s="12"/>
      <c r="F598" s="12"/>
      <c r="G598" s="12"/>
      <c r="H598" s="12"/>
    </row>
    <row r="599" spans="3:8" x14ac:dyDescent="0.2">
      <c r="C599" s="16"/>
      <c r="D599" s="12"/>
      <c r="E599" s="12"/>
      <c r="F599" s="12"/>
      <c r="G599" s="12"/>
      <c r="H599" s="12"/>
    </row>
    <row r="600" spans="3:8" x14ac:dyDescent="0.2">
      <c r="C600" s="16"/>
      <c r="D600" s="12"/>
      <c r="E600" s="12"/>
      <c r="F600" s="12"/>
      <c r="G600" s="12"/>
      <c r="H600" s="12"/>
    </row>
    <row r="601" spans="3:8" x14ac:dyDescent="0.2">
      <c r="C601" s="16"/>
      <c r="D601" s="12"/>
      <c r="E601" s="12"/>
      <c r="F601" s="12"/>
      <c r="G601" s="12"/>
      <c r="H601" s="12"/>
    </row>
    <row r="602" spans="3:8" x14ac:dyDescent="0.2">
      <c r="C602" s="16"/>
      <c r="D602" s="12"/>
      <c r="E602" s="12"/>
      <c r="F602" s="12"/>
      <c r="G602" s="12"/>
      <c r="H602" s="12"/>
    </row>
    <row r="603" spans="3:8" x14ac:dyDescent="0.2">
      <c r="C603" s="16"/>
      <c r="D603" s="12"/>
      <c r="E603" s="12"/>
      <c r="F603" s="12"/>
      <c r="G603" s="12"/>
      <c r="H603" s="12"/>
    </row>
    <row r="604" spans="3:8" x14ac:dyDescent="0.2">
      <c r="C604" s="16"/>
      <c r="D604" s="12"/>
      <c r="E604" s="12"/>
      <c r="F604" s="12"/>
      <c r="G604" s="12"/>
      <c r="H604" s="12"/>
    </row>
    <row r="605" spans="3:8" x14ac:dyDescent="0.2">
      <c r="C605" s="16"/>
      <c r="D605" s="12"/>
      <c r="E605" s="12"/>
      <c r="F605" s="12"/>
      <c r="G605" s="12"/>
      <c r="H605" s="12"/>
    </row>
    <row r="606" spans="3:8" x14ac:dyDescent="0.2">
      <c r="C606" s="16"/>
      <c r="D606" s="12"/>
      <c r="E606" s="12"/>
      <c r="F606" s="12"/>
      <c r="G606" s="12"/>
      <c r="H606" s="12"/>
    </row>
    <row r="607" spans="3:8" x14ac:dyDescent="0.2">
      <c r="C607" s="16"/>
      <c r="D607" s="12"/>
      <c r="E607" s="12"/>
      <c r="F607" s="12"/>
      <c r="G607" s="12"/>
      <c r="H607" s="12"/>
    </row>
    <row r="608" spans="3:8" x14ac:dyDescent="0.2">
      <c r="C608" s="16"/>
      <c r="D608" s="12"/>
      <c r="E608" s="12"/>
      <c r="F608" s="12"/>
      <c r="G608" s="12"/>
      <c r="H608" s="12"/>
    </row>
    <row r="609" spans="3:8" x14ac:dyDescent="0.2">
      <c r="C609" s="16"/>
      <c r="D609" s="12"/>
      <c r="E609" s="12"/>
      <c r="F609" s="12"/>
      <c r="G609" s="12"/>
      <c r="H609" s="12"/>
    </row>
    <row r="610" spans="3:8" x14ac:dyDescent="0.2">
      <c r="C610" s="16"/>
      <c r="D610" s="12"/>
      <c r="E610" s="12"/>
      <c r="F610" s="12"/>
      <c r="G610" s="12"/>
      <c r="H610" s="12"/>
    </row>
    <row r="611" spans="3:8" x14ac:dyDescent="0.2">
      <c r="C611" s="16"/>
      <c r="D611" s="12"/>
      <c r="E611" s="12"/>
      <c r="F611" s="12"/>
      <c r="G611" s="12"/>
      <c r="H611" s="12"/>
    </row>
    <row r="612" spans="3:8" x14ac:dyDescent="0.2">
      <c r="C612" s="16"/>
      <c r="D612" s="12"/>
      <c r="E612" s="12"/>
      <c r="F612" s="12"/>
      <c r="G612" s="12"/>
      <c r="H612" s="12"/>
    </row>
    <row r="613" spans="3:8" x14ac:dyDescent="0.2">
      <c r="C613" s="16"/>
      <c r="D613" s="12"/>
      <c r="E613" s="12"/>
      <c r="F613" s="12"/>
      <c r="G613" s="12"/>
      <c r="H613" s="12"/>
    </row>
    <row r="614" spans="3:8" x14ac:dyDescent="0.2">
      <c r="C614" s="16"/>
      <c r="D614" s="12"/>
      <c r="E614" s="12"/>
      <c r="F614" s="12"/>
      <c r="G614" s="12"/>
      <c r="H614" s="12"/>
    </row>
    <row r="615" spans="3:8" x14ac:dyDescent="0.2">
      <c r="C615" s="16"/>
      <c r="D615" s="12"/>
      <c r="E615" s="12"/>
      <c r="F615" s="12"/>
      <c r="G615" s="12"/>
      <c r="H615" s="12"/>
    </row>
    <row r="616" spans="3:8" x14ac:dyDescent="0.2">
      <c r="C616" s="16"/>
      <c r="D616" s="12"/>
      <c r="E616" s="12"/>
      <c r="F616" s="12"/>
      <c r="G616" s="12"/>
      <c r="H616" s="12"/>
    </row>
    <row r="617" spans="3:8" x14ac:dyDescent="0.2">
      <c r="C617" s="16"/>
      <c r="D617" s="12"/>
      <c r="E617" s="12"/>
      <c r="F617" s="12"/>
      <c r="G617" s="12"/>
      <c r="H617" s="12"/>
    </row>
    <row r="618" spans="3:8" x14ac:dyDescent="0.2">
      <c r="C618" s="16"/>
      <c r="D618" s="12"/>
      <c r="E618" s="12"/>
      <c r="F618" s="12"/>
      <c r="G618" s="12"/>
      <c r="H618" s="12"/>
    </row>
    <row r="619" spans="3:8" x14ac:dyDescent="0.2">
      <c r="C619" s="16"/>
      <c r="D619" s="12"/>
      <c r="E619" s="12"/>
      <c r="F619" s="12"/>
      <c r="G619" s="12"/>
      <c r="H619" s="12"/>
    </row>
    <row r="620" spans="3:8" x14ac:dyDescent="0.2">
      <c r="C620" s="16"/>
      <c r="D620" s="12"/>
      <c r="E620" s="12"/>
      <c r="F620" s="12"/>
      <c r="G620" s="12"/>
      <c r="H620" s="12"/>
    </row>
    <row r="621" spans="3:8" x14ac:dyDescent="0.2">
      <c r="C621" s="16"/>
      <c r="D621" s="12"/>
      <c r="E621" s="12"/>
      <c r="F621" s="12"/>
      <c r="G621" s="12"/>
      <c r="H621" s="12"/>
    </row>
    <row r="622" spans="3:8" x14ac:dyDescent="0.2">
      <c r="C622" s="16"/>
      <c r="D622" s="12"/>
      <c r="E622" s="12"/>
      <c r="F622" s="12"/>
      <c r="G622" s="12"/>
      <c r="H622" s="12"/>
    </row>
    <row r="623" spans="3:8" x14ac:dyDescent="0.2">
      <c r="C623" s="16"/>
      <c r="D623" s="12"/>
      <c r="E623" s="12"/>
      <c r="F623" s="12"/>
      <c r="G623" s="12"/>
      <c r="H623" s="12"/>
    </row>
    <row r="624" spans="3:8" x14ac:dyDescent="0.2">
      <c r="C624" s="16"/>
      <c r="D624" s="12"/>
      <c r="E624" s="12"/>
      <c r="F624" s="12"/>
      <c r="G624" s="12"/>
      <c r="H624" s="12"/>
    </row>
    <row r="625" spans="3:8" x14ac:dyDescent="0.2">
      <c r="C625" s="16"/>
      <c r="D625" s="12"/>
      <c r="E625" s="12"/>
      <c r="F625" s="12"/>
      <c r="G625" s="12"/>
      <c r="H625" s="12"/>
    </row>
    <row r="626" spans="3:8" x14ac:dyDescent="0.2">
      <c r="C626" s="16"/>
      <c r="D626" s="12"/>
      <c r="E626" s="12"/>
      <c r="F626" s="12"/>
      <c r="G626" s="12"/>
      <c r="H626" s="12"/>
    </row>
    <row r="627" spans="3:8" x14ac:dyDescent="0.2">
      <c r="C627" s="16"/>
      <c r="D627" s="12"/>
      <c r="E627" s="12"/>
      <c r="F627" s="12"/>
      <c r="G627" s="12"/>
      <c r="H627" s="12"/>
    </row>
    <row r="628" spans="3:8" x14ac:dyDescent="0.2">
      <c r="C628" s="16"/>
      <c r="D628" s="12"/>
      <c r="E628" s="12"/>
      <c r="F628" s="12"/>
      <c r="G628" s="12"/>
      <c r="H628" s="12"/>
    </row>
    <row r="629" spans="3:8" x14ac:dyDescent="0.2">
      <c r="C629" s="16"/>
      <c r="D629" s="12"/>
      <c r="E629" s="12"/>
      <c r="F629" s="12"/>
      <c r="G629" s="12"/>
      <c r="H629" s="12"/>
    </row>
    <row r="630" spans="3:8" x14ac:dyDescent="0.2">
      <c r="C630" s="16"/>
      <c r="D630" s="12"/>
      <c r="E630" s="12"/>
      <c r="F630" s="12"/>
      <c r="G630" s="12"/>
      <c r="H630" s="12"/>
    </row>
    <row r="631" spans="3:8" x14ac:dyDescent="0.2">
      <c r="C631" s="16"/>
      <c r="D631" s="12"/>
      <c r="E631" s="12"/>
      <c r="F631" s="12"/>
      <c r="G631" s="12"/>
      <c r="H631" s="12"/>
    </row>
    <row r="632" spans="3:8" x14ac:dyDescent="0.2">
      <c r="C632" s="16"/>
      <c r="D632" s="12"/>
      <c r="E632" s="12"/>
      <c r="F632" s="12"/>
      <c r="G632" s="12"/>
      <c r="H632" s="12"/>
    </row>
    <row r="633" spans="3:8" x14ac:dyDescent="0.2">
      <c r="C633" s="16"/>
      <c r="D633" s="12"/>
      <c r="E633" s="12"/>
      <c r="F633" s="12"/>
      <c r="G633" s="12"/>
      <c r="H633" s="12"/>
    </row>
    <row r="634" spans="3:8" x14ac:dyDescent="0.2">
      <c r="C634" s="16"/>
      <c r="D634" s="12"/>
      <c r="E634" s="12"/>
      <c r="F634" s="12"/>
      <c r="G634" s="12"/>
      <c r="H634" s="12"/>
    </row>
    <row r="635" spans="3:8" x14ac:dyDescent="0.2">
      <c r="C635" s="16"/>
      <c r="D635" s="12"/>
      <c r="E635" s="12"/>
      <c r="F635" s="12"/>
      <c r="G635" s="12"/>
      <c r="H635" s="12"/>
    </row>
    <row r="636" spans="3:8" x14ac:dyDescent="0.2">
      <c r="C636" s="16"/>
      <c r="D636" s="12"/>
      <c r="E636" s="12"/>
      <c r="F636" s="12"/>
      <c r="G636" s="12"/>
      <c r="H636" s="12"/>
    </row>
    <row r="637" spans="3:8" x14ac:dyDescent="0.2">
      <c r="C637" s="16"/>
      <c r="D637" s="12"/>
      <c r="E637" s="12"/>
      <c r="F637" s="12"/>
      <c r="G637" s="12"/>
      <c r="H637" s="12"/>
    </row>
    <row r="638" spans="3:8" x14ac:dyDescent="0.2">
      <c r="C638" s="16"/>
      <c r="D638" s="12"/>
      <c r="E638" s="12"/>
      <c r="F638" s="12"/>
      <c r="G638" s="12"/>
      <c r="H638" s="12"/>
    </row>
    <row r="639" spans="3:8" x14ac:dyDescent="0.2">
      <c r="C639" s="16"/>
      <c r="D639" s="12"/>
      <c r="E639" s="12"/>
      <c r="F639" s="12"/>
      <c r="G639" s="12"/>
      <c r="H639" s="12"/>
    </row>
    <row r="640" spans="3:8" x14ac:dyDescent="0.2">
      <c r="C640" s="16"/>
      <c r="D640" s="12"/>
      <c r="E640" s="12"/>
      <c r="F640" s="12"/>
      <c r="G640" s="12"/>
      <c r="H640" s="12"/>
    </row>
    <row r="641" spans="3:8" x14ac:dyDescent="0.2">
      <c r="C641" s="16"/>
      <c r="D641" s="12"/>
      <c r="E641" s="12"/>
      <c r="F641" s="12"/>
      <c r="G641" s="12"/>
      <c r="H641" s="12"/>
    </row>
    <row r="642" spans="3:8" x14ac:dyDescent="0.2">
      <c r="C642" s="16"/>
      <c r="D642" s="12"/>
      <c r="E642" s="12"/>
      <c r="F642" s="12"/>
      <c r="G642" s="12"/>
      <c r="H642" s="12"/>
    </row>
    <row r="643" spans="3:8" x14ac:dyDescent="0.2">
      <c r="C643" s="16"/>
      <c r="D643" s="12"/>
      <c r="E643" s="12"/>
      <c r="F643" s="12"/>
      <c r="G643" s="12"/>
      <c r="H643" s="12"/>
    </row>
    <row r="644" spans="3:8" x14ac:dyDescent="0.2">
      <c r="C644" s="16"/>
      <c r="D644" s="12"/>
      <c r="E644" s="12"/>
      <c r="F644" s="12"/>
      <c r="G644" s="12"/>
      <c r="H644" s="12"/>
    </row>
    <row r="645" spans="3:8" x14ac:dyDescent="0.2">
      <c r="C645" s="16"/>
      <c r="D645" s="12"/>
      <c r="E645" s="12"/>
      <c r="F645" s="12"/>
      <c r="G645" s="12"/>
      <c r="H645" s="12"/>
    </row>
    <row r="646" spans="3:8" x14ac:dyDescent="0.2">
      <c r="C646" s="16"/>
      <c r="D646" s="12"/>
      <c r="E646" s="12"/>
      <c r="F646" s="12"/>
      <c r="G646" s="12"/>
      <c r="H646" s="12"/>
    </row>
    <row r="647" spans="3:8" x14ac:dyDescent="0.2">
      <c r="C647" s="16"/>
      <c r="D647" s="12"/>
      <c r="E647" s="12"/>
      <c r="F647" s="12"/>
      <c r="G647" s="12"/>
      <c r="H647" s="12"/>
    </row>
    <row r="648" spans="3:8" x14ac:dyDescent="0.2">
      <c r="C648" s="16"/>
      <c r="D648" s="12"/>
      <c r="E648" s="12"/>
      <c r="F648" s="12"/>
      <c r="G648" s="12"/>
      <c r="H648" s="12"/>
    </row>
    <row r="649" spans="3:8" x14ac:dyDescent="0.2">
      <c r="C649" s="16"/>
      <c r="D649" s="12"/>
      <c r="E649" s="12"/>
      <c r="F649" s="12"/>
      <c r="G649" s="12"/>
      <c r="H649" s="12"/>
    </row>
    <row r="650" spans="3:8" x14ac:dyDescent="0.2">
      <c r="C650" s="16"/>
      <c r="D650" s="12"/>
      <c r="E650" s="12"/>
      <c r="F650" s="12"/>
      <c r="G650" s="12"/>
      <c r="H650" s="12"/>
    </row>
    <row r="651" spans="3:8" x14ac:dyDescent="0.2">
      <c r="C651" s="16"/>
      <c r="D651" s="12"/>
      <c r="E651" s="12"/>
      <c r="F651" s="12"/>
      <c r="G651" s="12"/>
      <c r="H651" s="12"/>
    </row>
    <row r="652" spans="3:8" x14ac:dyDescent="0.2">
      <c r="C652" s="16"/>
      <c r="D652" s="12"/>
      <c r="E652" s="12"/>
      <c r="F652" s="12"/>
      <c r="G652" s="12"/>
      <c r="H652" s="12"/>
    </row>
    <row r="653" spans="3:8" x14ac:dyDescent="0.2">
      <c r="C653" s="16"/>
      <c r="D653" s="12"/>
      <c r="E653" s="12"/>
      <c r="F653" s="12"/>
      <c r="G653" s="12"/>
      <c r="H653" s="12"/>
    </row>
    <row r="654" spans="3:8" x14ac:dyDescent="0.2">
      <c r="C654" s="16"/>
      <c r="D654" s="12"/>
      <c r="E654" s="12"/>
      <c r="F654" s="12"/>
      <c r="G654" s="12"/>
      <c r="H654" s="12"/>
    </row>
    <row r="655" spans="3:8" x14ac:dyDescent="0.2">
      <c r="C655" s="16"/>
      <c r="D655" s="12"/>
      <c r="E655" s="12"/>
      <c r="F655" s="12"/>
      <c r="G655" s="12"/>
      <c r="H655" s="12"/>
    </row>
    <row r="656" spans="3:8" x14ac:dyDescent="0.2">
      <c r="C656" s="16"/>
      <c r="D656" s="12"/>
      <c r="E656" s="12"/>
      <c r="F656" s="12"/>
      <c r="G656" s="12"/>
      <c r="H656" s="12"/>
    </row>
    <row r="657" spans="3:8" x14ac:dyDescent="0.2">
      <c r="C657" s="16"/>
      <c r="D657" s="12"/>
      <c r="E657" s="12"/>
      <c r="F657" s="12"/>
      <c r="G657" s="12"/>
      <c r="H657" s="12"/>
    </row>
    <row r="658" spans="3:8" x14ac:dyDescent="0.2">
      <c r="C658" s="16"/>
      <c r="D658" s="12"/>
      <c r="E658" s="12"/>
      <c r="F658" s="12"/>
      <c r="G658" s="12"/>
      <c r="H658" s="12"/>
    </row>
    <row r="659" spans="3:8" x14ac:dyDescent="0.2">
      <c r="C659" s="16"/>
      <c r="D659" s="12"/>
      <c r="E659" s="12"/>
      <c r="F659" s="12"/>
      <c r="G659" s="12"/>
      <c r="H659" s="12"/>
    </row>
    <row r="660" spans="3:8" x14ac:dyDescent="0.2">
      <c r="C660" s="16"/>
      <c r="D660" s="12"/>
      <c r="E660" s="12"/>
      <c r="F660" s="12"/>
      <c r="G660" s="12"/>
      <c r="H660" s="12"/>
    </row>
    <row r="661" spans="3:8" x14ac:dyDescent="0.2">
      <c r="C661" s="16"/>
      <c r="D661" s="12"/>
      <c r="E661" s="12"/>
      <c r="F661" s="12"/>
      <c r="G661" s="12"/>
      <c r="H661" s="12"/>
    </row>
    <row r="662" spans="3:8" x14ac:dyDescent="0.2">
      <c r="C662" s="16"/>
      <c r="D662" s="12"/>
      <c r="E662" s="12"/>
      <c r="F662" s="12"/>
      <c r="G662" s="12"/>
      <c r="H662" s="12"/>
    </row>
    <row r="663" spans="3:8" x14ac:dyDescent="0.2">
      <c r="C663" s="16"/>
      <c r="D663" s="12"/>
      <c r="E663" s="12"/>
      <c r="F663" s="12"/>
      <c r="G663" s="12"/>
      <c r="H663" s="12"/>
    </row>
    <row r="664" spans="3:8" x14ac:dyDescent="0.2">
      <c r="C664" s="16"/>
      <c r="D664" s="12"/>
      <c r="E664" s="12"/>
      <c r="F664" s="12"/>
      <c r="G664" s="12"/>
      <c r="H664" s="12"/>
    </row>
    <row r="665" spans="3:8" x14ac:dyDescent="0.2">
      <c r="C665" s="16"/>
      <c r="D665" s="12"/>
      <c r="E665" s="12"/>
      <c r="F665" s="12"/>
      <c r="G665" s="12"/>
      <c r="H665" s="12"/>
    </row>
    <row r="666" spans="3:8" x14ac:dyDescent="0.2">
      <c r="C666" s="16"/>
      <c r="D666" s="12"/>
      <c r="E666" s="12"/>
      <c r="F666" s="12"/>
      <c r="G666" s="12"/>
      <c r="H666" s="12"/>
    </row>
    <row r="667" spans="3:8" x14ac:dyDescent="0.2">
      <c r="C667" s="16"/>
      <c r="D667" s="12"/>
      <c r="E667" s="12"/>
      <c r="F667" s="12"/>
      <c r="G667" s="12"/>
      <c r="H667" s="12"/>
    </row>
    <row r="668" spans="3:8" x14ac:dyDescent="0.2">
      <c r="C668" s="16"/>
      <c r="D668" s="12"/>
      <c r="E668" s="12"/>
      <c r="F668" s="12"/>
      <c r="G668" s="12"/>
      <c r="H668" s="12"/>
    </row>
    <row r="669" spans="3:8" x14ac:dyDescent="0.2">
      <c r="C669" s="16"/>
      <c r="D669" s="12"/>
      <c r="E669" s="12"/>
      <c r="F669" s="12"/>
      <c r="G669" s="12"/>
      <c r="H669" s="12"/>
    </row>
    <row r="670" spans="3:8" x14ac:dyDescent="0.2">
      <c r="C670" s="16"/>
      <c r="D670" s="12"/>
      <c r="E670" s="12"/>
      <c r="F670" s="12"/>
      <c r="G670" s="12"/>
      <c r="H670" s="12"/>
    </row>
    <row r="671" spans="3:8" x14ac:dyDescent="0.2">
      <c r="C671" s="16"/>
      <c r="D671" s="12"/>
      <c r="E671" s="12"/>
      <c r="F671" s="12"/>
      <c r="G671" s="12"/>
      <c r="H671" s="12"/>
    </row>
    <row r="672" spans="3:8" x14ac:dyDescent="0.2">
      <c r="C672" s="16"/>
      <c r="D672" s="12"/>
      <c r="E672" s="12"/>
      <c r="F672" s="12"/>
      <c r="G672" s="12"/>
      <c r="H672" s="12"/>
    </row>
    <row r="673" spans="3:8" x14ac:dyDescent="0.2">
      <c r="C673" s="16"/>
      <c r="D673" s="12"/>
      <c r="E673" s="12"/>
      <c r="F673" s="12"/>
      <c r="G673" s="12"/>
      <c r="H673" s="12"/>
    </row>
    <row r="674" spans="3:8" x14ac:dyDescent="0.2">
      <c r="C674" s="16"/>
      <c r="D674" s="12"/>
      <c r="E674" s="12"/>
      <c r="F674" s="12"/>
      <c r="G674" s="12"/>
      <c r="H674" s="12"/>
    </row>
    <row r="675" spans="3:8" x14ac:dyDescent="0.2">
      <c r="C675" s="16"/>
      <c r="D675" s="12"/>
      <c r="E675" s="12"/>
      <c r="F675" s="12"/>
      <c r="G675" s="12"/>
      <c r="H675" s="12"/>
    </row>
    <row r="676" spans="3:8" x14ac:dyDescent="0.2">
      <c r="C676" s="16"/>
      <c r="D676" s="12"/>
      <c r="E676" s="12"/>
      <c r="F676" s="12"/>
      <c r="G676" s="12"/>
      <c r="H676" s="12"/>
    </row>
    <row r="677" spans="3:8" x14ac:dyDescent="0.2">
      <c r="C677" s="16"/>
      <c r="D677" s="12"/>
      <c r="E677" s="12"/>
      <c r="F677" s="12"/>
      <c r="G677" s="12"/>
      <c r="H677" s="12"/>
    </row>
    <row r="678" spans="3:8" x14ac:dyDescent="0.2">
      <c r="C678" s="16"/>
      <c r="D678" s="12"/>
      <c r="E678" s="12"/>
      <c r="F678" s="12"/>
      <c r="G678" s="12"/>
      <c r="H678" s="12"/>
    </row>
    <row r="679" spans="3:8" x14ac:dyDescent="0.2">
      <c r="C679" s="16"/>
      <c r="D679" s="12"/>
      <c r="E679" s="12"/>
      <c r="F679" s="12"/>
      <c r="G679" s="12"/>
      <c r="H679" s="12"/>
    </row>
    <row r="680" spans="3:8" x14ac:dyDescent="0.2">
      <c r="C680" s="16"/>
      <c r="D680" s="12"/>
      <c r="E680" s="12"/>
      <c r="F680" s="12"/>
      <c r="G680" s="12"/>
      <c r="H680" s="12"/>
    </row>
    <row r="681" spans="3:8" x14ac:dyDescent="0.2">
      <c r="C681" s="16"/>
      <c r="D681" s="12"/>
      <c r="E681" s="12"/>
      <c r="F681" s="12"/>
      <c r="G681" s="12"/>
      <c r="H681" s="12"/>
    </row>
    <row r="682" spans="3:8" x14ac:dyDescent="0.2">
      <c r="C682" s="16"/>
      <c r="D682" s="12"/>
      <c r="E682" s="12"/>
      <c r="F682" s="12"/>
      <c r="G682" s="12"/>
      <c r="H682" s="12"/>
    </row>
    <row r="683" spans="3:8" x14ac:dyDescent="0.2">
      <c r="C683" s="16"/>
      <c r="D683" s="12"/>
      <c r="E683" s="12"/>
      <c r="F683" s="12"/>
      <c r="G683" s="12"/>
      <c r="H683" s="12"/>
    </row>
    <row r="684" spans="3:8" x14ac:dyDescent="0.2">
      <c r="C684" s="16"/>
      <c r="D684" s="12"/>
      <c r="E684" s="12"/>
      <c r="F684" s="12"/>
      <c r="G684" s="12"/>
      <c r="H684" s="12"/>
    </row>
    <row r="685" spans="3:8" x14ac:dyDescent="0.2">
      <c r="C685" s="16"/>
      <c r="D685" s="12"/>
      <c r="E685" s="12"/>
      <c r="F685" s="12"/>
      <c r="G685" s="12"/>
      <c r="H685" s="12"/>
    </row>
    <row r="686" spans="3:8" x14ac:dyDescent="0.2">
      <c r="C686" s="16"/>
      <c r="D686" s="12"/>
      <c r="E686" s="12"/>
      <c r="F686" s="12"/>
      <c r="G686" s="12"/>
      <c r="H686" s="12"/>
    </row>
    <row r="687" spans="3:8" x14ac:dyDescent="0.2">
      <c r="C687" s="16"/>
      <c r="D687" s="12"/>
      <c r="E687" s="12"/>
      <c r="F687" s="12"/>
      <c r="G687" s="12"/>
      <c r="H687" s="12"/>
    </row>
    <row r="688" spans="3:8" x14ac:dyDescent="0.2">
      <c r="C688" s="16"/>
      <c r="D688" s="12"/>
      <c r="E688" s="12"/>
      <c r="F688" s="12"/>
      <c r="G688" s="12"/>
      <c r="H688" s="12"/>
    </row>
    <row r="689" spans="3:8" x14ac:dyDescent="0.2">
      <c r="C689" s="16"/>
      <c r="D689" s="12"/>
      <c r="E689" s="12"/>
      <c r="F689" s="12"/>
      <c r="G689" s="12"/>
      <c r="H689" s="12"/>
    </row>
    <row r="690" spans="3:8" x14ac:dyDescent="0.2">
      <c r="C690" s="16"/>
      <c r="D690" s="12"/>
      <c r="E690" s="12"/>
      <c r="F690" s="12"/>
      <c r="G690" s="12"/>
      <c r="H690" s="12"/>
    </row>
    <row r="691" spans="3:8" x14ac:dyDescent="0.2">
      <c r="C691" s="16"/>
      <c r="D691" s="12"/>
      <c r="E691" s="12"/>
      <c r="F691" s="12"/>
      <c r="G691" s="12"/>
      <c r="H691" s="12"/>
    </row>
    <row r="692" spans="3:8" x14ac:dyDescent="0.2">
      <c r="C692" s="16"/>
      <c r="D692" s="12"/>
      <c r="E692" s="12"/>
      <c r="F692" s="12"/>
      <c r="G692" s="12"/>
      <c r="H692" s="12"/>
    </row>
    <row r="693" spans="3:8" x14ac:dyDescent="0.2">
      <c r="C693" s="16"/>
      <c r="D693" s="12"/>
      <c r="E693" s="12"/>
      <c r="F693" s="12"/>
      <c r="G693" s="12"/>
      <c r="H693" s="12"/>
    </row>
    <row r="694" spans="3:8" x14ac:dyDescent="0.2">
      <c r="C694" s="16"/>
      <c r="D694" s="12"/>
      <c r="E694" s="12"/>
      <c r="F694" s="12"/>
      <c r="G694" s="12"/>
      <c r="H694" s="12"/>
    </row>
    <row r="695" spans="3:8" x14ac:dyDescent="0.2">
      <c r="C695" s="16"/>
      <c r="D695" s="12"/>
      <c r="E695" s="12"/>
      <c r="F695" s="12"/>
      <c r="G695" s="12"/>
      <c r="H695" s="12"/>
    </row>
    <row r="696" spans="3:8" x14ac:dyDescent="0.2">
      <c r="C696" s="16"/>
      <c r="D696" s="12"/>
      <c r="E696" s="12"/>
      <c r="F696" s="12"/>
      <c r="G696" s="12"/>
      <c r="H696" s="12"/>
    </row>
    <row r="697" spans="3:8" x14ac:dyDescent="0.2">
      <c r="C697" s="16"/>
      <c r="D697" s="12"/>
      <c r="E697" s="12"/>
      <c r="F697" s="12"/>
      <c r="G697" s="12"/>
      <c r="H697" s="12"/>
    </row>
    <row r="698" spans="3:8" x14ac:dyDescent="0.2">
      <c r="C698" s="16"/>
      <c r="D698" s="12"/>
      <c r="E698" s="12"/>
      <c r="F698" s="12"/>
      <c r="G698" s="12"/>
      <c r="H698" s="12"/>
    </row>
    <row r="699" spans="3:8" x14ac:dyDescent="0.2">
      <c r="C699" s="16"/>
      <c r="D699" s="12"/>
      <c r="E699" s="12"/>
      <c r="F699" s="12"/>
      <c r="G699" s="12"/>
      <c r="H699" s="12"/>
    </row>
    <row r="700" spans="3:8" x14ac:dyDescent="0.2">
      <c r="C700" s="16"/>
      <c r="D700" s="12"/>
      <c r="E700" s="12"/>
      <c r="F700" s="12"/>
      <c r="G700" s="12"/>
      <c r="H700" s="12"/>
    </row>
    <row r="701" spans="3:8" x14ac:dyDescent="0.2">
      <c r="C701" s="16"/>
      <c r="D701" s="12"/>
      <c r="E701" s="12"/>
      <c r="F701" s="12"/>
      <c r="G701" s="12"/>
      <c r="H701" s="12"/>
    </row>
    <row r="702" spans="3:8" x14ac:dyDescent="0.2">
      <c r="C702" s="16"/>
      <c r="D702" s="12"/>
      <c r="E702" s="12"/>
      <c r="F702" s="12"/>
      <c r="G702" s="12"/>
      <c r="H702" s="12"/>
    </row>
    <row r="703" spans="3:8" x14ac:dyDescent="0.2">
      <c r="C703" s="16"/>
      <c r="D703" s="12"/>
      <c r="E703" s="12"/>
      <c r="F703" s="12"/>
      <c r="G703" s="12"/>
      <c r="H703" s="12"/>
    </row>
    <row r="704" spans="3:8" x14ac:dyDescent="0.2">
      <c r="C704" s="16"/>
      <c r="D704" s="12"/>
      <c r="E704" s="12"/>
      <c r="F704" s="12"/>
      <c r="G704" s="12"/>
      <c r="H704" s="12"/>
    </row>
    <row r="705" spans="3:8" x14ac:dyDescent="0.2">
      <c r="C705" s="16"/>
      <c r="D705" s="12"/>
      <c r="E705" s="12"/>
      <c r="F705" s="12"/>
      <c r="G705" s="12"/>
      <c r="H705" s="12"/>
    </row>
    <row r="706" spans="3:8" x14ac:dyDescent="0.2">
      <c r="C706" s="16"/>
      <c r="D706" s="12"/>
      <c r="E706" s="12"/>
      <c r="F706" s="12"/>
      <c r="G706" s="12"/>
      <c r="H706" s="12"/>
    </row>
    <row r="707" spans="3:8" x14ac:dyDescent="0.2">
      <c r="C707" s="16"/>
      <c r="D707" s="12"/>
      <c r="E707" s="12"/>
      <c r="F707" s="12"/>
      <c r="G707" s="12"/>
      <c r="H707" s="12"/>
    </row>
    <row r="708" spans="3:8" x14ac:dyDescent="0.2">
      <c r="C708" s="16"/>
      <c r="D708" s="12"/>
      <c r="E708" s="12"/>
      <c r="F708" s="12"/>
      <c r="G708" s="12"/>
      <c r="H708" s="12"/>
    </row>
    <row r="709" spans="3:8" x14ac:dyDescent="0.2">
      <c r="C709" s="16"/>
      <c r="D709" s="12"/>
      <c r="E709" s="12"/>
      <c r="F709" s="12"/>
      <c r="G709" s="12"/>
      <c r="H709" s="12"/>
    </row>
    <row r="710" spans="3:8" x14ac:dyDescent="0.2">
      <c r="C710" s="16"/>
      <c r="D710" s="12"/>
      <c r="E710" s="12"/>
      <c r="F710" s="12"/>
      <c r="G710" s="12"/>
      <c r="H710" s="12"/>
    </row>
    <row r="711" spans="3:8" x14ac:dyDescent="0.2">
      <c r="C711" s="16"/>
      <c r="D711" s="12"/>
      <c r="E711" s="12"/>
      <c r="F711" s="12"/>
      <c r="G711" s="12"/>
      <c r="H711" s="12"/>
    </row>
    <row r="712" spans="3:8" x14ac:dyDescent="0.2">
      <c r="C712" s="16"/>
      <c r="D712" s="12"/>
      <c r="E712" s="12"/>
      <c r="F712" s="12"/>
      <c r="G712" s="12"/>
      <c r="H712" s="12"/>
    </row>
    <row r="713" spans="3:8" x14ac:dyDescent="0.2">
      <c r="C713" s="16"/>
      <c r="D713" s="12"/>
      <c r="E713" s="12"/>
      <c r="F713" s="12"/>
      <c r="G713" s="12"/>
      <c r="H713" s="12"/>
    </row>
    <row r="714" spans="3:8" x14ac:dyDescent="0.2">
      <c r="C714" s="16"/>
      <c r="D714" s="12"/>
      <c r="E714" s="12"/>
      <c r="F714" s="12"/>
      <c r="G714" s="12"/>
      <c r="H714" s="12"/>
    </row>
    <row r="715" spans="3:8" x14ac:dyDescent="0.2">
      <c r="C715" s="16"/>
      <c r="D715" s="12"/>
      <c r="E715" s="12"/>
      <c r="F715" s="12"/>
      <c r="G715" s="12"/>
      <c r="H715" s="12"/>
    </row>
    <row r="716" spans="3:8" x14ac:dyDescent="0.2">
      <c r="C716" s="16"/>
      <c r="D716" s="12"/>
      <c r="E716" s="12"/>
      <c r="F716" s="12"/>
      <c r="G716" s="12"/>
      <c r="H716" s="12"/>
    </row>
    <row r="717" spans="3:8" x14ac:dyDescent="0.2">
      <c r="C717" s="16"/>
      <c r="D717" s="12"/>
      <c r="E717" s="12"/>
      <c r="F717" s="12"/>
      <c r="G717" s="12"/>
      <c r="H717" s="12"/>
    </row>
    <row r="718" spans="3:8" x14ac:dyDescent="0.2">
      <c r="C718" s="16"/>
      <c r="D718" s="12"/>
      <c r="E718" s="12"/>
      <c r="F718" s="12"/>
      <c r="G718" s="12"/>
      <c r="H718" s="12"/>
    </row>
    <row r="719" spans="3:8" x14ac:dyDescent="0.2">
      <c r="C719" s="16"/>
      <c r="D719" s="12"/>
      <c r="E719" s="12"/>
      <c r="F719" s="12"/>
      <c r="G719" s="12"/>
      <c r="H719" s="12"/>
    </row>
    <row r="720" spans="3:8" x14ac:dyDescent="0.2">
      <c r="C720" s="16"/>
      <c r="D720" s="12"/>
      <c r="E720" s="12"/>
      <c r="F720" s="12"/>
      <c r="G720" s="12"/>
      <c r="H720" s="12"/>
    </row>
    <row r="721" spans="3:8" x14ac:dyDescent="0.2">
      <c r="C721" s="16"/>
      <c r="D721" s="12"/>
      <c r="E721" s="12"/>
      <c r="F721" s="12"/>
      <c r="G721" s="12"/>
      <c r="H721" s="12"/>
    </row>
    <row r="722" spans="3:8" x14ac:dyDescent="0.2">
      <c r="C722" s="16"/>
      <c r="D722" s="12"/>
      <c r="E722" s="12"/>
      <c r="F722" s="12"/>
      <c r="G722" s="12"/>
      <c r="H722" s="12"/>
    </row>
    <row r="723" spans="3:8" x14ac:dyDescent="0.2">
      <c r="C723" s="16"/>
      <c r="D723" s="12"/>
      <c r="E723" s="12"/>
      <c r="F723" s="12"/>
      <c r="G723" s="12"/>
      <c r="H723" s="12"/>
    </row>
    <row r="724" spans="3:8" x14ac:dyDescent="0.2">
      <c r="C724" s="16"/>
      <c r="D724" s="12"/>
      <c r="E724" s="12"/>
      <c r="F724" s="12"/>
      <c r="G724" s="12"/>
      <c r="H724" s="12"/>
    </row>
    <row r="725" spans="3:8" x14ac:dyDescent="0.2">
      <c r="C725" s="16"/>
      <c r="D725" s="12"/>
      <c r="E725" s="12"/>
      <c r="F725" s="12"/>
      <c r="G725" s="12"/>
      <c r="H725" s="12"/>
    </row>
    <row r="726" spans="3:8" x14ac:dyDescent="0.2">
      <c r="C726" s="16"/>
      <c r="D726" s="12"/>
      <c r="E726" s="12"/>
      <c r="F726" s="12"/>
      <c r="G726" s="12"/>
      <c r="H726" s="12"/>
    </row>
    <row r="727" spans="3:8" x14ac:dyDescent="0.2">
      <c r="C727" s="16"/>
      <c r="D727" s="12"/>
      <c r="E727" s="12"/>
      <c r="F727" s="12"/>
      <c r="G727" s="12"/>
      <c r="H727" s="12"/>
    </row>
    <row r="728" spans="3:8" x14ac:dyDescent="0.2">
      <c r="C728" s="16"/>
      <c r="D728" s="12"/>
      <c r="E728" s="12"/>
      <c r="F728" s="12"/>
      <c r="G728" s="12"/>
      <c r="H728" s="12"/>
    </row>
    <row r="729" spans="3:8" x14ac:dyDescent="0.2">
      <c r="C729" s="16"/>
      <c r="D729" s="12"/>
      <c r="E729" s="12"/>
      <c r="F729" s="12"/>
      <c r="G729" s="12"/>
      <c r="H729" s="12"/>
    </row>
    <row r="730" spans="3:8" x14ac:dyDescent="0.2">
      <c r="C730" s="16"/>
      <c r="D730" s="12"/>
      <c r="E730" s="12"/>
      <c r="F730" s="12"/>
      <c r="G730" s="12"/>
      <c r="H730" s="12"/>
    </row>
    <row r="731" spans="3:8" x14ac:dyDescent="0.2">
      <c r="C731" s="16"/>
      <c r="D731" s="12"/>
      <c r="E731" s="12"/>
      <c r="F731" s="12"/>
      <c r="G731" s="12"/>
      <c r="H731" s="12"/>
    </row>
    <row r="732" spans="3:8" x14ac:dyDescent="0.2">
      <c r="C732" s="16"/>
      <c r="D732" s="12"/>
      <c r="E732" s="12"/>
      <c r="F732" s="12"/>
      <c r="G732" s="12"/>
      <c r="H732" s="12"/>
    </row>
    <row r="733" spans="3:8" x14ac:dyDescent="0.2">
      <c r="C733" s="16"/>
      <c r="D733" s="12"/>
      <c r="E733" s="12"/>
      <c r="F733" s="12"/>
      <c r="G733" s="12"/>
      <c r="H733" s="12"/>
    </row>
    <row r="734" spans="3:8" x14ac:dyDescent="0.2">
      <c r="C734" s="16"/>
      <c r="D734" s="12"/>
      <c r="E734" s="12"/>
      <c r="F734" s="12"/>
      <c r="G734" s="12"/>
      <c r="H734" s="12"/>
    </row>
    <row r="735" spans="3:8" x14ac:dyDescent="0.2">
      <c r="C735" s="16"/>
      <c r="D735" s="12"/>
      <c r="E735" s="12"/>
      <c r="F735" s="12"/>
      <c r="G735" s="12"/>
      <c r="H735" s="12"/>
    </row>
    <row r="736" spans="3:8" x14ac:dyDescent="0.2">
      <c r="C736" s="16"/>
      <c r="D736" s="12"/>
      <c r="E736" s="12"/>
      <c r="F736" s="12"/>
      <c r="G736" s="12"/>
      <c r="H736" s="12"/>
    </row>
    <row r="737" spans="3:8" x14ac:dyDescent="0.2">
      <c r="C737" s="16"/>
      <c r="D737" s="12"/>
      <c r="E737" s="12"/>
      <c r="F737" s="12"/>
      <c r="G737" s="12"/>
      <c r="H737" s="12"/>
    </row>
    <row r="738" spans="3:8" x14ac:dyDescent="0.2">
      <c r="C738" s="16"/>
      <c r="D738" s="12"/>
      <c r="E738" s="12"/>
      <c r="F738" s="12"/>
      <c r="G738" s="12"/>
      <c r="H738" s="12"/>
    </row>
    <row r="739" spans="3:8" x14ac:dyDescent="0.2">
      <c r="C739" s="16"/>
      <c r="D739" s="12"/>
      <c r="E739" s="12"/>
      <c r="F739" s="12"/>
      <c r="G739" s="12"/>
      <c r="H739" s="12"/>
    </row>
    <row r="740" spans="3:8" x14ac:dyDescent="0.2">
      <c r="C740" s="16"/>
      <c r="D740" s="12"/>
      <c r="E740" s="12"/>
      <c r="F740" s="12"/>
      <c r="G740" s="12"/>
      <c r="H740" s="12"/>
    </row>
    <row r="741" spans="3:8" x14ac:dyDescent="0.2">
      <c r="C741" s="16"/>
      <c r="D741" s="12"/>
      <c r="E741" s="12"/>
      <c r="F741" s="12"/>
      <c r="G741" s="12"/>
      <c r="H741" s="12"/>
    </row>
    <row r="742" spans="3:8" x14ac:dyDescent="0.2">
      <c r="C742" s="16"/>
      <c r="D742" s="12"/>
      <c r="E742" s="12"/>
      <c r="F742" s="12"/>
      <c r="G742" s="12"/>
      <c r="H742" s="12"/>
    </row>
    <row r="743" spans="3:8" x14ac:dyDescent="0.2">
      <c r="C743" s="16"/>
      <c r="D743" s="12"/>
      <c r="E743" s="12"/>
      <c r="F743" s="12"/>
      <c r="G743" s="12"/>
      <c r="H743" s="12"/>
    </row>
    <row r="744" spans="3:8" x14ac:dyDescent="0.2">
      <c r="C744" s="16"/>
      <c r="D744" s="12"/>
      <c r="E744" s="12"/>
      <c r="F744" s="12"/>
      <c r="G744" s="12"/>
      <c r="H744" s="12"/>
    </row>
    <row r="745" spans="3:8" x14ac:dyDescent="0.2">
      <c r="C745" s="16"/>
      <c r="D745" s="12"/>
      <c r="E745" s="12"/>
      <c r="F745" s="12"/>
      <c r="G745" s="12"/>
      <c r="H745" s="12"/>
    </row>
    <row r="746" spans="3:8" x14ac:dyDescent="0.2">
      <c r="C746" s="16"/>
      <c r="D746" s="12"/>
      <c r="E746" s="12"/>
      <c r="F746" s="12"/>
      <c r="G746" s="12"/>
      <c r="H746" s="12"/>
    </row>
    <row r="747" spans="3:8" x14ac:dyDescent="0.2">
      <c r="C747" s="16"/>
      <c r="D747" s="12"/>
      <c r="E747" s="12"/>
      <c r="F747" s="12"/>
      <c r="G747" s="12"/>
      <c r="H747" s="12"/>
    </row>
    <row r="748" spans="3:8" x14ac:dyDescent="0.2">
      <c r="C748" s="16"/>
      <c r="D748" s="12"/>
      <c r="E748" s="12"/>
      <c r="F748" s="12"/>
      <c r="G748" s="12"/>
      <c r="H748" s="12"/>
    </row>
    <row r="749" spans="3:8" x14ac:dyDescent="0.2">
      <c r="C749" s="16"/>
      <c r="D749" s="12"/>
      <c r="E749" s="12"/>
      <c r="F749" s="12"/>
      <c r="G749" s="12"/>
      <c r="H749" s="12"/>
    </row>
    <row r="750" spans="3:8" x14ac:dyDescent="0.2">
      <c r="C750" s="16"/>
      <c r="D750" s="12"/>
      <c r="E750" s="12"/>
      <c r="F750" s="12"/>
      <c r="G750" s="12"/>
      <c r="H750" s="12"/>
    </row>
    <row r="751" spans="3:8" x14ac:dyDescent="0.2">
      <c r="C751" s="16"/>
      <c r="D751" s="12"/>
      <c r="E751" s="12"/>
      <c r="F751" s="12"/>
      <c r="G751" s="12"/>
      <c r="H751" s="12"/>
    </row>
    <row r="752" spans="3:8" x14ac:dyDescent="0.2">
      <c r="C752" s="16"/>
      <c r="D752" s="12"/>
      <c r="E752" s="12"/>
      <c r="F752" s="12"/>
      <c r="G752" s="12"/>
      <c r="H752" s="12"/>
    </row>
    <row r="753" spans="3:8" x14ac:dyDescent="0.2">
      <c r="C753" s="16"/>
      <c r="D753" s="12"/>
      <c r="E753" s="12"/>
      <c r="F753" s="12"/>
      <c r="G753" s="12"/>
      <c r="H753" s="12"/>
    </row>
    <row r="754" spans="3:8" x14ac:dyDescent="0.2">
      <c r="C754" s="16"/>
      <c r="D754" s="12"/>
      <c r="E754" s="12"/>
      <c r="F754" s="12"/>
      <c r="G754" s="12"/>
      <c r="H754" s="12"/>
    </row>
    <row r="755" spans="3:8" x14ac:dyDescent="0.2">
      <c r="C755" s="16"/>
      <c r="D755" s="12"/>
      <c r="E755" s="12"/>
      <c r="F755" s="12"/>
      <c r="G755" s="12"/>
      <c r="H755" s="12"/>
    </row>
    <row r="756" spans="3:8" x14ac:dyDescent="0.2">
      <c r="C756" s="16"/>
      <c r="D756" s="12"/>
      <c r="E756" s="12"/>
      <c r="F756" s="12"/>
      <c r="G756" s="12"/>
      <c r="H756" s="12"/>
    </row>
    <row r="757" spans="3:8" x14ac:dyDescent="0.2">
      <c r="C757" s="16"/>
      <c r="D757" s="12"/>
      <c r="E757" s="12"/>
      <c r="F757" s="12"/>
      <c r="G757" s="12"/>
      <c r="H757" s="12"/>
    </row>
    <row r="758" spans="3:8" x14ac:dyDescent="0.2">
      <c r="C758" s="16"/>
      <c r="D758" s="12"/>
      <c r="E758" s="12"/>
      <c r="F758" s="12"/>
      <c r="G758" s="12"/>
      <c r="H758" s="12"/>
    </row>
    <row r="759" spans="3:8" x14ac:dyDescent="0.2">
      <c r="C759" s="16"/>
      <c r="D759" s="12"/>
      <c r="E759" s="12"/>
      <c r="F759" s="12"/>
      <c r="G759" s="12"/>
      <c r="H759" s="12"/>
    </row>
    <row r="760" spans="3:8" x14ac:dyDescent="0.2">
      <c r="C760" s="16"/>
      <c r="D760" s="12"/>
      <c r="E760" s="12"/>
      <c r="F760" s="12"/>
      <c r="G760" s="12"/>
      <c r="H760" s="12"/>
    </row>
    <row r="761" spans="3:8" x14ac:dyDescent="0.2">
      <c r="C761" s="16"/>
      <c r="D761" s="12"/>
      <c r="E761" s="12"/>
      <c r="F761" s="12"/>
      <c r="G761" s="12"/>
      <c r="H761" s="12"/>
    </row>
    <row r="762" spans="3:8" x14ac:dyDescent="0.2">
      <c r="C762" s="16"/>
      <c r="D762" s="12"/>
      <c r="E762" s="12"/>
      <c r="F762" s="12"/>
      <c r="G762" s="12"/>
      <c r="H762" s="12"/>
    </row>
    <row r="763" spans="3:8" x14ac:dyDescent="0.2">
      <c r="C763" s="16"/>
      <c r="D763" s="12"/>
      <c r="E763" s="12"/>
      <c r="F763" s="12"/>
      <c r="G763" s="12"/>
      <c r="H763" s="12"/>
    </row>
    <row r="764" spans="3:8" x14ac:dyDescent="0.2">
      <c r="C764" s="16"/>
      <c r="D764" s="12"/>
      <c r="E764" s="12"/>
      <c r="F764" s="12"/>
      <c r="G764" s="12"/>
      <c r="H764" s="12"/>
    </row>
    <row r="765" spans="3:8" x14ac:dyDescent="0.2">
      <c r="C765" s="16"/>
      <c r="D765" s="12"/>
      <c r="E765" s="12"/>
      <c r="F765" s="12"/>
      <c r="G765" s="12"/>
      <c r="H765" s="12"/>
    </row>
    <row r="766" spans="3:8" x14ac:dyDescent="0.2">
      <c r="C766" s="16"/>
      <c r="D766" s="12"/>
      <c r="E766" s="12"/>
      <c r="F766" s="12"/>
      <c r="G766" s="12"/>
      <c r="H766" s="12"/>
    </row>
    <row r="767" spans="3:8" x14ac:dyDescent="0.2">
      <c r="C767" s="16"/>
      <c r="D767" s="12"/>
      <c r="E767" s="12"/>
      <c r="F767" s="12"/>
      <c r="G767" s="12"/>
      <c r="H767" s="12"/>
    </row>
    <row r="768" spans="3:8" x14ac:dyDescent="0.2">
      <c r="C768" s="16"/>
      <c r="D768" s="12"/>
      <c r="E768" s="12"/>
      <c r="F768" s="12"/>
      <c r="G768" s="12"/>
      <c r="H768" s="12"/>
    </row>
    <row r="769" spans="3:8" x14ac:dyDescent="0.2">
      <c r="C769" s="16"/>
      <c r="D769" s="12"/>
      <c r="E769" s="12"/>
      <c r="F769" s="12"/>
      <c r="G769" s="12"/>
      <c r="H769" s="12"/>
    </row>
    <row r="770" spans="3:8" x14ac:dyDescent="0.2">
      <c r="C770" s="16"/>
      <c r="D770" s="12"/>
      <c r="E770" s="12"/>
      <c r="F770" s="12"/>
      <c r="G770" s="12"/>
      <c r="H770" s="12"/>
    </row>
    <row r="771" spans="3:8" x14ac:dyDescent="0.2">
      <c r="C771" s="16"/>
      <c r="D771" s="12"/>
      <c r="E771" s="12"/>
      <c r="F771" s="12"/>
      <c r="G771" s="12"/>
      <c r="H771" s="12"/>
    </row>
    <row r="772" spans="3:8" x14ac:dyDescent="0.2">
      <c r="C772" s="16"/>
      <c r="D772" s="12"/>
      <c r="E772" s="12"/>
      <c r="F772" s="12"/>
      <c r="G772" s="12"/>
      <c r="H772" s="12"/>
    </row>
    <row r="773" spans="3:8" x14ac:dyDescent="0.2">
      <c r="C773" s="16"/>
      <c r="D773" s="12"/>
      <c r="E773" s="12"/>
      <c r="F773" s="12"/>
      <c r="G773" s="12"/>
      <c r="H773" s="12"/>
    </row>
    <row r="774" spans="3:8" x14ac:dyDescent="0.2">
      <c r="C774" s="16"/>
      <c r="D774" s="12"/>
      <c r="E774" s="12"/>
      <c r="F774" s="12"/>
      <c r="G774" s="12"/>
      <c r="H774" s="12"/>
    </row>
    <row r="775" spans="3:8" x14ac:dyDescent="0.2">
      <c r="C775" s="16"/>
      <c r="D775" s="12"/>
      <c r="E775" s="12"/>
      <c r="F775" s="12"/>
      <c r="G775" s="12"/>
      <c r="H775" s="12"/>
    </row>
    <row r="776" spans="3:8" x14ac:dyDescent="0.2">
      <c r="C776" s="16"/>
      <c r="D776" s="12"/>
      <c r="E776" s="12"/>
      <c r="F776" s="12"/>
      <c r="G776" s="12"/>
      <c r="H776" s="12"/>
    </row>
    <row r="777" spans="3:8" x14ac:dyDescent="0.2">
      <c r="C777" s="16"/>
      <c r="D777" s="12"/>
      <c r="E777" s="12"/>
      <c r="F777" s="12"/>
      <c r="G777" s="12"/>
      <c r="H777" s="12"/>
    </row>
    <row r="778" spans="3:8" x14ac:dyDescent="0.2">
      <c r="C778" s="16"/>
      <c r="D778" s="12"/>
      <c r="E778" s="12"/>
      <c r="F778" s="12"/>
      <c r="G778" s="12"/>
      <c r="H778" s="12"/>
    </row>
    <row r="779" spans="3:8" x14ac:dyDescent="0.2">
      <c r="C779" s="16"/>
      <c r="D779" s="12"/>
      <c r="E779" s="12"/>
      <c r="F779" s="12"/>
      <c r="G779" s="12"/>
      <c r="H779" s="12"/>
    </row>
    <row r="780" spans="3:8" x14ac:dyDescent="0.2">
      <c r="C780" s="16"/>
      <c r="D780" s="12"/>
      <c r="E780" s="12"/>
      <c r="F780" s="12"/>
      <c r="G780" s="12"/>
      <c r="H780" s="12"/>
    </row>
    <row r="781" spans="3:8" x14ac:dyDescent="0.2">
      <c r="C781" s="16"/>
      <c r="D781" s="12"/>
      <c r="E781" s="12"/>
      <c r="F781" s="12"/>
      <c r="G781" s="12"/>
      <c r="H781" s="12"/>
    </row>
    <row r="782" spans="3:8" x14ac:dyDescent="0.2">
      <c r="C782" s="16"/>
      <c r="D782" s="12"/>
      <c r="E782" s="12"/>
      <c r="F782" s="12"/>
      <c r="G782" s="12"/>
      <c r="H782" s="12"/>
    </row>
    <row r="783" spans="3:8" x14ac:dyDescent="0.2">
      <c r="C783" s="16"/>
      <c r="D783" s="12"/>
      <c r="E783" s="12"/>
      <c r="F783" s="12"/>
      <c r="G783" s="12"/>
      <c r="H783" s="12"/>
    </row>
    <row r="784" spans="3:8" x14ac:dyDescent="0.2">
      <c r="C784" s="16"/>
      <c r="D784" s="12"/>
      <c r="E784" s="12"/>
      <c r="F784" s="12"/>
      <c r="G784" s="12"/>
      <c r="H784" s="12"/>
    </row>
    <row r="785" spans="3:8" x14ac:dyDescent="0.2">
      <c r="C785" s="16"/>
      <c r="D785" s="12"/>
      <c r="E785" s="12"/>
      <c r="F785" s="12"/>
      <c r="G785" s="12"/>
      <c r="H785" s="12"/>
    </row>
    <row r="786" spans="3:8" x14ac:dyDescent="0.2">
      <c r="C786" s="16"/>
      <c r="D786" s="12"/>
      <c r="E786" s="12"/>
      <c r="F786" s="12"/>
      <c r="G786" s="12"/>
      <c r="H786" s="12"/>
    </row>
    <row r="787" spans="3:8" x14ac:dyDescent="0.2">
      <c r="C787" s="16"/>
      <c r="D787" s="12"/>
      <c r="E787" s="12"/>
      <c r="F787" s="12"/>
      <c r="G787" s="12"/>
      <c r="H787" s="12"/>
    </row>
    <row r="788" spans="3:8" x14ac:dyDescent="0.2">
      <c r="C788" s="16"/>
      <c r="D788" s="12"/>
      <c r="E788" s="12"/>
      <c r="F788" s="12"/>
      <c r="G788" s="12"/>
      <c r="H788" s="12"/>
    </row>
    <row r="789" spans="3:8" x14ac:dyDescent="0.2">
      <c r="C789" s="16"/>
      <c r="D789" s="12"/>
      <c r="E789" s="12"/>
      <c r="F789" s="12"/>
      <c r="G789" s="12"/>
      <c r="H789" s="12"/>
    </row>
    <row r="790" spans="3:8" x14ac:dyDescent="0.2">
      <c r="C790" s="16"/>
      <c r="D790" s="12"/>
      <c r="E790" s="12"/>
      <c r="F790" s="12"/>
      <c r="G790" s="12"/>
      <c r="H790" s="12"/>
    </row>
    <row r="791" spans="3:8" x14ac:dyDescent="0.2">
      <c r="C791" s="16"/>
      <c r="D791" s="12"/>
      <c r="E791" s="12"/>
      <c r="F791" s="12"/>
      <c r="G791" s="12"/>
      <c r="H791" s="12"/>
    </row>
    <row r="792" spans="3:8" x14ac:dyDescent="0.2">
      <c r="C792" s="16"/>
      <c r="D792" s="12"/>
      <c r="E792" s="12"/>
      <c r="F792" s="12"/>
      <c r="G792" s="12"/>
      <c r="H792" s="12"/>
    </row>
    <row r="793" spans="3:8" x14ac:dyDescent="0.2">
      <c r="C793" s="16"/>
      <c r="D793" s="12"/>
      <c r="E793" s="12"/>
      <c r="F793" s="12"/>
      <c r="G793" s="12"/>
      <c r="H793" s="12"/>
    </row>
    <row r="794" spans="3:8" x14ac:dyDescent="0.2">
      <c r="C794" s="16"/>
      <c r="D794" s="12"/>
      <c r="E794" s="12"/>
      <c r="F794" s="12"/>
      <c r="G794" s="12"/>
      <c r="H794" s="12"/>
    </row>
    <row r="795" spans="3:8" x14ac:dyDescent="0.2">
      <c r="C795" s="16"/>
      <c r="D795" s="12"/>
      <c r="E795" s="12"/>
      <c r="F795" s="12"/>
      <c r="G795" s="12"/>
      <c r="H795" s="12"/>
    </row>
    <row r="796" spans="3:8" x14ac:dyDescent="0.2">
      <c r="C796" s="16"/>
      <c r="D796" s="12"/>
      <c r="E796" s="12"/>
      <c r="F796" s="12"/>
      <c r="G796" s="12"/>
      <c r="H796" s="12"/>
    </row>
    <row r="797" spans="3:8" x14ac:dyDescent="0.2">
      <c r="C797" s="16"/>
      <c r="D797" s="12"/>
      <c r="E797" s="12"/>
      <c r="F797" s="12"/>
      <c r="G797" s="12"/>
      <c r="H797" s="12"/>
    </row>
    <row r="798" spans="3:8" x14ac:dyDescent="0.2">
      <c r="C798" s="16"/>
      <c r="D798" s="12"/>
      <c r="E798" s="12"/>
      <c r="F798" s="12"/>
      <c r="G798" s="12"/>
      <c r="H798" s="12"/>
    </row>
    <row r="799" spans="3:8" x14ac:dyDescent="0.2">
      <c r="C799" s="16"/>
      <c r="D799" s="12"/>
      <c r="E799" s="12"/>
      <c r="F799" s="12"/>
      <c r="G799" s="12"/>
      <c r="H799" s="12"/>
    </row>
    <row r="800" spans="3:8" x14ac:dyDescent="0.2">
      <c r="C800" s="16"/>
      <c r="D800" s="12"/>
      <c r="E800" s="12"/>
      <c r="F800" s="12"/>
      <c r="G800" s="12"/>
      <c r="H800" s="12"/>
    </row>
    <row r="801" spans="3:8" x14ac:dyDescent="0.2">
      <c r="C801" s="16"/>
      <c r="D801" s="12"/>
      <c r="E801" s="12"/>
      <c r="F801" s="12"/>
      <c r="G801" s="12"/>
      <c r="H801" s="12"/>
    </row>
    <row r="802" spans="3:8" x14ac:dyDescent="0.2">
      <c r="C802" s="16"/>
      <c r="D802" s="12"/>
      <c r="E802" s="12"/>
      <c r="F802" s="12"/>
      <c r="G802" s="12"/>
      <c r="H802" s="12"/>
    </row>
    <row r="803" spans="3:8" x14ac:dyDescent="0.2">
      <c r="C803" s="16"/>
      <c r="D803" s="12"/>
      <c r="E803" s="12"/>
      <c r="F803" s="12"/>
      <c r="G803" s="12"/>
      <c r="H803" s="12"/>
    </row>
    <row r="804" spans="3:8" x14ac:dyDescent="0.2">
      <c r="C804" s="16"/>
      <c r="D804" s="12"/>
      <c r="E804" s="12"/>
      <c r="F804" s="12"/>
      <c r="G804" s="12"/>
      <c r="H804" s="12"/>
    </row>
    <row r="805" spans="3:8" x14ac:dyDescent="0.2">
      <c r="C805" s="16"/>
      <c r="D805" s="12"/>
      <c r="E805" s="12"/>
      <c r="F805" s="12"/>
      <c r="G805" s="12"/>
      <c r="H805" s="12"/>
    </row>
    <row r="806" spans="3:8" x14ac:dyDescent="0.2">
      <c r="C806" s="16"/>
      <c r="D806" s="12"/>
      <c r="E806" s="12"/>
      <c r="F806" s="12"/>
      <c r="G806" s="12"/>
      <c r="H806" s="12"/>
    </row>
    <row r="807" spans="3:8" x14ac:dyDescent="0.2">
      <c r="C807" s="16"/>
      <c r="D807" s="12"/>
      <c r="E807" s="12"/>
      <c r="F807" s="12"/>
      <c r="G807" s="12"/>
      <c r="H807" s="12"/>
    </row>
    <row r="808" spans="3:8" x14ac:dyDescent="0.2">
      <c r="C808" s="16"/>
      <c r="D808" s="12"/>
      <c r="E808" s="12"/>
      <c r="F808" s="12"/>
      <c r="G808" s="12"/>
      <c r="H808" s="12"/>
    </row>
    <row r="809" spans="3:8" x14ac:dyDescent="0.2">
      <c r="C809" s="16"/>
      <c r="D809" s="12"/>
      <c r="E809" s="12"/>
      <c r="F809" s="12"/>
      <c r="G809" s="12"/>
      <c r="H809" s="12"/>
    </row>
    <row r="810" spans="3:8" x14ac:dyDescent="0.2">
      <c r="C810" s="16"/>
      <c r="D810" s="12"/>
      <c r="E810" s="12"/>
      <c r="F810" s="12"/>
      <c r="G810" s="12"/>
      <c r="H810" s="12"/>
    </row>
    <row r="811" spans="3:8" x14ac:dyDescent="0.2">
      <c r="C811" s="16"/>
      <c r="D811" s="12"/>
      <c r="E811" s="12"/>
      <c r="F811" s="12"/>
      <c r="G811" s="12"/>
      <c r="H811" s="12"/>
    </row>
    <row r="812" spans="3:8" x14ac:dyDescent="0.2">
      <c r="C812" s="16"/>
      <c r="D812" s="12"/>
      <c r="E812" s="12"/>
      <c r="F812" s="12"/>
      <c r="G812" s="12"/>
      <c r="H812" s="12"/>
    </row>
    <row r="813" spans="3:8" x14ac:dyDescent="0.2">
      <c r="C813" s="16"/>
      <c r="D813" s="12"/>
      <c r="E813" s="12"/>
      <c r="F813" s="12"/>
      <c r="G813" s="12"/>
      <c r="H813" s="12"/>
    </row>
    <row r="814" spans="3:8" x14ac:dyDescent="0.2">
      <c r="C814" s="16"/>
      <c r="D814" s="12"/>
      <c r="E814" s="12"/>
      <c r="F814" s="12"/>
      <c r="G814" s="12"/>
      <c r="H814" s="12"/>
    </row>
    <row r="815" spans="3:8" x14ac:dyDescent="0.2">
      <c r="C815" s="16"/>
      <c r="D815" s="12"/>
      <c r="E815" s="12"/>
      <c r="F815" s="12"/>
      <c r="G815" s="12"/>
      <c r="H815" s="12"/>
    </row>
    <row r="816" spans="3:8" x14ac:dyDescent="0.2">
      <c r="C816" s="16"/>
      <c r="D816" s="12"/>
      <c r="E816" s="12"/>
      <c r="F816" s="12"/>
      <c r="G816" s="12"/>
      <c r="H816" s="12"/>
    </row>
    <row r="817" spans="3:8" x14ac:dyDescent="0.2">
      <c r="C817" s="16"/>
      <c r="D817" s="12"/>
      <c r="E817" s="12"/>
      <c r="F817" s="12"/>
      <c r="G817" s="12"/>
      <c r="H817" s="12"/>
    </row>
    <row r="818" spans="3:8" x14ac:dyDescent="0.2">
      <c r="C818" s="16"/>
      <c r="D818" s="12"/>
      <c r="E818" s="12"/>
      <c r="F818" s="12"/>
      <c r="G818" s="12"/>
      <c r="H818" s="12"/>
    </row>
    <row r="819" spans="3:8" x14ac:dyDescent="0.2">
      <c r="C819" s="16"/>
      <c r="D819" s="12"/>
      <c r="E819" s="12"/>
      <c r="F819" s="12"/>
      <c r="G819" s="12"/>
      <c r="H819" s="12"/>
    </row>
    <row r="820" spans="3:8" x14ac:dyDescent="0.2">
      <c r="C820" s="16"/>
      <c r="D820" s="12"/>
      <c r="E820" s="12"/>
      <c r="F820" s="12"/>
      <c r="G820" s="12"/>
      <c r="H820" s="12"/>
    </row>
    <row r="821" spans="3:8" x14ac:dyDescent="0.2">
      <c r="C821" s="16"/>
      <c r="D821" s="12"/>
      <c r="E821" s="12"/>
      <c r="F821" s="12"/>
      <c r="G821" s="12"/>
      <c r="H821" s="12"/>
    </row>
    <row r="822" spans="3:8" x14ac:dyDescent="0.2">
      <c r="C822" s="16"/>
      <c r="D822" s="12"/>
      <c r="E822" s="12"/>
      <c r="F822" s="12"/>
      <c r="G822" s="12"/>
      <c r="H822" s="12"/>
    </row>
    <row r="823" spans="3:8" x14ac:dyDescent="0.2">
      <c r="C823" s="16"/>
      <c r="D823" s="12"/>
      <c r="E823" s="12"/>
      <c r="F823" s="12"/>
      <c r="G823" s="12"/>
      <c r="H823" s="12"/>
    </row>
    <row r="824" spans="3:8" x14ac:dyDescent="0.2">
      <c r="C824" s="16"/>
      <c r="D824" s="12"/>
      <c r="E824" s="12"/>
      <c r="F824" s="12"/>
      <c r="G824" s="12"/>
      <c r="H824" s="12"/>
    </row>
    <row r="825" spans="3:8" x14ac:dyDescent="0.2">
      <c r="C825" s="16"/>
      <c r="D825" s="12"/>
      <c r="E825" s="12"/>
      <c r="F825" s="12"/>
      <c r="G825" s="12"/>
      <c r="H825" s="12"/>
    </row>
    <row r="826" spans="3:8" x14ac:dyDescent="0.2">
      <c r="C826" s="16"/>
      <c r="D826" s="12"/>
      <c r="E826" s="12"/>
      <c r="F826" s="12"/>
      <c r="G826" s="12"/>
      <c r="H826" s="12"/>
    </row>
    <row r="827" spans="3:8" x14ac:dyDescent="0.2">
      <c r="C827" s="16"/>
      <c r="D827" s="12"/>
      <c r="E827" s="12"/>
      <c r="F827" s="12"/>
      <c r="G827" s="12"/>
      <c r="H827" s="12"/>
    </row>
    <row r="828" spans="3:8" x14ac:dyDescent="0.2">
      <c r="C828" s="16"/>
      <c r="D828" s="12"/>
      <c r="E828" s="12"/>
      <c r="F828" s="12"/>
      <c r="G828" s="12"/>
      <c r="H828" s="12"/>
    </row>
    <row r="829" spans="3:8" x14ac:dyDescent="0.2">
      <c r="C829" s="16"/>
      <c r="D829" s="12"/>
      <c r="E829" s="12"/>
      <c r="F829" s="12"/>
      <c r="G829" s="12"/>
      <c r="H829" s="12"/>
    </row>
    <row r="830" spans="3:8" x14ac:dyDescent="0.2">
      <c r="C830" s="16"/>
      <c r="D830" s="12"/>
      <c r="E830" s="12"/>
      <c r="F830" s="12"/>
      <c r="G830" s="12"/>
      <c r="H830" s="12"/>
    </row>
    <row r="831" spans="3:8" x14ac:dyDescent="0.2">
      <c r="C831" s="16"/>
      <c r="D831" s="12"/>
      <c r="E831" s="12"/>
      <c r="F831" s="12"/>
      <c r="G831" s="12"/>
      <c r="H831" s="12"/>
    </row>
    <row r="832" spans="3:8" x14ac:dyDescent="0.2">
      <c r="C832" s="16"/>
      <c r="D832" s="12"/>
      <c r="E832" s="12"/>
      <c r="F832" s="12"/>
      <c r="G832" s="12"/>
      <c r="H832" s="12"/>
    </row>
    <row r="833" spans="3:8" x14ac:dyDescent="0.2">
      <c r="C833" s="16"/>
      <c r="D833" s="12"/>
      <c r="E833" s="12"/>
      <c r="F833" s="12"/>
      <c r="G833" s="12"/>
      <c r="H833" s="12"/>
    </row>
    <row r="834" spans="3:8" x14ac:dyDescent="0.2">
      <c r="C834" s="16"/>
      <c r="D834" s="12"/>
      <c r="E834" s="12"/>
      <c r="F834" s="12"/>
      <c r="G834" s="12"/>
      <c r="H834" s="12"/>
    </row>
    <row r="835" spans="3:8" x14ac:dyDescent="0.2">
      <c r="C835" s="16"/>
      <c r="D835" s="12"/>
      <c r="E835" s="12"/>
      <c r="F835" s="12"/>
      <c r="G835" s="12"/>
      <c r="H835" s="12"/>
    </row>
    <row r="836" spans="3:8" x14ac:dyDescent="0.2">
      <c r="C836" s="16"/>
      <c r="D836" s="12"/>
      <c r="E836" s="12"/>
      <c r="F836" s="12"/>
      <c r="G836" s="12"/>
      <c r="H836" s="12"/>
    </row>
    <row r="837" spans="3:8" x14ac:dyDescent="0.2">
      <c r="C837" s="16"/>
      <c r="D837" s="12"/>
      <c r="E837" s="12"/>
      <c r="F837" s="12"/>
      <c r="G837" s="12"/>
      <c r="H837" s="12"/>
    </row>
    <row r="838" spans="3:8" x14ac:dyDescent="0.2">
      <c r="C838" s="16"/>
      <c r="D838" s="12"/>
      <c r="E838" s="12"/>
      <c r="F838" s="12"/>
      <c r="G838" s="12"/>
      <c r="H838" s="12"/>
    </row>
    <row r="839" spans="3:8" x14ac:dyDescent="0.2">
      <c r="C839" s="16"/>
      <c r="D839" s="12"/>
      <c r="E839" s="12"/>
      <c r="F839" s="12"/>
      <c r="G839" s="12"/>
      <c r="H839" s="12"/>
    </row>
    <row r="840" spans="3:8" x14ac:dyDescent="0.2">
      <c r="C840" s="16"/>
      <c r="D840" s="12"/>
      <c r="E840" s="12"/>
      <c r="F840" s="12"/>
      <c r="G840" s="12"/>
      <c r="H840" s="12"/>
    </row>
    <row r="841" spans="3:8" x14ac:dyDescent="0.2">
      <c r="C841" s="16"/>
      <c r="D841" s="12"/>
      <c r="E841" s="12"/>
      <c r="F841" s="12"/>
      <c r="G841" s="12"/>
      <c r="H841" s="12"/>
    </row>
    <row r="842" spans="3:8" x14ac:dyDescent="0.2">
      <c r="C842" s="16"/>
      <c r="D842" s="12"/>
      <c r="E842" s="12"/>
      <c r="F842" s="12"/>
      <c r="G842" s="12"/>
      <c r="H842" s="12"/>
    </row>
    <row r="843" spans="3:8" x14ac:dyDescent="0.2">
      <c r="C843" s="16"/>
      <c r="D843" s="12"/>
      <c r="E843" s="12"/>
      <c r="F843" s="12"/>
      <c r="G843" s="12"/>
      <c r="H843" s="12"/>
    </row>
    <row r="844" spans="3:8" x14ac:dyDescent="0.2">
      <c r="C844" s="16"/>
      <c r="D844" s="12"/>
      <c r="E844" s="12"/>
      <c r="F844" s="12"/>
      <c r="G844" s="12"/>
      <c r="H844" s="12"/>
    </row>
    <row r="845" spans="3:8" x14ac:dyDescent="0.2">
      <c r="C845" s="16"/>
      <c r="D845" s="12"/>
      <c r="E845" s="12"/>
      <c r="F845" s="12"/>
      <c r="G845" s="12"/>
      <c r="H845" s="12"/>
    </row>
    <row r="846" spans="3:8" x14ac:dyDescent="0.2">
      <c r="C846" s="16"/>
      <c r="D846" s="12"/>
      <c r="E846" s="12"/>
      <c r="F846" s="12"/>
      <c r="G846" s="12"/>
      <c r="H846" s="12"/>
    </row>
    <row r="847" spans="3:8" x14ac:dyDescent="0.2">
      <c r="C847" s="16"/>
      <c r="D847" s="12"/>
      <c r="E847" s="12"/>
      <c r="F847" s="12"/>
      <c r="G847" s="12"/>
      <c r="H847" s="12"/>
    </row>
    <row r="848" spans="3:8" x14ac:dyDescent="0.2">
      <c r="C848" s="16"/>
      <c r="D848" s="12"/>
      <c r="E848" s="12"/>
      <c r="F848" s="12"/>
      <c r="G848" s="12"/>
      <c r="H848" s="12"/>
    </row>
    <row r="849" spans="3:8" x14ac:dyDescent="0.2">
      <c r="C849" s="16"/>
      <c r="D849" s="12"/>
      <c r="E849" s="12"/>
      <c r="F849" s="12"/>
      <c r="G849" s="12"/>
      <c r="H849" s="12"/>
    </row>
    <row r="850" spans="3:8" x14ac:dyDescent="0.2">
      <c r="C850" s="16"/>
      <c r="D850" s="12"/>
      <c r="E850" s="12"/>
      <c r="F850" s="12"/>
      <c r="G850" s="12"/>
      <c r="H850" s="12"/>
    </row>
    <row r="851" spans="3:8" x14ac:dyDescent="0.2">
      <c r="C851" s="16"/>
      <c r="D851" s="12"/>
      <c r="E851" s="12"/>
      <c r="F851" s="12"/>
      <c r="G851" s="12"/>
      <c r="H851" s="12"/>
    </row>
    <row r="852" spans="3:8" x14ac:dyDescent="0.2">
      <c r="C852" s="16"/>
      <c r="D852" s="12"/>
      <c r="E852" s="12"/>
      <c r="F852" s="12"/>
      <c r="G852" s="12"/>
      <c r="H852" s="12"/>
    </row>
    <row r="853" spans="3:8" x14ac:dyDescent="0.2">
      <c r="C853" s="16"/>
      <c r="D853" s="12"/>
      <c r="E853" s="12"/>
      <c r="F853" s="12"/>
      <c r="G853" s="12"/>
      <c r="H853" s="12"/>
    </row>
    <row r="854" spans="3:8" x14ac:dyDescent="0.2">
      <c r="C854" s="16"/>
      <c r="D854" s="12"/>
      <c r="E854" s="12"/>
      <c r="F854" s="12"/>
      <c r="G854" s="12"/>
      <c r="H854" s="12"/>
    </row>
    <row r="855" spans="3:8" x14ac:dyDescent="0.2">
      <c r="C855" s="16"/>
      <c r="D855" s="12"/>
      <c r="E855" s="12"/>
      <c r="F855" s="12"/>
      <c r="G855" s="12"/>
      <c r="H855" s="12"/>
    </row>
    <row r="856" spans="3:8" x14ac:dyDescent="0.2">
      <c r="C856" s="16"/>
      <c r="D856" s="12"/>
      <c r="E856" s="12"/>
      <c r="F856" s="12"/>
      <c r="G856" s="12"/>
      <c r="H856" s="12"/>
    </row>
    <row r="857" spans="3:8" x14ac:dyDescent="0.2">
      <c r="C857" s="16"/>
      <c r="D857" s="12"/>
      <c r="E857" s="12"/>
      <c r="F857" s="12"/>
      <c r="G857" s="12"/>
      <c r="H857" s="12"/>
    </row>
    <row r="858" spans="3:8" x14ac:dyDescent="0.2">
      <c r="C858" s="16"/>
      <c r="D858" s="12"/>
      <c r="E858" s="12"/>
      <c r="F858" s="12"/>
      <c r="G858" s="12"/>
      <c r="H858" s="12"/>
    </row>
    <row r="859" spans="3:8" x14ac:dyDescent="0.2">
      <c r="C859" s="16"/>
      <c r="D859" s="12"/>
      <c r="E859" s="12"/>
      <c r="F859" s="12"/>
      <c r="G859" s="12"/>
      <c r="H859" s="12"/>
    </row>
    <row r="860" spans="3:8" x14ac:dyDescent="0.2">
      <c r="C860" s="16"/>
      <c r="D860" s="12"/>
      <c r="E860" s="12"/>
      <c r="F860" s="12"/>
      <c r="G860" s="12"/>
      <c r="H860" s="12"/>
    </row>
    <row r="861" spans="3:8" x14ac:dyDescent="0.2">
      <c r="C861" s="16"/>
      <c r="D861" s="12"/>
      <c r="E861" s="12"/>
      <c r="F861" s="12"/>
      <c r="G861" s="12"/>
      <c r="H861" s="12"/>
    </row>
    <row r="862" spans="3:8" x14ac:dyDescent="0.2">
      <c r="C862" s="16"/>
      <c r="D862" s="12"/>
      <c r="E862" s="12"/>
      <c r="F862" s="12"/>
      <c r="G862" s="12"/>
      <c r="H862" s="12"/>
    </row>
    <row r="863" spans="3:8" x14ac:dyDescent="0.2">
      <c r="C863" s="16"/>
      <c r="D863" s="12"/>
      <c r="E863" s="12"/>
      <c r="F863" s="12"/>
      <c r="G863" s="12"/>
      <c r="H863" s="12"/>
    </row>
    <row r="864" spans="3:8" x14ac:dyDescent="0.2">
      <c r="C864" s="16"/>
      <c r="D864" s="12"/>
      <c r="E864" s="12"/>
      <c r="F864" s="12"/>
      <c r="G864" s="12"/>
      <c r="H864" s="12"/>
    </row>
    <row r="865" spans="3:8" x14ac:dyDescent="0.2">
      <c r="C865" s="16"/>
      <c r="D865" s="12"/>
      <c r="E865" s="12"/>
      <c r="F865" s="12"/>
      <c r="G865" s="12"/>
      <c r="H865" s="12"/>
    </row>
    <row r="866" spans="3:8" x14ac:dyDescent="0.2">
      <c r="C866" s="16"/>
      <c r="D866" s="12"/>
      <c r="E866" s="12"/>
      <c r="F866" s="12"/>
      <c r="G866" s="12"/>
      <c r="H866" s="12"/>
    </row>
    <row r="867" spans="3:8" x14ac:dyDescent="0.2">
      <c r="C867" s="16"/>
      <c r="D867" s="12"/>
      <c r="E867" s="12"/>
      <c r="F867" s="12"/>
      <c r="G867" s="12"/>
      <c r="H867" s="12"/>
    </row>
    <row r="868" spans="3:8" x14ac:dyDescent="0.2">
      <c r="C868" s="16"/>
      <c r="D868" s="12"/>
      <c r="E868" s="12"/>
      <c r="F868" s="12"/>
      <c r="G868" s="12"/>
      <c r="H868" s="12"/>
    </row>
    <row r="869" spans="3:8" x14ac:dyDescent="0.2">
      <c r="C869" s="16"/>
      <c r="D869" s="12"/>
      <c r="E869" s="12"/>
      <c r="F869" s="12"/>
      <c r="G869" s="12"/>
      <c r="H869" s="12"/>
    </row>
    <row r="870" spans="3:8" x14ac:dyDescent="0.2">
      <c r="C870" s="16"/>
      <c r="D870" s="12"/>
      <c r="E870" s="12"/>
      <c r="F870" s="12"/>
      <c r="G870" s="12"/>
      <c r="H870" s="12"/>
    </row>
    <row r="871" spans="3:8" x14ac:dyDescent="0.2">
      <c r="C871" s="16"/>
      <c r="D871" s="12"/>
      <c r="E871" s="12"/>
      <c r="F871" s="12"/>
      <c r="G871" s="12"/>
      <c r="H871" s="12"/>
    </row>
    <row r="872" spans="3:8" x14ac:dyDescent="0.2">
      <c r="C872" s="16"/>
      <c r="D872" s="12"/>
      <c r="E872" s="12"/>
      <c r="F872" s="12"/>
      <c r="G872" s="12"/>
      <c r="H872" s="12"/>
    </row>
    <row r="873" spans="3:8" x14ac:dyDescent="0.2">
      <c r="C873" s="16"/>
      <c r="D873" s="12"/>
      <c r="E873" s="12"/>
      <c r="F873" s="12"/>
      <c r="G873" s="12"/>
      <c r="H873" s="12"/>
    </row>
    <row r="874" spans="3:8" x14ac:dyDescent="0.2">
      <c r="C874" s="16"/>
      <c r="D874" s="12"/>
      <c r="E874" s="12"/>
      <c r="F874" s="12"/>
      <c r="G874" s="12"/>
      <c r="H874" s="12"/>
    </row>
    <row r="875" spans="3:8" x14ac:dyDescent="0.2">
      <c r="C875" s="16"/>
      <c r="D875" s="12"/>
      <c r="E875" s="12"/>
      <c r="F875" s="12"/>
      <c r="G875" s="12"/>
      <c r="H875" s="12"/>
    </row>
    <row r="876" spans="3:8" x14ac:dyDescent="0.2">
      <c r="C876" s="16"/>
      <c r="D876" s="12"/>
      <c r="E876" s="12"/>
      <c r="F876" s="12"/>
      <c r="G876" s="12"/>
      <c r="H876" s="12"/>
    </row>
    <row r="877" spans="3:8" x14ac:dyDescent="0.2">
      <c r="C877" s="16"/>
      <c r="D877" s="12"/>
      <c r="E877" s="12"/>
      <c r="F877" s="12"/>
      <c r="G877" s="12"/>
      <c r="H877" s="12"/>
    </row>
    <row r="878" spans="3:8" x14ac:dyDescent="0.2">
      <c r="C878" s="16"/>
      <c r="D878" s="12"/>
      <c r="E878" s="12"/>
      <c r="F878" s="12"/>
      <c r="G878" s="12"/>
      <c r="H878" s="12"/>
    </row>
    <row r="879" spans="3:8" x14ac:dyDescent="0.2">
      <c r="C879" s="16"/>
      <c r="D879" s="12"/>
      <c r="E879" s="12"/>
      <c r="F879" s="12"/>
      <c r="G879" s="12"/>
      <c r="H879" s="12"/>
    </row>
    <row r="880" spans="3:8" x14ac:dyDescent="0.2">
      <c r="C880" s="16"/>
      <c r="D880" s="12"/>
      <c r="E880" s="12"/>
      <c r="F880" s="12"/>
      <c r="G880" s="12"/>
      <c r="H880" s="12"/>
    </row>
    <row r="881" spans="3:8" x14ac:dyDescent="0.2">
      <c r="C881" s="16"/>
      <c r="D881" s="12"/>
      <c r="E881" s="12"/>
      <c r="F881" s="12"/>
      <c r="G881" s="12"/>
      <c r="H881" s="12"/>
    </row>
    <row r="882" spans="3:8" x14ac:dyDescent="0.2">
      <c r="C882" s="16"/>
      <c r="D882" s="12"/>
      <c r="E882" s="12"/>
      <c r="F882" s="12"/>
      <c r="G882" s="12"/>
      <c r="H882" s="12"/>
    </row>
    <row r="883" spans="3:8" x14ac:dyDescent="0.2">
      <c r="C883" s="16"/>
      <c r="D883" s="12"/>
      <c r="E883" s="12"/>
      <c r="F883" s="12"/>
      <c r="G883" s="12"/>
      <c r="H883" s="12"/>
    </row>
    <row r="884" spans="3:8" x14ac:dyDescent="0.2">
      <c r="C884" s="16"/>
      <c r="D884" s="12"/>
      <c r="E884" s="12"/>
      <c r="F884" s="12"/>
      <c r="G884" s="12"/>
      <c r="H884" s="12"/>
    </row>
    <row r="885" spans="3:8" x14ac:dyDescent="0.2">
      <c r="C885" s="16"/>
      <c r="D885" s="12"/>
      <c r="E885" s="12"/>
      <c r="F885" s="12"/>
      <c r="G885" s="12"/>
      <c r="H885" s="12"/>
    </row>
    <row r="886" spans="3:8" x14ac:dyDescent="0.2">
      <c r="C886" s="16"/>
      <c r="D886" s="12"/>
      <c r="E886" s="12"/>
      <c r="F886" s="12"/>
      <c r="G886" s="12"/>
      <c r="H886" s="12"/>
    </row>
    <row r="887" spans="3:8" x14ac:dyDescent="0.2">
      <c r="C887" s="16"/>
      <c r="D887" s="12"/>
      <c r="E887" s="12"/>
      <c r="F887" s="12"/>
      <c r="G887" s="12"/>
      <c r="H887" s="12"/>
    </row>
    <row r="888" spans="3:8" x14ac:dyDescent="0.2">
      <c r="C888" s="16"/>
      <c r="D888" s="12"/>
      <c r="E888" s="12"/>
      <c r="F888" s="12"/>
      <c r="G888" s="12"/>
      <c r="H888" s="12"/>
    </row>
    <row r="889" spans="3:8" x14ac:dyDescent="0.2">
      <c r="C889" s="16"/>
      <c r="D889" s="12"/>
      <c r="E889" s="12"/>
      <c r="F889" s="12"/>
      <c r="G889" s="12"/>
      <c r="H889" s="12"/>
    </row>
    <row r="890" spans="3:8" x14ac:dyDescent="0.2">
      <c r="C890" s="16"/>
      <c r="D890" s="12"/>
      <c r="E890" s="12"/>
      <c r="F890" s="12"/>
      <c r="G890" s="12"/>
      <c r="H890" s="12"/>
    </row>
    <row r="891" spans="3:8" x14ac:dyDescent="0.2">
      <c r="C891" s="16"/>
      <c r="D891" s="12"/>
      <c r="E891" s="12"/>
      <c r="F891" s="12"/>
      <c r="G891" s="12"/>
      <c r="H891" s="12"/>
    </row>
    <row r="892" spans="3:8" x14ac:dyDescent="0.2">
      <c r="C892" s="16"/>
      <c r="D892" s="12"/>
      <c r="E892" s="12"/>
      <c r="F892" s="12"/>
      <c r="G892" s="12"/>
      <c r="H892" s="12"/>
    </row>
    <row r="893" spans="3:8" x14ac:dyDescent="0.2">
      <c r="C893" s="16"/>
      <c r="D893" s="12"/>
      <c r="E893" s="12"/>
      <c r="F893" s="12"/>
      <c r="G893" s="12"/>
      <c r="H893" s="12"/>
    </row>
    <row r="894" spans="3:8" x14ac:dyDescent="0.2">
      <c r="C894" s="16"/>
      <c r="D894" s="12"/>
      <c r="E894" s="12"/>
      <c r="F894" s="12"/>
      <c r="G894" s="12"/>
      <c r="H894" s="12"/>
    </row>
    <row r="895" spans="3:8" x14ac:dyDescent="0.2">
      <c r="C895" s="16"/>
      <c r="D895" s="12"/>
      <c r="E895" s="12"/>
      <c r="F895" s="12"/>
      <c r="G895" s="12"/>
      <c r="H895" s="12"/>
    </row>
    <row r="896" spans="3:8" x14ac:dyDescent="0.2">
      <c r="C896" s="16"/>
      <c r="D896" s="12"/>
      <c r="E896" s="12"/>
      <c r="F896" s="12"/>
      <c r="G896" s="12"/>
      <c r="H896" s="12"/>
    </row>
    <row r="897" spans="3:8" x14ac:dyDescent="0.2">
      <c r="C897" s="16"/>
      <c r="D897" s="12"/>
      <c r="E897" s="12"/>
      <c r="F897" s="12"/>
      <c r="G897" s="12"/>
      <c r="H897" s="12"/>
    </row>
    <row r="898" spans="3:8" x14ac:dyDescent="0.2">
      <c r="C898" s="16"/>
      <c r="D898" s="12"/>
      <c r="E898" s="12"/>
      <c r="F898" s="12"/>
      <c r="G898" s="12"/>
      <c r="H898" s="12"/>
    </row>
    <row r="899" spans="3:8" x14ac:dyDescent="0.2">
      <c r="C899" s="16"/>
      <c r="D899" s="12"/>
      <c r="E899" s="12"/>
      <c r="F899" s="12"/>
      <c r="G899" s="12"/>
      <c r="H899" s="12"/>
    </row>
    <row r="900" spans="3:8" x14ac:dyDescent="0.2">
      <c r="C900" s="16"/>
      <c r="D900" s="12"/>
      <c r="E900" s="12"/>
      <c r="F900" s="12"/>
      <c r="G900" s="12"/>
      <c r="H900" s="12"/>
    </row>
    <row r="901" spans="3:8" x14ac:dyDescent="0.2">
      <c r="C901" s="16"/>
      <c r="D901" s="12"/>
      <c r="E901" s="12"/>
      <c r="F901" s="12"/>
      <c r="G901" s="12"/>
      <c r="H901" s="12"/>
    </row>
    <row r="902" spans="3:8" x14ac:dyDescent="0.2">
      <c r="C902" s="16"/>
      <c r="D902" s="12"/>
      <c r="E902" s="12"/>
      <c r="F902" s="12"/>
      <c r="G902" s="12"/>
      <c r="H902" s="12"/>
    </row>
    <row r="903" spans="3:8" x14ac:dyDescent="0.2">
      <c r="C903" s="16"/>
      <c r="D903" s="12"/>
      <c r="E903" s="12"/>
      <c r="F903" s="12"/>
      <c r="G903" s="12"/>
      <c r="H903" s="12"/>
    </row>
    <row r="904" spans="3:8" x14ac:dyDescent="0.2">
      <c r="C904" s="16"/>
      <c r="D904" s="12"/>
      <c r="E904" s="12"/>
      <c r="F904" s="12"/>
      <c r="G904" s="12"/>
      <c r="H904" s="12"/>
    </row>
    <row r="905" spans="3:8" x14ac:dyDescent="0.2">
      <c r="C905" s="16"/>
      <c r="D905" s="12"/>
      <c r="E905" s="12"/>
      <c r="F905" s="12"/>
      <c r="G905" s="12"/>
      <c r="H905" s="12"/>
    </row>
    <row r="906" spans="3:8" x14ac:dyDescent="0.2">
      <c r="C906" s="16"/>
      <c r="D906" s="12"/>
      <c r="E906" s="12"/>
      <c r="F906" s="12"/>
      <c r="G906" s="12"/>
      <c r="H906" s="12"/>
    </row>
    <row r="907" spans="3:8" x14ac:dyDescent="0.2">
      <c r="C907" s="16"/>
      <c r="D907" s="12"/>
      <c r="E907" s="12"/>
      <c r="F907" s="12"/>
      <c r="G907" s="12"/>
      <c r="H907" s="12"/>
    </row>
    <row r="908" spans="3:8" x14ac:dyDescent="0.2">
      <c r="C908" s="16"/>
      <c r="D908" s="12"/>
      <c r="E908" s="12"/>
      <c r="F908" s="12"/>
      <c r="G908" s="12"/>
      <c r="H908" s="12"/>
    </row>
    <row r="909" spans="3:8" x14ac:dyDescent="0.2">
      <c r="C909" s="16"/>
      <c r="D909" s="12"/>
      <c r="E909" s="12"/>
      <c r="F909" s="12"/>
      <c r="G909" s="12"/>
      <c r="H909" s="12"/>
    </row>
    <row r="910" spans="3:8" x14ac:dyDescent="0.2">
      <c r="C910" s="16"/>
      <c r="D910" s="12"/>
      <c r="E910" s="12"/>
      <c r="F910" s="12"/>
      <c r="G910" s="12"/>
      <c r="H910" s="12"/>
    </row>
    <row r="911" spans="3:8" x14ac:dyDescent="0.2">
      <c r="C911" s="16"/>
      <c r="D911" s="12"/>
      <c r="E911" s="12"/>
      <c r="F911" s="12"/>
      <c r="G911" s="12"/>
      <c r="H911" s="12"/>
    </row>
    <row r="912" spans="3:8" x14ac:dyDescent="0.2">
      <c r="C912" s="16"/>
      <c r="D912" s="12"/>
      <c r="E912" s="12"/>
      <c r="F912" s="12"/>
      <c r="G912" s="12"/>
      <c r="H912" s="12"/>
    </row>
    <row r="913" spans="3:8" x14ac:dyDescent="0.2">
      <c r="C913" s="16"/>
      <c r="D913" s="12"/>
      <c r="E913" s="12"/>
      <c r="F913" s="12"/>
      <c r="G913" s="12"/>
      <c r="H913" s="12"/>
    </row>
    <row r="914" spans="3:8" x14ac:dyDescent="0.2">
      <c r="C914" s="16"/>
      <c r="D914" s="12"/>
      <c r="E914" s="12"/>
      <c r="F914" s="12"/>
      <c r="G914" s="12"/>
      <c r="H914" s="12"/>
    </row>
    <row r="915" spans="3:8" x14ac:dyDescent="0.2">
      <c r="C915" s="16"/>
      <c r="D915" s="12"/>
      <c r="E915" s="12"/>
      <c r="F915" s="12"/>
      <c r="G915" s="12"/>
      <c r="H915" s="12"/>
    </row>
    <row r="916" spans="3:8" x14ac:dyDescent="0.2">
      <c r="C916" s="16"/>
      <c r="D916" s="12"/>
      <c r="E916" s="12"/>
      <c r="F916" s="12"/>
      <c r="G916" s="12"/>
      <c r="H916" s="12"/>
    </row>
    <row r="917" spans="3:8" x14ac:dyDescent="0.2">
      <c r="C917" s="16"/>
      <c r="D917" s="12"/>
      <c r="E917" s="12"/>
      <c r="F917" s="12"/>
      <c r="G917" s="12"/>
      <c r="H917" s="12"/>
    </row>
    <row r="918" spans="3:8" x14ac:dyDescent="0.2">
      <c r="C918" s="16"/>
      <c r="D918" s="12"/>
      <c r="E918" s="12"/>
      <c r="F918" s="12"/>
      <c r="G918" s="12"/>
      <c r="H918" s="12"/>
    </row>
    <row r="919" spans="3:8" x14ac:dyDescent="0.2">
      <c r="C919" s="16"/>
      <c r="D919" s="12"/>
      <c r="E919" s="12"/>
      <c r="F919" s="12"/>
      <c r="G919" s="12"/>
      <c r="H919" s="12"/>
    </row>
    <row r="920" spans="3:8" x14ac:dyDescent="0.2">
      <c r="C920" s="16"/>
      <c r="D920" s="12"/>
      <c r="E920" s="12"/>
      <c r="F920" s="12"/>
      <c r="G920" s="12"/>
      <c r="H920" s="12"/>
    </row>
    <row r="921" spans="3:8" x14ac:dyDescent="0.2">
      <c r="C921" s="16"/>
      <c r="D921" s="12"/>
      <c r="E921" s="12"/>
      <c r="F921" s="12"/>
      <c r="G921" s="12"/>
      <c r="H921" s="12"/>
    </row>
    <row r="922" spans="3:8" x14ac:dyDescent="0.2">
      <c r="C922" s="16"/>
      <c r="D922" s="12"/>
      <c r="E922" s="12"/>
      <c r="F922" s="12"/>
      <c r="G922" s="12"/>
      <c r="H922" s="12"/>
    </row>
    <row r="923" spans="3:8" x14ac:dyDescent="0.2">
      <c r="C923" s="16"/>
      <c r="D923" s="12"/>
      <c r="E923" s="12"/>
      <c r="F923" s="12"/>
      <c r="G923" s="12"/>
      <c r="H923" s="12"/>
    </row>
    <row r="924" spans="3:8" x14ac:dyDescent="0.2">
      <c r="C924" s="16"/>
      <c r="D924" s="12"/>
      <c r="E924" s="12"/>
      <c r="F924" s="12"/>
      <c r="G924" s="12"/>
      <c r="H924" s="12"/>
    </row>
    <row r="925" spans="3:8" x14ac:dyDescent="0.2">
      <c r="C925" s="16"/>
      <c r="D925" s="12"/>
      <c r="E925" s="12"/>
      <c r="F925" s="12"/>
      <c r="G925" s="12"/>
      <c r="H925" s="12"/>
    </row>
    <row r="926" spans="3:8" x14ac:dyDescent="0.2">
      <c r="C926" s="16"/>
      <c r="D926" s="12"/>
      <c r="E926" s="12"/>
      <c r="F926" s="12"/>
      <c r="G926" s="12"/>
      <c r="H926" s="12"/>
    </row>
    <row r="927" spans="3:8" x14ac:dyDescent="0.2">
      <c r="C927" s="16"/>
      <c r="D927" s="12"/>
      <c r="E927" s="12"/>
      <c r="F927" s="12"/>
      <c r="G927" s="12"/>
      <c r="H927" s="12"/>
    </row>
    <row r="928" spans="3:8" x14ac:dyDescent="0.2">
      <c r="C928" s="16"/>
      <c r="D928" s="12"/>
      <c r="E928" s="12"/>
      <c r="F928" s="12"/>
      <c r="G928" s="12"/>
      <c r="H928" s="12"/>
    </row>
    <row r="929" spans="3:8" x14ac:dyDescent="0.2">
      <c r="C929" s="16"/>
      <c r="D929" s="12"/>
      <c r="E929" s="12"/>
      <c r="F929" s="12"/>
      <c r="G929" s="12"/>
      <c r="H929" s="12"/>
    </row>
    <row r="930" spans="3:8" x14ac:dyDescent="0.2">
      <c r="C930" s="16"/>
      <c r="D930" s="12"/>
      <c r="E930" s="12"/>
      <c r="F930" s="12"/>
      <c r="G930" s="12"/>
      <c r="H930" s="12"/>
    </row>
    <row r="931" spans="3:8" x14ac:dyDescent="0.2">
      <c r="C931" s="16"/>
      <c r="D931" s="12"/>
      <c r="E931" s="12"/>
      <c r="F931" s="12"/>
      <c r="G931" s="12"/>
      <c r="H931" s="12"/>
    </row>
    <row r="932" spans="3:8" x14ac:dyDescent="0.2">
      <c r="C932" s="16"/>
      <c r="D932" s="12"/>
      <c r="E932" s="12"/>
      <c r="F932" s="12"/>
      <c r="G932" s="12"/>
      <c r="H932" s="12"/>
    </row>
    <row r="933" spans="3:8" x14ac:dyDescent="0.2">
      <c r="C933" s="16"/>
      <c r="D933" s="12"/>
      <c r="E933" s="12"/>
      <c r="F933" s="12"/>
      <c r="G933" s="12"/>
      <c r="H933" s="12"/>
    </row>
    <row r="934" spans="3:8" x14ac:dyDescent="0.2">
      <c r="C934" s="16"/>
      <c r="D934" s="12"/>
      <c r="E934" s="12"/>
      <c r="F934" s="12"/>
      <c r="G934" s="12"/>
      <c r="H934" s="12"/>
    </row>
    <row r="935" spans="3:8" x14ac:dyDescent="0.2">
      <c r="C935" s="16"/>
      <c r="D935" s="12"/>
      <c r="E935" s="12"/>
      <c r="F935" s="12"/>
      <c r="G935" s="12"/>
      <c r="H935" s="12"/>
    </row>
    <row r="936" spans="3:8" x14ac:dyDescent="0.2">
      <c r="C936" s="16"/>
      <c r="D936" s="12"/>
      <c r="E936" s="12"/>
      <c r="F936" s="12"/>
      <c r="G936" s="12"/>
      <c r="H936" s="12"/>
    </row>
    <row r="937" spans="3:8" x14ac:dyDescent="0.2">
      <c r="C937" s="16"/>
      <c r="D937" s="12"/>
      <c r="E937" s="12"/>
      <c r="F937" s="12"/>
      <c r="G937" s="12"/>
      <c r="H937" s="12"/>
    </row>
    <row r="938" spans="3:8" x14ac:dyDescent="0.2">
      <c r="C938" s="16"/>
      <c r="D938" s="12"/>
      <c r="E938" s="12"/>
      <c r="F938" s="12"/>
      <c r="G938" s="12"/>
      <c r="H938" s="12"/>
    </row>
    <row r="939" spans="3:8" x14ac:dyDescent="0.2">
      <c r="C939" s="16"/>
      <c r="D939" s="12"/>
      <c r="E939" s="12"/>
      <c r="F939" s="12"/>
      <c r="G939" s="12"/>
      <c r="H939" s="12"/>
    </row>
    <row r="940" spans="3:8" x14ac:dyDescent="0.2">
      <c r="C940" s="16"/>
      <c r="D940" s="12"/>
      <c r="E940" s="12"/>
      <c r="F940" s="12"/>
      <c r="G940" s="12"/>
      <c r="H940" s="12"/>
    </row>
    <row r="941" spans="3:8" x14ac:dyDescent="0.2">
      <c r="C941" s="16"/>
      <c r="D941" s="12"/>
      <c r="E941" s="12"/>
      <c r="F941" s="12"/>
      <c r="G941" s="12"/>
      <c r="H941" s="12"/>
    </row>
    <row r="942" spans="3:8" x14ac:dyDescent="0.2">
      <c r="C942" s="16"/>
      <c r="D942" s="12"/>
      <c r="E942" s="12"/>
      <c r="F942" s="12"/>
      <c r="G942" s="12"/>
      <c r="H942" s="12"/>
    </row>
    <row r="943" spans="3:8" x14ac:dyDescent="0.2">
      <c r="C943" s="16"/>
      <c r="D943" s="12"/>
      <c r="E943" s="12"/>
      <c r="F943" s="12"/>
      <c r="G943" s="12"/>
      <c r="H943" s="12"/>
    </row>
    <row r="944" spans="3:8" x14ac:dyDescent="0.2">
      <c r="C944" s="16"/>
      <c r="D944" s="12"/>
      <c r="E944" s="12"/>
      <c r="F944" s="12"/>
      <c r="G944" s="12"/>
      <c r="H944" s="12"/>
    </row>
    <row r="945" spans="3:8" x14ac:dyDescent="0.2">
      <c r="C945" s="16"/>
      <c r="D945" s="12"/>
      <c r="E945" s="12"/>
      <c r="F945" s="12"/>
      <c r="G945" s="12"/>
      <c r="H945" s="12"/>
    </row>
    <row r="946" spans="3:8" x14ac:dyDescent="0.2">
      <c r="C946" s="16"/>
      <c r="D946" s="12"/>
      <c r="E946" s="12"/>
      <c r="F946" s="12"/>
      <c r="G946" s="12"/>
      <c r="H946" s="12"/>
    </row>
    <row r="947" spans="3:8" x14ac:dyDescent="0.2">
      <c r="C947" s="16"/>
      <c r="D947" s="12"/>
      <c r="E947" s="12"/>
      <c r="F947" s="12"/>
      <c r="G947" s="12"/>
      <c r="H947" s="12"/>
    </row>
    <row r="948" spans="3:8" x14ac:dyDescent="0.2">
      <c r="C948" s="16"/>
      <c r="D948" s="12"/>
      <c r="E948" s="12"/>
      <c r="F948" s="12"/>
      <c r="G948" s="12"/>
      <c r="H948" s="12"/>
    </row>
    <row r="949" spans="3:8" x14ac:dyDescent="0.2">
      <c r="C949" s="16"/>
      <c r="D949" s="12"/>
      <c r="E949" s="12"/>
      <c r="F949" s="12"/>
      <c r="G949" s="12"/>
      <c r="H949" s="12"/>
    </row>
    <row r="950" spans="3:8" x14ac:dyDescent="0.2">
      <c r="C950" s="16"/>
      <c r="D950" s="12"/>
      <c r="E950" s="12"/>
      <c r="F950" s="12"/>
      <c r="G950" s="12"/>
      <c r="H950" s="12"/>
    </row>
    <row r="951" spans="3:8" x14ac:dyDescent="0.2">
      <c r="C951" s="16"/>
      <c r="D951" s="12"/>
      <c r="E951" s="12"/>
      <c r="F951" s="12"/>
      <c r="G951" s="12"/>
      <c r="H951" s="12"/>
    </row>
    <row r="952" spans="3:8" x14ac:dyDescent="0.2">
      <c r="C952" s="16"/>
      <c r="D952" s="12"/>
      <c r="E952" s="12"/>
      <c r="F952" s="12"/>
      <c r="G952" s="12"/>
      <c r="H952" s="12"/>
    </row>
    <row r="953" spans="3:8" x14ac:dyDescent="0.2">
      <c r="C953" s="16"/>
      <c r="D953" s="12"/>
      <c r="E953" s="12"/>
      <c r="F953" s="12"/>
      <c r="G953" s="12"/>
      <c r="H953" s="12"/>
    </row>
    <row r="954" spans="3:8" x14ac:dyDescent="0.2">
      <c r="C954" s="16"/>
      <c r="D954" s="12"/>
      <c r="E954" s="12"/>
      <c r="F954" s="12"/>
      <c r="G954" s="12"/>
      <c r="H954" s="12"/>
    </row>
    <row r="955" spans="3:8" x14ac:dyDescent="0.2">
      <c r="C955" s="16"/>
      <c r="D955" s="12"/>
      <c r="E955" s="12"/>
      <c r="F955" s="12"/>
      <c r="G955" s="12"/>
      <c r="H955" s="12"/>
    </row>
    <row r="956" spans="3:8" x14ac:dyDescent="0.2">
      <c r="C956" s="16"/>
      <c r="D956" s="12"/>
      <c r="E956" s="12"/>
      <c r="F956" s="12"/>
      <c r="G956" s="12"/>
      <c r="H956" s="12"/>
    </row>
    <row r="957" spans="3:8" x14ac:dyDescent="0.2">
      <c r="C957" s="16"/>
      <c r="D957" s="12"/>
      <c r="E957" s="12"/>
      <c r="F957" s="12"/>
      <c r="G957" s="12"/>
      <c r="H957" s="12"/>
    </row>
    <row r="958" spans="3:8" x14ac:dyDescent="0.2">
      <c r="C958" s="16"/>
      <c r="D958" s="12"/>
      <c r="E958" s="12"/>
      <c r="F958" s="12"/>
      <c r="G958" s="12"/>
      <c r="H958" s="12"/>
    </row>
    <row r="959" spans="3:8" x14ac:dyDescent="0.2">
      <c r="C959" s="16"/>
      <c r="D959" s="12"/>
      <c r="E959" s="12"/>
      <c r="F959" s="12"/>
      <c r="G959" s="12"/>
      <c r="H959" s="12"/>
    </row>
    <row r="960" spans="3:8" x14ac:dyDescent="0.2">
      <c r="C960" s="16"/>
      <c r="D960" s="12"/>
      <c r="E960" s="12"/>
      <c r="F960" s="12"/>
      <c r="G960" s="12"/>
      <c r="H960" s="12"/>
    </row>
    <row r="961" spans="3:8" x14ac:dyDescent="0.2">
      <c r="C961" s="16"/>
      <c r="D961" s="12"/>
      <c r="E961" s="12"/>
      <c r="F961" s="12"/>
      <c r="G961" s="12"/>
      <c r="H961" s="12"/>
    </row>
    <row r="962" spans="3:8" x14ac:dyDescent="0.2">
      <c r="C962" s="16"/>
      <c r="D962" s="12"/>
      <c r="E962" s="12"/>
      <c r="F962" s="12"/>
      <c r="G962" s="12"/>
      <c r="H962" s="12"/>
    </row>
    <row r="963" spans="3:8" x14ac:dyDescent="0.2">
      <c r="C963" s="16"/>
      <c r="D963" s="12"/>
      <c r="E963" s="12"/>
      <c r="F963" s="12"/>
      <c r="G963" s="12"/>
      <c r="H963" s="12"/>
    </row>
    <row r="964" spans="3:8" x14ac:dyDescent="0.2">
      <c r="C964" s="16"/>
      <c r="D964" s="12"/>
      <c r="E964" s="12"/>
      <c r="F964" s="12"/>
      <c r="G964" s="12"/>
      <c r="H964" s="12"/>
    </row>
    <row r="965" spans="3:8" x14ac:dyDescent="0.2">
      <c r="C965" s="16"/>
      <c r="D965" s="12"/>
      <c r="E965" s="12"/>
      <c r="F965" s="12"/>
      <c r="G965" s="12"/>
      <c r="H965" s="12"/>
    </row>
    <row r="966" spans="3:8" x14ac:dyDescent="0.2">
      <c r="C966" s="16"/>
      <c r="D966" s="12"/>
      <c r="E966" s="12"/>
      <c r="F966" s="12"/>
      <c r="G966" s="12"/>
      <c r="H966" s="12"/>
    </row>
    <row r="967" spans="3:8" x14ac:dyDescent="0.2">
      <c r="C967" s="16"/>
      <c r="D967" s="12"/>
      <c r="E967" s="12"/>
      <c r="F967" s="12"/>
      <c r="G967" s="12"/>
      <c r="H967" s="12"/>
    </row>
    <row r="968" spans="3:8" x14ac:dyDescent="0.2">
      <c r="C968" s="16"/>
      <c r="D968" s="12"/>
      <c r="E968" s="12"/>
      <c r="F968" s="12"/>
      <c r="G968" s="12"/>
      <c r="H968" s="12"/>
    </row>
    <row r="969" spans="3:8" x14ac:dyDescent="0.2">
      <c r="C969" s="16"/>
      <c r="D969" s="12"/>
      <c r="E969" s="12"/>
      <c r="F969" s="12"/>
      <c r="G969" s="12"/>
      <c r="H969" s="12"/>
    </row>
    <row r="970" spans="3:8" x14ac:dyDescent="0.2">
      <c r="C970" s="16"/>
      <c r="D970" s="12"/>
      <c r="E970" s="12"/>
      <c r="F970" s="12"/>
      <c r="G970" s="12"/>
      <c r="H970" s="12"/>
    </row>
    <row r="971" spans="3:8" x14ac:dyDescent="0.2">
      <c r="C971" s="16"/>
      <c r="D971" s="12"/>
      <c r="E971" s="12"/>
      <c r="F971" s="12"/>
      <c r="G971" s="12"/>
      <c r="H971" s="12"/>
    </row>
    <row r="972" spans="3:8" x14ac:dyDescent="0.2">
      <c r="C972" s="16"/>
      <c r="D972" s="12"/>
      <c r="E972" s="12"/>
      <c r="F972" s="12"/>
      <c r="G972" s="12"/>
      <c r="H972" s="12"/>
    </row>
    <row r="973" spans="3:8" x14ac:dyDescent="0.2">
      <c r="C973" s="16"/>
      <c r="D973" s="12"/>
      <c r="E973" s="12"/>
      <c r="F973" s="12"/>
      <c r="G973" s="12"/>
      <c r="H973" s="12"/>
    </row>
    <row r="974" spans="3:8" x14ac:dyDescent="0.2">
      <c r="C974" s="16"/>
      <c r="D974" s="12"/>
      <c r="E974" s="12"/>
      <c r="F974" s="12"/>
      <c r="G974" s="12"/>
      <c r="H974" s="12"/>
    </row>
    <row r="975" spans="3:8" x14ac:dyDescent="0.2">
      <c r="C975" s="16"/>
      <c r="D975" s="12"/>
      <c r="E975" s="12"/>
      <c r="F975" s="12"/>
      <c r="G975" s="12"/>
      <c r="H975" s="12"/>
    </row>
    <row r="976" spans="3:8" x14ac:dyDescent="0.2">
      <c r="C976" s="16"/>
      <c r="D976" s="12"/>
      <c r="E976" s="12"/>
      <c r="F976" s="12"/>
      <c r="G976" s="12"/>
      <c r="H976" s="12"/>
    </row>
    <row r="977" spans="3:8" x14ac:dyDescent="0.2">
      <c r="C977" s="16"/>
      <c r="D977" s="12"/>
      <c r="E977" s="12"/>
      <c r="F977" s="12"/>
      <c r="G977" s="12"/>
      <c r="H977" s="12"/>
    </row>
    <row r="978" spans="3:8" x14ac:dyDescent="0.2">
      <c r="C978" s="16"/>
      <c r="D978" s="12"/>
      <c r="E978" s="12"/>
      <c r="F978" s="12"/>
      <c r="G978" s="12"/>
      <c r="H978" s="12"/>
    </row>
    <row r="979" spans="3:8" x14ac:dyDescent="0.2">
      <c r="C979" s="16"/>
      <c r="D979" s="12"/>
      <c r="E979" s="12"/>
      <c r="F979" s="12"/>
      <c r="G979" s="12"/>
      <c r="H979" s="12"/>
    </row>
    <row r="980" spans="3:8" x14ac:dyDescent="0.2">
      <c r="C980" s="16"/>
      <c r="D980" s="12"/>
      <c r="E980" s="12"/>
      <c r="F980" s="12"/>
      <c r="G980" s="12"/>
      <c r="H980" s="12"/>
    </row>
    <row r="981" spans="3:8" x14ac:dyDescent="0.2">
      <c r="C981" s="16"/>
      <c r="D981" s="12"/>
      <c r="E981" s="12"/>
      <c r="F981" s="12"/>
      <c r="G981" s="12"/>
      <c r="H981" s="12"/>
    </row>
    <row r="982" spans="3:8" x14ac:dyDescent="0.2">
      <c r="C982" s="16"/>
      <c r="D982" s="12"/>
      <c r="E982" s="12"/>
      <c r="F982" s="12"/>
      <c r="G982" s="12"/>
      <c r="H982" s="12"/>
    </row>
    <row r="983" spans="3:8" x14ac:dyDescent="0.2">
      <c r="C983" s="16"/>
      <c r="D983" s="12"/>
      <c r="E983" s="12"/>
      <c r="F983" s="12"/>
      <c r="G983" s="12"/>
      <c r="H983" s="12"/>
    </row>
    <row r="984" spans="3:8" x14ac:dyDescent="0.2">
      <c r="C984" s="16"/>
      <c r="D984" s="12"/>
      <c r="E984" s="12"/>
      <c r="F984" s="12"/>
      <c r="G984" s="12"/>
      <c r="H984" s="12"/>
    </row>
    <row r="985" spans="3:8" x14ac:dyDescent="0.2">
      <c r="C985" s="16"/>
      <c r="D985" s="12"/>
      <c r="E985" s="12"/>
      <c r="F985" s="12"/>
      <c r="G985" s="12"/>
      <c r="H985" s="12"/>
    </row>
    <row r="986" spans="3:8" x14ac:dyDescent="0.2">
      <c r="C986" s="16"/>
      <c r="D986" s="12"/>
      <c r="E986" s="12"/>
      <c r="F986" s="12"/>
      <c r="G986" s="12"/>
      <c r="H986" s="12"/>
    </row>
    <row r="987" spans="3:8" x14ac:dyDescent="0.2">
      <c r="C987" s="16"/>
      <c r="D987" s="12"/>
      <c r="E987" s="12"/>
      <c r="F987" s="12"/>
      <c r="G987" s="12"/>
      <c r="H987" s="12"/>
    </row>
    <row r="988" spans="3:8" x14ac:dyDescent="0.2">
      <c r="C988" s="16"/>
      <c r="D988" s="12"/>
      <c r="E988" s="12"/>
      <c r="F988" s="12"/>
      <c r="G988" s="12"/>
      <c r="H988" s="12"/>
    </row>
    <row r="989" spans="3:8" x14ac:dyDescent="0.2">
      <c r="C989" s="16"/>
      <c r="D989" s="12"/>
      <c r="E989" s="12"/>
      <c r="F989" s="12"/>
      <c r="G989" s="12"/>
      <c r="H989" s="12"/>
    </row>
    <row r="990" spans="3:8" x14ac:dyDescent="0.2">
      <c r="C990" s="16"/>
      <c r="D990" s="12"/>
      <c r="E990" s="12"/>
      <c r="F990" s="12"/>
      <c r="G990" s="12"/>
      <c r="H990" s="12"/>
    </row>
    <row r="991" spans="3:8" x14ac:dyDescent="0.2">
      <c r="C991" s="16"/>
      <c r="D991" s="12"/>
      <c r="E991" s="12"/>
      <c r="F991" s="12"/>
      <c r="G991" s="12"/>
      <c r="H991" s="12"/>
    </row>
    <row r="992" spans="3:8" x14ac:dyDescent="0.2">
      <c r="C992" s="16"/>
      <c r="D992" s="12"/>
      <c r="E992" s="12"/>
      <c r="F992" s="12"/>
      <c r="G992" s="12"/>
      <c r="H992" s="12"/>
    </row>
    <row r="993" spans="3:8" x14ac:dyDescent="0.2">
      <c r="C993" s="16"/>
      <c r="D993" s="12"/>
      <c r="E993" s="12"/>
      <c r="F993" s="12"/>
      <c r="G993" s="12"/>
      <c r="H993" s="12"/>
    </row>
    <row r="994" spans="3:8" x14ac:dyDescent="0.2">
      <c r="C994" s="16"/>
      <c r="D994" s="12"/>
      <c r="E994" s="12"/>
      <c r="F994" s="12"/>
      <c r="G994" s="12"/>
      <c r="H994" s="12"/>
    </row>
    <row r="995" spans="3:8" x14ac:dyDescent="0.2">
      <c r="C995" s="16"/>
      <c r="D995" s="12"/>
      <c r="E995" s="12"/>
      <c r="F995" s="12"/>
      <c r="G995" s="12"/>
      <c r="H995" s="12"/>
    </row>
    <row r="996" spans="3:8" x14ac:dyDescent="0.2">
      <c r="C996" s="16"/>
      <c r="D996" s="12"/>
      <c r="E996" s="12"/>
      <c r="F996" s="12"/>
      <c r="G996" s="12"/>
      <c r="H996" s="12"/>
    </row>
    <row r="997" spans="3:8" x14ac:dyDescent="0.2">
      <c r="C997" s="16"/>
      <c r="D997" s="12"/>
      <c r="E997" s="12"/>
      <c r="F997" s="12"/>
      <c r="G997" s="12"/>
      <c r="H997" s="12"/>
    </row>
    <row r="998" spans="3:8" x14ac:dyDescent="0.2">
      <c r="C998" s="16"/>
      <c r="D998" s="12"/>
      <c r="E998" s="12"/>
      <c r="F998" s="12"/>
      <c r="G998" s="12"/>
      <c r="H998" s="12"/>
    </row>
    <row r="999" spans="3:8" x14ac:dyDescent="0.2">
      <c r="C999" s="16"/>
      <c r="D999" s="12"/>
      <c r="E999" s="12"/>
      <c r="F999" s="12"/>
      <c r="G999" s="12"/>
      <c r="H999" s="12"/>
    </row>
    <row r="1000" spans="3:8" x14ac:dyDescent="0.2">
      <c r="C1000" s="16"/>
      <c r="D1000" s="12"/>
      <c r="E1000" s="12"/>
      <c r="F1000" s="12"/>
      <c r="G1000" s="12"/>
      <c r="H1000" s="12"/>
    </row>
    <row r="1001" spans="3:8" x14ac:dyDescent="0.2">
      <c r="C1001" s="16"/>
      <c r="D1001" s="12"/>
      <c r="E1001" s="12"/>
      <c r="F1001" s="12"/>
      <c r="G1001" s="12"/>
      <c r="H1001" s="12"/>
    </row>
    <row r="1002" spans="3:8" x14ac:dyDescent="0.2">
      <c r="C1002" s="16"/>
      <c r="D1002" s="12"/>
      <c r="E1002" s="12"/>
      <c r="F1002" s="12"/>
      <c r="G1002" s="12"/>
      <c r="H1002" s="12"/>
    </row>
    <row r="1003" spans="3:8" x14ac:dyDescent="0.2">
      <c r="C1003" s="16"/>
      <c r="D1003" s="12"/>
      <c r="E1003" s="12"/>
      <c r="F1003" s="12"/>
      <c r="G1003" s="12"/>
      <c r="H1003" s="12"/>
    </row>
    <row r="1004" spans="3:8" x14ac:dyDescent="0.2">
      <c r="C1004" s="16"/>
      <c r="D1004" s="12"/>
      <c r="E1004" s="12"/>
      <c r="F1004" s="12"/>
      <c r="G1004" s="12"/>
      <c r="H1004" s="12"/>
    </row>
    <row r="1005" spans="3:8" x14ac:dyDescent="0.2">
      <c r="C1005" s="16"/>
      <c r="D1005" s="12"/>
      <c r="E1005" s="12"/>
      <c r="F1005" s="12"/>
      <c r="G1005" s="12"/>
      <c r="H1005" s="12"/>
    </row>
    <row r="1006" spans="3:8" x14ac:dyDescent="0.2">
      <c r="C1006" s="16"/>
      <c r="D1006" s="12"/>
      <c r="E1006" s="12"/>
      <c r="F1006" s="12"/>
      <c r="G1006" s="12"/>
      <c r="H1006" s="12"/>
    </row>
    <row r="1007" spans="3:8" x14ac:dyDescent="0.2">
      <c r="C1007" s="16"/>
      <c r="D1007" s="12"/>
      <c r="E1007" s="12"/>
      <c r="F1007" s="12"/>
      <c r="G1007" s="12"/>
      <c r="H1007" s="12"/>
    </row>
    <row r="1008" spans="3:8" x14ac:dyDescent="0.2">
      <c r="C1008" s="16"/>
      <c r="D1008" s="12"/>
      <c r="E1008" s="12"/>
      <c r="F1008" s="12"/>
      <c r="G1008" s="12"/>
      <c r="H1008" s="12"/>
    </row>
    <row r="1009" spans="3:8" x14ac:dyDescent="0.2">
      <c r="C1009" s="16"/>
      <c r="D1009" s="12"/>
      <c r="E1009" s="12"/>
      <c r="F1009" s="12"/>
      <c r="G1009" s="12"/>
      <c r="H1009" s="12"/>
    </row>
    <row r="1010" spans="3:8" x14ac:dyDescent="0.2">
      <c r="C1010" s="16"/>
      <c r="D1010" s="12"/>
      <c r="E1010" s="12"/>
      <c r="F1010" s="12"/>
      <c r="G1010" s="12"/>
      <c r="H1010" s="12"/>
    </row>
    <row r="1011" spans="3:8" x14ac:dyDescent="0.2">
      <c r="C1011" s="16"/>
      <c r="D1011" s="12"/>
      <c r="E1011" s="12"/>
      <c r="F1011" s="12"/>
      <c r="G1011" s="12"/>
      <c r="H1011" s="12"/>
    </row>
    <row r="1012" spans="3:8" x14ac:dyDescent="0.2">
      <c r="C1012" s="16"/>
      <c r="D1012" s="12"/>
      <c r="E1012" s="12"/>
      <c r="F1012" s="12"/>
      <c r="G1012" s="12"/>
      <c r="H1012" s="12"/>
    </row>
    <row r="1013" spans="3:8" x14ac:dyDescent="0.2">
      <c r="C1013" s="16"/>
      <c r="D1013" s="12"/>
      <c r="E1013" s="12"/>
      <c r="F1013" s="12"/>
      <c r="G1013" s="12"/>
      <c r="H1013" s="12"/>
    </row>
    <row r="1014" spans="3:8" x14ac:dyDescent="0.2">
      <c r="C1014" s="16"/>
      <c r="D1014" s="12"/>
      <c r="E1014" s="12"/>
      <c r="F1014" s="12"/>
      <c r="G1014" s="12"/>
      <c r="H1014" s="12"/>
    </row>
    <row r="1015" spans="3:8" x14ac:dyDescent="0.2">
      <c r="C1015" s="16"/>
      <c r="D1015" s="12"/>
      <c r="E1015" s="12"/>
      <c r="F1015" s="12"/>
      <c r="G1015" s="12"/>
      <c r="H1015" s="12"/>
    </row>
    <row r="1016" spans="3:8" x14ac:dyDescent="0.2">
      <c r="C1016" s="16"/>
      <c r="D1016" s="12"/>
      <c r="E1016" s="12"/>
      <c r="F1016" s="12"/>
      <c r="G1016" s="12"/>
      <c r="H1016" s="12"/>
    </row>
    <row r="1017" spans="3:8" x14ac:dyDescent="0.2">
      <c r="C1017" s="16"/>
      <c r="D1017" s="12"/>
      <c r="E1017" s="12"/>
      <c r="F1017" s="12"/>
      <c r="G1017" s="12"/>
      <c r="H1017" s="12"/>
    </row>
    <row r="1018" spans="3:8" x14ac:dyDescent="0.2">
      <c r="C1018" s="16"/>
      <c r="D1018" s="12"/>
      <c r="E1018" s="12"/>
      <c r="F1018" s="12"/>
      <c r="G1018" s="12"/>
      <c r="H1018" s="12"/>
    </row>
    <row r="1019" spans="3:8" x14ac:dyDescent="0.2">
      <c r="C1019" s="16"/>
      <c r="D1019" s="12"/>
      <c r="E1019" s="12"/>
      <c r="F1019" s="12"/>
      <c r="G1019" s="12"/>
      <c r="H1019" s="12"/>
    </row>
    <row r="1020" spans="3:8" x14ac:dyDescent="0.2">
      <c r="C1020" s="16"/>
      <c r="D1020" s="12"/>
      <c r="E1020" s="12"/>
      <c r="F1020" s="12"/>
      <c r="G1020" s="12"/>
      <c r="H1020" s="12"/>
    </row>
    <row r="1021" spans="3:8" x14ac:dyDescent="0.2">
      <c r="C1021" s="16"/>
      <c r="D1021" s="12"/>
      <c r="E1021" s="12"/>
      <c r="F1021" s="12"/>
      <c r="G1021" s="12"/>
      <c r="H1021" s="12"/>
    </row>
    <row r="1022" spans="3:8" x14ac:dyDescent="0.2">
      <c r="C1022" s="16"/>
      <c r="D1022" s="12"/>
      <c r="E1022" s="12"/>
      <c r="F1022" s="12"/>
      <c r="G1022" s="12"/>
      <c r="H1022" s="12"/>
    </row>
    <row r="1023" spans="3:8" x14ac:dyDescent="0.2">
      <c r="C1023" s="16"/>
      <c r="D1023" s="12"/>
      <c r="E1023" s="12"/>
      <c r="F1023" s="12"/>
      <c r="G1023" s="12"/>
      <c r="H1023" s="12"/>
    </row>
    <row r="1024" spans="3:8" x14ac:dyDescent="0.2">
      <c r="C1024" s="16"/>
      <c r="D1024" s="12"/>
      <c r="E1024" s="12"/>
      <c r="F1024" s="12"/>
      <c r="G1024" s="12"/>
      <c r="H1024" s="12"/>
    </row>
    <row r="1025" spans="3:8" x14ac:dyDescent="0.2">
      <c r="C1025" s="16"/>
      <c r="D1025" s="12"/>
      <c r="E1025" s="12"/>
      <c r="F1025" s="12"/>
      <c r="G1025" s="12"/>
      <c r="H1025" s="12"/>
    </row>
    <row r="1026" spans="3:8" x14ac:dyDescent="0.2">
      <c r="C1026" s="16"/>
      <c r="D1026" s="12"/>
      <c r="E1026" s="12"/>
      <c r="F1026" s="12"/>
      <c r="G1026" s="12"/>
      <c r="H1026" s="12"/>
    </row>
    <row r="1027" spans="3:8" x14ac:dyDescent="0.2">
      <c r="C1027" s="16"/>
      <c r="D1027" s="12"/>
      <c r="E1027" s="12"/>
      <c r="F1027" s="12"/>
      <c r="G1027" s="12"/>
      <c r="H1027" s="12"/>
    </row>
    <row r="1028" spans="3:8" x14ac:dyDescent="0.2">
      <c r="C1028" s="16"/>
      <c r="D1028" s="12"/>
      <c r="E1028" s="12"/>
      <c r="F1028" s="12"/>
      <c r="G1028" s="12"/>
      <c r="H1028" s="12"/>
    </row>
    <row r="1029" spans="3:8" x14ac:dyDescent="0.2">
      <c r="C1029" s="16"/>
      <c r="D1029" s="12"/>
      <c r="E1029" s="12"/>
      <c r="F1029" s="12"/>
      <c r="G1029" s="12"/>
      <c r="H1029" s="12"/>
    </row>
    <row r="1030" spans="3:8" x14ac:dyDescent="0.2">
      <c r="C1030" s="16"/>
      <c r="D1030" s="12"/>
      <c r="E1030" s="12"/>
      <c r="F1030" s="12"/>
      <c r="G1030" s="12"/>
      <c r="H1030" s="12"/>
    </row>
    <row r="1031" spans="3:8" x14ac:dyDescent="0.2">
      <c r="C1031" s="16"/>
      <c r="D1031" s="12"/>
      <c r="E1031" s="12"/>
      <c r="F1031" s="12"/>
      <c r="G1031" s="12"/>
      <c r="H1031" s="12"/>
    </row>
    <row r="1032" spans="3:8" x14ac:dyDescent="0.2">
      <c r="C1032" s="16"/>
      <c r="D1032" s="12"/>
      <c r="E1032" s="12"/>
      <c r="F1032" s="12"/>
      <c r="G1032" s="12"/>
      <c r="H1032" s="12"/>
    </row>
    <row r="1033" spans="3:8" x14ac:dyDescent="0.2">
      <c r="C1033" s="16"/>
      <c r="D1033" s="12"/>
      <c r="E1033" s="12"/>
      <c r="F1033" s="12"/>
      <c r="G1033" s="12"/>
      <c r="H1033" s="12"/>
    </row>
    <row r="1034" spans="3:8" x14ac:dyDescent="0.2">
      <c r="C1034" s="16"/>
      <c r="D1034" s="12"/>
      <c r="E1034" s="12"/>
      <c r="F1034" s="12"/>
      <c r="G1034" s="12"/>
      <c r="H1034" s="12"/>
    </row>
    <row r="1035" spans="3:8" x14ac:dyDescent="0.2">
      <c r="C1035" s="16"/>
      <c r="D1035" s="12"/>
      <c r="E1035" s="12"/>
      <c r="F1035" s="12"/>
      <c r="G1035" s="12"/>
      <c r="H1035" s="12"/>
    </row>
    <row r="1036" spans="3:8" x14ac:dyDescent="0.2">
      <c r="C1036" s="16"/>
      <c r="D1036" s="12"/>
      <c r="E1036" s="12"/>
      <c r="F1036" s="12"/>
      <c r="G1036" s="12"/>
      <c r="H1036" s="12"/>
    </row>
    <row r="1037" spans="3:8" x14ac:dyDescent="0.2">
      <c r="C1037" s="16"/>
      <c r="D1037" s="12"/>
      <c r="E1037" s="12"/>
      <c r="F1037" s="12"/>
      <c r="G1037" s="12"/>
      <c r="H1037" s="12"/>
    </row>
    <row r="1038" spans="3:8" x14ac:dyDescent="0.2">
      <c r="C1038" s="16"/>
      <c r="D1038" s="12"/>
      <c r="E1038" s="12"/>
      <c r="F1038" s="12"/>
      <c r="G1038" s="12"/>
      <c r="H1038" s="12"/>
    </row>
    <row r="1039" spans="3:8" x14ac:dyDescent="0.2">
      <c r="C1039" s="16"/>
      <c r="D1039" s="12"/>
      <c r="E1039" s="12"/>
      <c r="F1039" s="12"/>
      <c r="G1039" s="12"/>
      <c r="H1039" s="12"/>
    </row>
    <row r="1040" spans="3:8" x14ac:dyDescent="0.2">
      <c r="C1040" s="16"/>
      <c r="D1040" s="12"/>
      <c r="E1040" s="12"/>
      <c r="F1040" s="12"/>
      <c r="G1040" s="12"/>
      <c r="H1040" s="12"/>
    </row>
    <row r="1041" spans="3:8" x14ac:dyDescent="0.2">
      <c r="C1041" s="16"/>
      <c r="D1041" s="12"/>
      <c r="E1041" s="12"/>
      <c r="F1041" s="12"/>
      <c r="G1041" s="12"/>
      <c r="H1041" s="12"/>
    </row>
    <row r="1042" spans="3:8" x14ac:dyDescent="0.2">
      <c r="C1042" s="16"/>
      <c r="D1042" s="12"/>
      <c r="E1042" s="12"/>
      <c r="F1042" s="12"/>
      <c r="G1042" s="12"/>
      <c r="H1042" s="12"/>
    </row>
    <row r="1043" spans="3:8" x14ac:dyDescent="0.2">
      <c r="C1043" s="16"/>
      <c r="D1043" s="12"/>
      <c r="E1043" s="12"/>
      <c r="F1043" s="12"/>
      <c r="G1043" s="12"/>
      <c r="H1043" s="12"/>
    </row>
    <row r="1044" spans="3:8" x14ac:dyDescent="0.2">
      <c r="C1044" s="16"/>
      <c r="D1044" s="12"/>
      <c r="E1044" s="12"/>
      <c r="F1044" s="12"/>
      <c r="G1044" s="12"/>
      <c r="H1044" s="12"/>
    </row>
    <row r="1045" spans="3:8" x14ac:dyDescent="0.2">
      <c r="C1045" s="16"/>
      <c r="D1045" s="12"/>
      <c r="E1045" s="12"/>
      <c r="F1045" s="12"/>
      <c r="G1045" s="12"/>
      <c r="H1045" s="12"/>
    </row>
    <row r="1046" spans="3:8" x14ac:dyDescent="0.2">
      <c r="C1046" s="16"/>
      <c r="D1046" s="12"/>
      <c r="E1046" s="12"/>
      <c r="F1046" s="12"/>
      <c r="G1046" s="12"/>
      <c r="H1046" s="12"/>
    </row>
    <row r="1047" spans="3:8" x14ac:dyDescent="0.2">
      <c r="C1047" s="16"/>
      <c r="D1047" s="12"/>
      <c r="E1047" s="12"/>
      <c r="F1047" s="12"/>
      <c r="G1047" s="12"/>
      <c r="H1047" s="12"/>
    </row>
    <row r="1048" spans="3:8" x14ac:dyDescent="0.2">
      <c r="C1048" s="16"/>
      <c r="D1048" s="12"/>
      <c r="E1048" s="12"/>
      <c r="F1048" s="12"/>
      <c r="G1048" s="12"/>
      <c r="H1048" s="12"/>
    </row>
    <row r="1049" spans="3:8" x14ac:dyDescent="0.2">
      <c r="C1049" s="16"/>
      <c r="D1049" s="12"/>
      <c r="E1049" s="12"/>
      <c r="F1049" s="12"/>
      <c r="G1049" s="12"/>
      <c r="H1049" s="12"/>
    </row>
    <row r="1050" spans="3:8" x14ac:dyDescent="0.2">
      <c r="C1050" s="16"/>
      <c r="D1050" s="12"/>
      <c r="E1050" s="12"/>
      <c r="F1050" s="12"/>
      <c r="G1050" s="12"/>
      <c r="H1050" s="12"/>
    </row>
    <row r="1051" spans="3:8" x14ac:dyDescent="0.2">
      <c r="C1051" s="16"/>
      <c r="D1051" s="12"/>
      <c r="E1051" s="12"/>
      <c r="F1051" s="12"/>
      <c r="G1051" s="12"/>
      <c r="H1051" s="12"/>
    </row>
    <row r="1052" spans="3:8" x14ac:dyDescent="0.2">
      <c r="C1052" s="16"/>
      <c r="D1052" s="12"/>
      <c r="E1052" s="12"/>
      <c r="F1052" s="12"/>
      <c r="G1052" s="12"/>
      <c r="H1052" s="12"/>
    </row>
    <row r="1053" spans="3:8" x14ac:dyDescent="0.2">
      <c r="C1053" s="16"/>
      <c r="D1053" s="12"/>
      <c r="E1053" s="12"/>
      <c r="F1053" s="12"/>
      <c r="G1053" s="12"/>
      <c r="H1053" s="12"/>
    </row>
    <row r="1054" spans="3:8" x14ac:dyDescent="0.2">
      <c r="C1054" s="16"/>
      <c r="D1054" s="12"/>
      <c r="E1054" s="12"/>
      <c r="F1054" s="12"/>
      <c r="G1054" s="12"/>
      <c r="H1054" s="12"/>
    </row>
    <row r="1055" spans="3:8" x14ac:dyDescent="0.2">
      <c r="C1055" s="16"/>
      <c r="D1055" s="12"/>
      <c r="E1055" s="12"/>
      <c r="F1055" s="12"/>
      <c r="G1055" s="12"/>
      <c r="H1055" s="12"/>
    </row>
    <row r="1056" spans="3:8" x14ac:dyDescent="0.2">
      <c r="C1056" s="16"/>
      <c r="D1056" s="12"/>
      <c r="E1056" s="12"/>
      <c r="F1056" s="12"/>
      <c r="G1056" s="12"/>
      <c r="H1056" s="12"/>
    </row>
    <row r="1057" spans="3:8" x14ac:dyDescent="0.2">
      <c r="C1057" s="16"/>
      <c r="D1057" s="12"/>
      <c r="E1057" s="12"/>
      <c r="F1057" s="12"/>
      <c r="G1057" s="12"/>
      <c r="H1057" s="12"/>
    </row>
    <row r="1058" spans="3:8" x14ac:dyDescent="0.2">
      <c r="C1058" s="16"/>
      <c r="D1058" s="12"/>
      <c r="E1058" s="12"/>
      <c r="F1058" s="12"/>
      <c r="G1058" s="12"/>
      <c r="H1058" s="12"/>
    </row>
    <row r="1059" spans="3:8" x14ac:dyDescent="0.2">
      <c r="C1059" s="16"/>
      <c r="D1059" s="12"/>
      <c r="E1059" s="12"/>
      <c r="F1059" s="12"/>
      <c r="G1059" s="12"/>
      <c r="H1059" s="12"/>
    </row>
    <row r="1060" spans="3:8" x14ac:dyDescent="0.2">
      <c r="C1060" s="16"/>
      <c r="D1060" s="12"/>
      <c r="E1060" s="12"/>
      <c r="F1060" s="12"/>
      <c r="G1060" s="12"/>
      <c r="H1060" s="12"/>
    </row>
    <row r="1061" spans="3:8" x14ac:dyDescent="0.2">
      <c r="C1061" s="16"/>
      <c r="D1061" s="12"/>
      <c r="E1061" s="12"/>
      <c r="F1061" s="12"/>
      <c r="G1061" s="12"/>
      <c r="H1061" s="12"/>
    </row>
    <row r="1062" spans="3:8" x14ac:dyDescent="0.2">
      <c r="C1062" s="16"/>
      <c r="D1062" s="12"/>
      <c r="E1062" s="12"/>
      <c r="F1062" s="12"/>
      <c r="G1062" s="12"/>
      <c r="H1062" s="12"/>
    </row>
    <row r="1063" spans="3:8" x14ac:dyDescent="0.2">
      <c r="C1063" s="16"/>
      <c r="D1063" s="12"/>
      <c r="E1063" s="12"/>
      <c r="F1063" s="12"/>
      <c r="G1063" s="12"/>
      <c r="H1063" s="12"/>
    </row>
    <row r="1064" spans="3:8" x14ac:dyDescent="0.2">
      <c r="C1064" s="16"/>
      <c r="D1064" s="12"/>
      <c r="E1064" s="12"/>
      <c r="F1064" s="12"/>
      <c r="G1064" s="12"/>
      <c r="H1064" s="12"/>
    </row>
    <row r="1065" spans="3:8" x14ac:dyDescent="0.2">
      <c r="C1065" s="16"/>
      <c r="D1065" s="12"/>
      <c r="E1065" s="12"/>
      <c r="F1065" s="12"/>
      <c r="G1065" s="12"/>
      <c r="H1065" s="12"/>
    </row>
    <row r="1066" spans="3:8" x14ac:dyDescent="0.2">
      <c r="C1066" s="16"/>
      <c r="D1066" s="12"/>
      <c r="E1066" s="12"/>
      <c r="F1066" s="12"/>
      <c r="G1066" s="12"/>
      <c r="H1066" s="12"/>
    </row>
    <row r="1067" spans="3:8" x14ac:dyDescent="0.2">
      <c r="C1067" s="16"/>
      <c r="D1067" s="12"/>
      <c r="E1067" s="12"/>
      <c r="F1067" s="12"/>
      <c r="G1067" s="12"/>
      <c r="H1067" s="12"/>
    </row>
    <row r="1068" spans="3:8" x14ac:dyDescent="0.2">
      <c r="C1068" s="16"/>
      <c r="D1068" s="12"/>
      <c r="E1068" s="12"/>
      <c r="F1068" s="12"/>
      <c r="G1068" s="12"/>
      <c r="H1068" s="12"/>
    </row>
    <row r="1069" spans="3:8" x14ac:dyDescent="0.2">
      <c r="C1069" s="16"/>
      <c r="D1069" s="12"/>
      <c r="E1069" s="12"/>
      <c r="F1069" s="12"/>
      <c r="G1069" s="12"/>
      <c r="H1069" s="12"/>
    </row>
    <row r="1070" spans="3:8" x14ac:dyDescent="0.2">
      <c r="C1070" s="16"/>
      <c r="D1070" s="12"/>
      <c r="E1070" s="12"/>
      <c r="F1070" s="12"/>
      <c r="G1070" s="12"/>
      <c r="H1070" s="12"/>
    </row>
    <row r="1071" spans="3:8" x14ac:dyDescent="0.2">
      <c r="C1071" s="16"/>
      <c r="D1071" s="12"/>
      <c r="E1071" s="12"/>
      <c r="F1071" s="12"/>
      <c r="G1071" s="12"/>
      <c r="H1071" s="12"/>
    </row>
    <row r="1072" spans="3:8" x14ac:dyDescent="0.2">
      <c r="C1072" s="16"/>
      <c r="D1072" s="12"/>
      <c r="E1072" s="12"/>
      <c r="F1072" s="12"/>
      <c r="G1072" s="12"/>
      <c r="H1072" s="12"/>
    </row>
    <row r="1073" spans="3:8" x14ac:dyDescent="0.2">
      <c r="C1073" s="16"/>
      <c r="D1073" s="12"/>
      <c r="E1073" s="12"/>
      <c r="F1073" s="12"/>
      <c r="G1073" s="12"/>
      <c r="H1073" s="12"/>
    </row>
    <row r="1074" spans="3:8" x14ac:dyDescent="0.2">
      <c r="C1074" s="16"/>
      <c r="D1074" s="12"/>
      <c r="E1074" s="12"/>
      <c r="F1074" s="12"/>
      <c r="G1074" s="12"/>
      <c r="H1074" s="12"/>
    </row>
    <row r="1075" spans="3:8" x14ac:dyDescent="0.2">
      <c r="C1075" s="16"/>
      <c r="D1075" s="12"/>
      <c r="E1075" s="12"/>
      <c r="F1075" s="12"/>
      <c r="G1075" s="12"/>
      <c r="H1075" s="12"/>
    </row>
    <row r="1076" spans="3:8" x14ac:dyDescent="0.2">
      <c r="C1076" s="16"/>
      <c r="D1076" s="12"/>
      <c r="E1076" s="12"/>
      <c r="F1076" s="12"/>
      <c r="G1076" s="12"/>
      <c r="H1076" s="12"/>
    </row>
    <row r="1077" spans="3:8" x14ac:dyDescent="0.2">
      <c r="C1077" s="16"/>
      <c r="D1077" s="12"/>
      <c r="E1077" s="12"/>
      <c r="F1077" s="12"/>
      <c r="G1077" s="12"/>
      <c r="H1077" s="12"/>
    </row>
    <row r="1078" spans="3:8" x14ac:dyDescent="0.2">
      <c r="C1078" s="16"/>
      <c r="D1078" s="12"/>
      <c r="E1078" s="12"/>
      <c r="F1078" s="12"/>
      <c r="G1078" s="12"/>
      <c r="H1078" s="12"/>
    </row>
    <row r="1079" spans="3:8" x14ac:dyDescent="0.2">
      <c r="C1079" s="16"/>
      <c r="D1079" s="12"/>
      <c r="E1079" s="12"/>
      <c r="F1079" s="12"/>
      <c r="G1079" s="12"/>
      <c r="H1079" s="12"/>
    </row>
    <row r="1080" spans="3:8" x14ac:dyDescent="0.2">
      <c r="C1080" s="16"/>
      <c r="D1080" s="12"/>
      <c r="E1080" s="12"/>
      <c r="F1080" s="12"/>
      <c r="G1080" s="12"/>
      <c r="H1080" s="12"/>
    </row>
    <row r="1081" spans="3:8" x14ac:dyDescent="0.2">
      <c r="C1081" s="16"/>
      <c r="D1081" s="12"/>
      <c r="E1081" s="12"/>
      <c r="F1081" s="12"/>
      <c r="G1081" s="12"/>
      <c r="H1081" s="12"/>
    </row>
    <row r="1082" spans="3:8" x14ac:dyDescent="0.2">
      <c r="C1082" s="16"/>
      <c r="D1082" s="12"/>
      <c r="E1082" s="12"/>
      <c r="F1082" s="12"/>
      <c r="G1082" s="12"/>
      <c r="H1082" s="12"/>
    </row>
    <row r="1083" spans="3:8" x14ac:dyDescent="0.2">
      <c r="C1083" s="16"/>
      <c r="D1083" s="12"/>
      <c r="E1083" s="12"/>
      <c r="F1083" s="12"/>
      <c r="G1083" s="12"/>
      <c r="H1083" s="12"/>
    </row>
    <row r="1084" spans="3:8" x14ac:dyDescent="0.2">
      <c r="C1084" s="16"/>
      <c r="D1084" s="12"/>
      <c r="E1084" s="12"/>
      <c r="F1084" s="12"/>
      <c r="G1084" s="12"/>
      <c r="H1084" s="12"/>
    </row>
    <row r="1085" spans="3:8" x14ac:dyDescent="0.2">
      <c r="C1085" s="16"/>
      <c r="D1085" s="12"/>
      <c r="E1085" s="12"/>
      <c r="F1085" s="12"/>
      <c r="G1085" s="12"/>
      <c r="H1085" s="12"/>
    </row>
    <row r="1086" spans="3:8" x14ac:dyDescent="0.2">
      <c r="C1086" s="16"/>
      <c r="D1086" s="12"/>
      <c r="E1086" s="12"/>
      <c r="F1086" s="12"/>
      <c r="G1086" s="12"/>
      <c r="H1086" s="12"/>
    </row>
    <row r="1087" spans="3:8" x14ac:dyDescent="0.2">
      <c r="C1087" s="16"/>
      <c r="D1087" s="12"/>
      <c r="E1087" s="12"/>
      <c r="F1087" s="12"/>
      <c r="G1087" s="12"/>
      <c r="H1087" s="12"/>
    </row>
    <row r="1088" spans="3:8" x14ac:dyDescent="0.2">
      <c r="C1088" s="16"/>
      <c r="D1088" s="12"/>
      <c r="E1088" s="12"/>
      <c r="F1088" s="12"/>
      <c r="G1088" s="12"/>
      <c r="H1088" s="12"/>
    </row>
    <row r="1089" spans="3:8" x14ac:dyDescent="0.2">
      <c r="C1089" s="16"/>
      <c r="D1089" s="12"/>
      <c r="E1089" s="12"/>
      <c r="F1089" s="12"/>
      <c r="G1089" s="12"/>
      <c r="H1089" s="12"/>
    </row>
    <row r="1090" spans="3:8" x14ac:dyDescent="0.2">
      <c r="C1090" s="16"/>
      <c r="D1090" s="12"/>
      <c r="E1090" s="12"/>
      <c r="F1090" s="12"/>
      <c r="G1090" s="12"/>
      <c r="H1090" s="12"/>
    </row>
    <row r="1091" spans="3:8" x14ac:dyDescent="0.2">
      <c r="C1091" s="16"/>
      <c r="D1091" s="12"/>
      <c r="E1091" s="12"/>
      <c r="F1091" s="12"/>
      <c r="G1091" s="12"/>
      <c r="H1091" s="12"/>
    </row>
    <row r="1092" spans="3:8" x14ac:dyDescent="0.2">
      <c r="C1092" s="16"/>
      <c r="D1092" s="12"/>
      <c r="E1092" s="12"/>
      <c r="F1092" s="12"/>
      <c r="G1092" s="12"/>
      <c r="H1092" s="12"/>
    </row>
    <row r="1093" spans="3:8" x14ac:dyDescent="0.2">
      <c r="C1093" s="16"/>
      <c r="D1093" s="12"/>
      <c r="E1093" s="12"/>
      <c r="F1093" s="12"/>
      <c r="G1093" s="12"/>
      <c r="H1093" s="12"/>
    </row>
    <row r="1094" spans="3:8" x14ac:dyDescent="0.2">
      <c r="C1094" s="16"/>
      <c r="D1094" s="12"/>
      <c r="E1094" s="12"/>
      <c r="F1094" s="12"/>
      <c r="G1094" s="12"/>
      <c r="H1094" s="12"/>
    </row>
    <row r="1095" spans="3:8" x14ac:dyDescent="0.2">
      <c r="C1095" s="16"/>
      <c r="D1095" s="12"/>
      <c r="E1095" s="12"/>
      <c r="F1095" s="12"/>
      <c r="G1095" s="12"/>
      <c r="H1095" s="12"/>
    </row>
    <row r="1096" spans="3:8" x14ac:dyDescent="0.2">
      <c r="C1096" s="16"/>
      <c r="D1096" s="12"/>
      <c r="E1096" s="12"/>
      <c r="F1096" s="12"/>
      <c r="G1096" s="12"/>
      <c r="H1096" s="12"/>
    </row>
    <row r="1097" spans="3:8" x14ac:dyDescent="0.2">
      <c r="C1097" s="16"/>
      <c r="D1097" s="12"/>
      <c r="E1097" s="12"/>
      <c r="F1097" s="12"/>
      <c r="G1097" s="12"/>
      <c r="H1097" s="12"/>
    </row>
    <row r="1098" spans="3:8" x14ac:dyDescent="0.2">
      <c r="C1098" s="16"/>
      <c r="D1098" s="12"/>
      <c r="E1098" s="12"/>
      <c r="F1098" s="12"/>
      <c r="G1098" s="12"/>
      <c r="H1098" s="12"/>
    </row>
    <row r="1099" spans="3:8" x14ac:dyDescent="0.2">
      <c r="C1099" s="16"/>
      <c r="D1099" s="12"/>
      <c r="E1099" s="12"/>
      <c r="F1099" s="12"/>
      <c r="G1099" s="12"/>
      <c r="H1099" s="12"/>
    </row>
    <row r="1100" spans="3:8" x14ac:dyDescent="0.2">
      <c r="C1100" s="16"/>
      <c r="D1100" s="12"/>
      <c r="E1100" s="12"/>
      <c r="F1100" s="12"/>
      <c r="G1100" s="12"/>
      <c r="H1100" s="12"/>
    </row>
    <row r="1101" spans="3:8" x14ac:dyDescent="0.2">
      <c r="C1101" s="16"/>
      <c r="D1101" s="12"/>
      <c r="E1101" s="12"/>
      <c r="F1101" s="12"/>
      <c r="G1101" s="12"/>
      <c r="H1101" s="12"/>
    </row>
    <row r="1102" spans="3:8" x14ac:dyDescent="0.2">
      <c r="C1102" s="16"/>
      <c r="D1102" s="12"/>
      <c r="E1102" s="12"/>
      <c r="F1102" s="12"/>
      <c r="G1102" s="12"/>
      <c r="H1102" s="12"/>
    </row>
    <row r="1103" spans="3:8" x14ac:dyDescent="0.2">
      <c r="C1103" s="16"/>
      <c r="D1103" s="12"/>
      <c r="E1103" s="12"/>
      <c r="F1103" s="12"/>
      <c r="G1103" s="12"/>
      <c r="H1103" s="12"/>
    </row>
    <row r="1104" spans="3:8" x14ac:dyDescent="0.2">
      <c r="C1104" s="16"/>
      <c r="D1104" s="12"/>
      <c r="E1104" s="12"/>
      <c r="F1104" s="12"/>
      <c r="G1104" s="12"/>
      <c r="H1104" s="12"/>
    </row>
    <row r="1105" spans="3:8" x14ac:dyDescent="0.2">
      <c r="C1105" s="16"/>
      <c r="D1105" s="12"/>
      <c r="E1105" s="12"/>
      <c r="F1105" s="12"/>
      <c r="G1105" s="12"/>
      <c r="H1105" s="12"/>
    </row>
    <row r="1106" spans="3:8" x14ac:dyDescent="0.2">
      <c r="C1106" s="16"/>
      <c r="D1106" s="12"/>
      <c r="E1106" s="12"/>
      <c r="F1106" s="12"/>
      <c r="G1106" s="12"/>
      <c r="H1106" s="12"/>
    </row>
    <row r="1107" spans="3:8" x14ac:dyDescent="0.2">
      <c r="C1107" s="16"/>
      <c r="D1107" s="12"/>
      <c r="E1107" s="12"/>
      <c r="F1107" s="12"/>
      <c r="G1107" s="12"/>
      <c r="H1107" s="12"/>
    </row>
    <row r="1108" spans="3:8" x14ac:dyDescent="0.2">
      <c r="C1108" s="16"/>
      <c r="D1108" s="12"/>
      <c r="E1108" s="12"/>
      <c r="F1108" s="12"/>
      <c r="G1108" s="12"/>
      <c r="H1108" s="12"/>
    </row>
    <row r="1109" spans="3:8" x14ac:dyDescent="0.2">
      <c r="C1109" s="16"/>
      <c r="D1109" s="12"/>
      <c r="E1109" s="12"/>
      <c r="F1109" s="12"/>
      <c r="G1109" s="12"/>
      <c r="H1109" s="12"/>
    </row>
    <row r="1110" spans="3:8" x14ac:dyDescent="0.2">
      <c r="C1110" s="16"/>
      <c r="D1110" s="12"/>
      <c r="E1110" s="12"/>
      <c r="F1110" s="12"/>
      <c r="G1110" s="12"/>
      <c r="H1110" s="12"/>
    </row>
    <row r="1111" spans="3:8" x14ac:dyDescent="0.2">
      <c r="C1111" s="16"/>
      <c r="D1111" s="12"/>
      <c r="E1111" s="12"/>
      <c r="F1111" s="12"/>
      <c r="G1111" s="12"/>
      <c r="H1111" s="12"/>
    </row>
    <row r="1112" spans="3:8" x14ac:dyDescent="0.2">
      <c r="C1112" s="16"/>
      <c r="D1112" s="12"/>
      <c r="E1112" s="12"/>
      <c r="F1112" s="12"/>
      <c r="G1112" s="12"/>
      <c r="H1112" s="12"/>
    </row>
    <row r="1113" spans="3:8" x14ac:dyDescent="0.2">
      <c r="C1113" s="16"/>
      <c r="D1113" s="12"/>
      <c r="E1113" s="12"/>
      <c r="F1113" s="12"/>
      <c r="G1113" s="12"/>
      <c r="H1113" s="12"/>
    </row>
    <row r="1114" spans="3:8" x14ac:dyDescent="0.2">
      <c r="C1114" s="16"/>
      <c r="D1114" s="12"/>
      <c r="E1114" s="12"/>
      <c r="F1114" s="12"/>
      <c r="G1114" s="12"/>
      <c r="H1114" s="12"/>
    </row>
    <row r="1115" spans="3:8" x14ac:dyDescent="0.2">
      <c r="C1115" s="16"/>
      <c r="D1115" s="12"/>
      <c r="E1115" s="12"/>
      <c r="F1115" s="12"/>
      <c r="G1115" s="12"/>
      <c r="H1115" s="12"/>
    </row>
    <row r="1116" spans="3:8" x14ac:dyDescent="0.2">
      <c r="C1116" s="16"/>
      <c r="D1116" s="12"/>
      <c r="E1116" s="12"/>
      <c r="F1116" s="12"/>
      <c r="G1116" s="12"/>
      <c r="H1116" s="12"/>
    </row>
    <row r="1117" spans="3:8" x14ac:dyDescent="0.2">
      <c r="C1117" s="16"/>
      <c r="D1117" s="12"/>
      <c r="E1117" s="12"/>
      <c r="F1117" s="12"/>
      <c r="G1117" s="12"/>
      <c r="H1117" s="12"/>
    </row>
    <row r="1118" spans="3:8" x14ac:dyDescent="0.2">
      <c r="C1118" s="16"/>
      <c r="D1118" s="12"/>
      <c r="E1118" s="12"/>
      <c r="F1118" s="12"/>
      <c r="G1118" s="12"/>
      <c r="H1118" s="12"/>
    </row>
    <row r="1119" spans="3:8" x14ac:dyDescent="0.2">
      <c r="C1119" s="16"/>
      <c r="D1119" s="12"/>
      <c r="E1119" s="12"/>
      <c r="F1119" s="12"/>
      <c r="G1119" s="12"/>
      <c r="H1119" s="12"/>
    </row>
    <row r="1120" spans="3:8" x14ac:dyDescent="0.2">
      <c r="C1120" s="16"/>
      <c r="D1120" s="12"/>
      <c r="E1120" s="12"/>
      <c r="F1120" s="12"/>
      <c r="G1120" s="12"/>
      <c r="H1120" s="12"/>
    </row>
    <row r="1121" spans="3:8" x14ac:dyDescent="0.2">
      <c r="C1121" s="16"/>
      <c r="D1121" s="12"/>
      <c r="E1121" s="12"/>
      <c r="F1121" s="12"/>
      <c r="G1121" s="12"/>
      <c r="H1121" s="12"/>
    </row>
    <row r="1122" spans="3:8" x14ac:dyDescent="0.2">
      <c r="C1122" s="16"/>
      <c r="D1122" s="12"/>
      <c r="E1122" s="12"/>
      <c r="F1122" s="12"/>
      <c r="G1122" s="12"/>
      <c r="H1122" s="12"/>
    </row>
    <row r="1123" spans="3:8" x14ac:dyDescent="0.2">
      <c r="C1123" s="16"/>
      <c r="D1123" s="12"/>
      <c r="E1123" s="12"/>
      <c r="F1123" s="12"/>
      <c r="G1123" s="12"/>
      <c r="H1123" s="12"/>
    </row>
    <row r="1124" spans="3:8" x14ac:dyDescent="0.2">
      <c r="C1124" s="16"/>
      <c r="D1124" s="12"/>
      <c r="E1124" s="12"/>
      <c r="F1124" s="12"/>
      <c r="G1124" s="12"/>
      <c r="H1124" s="12"/>
    </row>
    <row r="1125" spans="3:8" x14ac:dyDescent="0.2">
      <c r="C1125" s="16"/>
      <c r="D1125" s="12"/>
      <c r="E1125" s="12"/>
      <c r="F1125" s="12"/>
      <c r="G1125" s="12"/>
      <c r="H1125" s="12"/>
    </row>
    <row r="1126" spans="3:8" x14ac:dyDescent="0.2">
      <c r="C1126" s="16"/>
      <c r="D1126" s="12"/>
      <c r="E1126" s="12"/>
      <c r="F1126" s="12"/>
      <c r="G1126" s="12"/>
      <c r="H1126" s="12"/>
    </row>
    <row r="1127" spans="3:8" x14ac:dyDescent="0.2">
      <c r="C1127" s="16"/>
      <c r="D1127" s="12"/>
      <c r="E1127" s="12"/>
      <c r="F1127" s="12"/>
      <c r="G1127" s="12"/>
      <c r="H1127" s="12"/>
    </row>
    <row r="1128" spans="3:8" x14ac:dyDescent="0.2">
      <c r="C1128" s="16"/>
      <c r="D1128" s="12"/>
      <c r="E1128" s="12"/>
      <c r="F1128" s="12"/>
      <c r="G1128" s="12"/>
      <c r="H1128" s="12"/>
    </row>
    <row r="1129" spans="3:8" x14ac:dyDescent="0.2">
      <c r="C1129" s="16"/>
      <c r="D1129" s="12"/>
      <c r="E1129" s="12"/>
      <c r="F1129" s="12"/>
      <c r="G1129" s="12"/>
      <c r="H1129" s="12"/>
    </row>
    <row r="1130" spans="3:8" x14ac:dyDescent="0.2">
      <c r="C1130" s="16"/>
      <c r="D1130" s="12"/>
      <c r="E1130" s="12"/>
      <c r="F1130" s="12"/>
      <c r="G1130" s="12"/>
      <c r="H1130" s="12"/>
    </row>
    <row r="1131" spans="3:8" x14ac:dyDescent="0.2">
      <c r="C1131" s="16"/>
      <c r="D1131" s="12"/>
      <c r="E1131" s="12"/>
      <c r="F1131" s="12"/>
      <c r="G1131" s="12"/>
      <c r="H1131" s="12"/>
    </row>
    <row r="1132" spans="3:8" x14ac:dyDescent="0.2">
      <c r="C1132" s="16"/>
      <c r="D1132" s="12"/>
      <c r="E1132" s="12"/>
      <c r="F1132" s="12"/>
      <c r="G1132" s="12"/>
      <c r="H1132" s="12"/>
    </row>
    <row r="1133" spans="3:8" x14ac:dyDescent="0.2">
      <c r="C1133" s="16"/>
      <c r="D1133" s="12"/>
      <c r="E1133" s="12"/>
      <c r="F1133" s="12"/>
      <c r="G1133" s="12"/>
      <c r="H1133" s="12"/>
    </row>
    <row r="1134" spans="3:8" x14ac:dyDescent="0.2">
      <c r="C1134" s="16"/>
      <c r="D1134" s="12"/>
      <c r="E1134" s="12"/>
      <c r="F1134" s="12"/>
      <c r="G1134" s="12"/>
      <c r="H1134" s="12"/>
    </row>
    <row r="1135" spans="3:8" x14ac:dyDescent="0.2">
      <c r="C1135" s="16"/>
      <c r="D1135" s="12"/>
      <c r="E1135" s="12"/>
      <c r="F1135" s="12"/>
      <c r="G1135" s="12"/>
      <c r="H1135" s="12"/>
    </row>
    <row r="1136" spans="3:8" x14ac:dyDescent="0.2">
      <c r="C1136" s="16"/>
      <c r="D1136" s="12"/>
      <c r="E1136" s="12"/>
      <c r="F1136" s="12"/>
      <c r="G1136" s="12"/>
      <c r="H1136" s="12"/>
    </row>
    <row r="1137" spans="3:8" x14ac:dyDescent="0.2">
      <c r="C1137" s="16"/>
      <c r="D1137" s="12"/>
      <c r="E1137" s="12"/>
      <c r="F1137" s="12"/>
      <c r="G1137" s="12"/>
      <c r="H1137" s="12"/>
    </row>
    <row r="1138" spans="3:8" x14ac:dyDescent="0.2">
      <c r="C1138" s="16"/>
      <c r="D1138" s="12"/>
      <c r="E1138" s="12"/>
      <c r="F1138" s="12"/>
      <c r="G1138" s="12"/>
      <c r="H1138" s="12"/>
    </row>
    <row r="1139" spans="3:8" x14ac:dyDescent="0.2">
      <c r="C1139" s="16"/>
      <c r="D1139" s="12"/>
      <c r="E1139" s="12"/>
      <c r="F1139" s="12"/>
      <c r="G1139" s="12"/>
      <c r="H1139" s="12"/>
    </row>
    <row r="1140" spans="3:8" x14ac:dyDescent="0.2">
      <c r="C1140" s="16"/>
      <c r="D1140" s="12"/>
      <c r="E1140" s="12"/>
      <c r="F1140" s="12"/>
      <c r="G1140" s="12"/>
      <c r="H1140" s="12"/>
    </row>
    <row r="1141" spans="3:8" x14ac:dyDescent="0.2">
      <c r="C1141" s="16"/>
      <c r="D1141" s="12"/>
      <c r="E1141" s="12"/>
      <c r="F1141" s="12"/>
      <c r="G1141" s="12"/>
      <c r="H1141" s="12"/>
    </row>
    <row r="1142" spans="3:8" x14ac:dyDescent="0.2">
      <c r="C1142" s="16"/>
      <c r="D1142" s="12"/>
      <c r="E1142" s="12"/>
      <c r="F1142" s="12"/>
      <c r="G1142" s="12"/>
      <c r="H1142" s="12"/>
    </row>
    <row r="1143" spans="3:8" x14ac:dyDescent="0.2">
      <c r="C1143" s="16"/>
      <c r="D1143" s="12"/>
      <c r="E1143" s="12"/>
      <c r="F1143" s="12"/>
      <c r="G1143" s="12"/>
      <c r="H1143" s="12"/>
    </row>
    <row r="1144" spans="3:8" x14ac:dyDescent="0.2">
      <c r="C1144" s="16"/>
      <c r="D1144" s="12"/>
      <c r="E1144" s="12"/>
      <c r="F1144" s="12"/>
      <c r="G1144" s="12"/>
      <c r="H1144" s="12"/>
    </row>
    <row r="1145" spans="3:8" x14ac:dyDescent="0.2">
      <c r="C1145" s="16"/>
      <c r="D1145" s="12"/>
      <c r="E1145" s="12"/>
      <c r="F1145" s="12"/>
      <c r="G1145" s="12"/>
      <c r="H1145" s="12"/>
    </row>
    <row r="1146" spans="3:8" x14ac:dyDescent="0.2">
      <c r="C1146" s="16"/>
      <c r="D1146" s="12"/>
      <c r="E1146" s="12"/>
      <c r="F1146" s="12"/>
      <c r="G1146" s="12"/>
      <c r="H1146" s="12"/>
    </row>
    <row r="1147" spans="3:8" x14ac:dyDescent="0.2">
      <c r="C1147" s="16"/>
      <c r="D1147" s="12"/>
      <c r="E1147" s="12"/>
      <c r="F1147" s="12"/>
      <c r="G1147" s="12"/>
      <c r="H1147" s="12"/>
    </row>
    <row r="1148" spans="3:8" x14ac:dyDescent="0.2">
      <c r="C1148" s="16"/>
      <c r="D1148" s="12"/>
      <c r="E1148" s="12"/>
      <c r="F1148" s="12"/>
      <c r="G1148" s="12"/>
      <c r="H1148" s="12"/>
    </row>
    <row r="1149" spans="3:8" x14ac:dyDescent="0.2">
      <c r="C1149" s="16"/>
      <c r="D1149" s="12"/>
      <c r="E1149" s="12"/>
      <c r="F1149" s="12"/>
      <c r="G1149" s="12"/>
      <c r="H1149" s="12"/>
    </row>
    <row r="1150" spans="3:8" x14ac:dyDescent="0.2">
      <c r="C1150" s="16"/>
      <c r="D1150" s="12"/>
      <c r="E1150" s="12"/>
      <c r="F1150" s="12"/>
      <c r="G1150" s="12"/>
      <c r="H1150" s="12"/>
    </row>
    <row r="1151" spans="3:8" x14ac:dyDescent="0.2">
      <c r="C1151" s="16"/>
      <c r="D1151" s="12"/>
      <c r="E1151" s="12"/>
      <c r="F1151" s="12"/>
      <c r="G1151" s="12"/>
      <c r="H1151" s="12"/>
    </row>
    <row r="1152" spans="3:8" x14ac:dyDescent="0.2">
      <c r="C1152" s="16"/>
      <c r="D1152" s="12"/>
      <c r="E1152" s="12"/>
      <c r="F1152" s="12"/>
      <c r="G1152" s="12"/>
      <c r="H1152" s="12"/>
    </row>
    <row r="1153" spans="3:8" x14ac:dyDescent="0.2">
      <c r="C1153" s="16"/>
      <c r="D1153" s="12"/>
      <c r="E1153" s="12"/>
      <c r="F1153" s="12"/>
      <c r="G1153" s="12"/>
      <c r="H1153" s="12"/>
    </row>
    <row r="1154" spans="3:8" x14ac:dyDescent="0.2">
      <c r="C1154" s="16"/>
      <c r="D1154" s="12"/>
      <c r="E1154" s="12"/>
      <c r="F1154" s="12"/>
      <c r="G1154" s="12"/>
      <c r="H1154" s="12"/>
    </row>
    <row r="1155" spans="3:8" x14ac:dyDescent="0.2">
      <c r="C1155" s="16"/>
      <c r="D1155" s="12"/>
      <c r="E1155" s="12"/>
      <c r="F1155" s="12"/>
      <c r="G1155" s="12"/>
      <c r="H1155" s="12"/>
    </row>
    <row r="1156" spans="3:8" x14ac:dyDescent="0.2">
      <c r="C1156" s="16"/>
      <c r="D1156" s="12"/>
      <c r="E1156" s="12"/>
      <c r="F1156" s="12"/>
      <c r="G1156" s="12"/>
      <c r="H1156" s="12"/>
    </row>
    <row r="1157" spans="3:8" x14ac:dyDescent="0.2">
      <c r="C1157" s="16"/>
      <c r="D1157" s="12"/>
      <c r="E1157" s="12"/>
      <c r="F1157" s="12"/>
      <c r="G1157" s="12"/>
      <c r="H1157" s="12"/>
    </row>
    <row r="1158" spans="3:8" x14ac:dyDescent="0.2">
      <c r="C1158" s="16"/>
      <c r="D1158" s="12"/>
      <c r="E1158" s="12"/>
      <c r="F1158" s="12"/>
      <c r="G1158" s="12"/>
      <c r="H1158" s="12"/>
    </row>
    <row r="1159" spans="3:8" x14ac:dyDescent="0.2">
      <c r="C1159" s="16"/>
      <c r="D1159" s="12"/>
      <c r="E1159" s="12"/>
      <c r="F1159" s="12"/>
      <c r="G1159" s="12"/>
      <c r="H1159" s="12"/>
    </row>
    <row r="1160" spans="3:8" x14ac:dyDescent="0.2">
      <c r="C1160" s="16"/>
      <c r="D1160" s="12"/>
      <c r="E1160" s="12"/>
      <c r="F1160" s="12"/>
      <c r="G1160" s="12"/>
      <c r="H1160" s="12"/>
    </row>
    <row r="1161" spans="3:8" x14ac:dyDescent="0.2">
      <c r="C1161" s="16"/>
      <c r="D1161" s="12"/>
      <c r="E1161" s="12"/>
      <c r="F1161" s="12"/>
      <c r="G1161" s="12"/>
      <c r="H1161" s="12"/>
    </row>
    <row r="1162" spans="3:8" x14ac:dyDescent="0.2">
      <c r="C1162" s="16"/>
      <c r="D1162" s="12"/>
      <c r="E1162" s="12"/>
      <c r="F1162" s="12"/>
      <c r="G1162" s="12"/>
      <c r="H1162" s="12"/>
    </row>
    <row r="1163" spans="3:8" x14ac:dyDescent="0.2">
      <c r="C1163" s="16"/>
      <c r="D1163" s="12"/>
      <c r="E1163" s="12"/>
      <c r="F1163" s="12"/>
      <c r="G1163" s="12"/>
      <c r="H1163" s="12"/>
    </row>
    <row r="1164" spans="3:8" x14ac:dyDescent="0.2">
      <c r="C1164" s="16"/>
      <c r="D1164" s="12"/>
      <c r="E1164" s="12"/>
      <c r="F1164" s="12"/>
      <c r="G1164" s="12"/>
      <c r="H1164" s="12"/>
    </row>
    <row r="1165" spans="3:8" x14ac:dyDescent="0.2">
      <c r="C1165" s="16"/>
      <c r="D1165" s="12"/>
      <c r="E1165" s="12"/>
      <c r="F1165" s="12"/>
      <c r="G1165" s="12"/>
      <c r="H1165" s="12"/>
    </row>
    <row r="1166" spans="3:8" x14ac:dyDescent="0.2">
      <c r="C1166" s="16"/>
      <c r="D1166" s="12"/>
      <c r="E1166" s="12"/>
      <c r="F1166" s="12"/>
      <c r="G1166" s="12"/>
      <c r="H1166" s="12"/>
    </row>
    <row r="1167" spans="3:8" x14ac:dyDescent="0.2">
      <c r="C1167" s="16"/>
      <c r="D1167" s="12"/>
      <c r="E1167" s="12"/>
      <c r="F1167" s="12"/>
      <c r="G1167" s="12"/>
      <c r="H1167" s="12"/>
    </row>
    <row r="1168" spans="3:8" x14ac:dyDescent="0.2">
      <c r="C1168" s="16"/>
      <c r="D1168" s="12"/>
      <c r="E1168" s="12"/>
      <c r="F1168" s="12"/>
      <c r="G1168" s="12"/>
      <c r="H1168" s="12"/>
    </row>
    <row r="1169" spans="3:8" x14ac:dyDescent="0.2">
      <c r="C1169" s="16"/>
      <c r="D1169" s="12"/>
      <c r="E1169" s="12"/>
      <c r="F1169" s="12"/>
      <c r="G1169" s="12"/>
      <c r="H1169" s="12"/>
    </row>
    <row r="1170" spans="3:8" x14ac:dyDescent="0.2">
      <c r="C1170" s="16"/>
      <c r="D1170" s="12"/>
      <c r="E1170" s="12"/>
      <c r="F1170" s="12"/>
      <c r="G1170" s="12"/>
      <c r="H1170" s="12"/>
    </row>
    <row r="1171" spans="3:8" x14ac:dyDescent="0.2">
      <c r="C1171" s="16"/>
      <c r="D1171" s="12"/>
      <c r="E1171" s="12"/>
      <c r="F1171" s="12"/>
      <c r="G1171" s="12"/>
      <c r="H1171" s="12"/>
    </row>
    <row r="1172" spans="3:8" x14ac:dyDescent="0.2">
      <c r="C1172" s="16"/>
      <c r="D1172" s="12"/>
      <c r="E1172" s="12"/>
      <c r="F1172" s="12"/>
      <c r="G1172" s="12"/>
      <c r="H1172" s="12"/>
    </row>
    <row r="1173" spans="3:8" x14ac:dyDescent="0.2">
      <c r="C1173" s="16"/>
      <c r="D1173" s="12"/>
      <c r="E1173" s="12"/>
      <c r="F1173" s="12"/>
      <c r="G1173" s="12"/>
      <c r="H1173" s="12"/>
    </row>
    <row r="1174" spans="3:8" x14ac:dyDescent="0.2">
      <c r="C1174" s="16"/>
      <c r="D1174" s="12"/>
      <c r="E1174" s="12"/>
      <c r="F1174" s="12"/>
      <c r="G1174" s="12"/>
      <c r="H1174" s="12"/>
    </row>
    <row r="1175" spans="3:8" x14ac:dyDescent="0.2">
      <c r="C1175" s="16"/>
      <c r="D1175" s="12"/>
      <c r="E1175" s="12"/>
      <c r="F1175" s="12"/>
      <c r="G1175" s="12"/>
      <c r="H1175" s="12"/>
    </row>
    <row r="1176" spans="3:8" x14ac:dyDescent="0.2">
      <c r="C1176" s="16"/>
      <c r="D1176" s="12"/>
      <c r="E1176" s="12"/>
      <c r="F1176" s="12"/>
      <c r="G1176" s="12"/>
      <c r="H1176" s="12"/>
    </row>
    <row r="1177" spans="3:8" x14ac:dyDescent="0.2">
      <c r="C1177" s="16"/>
      <c r="D1177" s="12"/>
      <c r="E1177" s="12"/>
      <c r="F1177" s="12"/>
      <c r="G1177" s="12"/>
      <c r="H1177" s="12"/>
    </row>
    <row r="1178" spans="3:8" x14ac:dyDescent="0.2">
      <c r="C1178" s="16"/>
      <c r="D1178" s="12"/>
      <c r="E1178" s="12"/>
      <c r="F1178" s="12"/>
      <c r="G1178" s="12"/>
      <c r="H1178" s="12"/>
    </row>
    <row r="1179" spans="3:8" x14ac:dyDescent="0.2">
      <c r="C1179" s="16"/>
      <c r="D1179" s="12"/>
      <c r="E1179" s="12"/>
      <c r="F1179" s="12"/>
      <c r="G1179" s="12"/>
      <c r="H1179" s="12"/>
    </row>
    <row r="1180" spans="3:8" x14ac:dyDescent="0.2">
      <c r="C1180" s="16"/>
      <c r="D1180" s="12"/>
      <c r="E1180" s="12"/>
      <c r="F1180" s="12"/>
      <c r="G1180" s="12"/>
      <c r="H1180" s="12"/>
    </row>
    <row r="1181" spans="3:8" x14ac:dyDescent="0.2">
      <c r="C1181" s="16"/>
      <c r="D1181" s="12"/>
      <c r="E1181" s="12"/>
      <c r="F1181" s="12"/>
      <c r="G1181" s="12"/>
      <c r="H1181" s="12"/>
    </row>
    <row r="1182" spans="3:8" x14ac:dyDescent="0.2">
      <c r="C1182" s="16"/>
      <c r="D1182" s="12"/>
      <c r="E1182" s="12"/>
      <c r="F1182" s="12"/>
      <c r="G1182" s="12"/>
      <c r="H1182" s="12"/>
    </row>
    <row r="1183" spans="3:8" x14ac:dyDescent="0.2">
      <c r="C1183" s="16"/>
      <c r="D1183" s="12"/>
      <c r="E1183" s="12"/>
      <c r="F1183" s="12"/>
      <c r="G1183" s="12"/>
      <c r="H1183" s="12"/>
    </row>
    <row r="1184" spans="3:8" x14ac:dyDescent="0.2">
      <c r="C1184" s="16"/>
      <c r="D1184" s="12"/>
      <c r="E1184" s="12"/>
      <c r="F1184" s="12"/>
      <c r="G1184" s="12"/>
      <c r="H1184" s="12"/>
    </row>
    <row r="1185" spans="3:8" x14ac:dyDescent="0.2">
      <c r="C1185" s="16"/>
      <c r="D1185" s="12"/>
      <c r="E1185" s="12"/>
      <c r="F1185" s="12"/>
      <c r="G1185" s="12"/>
      <c r="H1185" s="12"/>
    </row>
    <row r="1186" spans="3:8" x14ac:dyDescent="0.2">
      <c r="C1186" s="16"/>
      <c r="D1186" s="12"/>
      <c r="E1186" s="12"/>
      <c r="F1186" s="12"/>
      <c r="G1186" s="12"/>
      <c r="H1186" s="12"/>
    </row>
    <row r="1187" spans="3:8" x14ac:dyDescent="0.2">
      <c r="C1187" s="16"/>
      <c r="D1187" s="12"/>
      <c r="E1187" s="12"/>
      <c r="F1187" s="12"/>
      <c r="G1187" s="12"/>
      <c r="H1187" s="12"/>
    </row>
    <row r="1188" spans="3:8" x14ac:dyDescent="0.2">
      <c r="C1188" s="16"/>
      <c r="D1188" s="12"/>
      <c r="E1188" s="12"/>
      <c r="F1188" s="12"/>
      <c r="G1188" s="12"/>
      <c r="H1188" s="12"/>
    </row>
    <row r="1189" spans="3:8" x14ac:dyDescent="0.2">
      <c r="C1189" s="16"/>
      <c r="D1189" s="12"/>
      <c r="E1189" s="12"/>
      <c r="F1189" s="12"/>
      <c r="G1189" s="12"/>
      <c r="H1189" s="12"/>
    </row>
    <row r="1190" spans="3:8" x14ac:dyDescent="0.2">
      <c r="C1190" s="16"/>
      <c r="D1190" s="12"/>
      <c r="E1190" s="12"/>
      <c r="F1190" s="12"/>
      <c r="G1190" s="12"/>
      <c r="H1190" s="12"/>
    </row>
    <row r="1191" spans="3:8" x14ac:dyDescent="0.2">
      <c r="C1191" s="16"/>
      <c r="D1191" s="12"/>
      <c r="E1191" s="12"/>
      <c r="F1191" s="12"/>
      <c r="G1191" s="12"/>
      <c r="H1191" s="12"/>
    </row>
    <row r="1192" spans="3:8" x14ac:dyDescent="0.2">
      <c r="C1192" s="16"/>
      <c r="D1192" s="12"/>
      <c r="E1192" s="12"/>
      <c r="F1192" s="12"/>
      <c r="G1192" s="12"/>
      <c r="H1192" s="12"/>
    </row>
    <row r="1193" spans="3:8" x14ac:dyDescent="0.2">
      <c r="C1193" s="16"/>
      <c r="D1193" s="12"/>
      <c r="E1193" s="12"/>
      <c r="F1193" s="12"/>
      <c r="G1193" s="12"/>
      <c r="H1193" s="12"/>
    </row>
    <row r="1194" spans="3:8" x14ac:dyDescent="0.2">
      <c r="C1194" s="16"/>
      <c r="D1194" s="12"/>
      <c r="E1194" s="12"/>
      <c r="F1194" s="12"/>
      <c r="G1194" s="12"/>
      <c r="H1194" s="12"/>
    </row>
    <row r="1195" spans="3:8" x14ac:dyDescent="0.2">
      <c r="C1195" s="16"/>
      <c r="D1195" s="12"/>
      <c r="E1195" s="12"/>
      <c r="F1195" s="12"/>
      <c r="G1195" s="12"/>
      <c r="H1195" s="12"/>
    </row>
    <row r="1196" spans="3:8" x14ac:dyDescent="0.2">
      <c r="C1196" s="16"/>
      <c r="D1196" s="12"/>
      <c r="E1196" s="12"/>
      <c r="F1196" s="12"/>
      <c r="G1196" s="12"/>
      <c r="H1196" s="12"/>
    </row>
    <row r="1197" spans="3:8" x14ac:dyDescent="0.2">
      <c r="C1197" s="16"/>
      <c r="D1197" s="12"/>
      <c r="E1197" s="12"/>
      <c r="F1197" s="12"/>
      <c r="G1197" s="12"/>
      <c r="H1197" s="12"/>
    </row>
    <row r="1198" spans="3:8" x14ac:dyDescent="0.2">
      <c r="C1198" s="16"/>
      <c r="D1198" s="12"/>
      <c r="E1198" s="12"/>
      <c r="F1198" s="12"/>
      <c r="G1198" s="12"/>
      <c r="H1198" s="12"/>
    </row>
    <row r="1199" spans="3:8" x14ac:dyDescent="0.2">
      <c r="C1199" s="16"/>
      <c r="D1199" s="12"/>
      <c r="E1199" s="12"/>
      <c r="F1199" s="12"/>
      <c r="G1199" s="12"/>
      <c r="H1199" s="12"/>
    </row>
    <row r="1200" spans="3:8" x14ac:dyDescent="0.2">
      <c r="C1200" s="16"/>
      <c r="D1200" s="12"/>
      <c r="E1200" s="12"/>
      <c r="F1200" s="12"/>
      <c r="G1200" s="12"/>
      <c r="H1200" s="12"/>
    </row>
    <row r="1201" spans="3:8" x14ac:dyDescent="0.2">
      <c r="C1201" s="16"/>
      <c r="D1201" s="12"/>
      <c r="E1201" s="12"/>
      <c r="F1201" s="12"/>
      <c r="G1201" s="12"/>
      <c r="H1201" s="12"/>
    </row>
    <row r="1202" spans="3:8" x14ac:dyDescent="0.2">
      <c r="C1202" s="16"/>
      <c r="D1202" s="12"/>
      <c r="E1202" s="12"/>
      <c r="F1202" s="12"/>
      <c r="G1202" s="12"/>
      <c r="H1202" s="12"/>
    </row>
    <row r="1203" spans="3:8" x14ac:dyDescent="0.2">
      <c r="C1203" s="16"/>
      <c r="D1203" s="12"/>
      <c r="E1203" s="12"/>
      <c r="F1203" s="12"/>
      <c r="G1203" s="12"/>
      <c r="H1203" s="12"/>
    </row>
    <row r="1204" spans="3:8" x14ac:dyDescent="0.2">
      <c r="C1204" s="16"/>
      <c r="D1204" s="12"/>
      <c r="E1204" s="12"/>
      <c r="F1204" s="12"/>
      <c r="G1204" s="12"/>
      <c r="H1204" s="12"/>
    </row>
    <row r="1205" spans="3:8" x14ac:dyDescent="0.2">
      <c r="C1205" s="16"/>
      <c r="D1205" s="12"/>
      <c r="E1205" s="12"/>
      <c r="F1205" s="12"/>
      <c r="G1205" s="12"/>
      <c r="H1205" s="12"/>
    </row>
    <row r="1206" spans="3:8" x14ac:dyDescent="0.2">
      <c r="C1206" s="16"/>
      <c r="D1206" s="12"/>
      <c r="E1206" s="12"/>
      <c r="F1206" s="12"/>
      <c r="G1206" s="12"/>
      <c r="H1206" s="12"/>
    </row>
    <row r="1207" spans="3:8" x14ac:dyDescent="0.2">
      <c r="C1207" s="16"/>
      <c r="D1207" s="12"/>
      <c r="E1207" s="12"/>
      <c r="F1207" s="12"/>
      <c r="G1207" s="12"/>
      <c r="H1207" s="12"/>
    </row>
    <row r="1208" spans="3:8" x14ac:dyDescent="0.2">
      <c r="C1208" s="16"/>
      <c r="D1208" s="12"/>
      <c r="E1208" s="12"/>
      <c r="F1208" s="12"/>
      <c r="G1208" s="12"/>
      <c r="H1208" s="12"/>
    </row>
    <row r="1209" spans="3:8" x14ac:dyDescent="0.2">
      <c r="C1209" s="16"/>
      <c r="D1209" s="12"/>
      <c r="E1209" s="12"/>
      <c r="F1209" s="12"/>
      <c r="G1209" s="12"/>
      <c r="H1209" s="12"/>
    </row>
    <row r="1210" spans="3:8" x14ac:dyDescent="0.2">
      <c r="C1210" s="16"/>
      <c r="D1210" s="12"/>
      <c r="E1210" s="12"/>
      <c r="F1210" s="12"/>
      <c r="G1210" s="12"/>
      <c r="H1210" s="12"/>
    </row>
    <row r="1211" spans="3:8" x14ac:dyDescent="0.2">
      <c r="C1211" s="16"/>
      <c r="D1211" s="12"/>
      <c r="E1211" s="12"/>
      <c r="F1211" s="12"/>
      <c r="G1211" s="12"/>
      <c r="H1211" s="12"/>
    </row>
    <row r="1212" spans="3:8" x14ac:dyDescent="0.2">
      <c r="C1212" s="16"/>
      <c r="D1212" s="12"/>
      <c r="E1212" s="12"/>
      <c r="F1212" s="12"/>
      <c r="G1212" s="12"/>
      <c r="H1212" s="12"/>
    </row>
    <row r="1213" spans="3:8" x14ac:dyDescent="0.2">
      <c r="C1213" s="16"/>
      <c r="D1213" s="12"/>
      <c r="E1213" s="12"/>
      <c r="F1213" s="12"/>
      <c r="G1213" s="12"/>
      <c r="H1213" s="12"/>
    </row>
    <row r="1214" spans="3:8" x14ac:dyDescent="0.2">
      <c r="C1214" s="16"/>
      <c r="D1214" s="12"/>
      <c r="E1214" s="12"/>
      <c r="F1214" s="12"/>
      <c r="G1214" s="12"/>
      <c r="H1214" s="12"/>
    </row>
    <row r="1215" spans="3:8" x14ac:dyDescent="0.2">
      <c r="C1215" s="16"/>
      <c r="D1215" s="12"/>
      <c r="E1215" s="12"/>
      <c r="F1215" s="12"/>
      <c r="G1215" s="12"/>
      <c r="H1215" s="12"/>
    </row>
    <row r="1216" spans="3:8" x14ac:dyDescent="0.2">
      <c r="C1216" s="16"/>
      <c r="D1216" s="12"/>
      <c r="E1216" s="12"/>
      <c r="F1216" s="12"/>
      <c r="G1216" s="12"/>
      <c r="H1216" s="12"/>
    </row>
    <row r="1217" spans="3:8" x14ac:dyDescent="0.2">
      <c r="C1217" s="16"/>
      <c r="D1217" s="12"/>
      <c r="E1217" s="12"/>
      <c r="F1217" s="12"/>
      <c r="G1217" s="12"/>
      <c r="H1217" s="12"/>
    </row>
    <row r="1218" spans="3:8" x14ac:dyDescent="0.2">
      <c r="C1218" s="16"/>
      <c r="D1218" s="12"/>
      <c r="E1218" s="12"/>
      <c r="F1218" s="12"/>
      <c r="G1218" s="12"/>
      <c r="H1218" s="12"/>
    </row>
    <row r="1219" spans="3:8" x14ac:dyDescent="0.2">
      <c r="C1219" s="16"/>
      <c r="D1219" s="12"/>
      <c r="E1219" s="12"/>
      <c r="F1219" s="12"/>
      <c r="G1219" s="12"/>
      <c r="H1219" s="12"/>
    </row>
    <row r="1220" spans="3:8" x14ac:dyDescent="0.2">
      <c r="C1220" s="16"/>
      <c r="D1220" s="12"/>
      <c r="E1220" s="12"/>
      <c r="F1220" s="12"/>
      <c r="G1220" s="12"/>
      <c r="H1220" s="12"/>
    </row>
    <row r="1221" spans="3:8" x14ac:dyDescent="0.2">
      <c r="C1221" s="16"/>
      <c r="D1221" s="12"/>
      <c r="E1221" s="12"/>
      <c r="F1221" s="12"/>
      <c r="G1221" s="12"/>
      <c r="H1221" s="12"/>
    </row>
    <row r="1222" spans="3:8" x14ac:dyDescent="0.2">
      <c r="C1222" s="16"/>
      <c r="D1222" s="12"/>
      <c r="E1222" s="12"/>
      <c r="F1222" s="12"/>
      <c r="G1222" s="12"/>
      <c r="H1222" s="12"/>
    </row>
    <row r="1223" spans="3:8" x14ac:dyDescent="0.2">
      <c r="C1223" s="16"/>
      <c r="D1223" s="12"/>
      <c r="E1223" s="12"/>
      <c r="F1223" s="12"/>
      <c r="G1223" s="12"/>
      <c r="H1223" s="12"/>
    </row>
    <row r="1224" spans="3:8" x14ac:dyDescent="0.2">
      <c r="C1224" s="16"/>
      <c r="D1224" s="12"/>
      <c r="E1224" s="12"/>
      <c r="F1224" s="12"/>
      <c r="G1224" s="12"/>
      <c r="H1224" s="12"/>
    </row>
    <row r="1225" spans="3:8" x14ac:dyDescent="0.2">
      <c r="C1225" s="16"/>
      <c r="D1225" s="12"/>
      <c r="E1225" s="12"/>
      <c r="F1225" s="12"/>
      <c r="G1225" s="12"/>
      <c r="H1225" s="12"/>
    </row>
    <row r="1226" spans="3:8" x14ac:dyDescent="0.2">
      <c r="C1226" s="16"/>
      <c r="D1226" s="12"/>
      <c r="E1226" s="12"/>
      <c r="F1226" s="12"/>
      <c r="G1226" s="12"/>
      <c r="H1226" s="12"/>
    </row>
    <row r="1227" spans="3:8" x14ac:dyDescent="0.2">
      <c r="C1227" s="16"/>
      <c r="D1227" s="12"/>
      <c r="E1227" s="12"/>
      <c r="F1227" s="12"/>
      <c r="G1227" s="12"/>
      <c r="H1227" s="12"/>
    </row>
    <row r="1228" spans="3:8" x14ac:dyDescent="0.2">
      <c r="C1228" s="16"/>
      <c r="D1228" s="12"/>
      <c r="E1228" s="12"/>
      <c r="F1228" s="12"/>
      <c r="G1228" s="12"/>
      <c r="H1228" s="12"/>
    </row>
    <row r="1229" spans="3:8" x14ac:dyDescent="0.2">
      <c r="C1229" s="16"/>
      <c r="D1229" s="12"/>
      <c r="E1229" s="12"/>
      <c r="F1229" s="12"/>
      <c r="G1229" s="12"/>
      <c r="H1229" s="12"/>
    </row>
    <row r="1230" spans="3:8" x14ac:dyDescent="0.2">
      <c r="C1230" s="16"/>
      <c r="D1230" s="12"/>
      <c r="E1230" s="12"/>
      <c r="F1230" s="12"/>
      <c r="G1230" s="12"/>
      <c r="H1230" s="12"/>
    </row>
    <row r="1231" spans="3:8" x14ac:dyDescent="0.2">
      <c r="C1231" s="16"/>
      <c r="D1231" s="12"/>
      <c r="E1231" s="12"/>
      <c r="F1231" s="12"/>
      <c r="G1231" s="12"/>
      <c r="H1231" s="12"/>
    </row>
    <row r="1232" spans="3:8" x14ac:dyDescent="0.2">
      <c r="C1232" s="16"/>
      <c r="D1232" s="12"/>
      <c r="E1232" s="12"/>
      <c r="F1232" s="12"/>
      <c r="G1232" s="12"/>
      <c r="H1232" s="12"/>
    </row>
    <row r="1233" spans="3:8" x14ac:dyDescent="0.2">
      <c r="C1233" s="16"/>
      <c r="D1233" s="12"/>
      <c r="E1233" s="12"/>
      <c r="F1233" s="12"/>
      <c r="G1233" s="12"/>
      <c r="H1233" s="12"/>
    </row>
    <row r="1234" spans="3:8" x14ac:dyDescent="0.2">
      <c r="C1234" s="16"/>
      <c r="D1234" s="12"/>
      <c r="E1234" s="12"/>
      <c r="F1234" s="12"/>
      <c r="G1234" s="12"/>
      <c r="H1234" s="12"/>
    </row>
    <row r="1235" spans="3:8" x14ac:dyDescent="0.2">
      <c r="C1235" s="16"/>
      <c r="D1235" s="12"/>
      <c r="E1235" s="12"/>
      <c r="F1235" s="12"/>
      <c r="G1235" s="12"/>
      <c r="H1235" s="12"/>
    </row>
    <row r="1236" spans="3:8" x14ac:dyDescent="0.2">
      <c r="C1236" s="16"/>
      <c r="D1236" s="12"/>
      <c r="E1236" s="12"/>
      <c r="F1236" s="12"/>
      <c r="G1236" s="12"/>
      <c r="H1236" s="12"/>
    </row>
    <row r="1237" spans="3:8" x14ac:dyDescent="0.2">
      <c r="C1237" s="16"/>
      <c r="D1237" s="12"/>
      <c r="E1237" s="12"/>
      <c r="F1237" s="12"/>
      <c r="G1237" s="12"/>
      <c r="H1237" s="12"/>
    </row>
    <row r="1238" spans="3:8" x14ac:dyDescent="0.2">
      <c r="C1238" s="16"/>
      <c r="D1238" s="12"/>
      <c r="E1238" s="12"/>
      <c r="F1238" s="12"/>
      <c r="G1238" s="12"/>
      <c r="H1238" s="12"/>
    </row>
    <row r="1239" spans="3:8" x14ac:dyDescent="0.2">
      <c r="C1239" s="16"/>
      <c r="D1239" s="12"/>
      <c r="E1239" s="12"/>
      <c r="F1239" s="12"/>
      <c r="G1239" s="12"/>
      <c r="H1239" s="12"/>
    </row>
    <row r="1240" spans="3:8" x14ac:dyDescent="0.2">
      <c r="C1240" s="16"/>
      <c r="D1240" s="12"/>
      <c r="E1240" s="12"/>
      <c r="F1240" s="12"/>
      <c r="G1240" s="12"/>
      <c r="H1240" s="12"/>
    </row>
    <row r="1241" spans="3:8" x14ac:dyDescent="0.2">
      <c r="C1241" s="16"/>
      <c r="D1241" s="12"/>
      <c r="E1241" s="12"/>
      <c r="F1241" s="12"/>
      <c r="G1241" s="12"/>
      <c r="H1241" s="12"/>
    </row>
    <row r="1242" spans="3:8" x14ac:dyDescent="0.2">
      <c r="C1242" s="16"/>
      <c r="D1242" s="12"/>
      <c r="E1242" s="12"/>
      <c r="F1242" s="12"/>
      <c r="G1242" s="12"/>
      <c r="H1242" s="12"/>
    </row>
    <row r="1243" spans="3:8" x14ac:dyDescent="0.2">
      <c r="C1243" s="16"/>
      <c r="D1243" s="12"/>
      <c r="E1243" s="12"/>
      <c r="F1243" s="12"/>
      <c r="G1243" s="12"/>
      <c r="H1243" s="12"/>
    </row>
    <row r="1244" spans="3:8" x14ac:dyDescent="0.2">
      <c r="C1244" s="16"/>
      <c r="D1244" s="12"/>
      <c r="E1244" s="12"/>
      <c r="F1244" s="12"/>
      <c r="G1244" s="12"/>
      <c r="H1244" s="12"/>
    </row>
    <row r="1245" spans="3:8" x14ac:dyDescent="0.2">
      <c r="C1245" s="16"/>
      <c r="D1245" s="12"/>
      <c r="E1245" s="12"/>
      <c r="F1245" s="12"/>
      <c r="G1245" s="12"/>
      <c r="H1245" s="12"/>
    </row>
    <row r="1246" spans="3:8" x14ac:dyDescent="0.2">
      <c r="C1246" s="16"/>
      <c r="D1246" s="12"/>
      <c r="E1246" s="12"/>
      <c r="F1246" s="12"/>
      <c r="G1246" s="12"/>
      <c r="H1246" s="12"/>
    </row>
    <row r="1247" spans="3:8" x14ac:dyDescent="0.2">
      <c r="C1247" s="16"/>
      <c r="D1247" s="12"/>
      <c r="E1247" s="12"/>
      <c r="F1247" s="12"/>
      <c r="G1247" s="12"/>
      <c r="H1247" s="12"/>
    </row>
    <row r="1248" spans="3:8" x14ac:dyDescent="0.2">
      <c r="C1248" s="16"/>
      <c r="D1248" s="12"/>
      <c r="E1248" s="12"/>
      <c r="F1248" s="12"/>
      <c r="G1248" s="12"/>
      <c r="H1248" s="12"/>
    </row>
    <row r="1249" spans="3:8" x14ac:dyDescent="0.2">
      <c r="C1249" s="16"/>
      <c r="D1249" s="12"/>
      <c r="E1249" s="12"/>
      <c r="F1249" s="12"/>
      <c r="G1249" s="12"/>
      <c r="H1249" s="12"/>
    </row>
    <row r="1250" spans="3:8" x14ac:dyDescent="0.2">
      <c r="C1250" s="16"/>
      <c r="D1250" s="12"/>
      <c r="E1250" s="12"/>
      <c r="F1250" s="12"/>
      <c r="G1250" s="12"/>
      <c r="H1250" s="12"/>
    </row>
    <row r="1251" spans="3:8" x14ac:dyDescent="0.2">
      <c r="C1251" s="16"/>
      <c r="D1251" s="12"/>
      <c r="E1251" s="12"/>
      <c r="F1251" s="12"/>
      <c r="G1251" s="12"/>
      <c r="H1251" s="12"/>
    </row>
    <row r="1252" spans="3:8" x14ac:dyDescent="0.2">
      <c r="C1252" s="16"/>
      <c r="D1252" s="12"/>
      <c r="E1252" s="12"/>
      <c r="F1252" s="12"/>
      <c r="G1252" s="12"/>
      <c r="H1252" s="12"/>
    </row>
    <row r="1253" spans="3:8" x14ac:dyDescent="0.2">
      <c r="C1253" s="16"/>
      <c r="D1253" s="12"/>
      <c r="E1253" s="12"/>
      <c r="F1253" s="12"/>
      <c r="G1253" s="12"/>
      <c r="H1253" s="12"/>
    </row>
    <row r="1254" spans="3:8" x14ac:dyDescent="0.2">
      <c r="C1254" s="16"/>
      <c r="D1254" s="12"/>
      <c r="E1254" s="12"/>
      <c r="F1254" s="12"/>
      <c r="G1254" s="12"/>
      <c r="H1254" s="12"/>
    </row>
    <row r="1255" spans="3:8" x14ac:dyDescent="0.2">
      <c r="C1255" s="16"/>
      <c r="D1255" s="12"/>
      <c r="E1255" s="12"/>
      <c r="F1255" s="12"/>
      <c r="G1255" s="12"/>
      <c r="H1255" s="12"/>
    </row>
    <row r="1256" spans="3:8" x14ac:dyDescent="0.2">
      <c r="C1256" s="16"/>
      <c r="D1256" s="12"/>
      <c r="E1256" s="12"/>
      <c r="F1256" s="12"/>
      <c r="G1256" s="12"/>
      <c r="H1256" s="12"/>
    </row>
    <row r="1257" spans="3:8" x14ac:dyDescent="0.2">
      <c r="C1257" s="16"/>
      <c r="D1257" s="12"/>
      <c r="E1257" s="12"/>
      <c r="F1257" s="12"/>
      <c r="G1257" s="12"/>
      <c r="H1257" s="12"/>
    </row>
    <row r="1258" spans="3:8" x14ac:dyDescent="0.2">
      <c r="C1258" s="16"/>
      <c r="D1258" s="12"/>
      <c r="E1258" s="12"/>
      <c r="F1258" s="12"/>
      <c r="G1258" s="12"/>
      <c r="H1258" s="12"/>
    </row>
    <row r="1259" spans="3:8" x14ac:dyDescent="0.2">
      <c r="C1259" s="16"/>
      <c r="D1259" s="12"/>
      <c r="E1259" s="12"/>
      <c r="F1259" s="12"/>
      <c r="G1259" s="12"/>
      <c r="H1259" s="12"/>
    </row>
    <row r="1260" spans="3:8" x14ac:dyDescent="0.2">
      <c r="C1260" s="16"/>
      <c r="D1260" s="12"/>
      <c r="E1260" s="12"/>
      <c r="F1260" s="12"/>
      <c r="G1260" s="12"/>
      <c r="H1260" s="12"/>
    </row>
    <row r="1261" spans="3:8" x14ac:dyDescent="0.2">
      <c r="C1261" s="16"/>
      <c r="D1261" s="12"/>
      <c r="E1261" s="12"/>
      <c r="F1261" s="12"/>
      <c r="G1261" s="12"/>
      <c r="H1261" s="12"/>
    </row>
    <row r="1262" spans="3:8" x14ac:dyDescent="0.2">
      <c r="C1262" s="16"/>
      <c r="D1262" s="12"/>
      <c r="E1262" s="12"/>
      <c r="F1262" s="12"/>
      <c r="G1262" s="12"/>
      <c r="H1262" s="12"/>
    </row>
    <row r="1263" spans="3:8" x14ac:dyDescent="0.2">
      <c r="C1263" s="16"/>
      <c r="D1263" s="12"/>
      <c r="E1263" s="12"/>
      <c r="F1263" s="12"/>
      <c r="G1263" s="12"/>
      <c r="H1263" s="12"/>
    </row>
    <row r="1264" spans="3:8" x14ac:dyDescent="0.2">
      <c r="C1264" s="16"/>
      <c r="D1264" s="12"/>
      <c r="E1264" s="12"/>
      <c r="F1264" s="12"/>
      <c r="G1264" s="12"/>
      <c r="H1264" s="12"/>
    </row>
    <row r="1265" spans="3:8" x14ac:dyDescent="0.2">
      <c r="C1265" s="16"/>
      <c r="D1265" s="12"/>
      <c r="E1265" s="12"/>
      <c r="F1265" s="12"/>
      <c r="G1265" s="12"/>
      <c r="H1265" s="12"/>
    </row>
    <row r="1266" spans="3:8" x14ac:dyDescent="0.2">
      <c r="C1266" s="16"/>
      <c r="D1266" s="12"/>
      <c r="E1266" s="12"/>
      <c r="F1266" s="12"/>
      <c r="G1266" s="12"/>
      <c r="H1266" s="12"/>
    </row>
    <row r="1267" spans="3:8" x14ac:dyDescent="0.2">
      <c r="C1267" s="16"/>
      <c r="D1267" s="12"/>
      <c r="E1267" s="12"/>
      <c r="F1267" s="12"/>
      <c r="G1267" s="12"/>
      <c r="H1267" s="12"/>
    </row>
    <row r="1268" spans="3:8" x14ac:dyDescent="0.2">
      <c r="C1268" s="16"/>
      <c r="D1268" s="12"/>
      <c r="E1268" s="12"/>
      <c r="F1268" s="12"/>
      <c r="G1268" s="12"/>
      <c r="H1268" s="12"/>
    </row>
    <row r="1269" spans="3:8" x14ac:dyDescent="0.2">
      <c r="C1269" s="16"/>
      <c r="D1269" s="12"/>
      <c r="E1269" s="12"/>
      <c r="F1269" s="12"/>
      <c r="G1269" s="12"/>
      <c r="H1269" s="12"/>
    </row>
    <row r="1270" spans="3:8" x14ac:dyDescent="0.2">
      <c r="C1270" s="16"/>
      <c r="D1270" s="12"/>
      <c r="E1270" s="12"/>
      <c r="F1270" s="12"/>
      <c r="G1270" s="12"/>
      <c r="H1270" s="12"/>
    </row>
    <row r="1271" spans="3:8" x14ac:dyDescent="0.2">
      <c r="C1271" s="16"/>
      <c r="D1271" s="12"/>
      <c r="E1271" s="12"/>
      <c r="F1271" s="12"/>
      <c r="G1271" s="12"/>
      <c r="H1271" s="12"/>
    </row>
    <row r="1272" spans="3:8" x14ac:dyDescent="0.2">
      <c r="C1272" s="16"/>
      <c r="D1272" s="12"/>
      <c r="E1272" s="12"/>
      <c r="F1272" s="12"/>
      <c r="G1272" s="12"/>
      <c r="H1272" s="12"/>
    </row>
    <row r="1273" spans="3:8" x14ac:dyDescent="0.2">
      <c r="C1273" s="16"/>
      <c r="D1273" s="12"/>
      <c r="E1273" s="12"/>
      <c r="F1273" s="12"/>
      <c r="G1273" s="12"/>
      <c r="H1273" s="12"/>
    </row>
    <row r="1274" spans="3:8" x14ac:dyDescent="0.2">
      <c r="C1274" s="16"/>
      <c r="D1274" s="12"/>
      <c r="E1274" s="12"/>
      <c r="F1274" s="12"/>
      <c r="G1274" s="12"/>
      <c r="H1274" s="12"/>
    </row>
    <row r="1275" spans="3:8" x14ac:dyDescent="0.2">
      <c r="C1275" s="16"/>
      <c r="D1275" s="12"/>
      <c r="E1275" s="12"/>
      <c r="F1275" s="12"/>
      <c r="G1275" s="12"/>
      <c r="H1275" s="12"/>
    </row>
    <row r="1276" spans="3:8" x14ac:dyDescent="0.2">
      <c r="C1276" s="16"/>
      <c r="D1276" s="12"/>
      <c r="E1276" s="12"/>
      <c r="F1276" s="12"/>
      <c r="G1276" s="12"/>
      <c r="H1276" s="12"/>
    </row>
    <row r="1277" spans="3:8" x14ac:dyDescent="0.2">
      <c r="C1277" s="16"/>
      <c r="D1277" s="12"/>
      <c r="E1277" s="12"/>
      <c r="F1277" s="12"/>
      <c r="G1277" s="12"/>
      <c r="H1277" s="12"/>
    </row>
    <row r="1278" spans="3:8" x14ac:dyDescent="0.2">
      <c r="C1278" s="16"/>
      <c r="D1278" s="12"/>
      <c r="E1278" s="12"/>
      <c r="F1278" s="12"/>
      <c r="G1278" s="12"/>
      <c r="H1278" s="12"/>
    </row>
    <row r="1279" spans="3:8" x14ac:dyDescent="0.2">
      <c r="C1279" s="16"/>
      <c r="D1279" s="12"/>
      <c r="E1279" s="12"/>
      <c r="F1279" s="12"/>
      <c r="G1279" s="12"/>
      <c r="H1279" s="12"/>
    </row>
    <row r="1280" spans="3:8" x14ac:dyDescent="0.2">
      <c r="C1280" s="16"/>
      <c r="D1280" s="12"/>
      <c r="E1280" s="12"/>
      <c r="F1280" s="12"/>
      <c r="G1280" s="12"/>
      <c r="H1280" s="12"/>
    </row>
    <row r="1281" spans="3:8" x14ac:dyDescent="0.2">
      <c r="C1281" s="16"/>
      <c r="D1281" s="12"/>
      <c r="E1281" s="12"/>
      <c r="F1281" s="12"/>
      <c r="G1281" s="12"/>
      <c r="H1281" s="12"/>
    </row>
    <row r="1282" spans="3:8" x14ac:dyDescent="0.2">
      <c r="C1282" s="16"/>
      <c r="D1282" s="12"/>
      <c r="E1282" s="12"/>
      <c r="F1282" s="12"/>
      <c r="G1282" s="12"/>
      <c r="H1282" s="12"/>
    </row>
    <row r="1283" spans="3:8" x14ac:dyDescent="0.2">
      <c r="C1283" s="16"/>
      <c r="D1283" s="12"/>
      <c r="E1283" s="12"/>
      <c r="F1283" s="12"/>
      <c r="G1283" s="12"/>
      <c r="H1283" s="12"/>
    </row>
    <row r="1284" spans="3:8" x14ac:dyDescent="0.2">
      <c r="C1284" s="16"/>
      <c r="D1284" s="12"/>
      <c r="E1284" s="12"/>
      <c r="F1284" s="12"/>
      <c r="G1284" s="12"/>
      <c r="H1284" s="12"/>
    </row>
    <row r="1285" spans="3:8" x14ac:dyDescent="0.2">
      <c r="C1285" s="16"/>
      <c r="D1285" s="12"/>
      <c r="E1285" s="12"/>
      <c r="F1285" s="12"/>
      <c r="G1285" s="12"/>
      <c r="H1285" s="12"/>
    </row>
    <row r="1286" spans="3:8" x14ac:dyDescent="0.2">
      <c r="C1286" s="16"/>
      <c r="D1286" s="12"/>
      <c r="E1286" s="12"/>
      <c r="F1286" s="12"/>
      <c r="G1286" s="12"/>
      <c r="H1286" s="12"/>
    </row>
    <row r="1287" spans="3:8" x14ac:dyDescent="0.2">
      <c r="C1287" s="16"/>
      <c r="D1287" s="12"/>
      <c r="E1287" s="12"/>
      <c r="F1287" s="12"/>
      <c r="G1287" s="12"/>
      <c r="H1287" s="12"/>
    </row>
    <row r="1288" spans="3:8" x14ac:dyDescent="0.2">
      <c r="C1288" s="16"/>
      <c r="D1288" s="12"/>
      <c r="E1288" s="12"/>
      <c r="F1288" s="12"/>
      <c r="G1288" s="12"/>
      <c r="H1288" s="12"/>
    </row>
    <row r="1289" spans="3:8" x14ac:dyDescent="0.2">
      <c r="C1289" s="16"/>
      <c r="D1289" s="12"/>
      <c r="E1289" s="12"/>
      <c r="F1289" s="12"/>
      <c r="G1289" s="12"/>
      <c r="H1289" s="12"/>
    </row>
    <row r="1290" spans="3:8" x14ac:dyDescent="0.2">
      <c r="C1290" s="16"/>
      <c r="D1290" s="12"/>
      <c r="E1290" s="12"/>
      <c r="F1290" s="12"/>
      <c r="G1290" s="12"/>
      <c r="H1290" s="12"/>
    </row>
    <row r="1291" spans="3:8" x14ac:dyDescent="0.2">
      <c r="C1291" s="16"/>
      <c r="D1291" s="12"/>
      <c r="E1291" s="12"/>
      <c r="F1291" s="12"/>
      <c r="G1291" s="12"/>
      <c r="H1291" s="12"/>
    </row>
    <row r="1292" spans="3:8" x14ac:dyDescent="0.2">
      <c r="C1292" s="16"/>
      <c r="D1292" s="12"/>
      <c r="E1292" s="12"/>
      <c r="F1292" s="12"/>
      <c r="G1292" s="12"/>
      <c r="H1292" s="12"/>
    </row>
    <row r="1293" spans="3:8" x14ac:dyDescent="0.2">
      <c r="C1293" s="16"/>
      <c r="D1293" s="12"/>
      <c r="E1293" s="12"/>
      <c r="F1293" s="12"/>
      <c r="G1293" s="12"/>
      <c r="H1293" s="12"/>
    </row>
    <row r="1294" spans="3:8" x14ac:dyDescent="0.2">
      <c r="C1294" s="16"/>
      <c r="D1294" s="12"/>
      <c r="E1294" s="12"/>
      <c r="F1294" s="12"/>
      <c r="G1294" s="12"/>
      <c r="H1294" s="12"/>
    </row>
    <row r="1295" spans="3:8" x14ac:dyDescent="0.2">
      <c r="C1295" s="16"/>
      <c r="D1295" s="12"/>
      <c r="E1295" s="12"/>
      <c r="F1295" s="12"/>
      <c r="G1295" s="12"/>
      <c r="H1295" s="12"/>
    </row>
    <row r="1296" spans="3:8" x14ac:dyDescent="0.2">
      <c r="C1296" s="16"/>
      <c r="D1296" s="12"/>
      <c r="E1296" s="12"/>
      <c r="F1296" s="12"/>
      <c r="G1296" s="12"/>
      <c r="H1296" s="12"/>
    </row>
    <row r="1297" spans="3:8" x14ac:dyDescent="0.2">
      <c r="C1297" s="16"/>
      <c r="D1297" s="12"/>
      <c r="E1297" s="12"/>
      <c r="F1297" s="12"/>
      <c r="G1297" s="12"/>
      <c r="H1297" s="12"/>
    </row>
    <row r="1298" spans="3:8" x14ac:dyDescent="0.2">
      <c r="C1298" s="16"/>
      <c r="D1298" s="12"/>
      <c r="E1298" s="12"/>
      <c r="F1298" s="12"/>
      <c r="G1298" s="12"/>
      <c r="H1298" s="12"/>
    </row>
    <row r="1299" spans="3:8" x14ac:dyDescent="0.2">
      <c r="C1299" s="16"/>
      <c r="D1299" s="12"/>
      <c r="E1299" s="12"/>
      <c r="F1299" s="12"/>
      <c r="G1299" s="12"/>
      <c r="H1299" s="12"/>
    </row>
    <row r="1300" spans="3:8" x14ac:dyDescent="0.2">
      <c r="C1300" s="16"/>
      <c r="D1300" s="12"/>
      <c r="E1300" s="12"/>
      <c r="F1300" s="12"/>
      <c r="G1300" s="12"/>
      <c r="H1300" s="12"/>
    </row>
    <row r="1301" spans="3:8" x14ac:dyDescent="0.2">
      <c r="C1301" s="16"/>
      <c r="D1301" s="12"/>
      <c r="E1301" s="12"/>
      <c r="F1301" s="12"/>
      <c r="G1301" s="12"/>
      <c r="H1301" s="12"/>
    </row>
    <row r="1302" spans="3:8" x14ac:dyDescent="0.2">
      <c r="C1302" s="16"/>
      <c r="D1302" s="12"/>
      <c r="E1302" s="12"/>
      <c r="F1302" s="12"/>
      <c r="G1302" s="12"/>
      <c r="H1302" s="12"/>
    </row>
    <row r="1303" spans="3:8" x14ac:dyDescent="0.2">
      <c r="C1303" s="16"/>
      <c r="D1303" s="12"/>
      <c r="E1303" s="12"/>
      <c r="F1303" s="12"/>
      <c r="G1303" s="12"/>
      <c r="H1303" s="12"/>
    </row>
    <row r="1304" spans="3:8" x14ac:dyDescent="0.2">
      <c r="C1304" s="16"/>
      <c r="D1304" s="12"/>
      <c r="E1304" s="12"/>
      <c r="F1304" s="12"/>
      <c r="G1304" s="12"/>
      <c r="H1304" s="12"/>
    </row>
    <row r="1305" spans="3:8" x14ac:dyDescent="0.2">
      <c r="C1305" s="16"/>
      <c r="D1305" s="12"/>
      <c r="E1305" s="12"/>
      <c r="F1305" s="12"/>
      <c r="G1305" s="12"/>
      <c r="H1305" s="12"/>
    </row>
    <row r="1306" spans="3:8" x14ac:dyDescent="0.2">
      <c r="C1306" s="16"/>
      <c r="D1306" s="12"/>
      <c r="E1306" s="12"/>
      <c r="F1306" s="12"/>
      <c r="G1306" s="12"/>
      <c r="H1306" s="12"/>
    </row>
    <row r="1307" spans="3:8" x14ac:dyDescent="0.2">
      <c r="C1307" s="16"/>
      <c r="D1307" s="12"/>
      <c r="E1307" s="12"/>
      <c r="F1307" s="12"/>
      <c r="G1307" s="12"/>
      <c r="H1307" s="12"/>
    </row>
    <row r="1308" spans="3:8" x14ac:dyDescent="0.2">
      <c r="C1308" s="16"/>
      <c r="D1308" s="12"/>
      <c r="E1308" s="12"/>
      <c r="F1308" s="12"/>
      <c r="G1308" s="12"/>
      <c r="H1308" s="12"/>
    </row>
    <row r="1309" spans="3:8" x14ac:dyDescent="0.2">
      <c r="C1309" s="16"/>
      <c r="D1309" s="12"/>
      <c r="E1309" s="12"/>
      <c r="F1309" s="12"/>
      <c r="G1309" s="12"/>
      <c r="H1309" s="12"/>
    </row>
    <row r="1310" spans="3:8" x14ac:dyDescent="0.2">
      <c r="C1310" s="16"/>
      <c r="D1310" s="12"/>
      <c r="E1310" s="12"/>
      <c r="F1310" s="12"/>
      <c r="G1310" s="12"/>
      <c r="H1310" s="12"/>
    </row>
    <row r="1311" spans="3:8" x14ac:dyDescent="0.2">
      <c r="C1311" s="16"/>
      <c r="D1311" s="12"/>
      <c r="E1311" s="12"/>
      <c r="F1311" s="12"/>
      <c r="G1311" s="12"/>
      <c r="H1311" s="12"/>
    </row>
    <row r="1312" spans="3:8" x14ac:dyDescent="0.2">
      <c r="C1312" s="16"/>
      <c r="D1312" s="12"/>
      <c r="E1312" s="12"/>
      <c r="F1312" s="12"/>
      <c r="G1312" s="12"/>
      <c r="H1312" s="12"/>
    </row>
    <row r="1313" spans="3:8" x14ac:dyDescent="0.2">
      <c r="C1313" s="16"/>
      <c r="D1313" s="12"/>
      <c r="E1313" s="12"/>
      <c r="F1313" s="12"/>
      <c r="G1313" s="12"/>
      <c r="H1313" s="12"/>
    </row>
    <row r="1314" spans="3:8" x14ac:dyDescent="0.2">
      <c r="C1314" s="16"/>
      <c r="D1314" s="12"/>
      <c r="E1314" s="12"/>
      <c r="F1314" s="12"/>
      <c r="G1314" s="12"/>
      <c r="H1314" s="12"/>
    </row>
    <row r="1315" spans="3:8" x14ac:dyDescent="0.2">
      <c r="C1315" s="16"/>
      <c r="D1315" s="12"/>
      <c r="E1315" s="12"/>
      <c r="F1315" s="12"/>
      <c r="G1315" s="12"/>
      <c r="H1315" s="12"/>
    </row>
    <row r="1316" spans="3:8" x14ac:dyDescent="0.2">
      <c r="C1316" s="16"/>
      <c r="D1316" s="12"/>
      <c r="E1316" s="12"/>
      <c r="F1316" s="12"/>
      <c r="G1316" s="12"/>
      <c r="H1316" s="12"/>
    </row>
    <row r="1317" spans="3:8" x14ac:dyDescent="0.2">
      <c r="C1317" s="16"/>
      <c r="D1317" s="12"/>
      <c r="E1317" s="12"/>
      <c r="F1317" s="12"/>
      <c r="G1317" s="12"/>
      <c r="H1317" s="12"/>
    </row>
    <row r="1318" spans="3:8" x14ac:dyDescent="0.2">
      <c r="C1318" s="16"/>
      <c r="D1318" s="12"/>
      <c r="E1318" s="12"/>
      <c r="F1318" s="12"/>
      <c r="G1318" s="12"/>
      <c r="H1318" s="12"/>
    </row>
    <row r="1319" spans="3:8" x14ac:dyDescent="0.2">
      <c r="C1319" s="16"/>
      <c r="D1319" s="12"/>
      <c r="E1319" s="12"/>
      <c r="F1319" s="12"/>
      <c r="G1319" s="12"/>
      <c r="H1319" s="12"/>
    </row>
    <row r="1320" spans="3:8" x14ac:dyDescent="0.2">
      <c r="C1320" s="16"/>
      <c r="D1320" s="12"/>
      <c r="E1320" s="12"/>
      <c r="F1320" s="12"/>
      <c r="G1320" s="12"/>
      <c r="H1320" s="12"/>
    </row>
    <row r="1321" spans="3:8" x14ac:dyDescent="0.2">
      <c r="C1321" s="16"/>
      <c r="D1321" s="12"/>
      <c r="E1321" s="12"/>
      <c r="F1321" s="12"/>
      <c r="G1321" s="12"/>
      <c r="H1321" s="12"/>
    </row>
    <row r="1322" spans="3:8" x14ac:dyDescent="0.2">
      <c r="C1322" s="16"/>
      <c r="D1322" s="12"/>
      <c r="E1322" s="12"/>
      <c r="F1322" s="12"/>
      <c r="G1322" s="12"/>
      <c r="H1322" s="12"/>
    </row>
    <row r="1323" spans="3:8" x14ac:dyDescent="0.2">
      <c r="C1323" s="16"/>
      <c r="D1323" s="12"/>
      <c r="E1323" s="12"/>
      <c r="F1323" s="12"/>
      <c r="G1323" s="12"/>
      <c r="H1323" s="12"/>
    </row>
    <row r="1324" spans="3:8" x14ac:dyDescent="0.2">
      <c r="C1324" s="16"/>
      <c r="D1324" s="12"/>
      <c r="E1324" s="12"/>
      <c r="F1324" s="12"/>
      <c r="G1324" s="12"/>
      <c r="H1324" s="12"/>
    </row>
    <row r="1325" spans="3:8" x14ac:dyDescent="0.2">
      <c r="C1325" s="16"/>
      <c r="D1325" s="12"/>
      <c r="E1325" s="12"/>
      <c r="F1325" s="12"/>
      <c r="G1325" s="12"/>
      <c r="H1325" s="12"/>
    </row>
    <row r="1326" spans="3:8" x14ac:dyDescent="0.2">
      <c r="C1326" s="16"/>
      <c r="D1326" s="12"/>
      <c r="E1326" s="12"/>
      <c r="F1326" s="12"/>
      <c r="G1326" s="12"/>
      <c r="H1326" s="12"/>
    </row>
    <row r="1327" spans="3:8" x14ac:dyDescent="0.2">
      <c r="C1327" s="16"/>
      <c r="D1327" s="12"/>
      <c r="E1327" s="12"/>
      <c r="F1327" s="12"/>
      <c r="G1327" s="12"/>
      <c r="H1327" s="12"/>
    </row>
    <row r="1328" spans="3:8" x14ac:dyDescent="0.2">
      <c r="C1328" s="16"/>
      <c r="D1328" s="12"/>
      <c r="E1328" s="12"/>
      <c r="F1328" s="12"/>
      <c r="G1328" s="12"/>
      <c r="H1328" s="12"/>
    </row>
    <row r="1329" spans="3:8" x14ac:dyDescent="0.2">
      <c r="C1329" s="16"/>
      <c r="D1329" s="12"/>
      <c r="E1329" s="12"/>
      <c r="F1329" s="12"/>
      <c r="G1329" s="12"/>
      <c r="H1329" s="12"/>
    </row>
    <row r="1330" spans="3:8" x14ac:dyDescent="0.2">
      <c r="C1330" s="16"/>
      <c r="D1330" s="12"/>
      <c r="E1330" s="12"/>
      <c r="F1330" s="12"/>
      <c r="G1330" s="12"/>
      <c r="H1330" s="12"/>
    </row>
    <row r="1331" spans="3:8" x14ac:dyDescent="0.2">
      <c r="C1331" s="16"/>
      <c r="D1331" s="12"/>
      <c r="E1331" s="12"/>
      <c r="F1331" s="12"/>
      <c r="G1331" s="12"/>
      <c r="H1331" s="12"/>
    </row>
    <row r="1332" spans="3:8" x14ac:dyDescent="0.2">
      <c r="C1332" s="16"/>
      <c r="D1332" s="12"/>
      <c r="E1332" s="12"/>
      <c r="F1332" s="12"/>
      <c r="G1332" s="12"/>
      <c r="H1332" s="12"/>
    </row>
    <row r="1333" spans="3:8" x14ac:dyDescent="0.2">
      <c r="C1333" s="16"/>
      <c r="D1333" s="12"/>
      <c r="E1333" s="12"/>
      <c r="F1333" s="12"/>
      <c r="G1333" s="12"/>
      <c r="H1333" s="12"/>
    </row>
    <row r="1334" spans="3:8" x14ac:dyDescent="0.2">
      <c r="C1334" s="16"/>
      <c r="D1334" s="12"/>
      <c r="E1334" s="12"/>
      <c r="F1334" s="12"/>
      <c r="G1334" s="12"/>
      <c r="H1334" s="12"/>
    </row>
    <row r="1335" spans="3:8" x14ac:dyDescent="0.2">
      <c r="C1335" s="16"/>
      <c r="D1335" s="12"/>
      <c r="E1335" s="12"/>
      <c r="F1335" s="12"/>
      <c r="G1335" s="12"/>
      <c r="H1335" s="12"/>
    </row>
    <row r="1336" spans="3:8" x14ac:dyDescent="0.2">
      <c r="C1336" s="16"/>
      <c r="D1336" s="12"/>
      <c r="E1336" s="12"/>
      <c r="F1336" s="12"/>
      <c r="G1336" s="12"/>
      <c r="H1336" s="12"/>
    </row>
    <row r="1337" spans="3:8" x14ac:dyDescent="0.2">
      <c r="C1337" s="16"/>
      <c r="D1337" s="12"/>
      <c r="E1337" s="12"/>
      <c r="F1337" s="12"/>
      <c r="G1337" s="12"/>
      <c r="H1337" s="12"/>
    </row>
    <row r="1338" spans="3:8" x14ac:dyDescent="0.2">
      <c r="C1338" s="16"/>
      <c r="D1338" s="12"/>
      <c r="E1338" s="12"/>
      <c r="F1338" s="12"/>
      <c r="G1338" s="12"/>
      <c r="H1338" s="12"/>
    </row>
    <row r="1339" spans="3:8" x14ac:dyDescent="0.2">
      <c r="C1339" s="16"/>
      <c r="D1339" s="12"/>
      <c r="E1339" s="12"/>
      <c r="F1339" s="12"/>
      <c r="G1339" s="12"/>
      <c r="H1339" s="12"/>
    </row>
    <row r="1340" spans="3:8" x14ac:dyDescent="0.2">
      <c r="C1340" s="16"/>
      <c r="D1340" s="12"/>
      <c r="E1340" s="12"/>
      <c r="F1340" s="12"/>
      <c r="G1340" s="12"/>
      <c r="H1340" s="12"/>
    </row>
    <row r="1341" spans="3:8" x14ac:dyDescent="0.2">
      <c r="C1341" s="16"/>
      <c r="D1341" s="12"/>
      <c r="E1341" s="12"/>
      <c r="F1341" s="12"/>
      <c r="G1341" s="12"/>
      <c r="H1341" s="12"/>
    </row>
    <row r="1342" spans="3:8" x14ac:dyDescent="0.2">
      <c r="C1342" s="16"/>
      <c r="D1342" s="12"/>
      <c r="E1342" s="12"/>
      <c r="F1342" s="12"/>
      <c r="G1342" s="12"/>
      <c r="H1342" s="12"/>
    </row>
    <row r="1343" spans="3:8" x14ac:dyDescent="0.2">
      <c r="C1343" s="16"/>
      <c r="D1343" s="12"/>
      <c r="E1343" s="12"/>
      <c r="F1343" s="12"/>
      <c r="G1343" s="12"/>
      <c r="H1343" s="12"/>
    </row>
    <row r="1344" spans="3:8" x14ac:dyDescent="0.2">
      <c r="C1344" s="16"/>
      <c r="D1344" s="12"/>
      <c r="E1344" s="12"/>
      <c r="F1344" s="12"/>
      <c r="G1344" s="12"/>
      <c r="H1344" s="12"/>
    </row>
    <row r="1345" spans="3:8" x14ac:dyDescent="0.2">
      <c r="C1345" s="16"/>
      <c r="D1345" s="12"/>
      <c r="E1345" s="12"/>
      <c r="F1345" s="12"/>
      <c r="G1345" s="12"/>
      <c r="H1345" s="12"/>
    </row>
    <row r="1346" spans="3:8" x14ac:dyDescent="0.2">
      <c r="C1346" s="16"/>
      <c r="D1346" s="12"/>
      <c r="E1346" s="12"/>
      <c r="F1346" s="12"/>
      <c r="G1346" s="12"/>
      <c r="H1346" s="12"/>
    </row>
    <row r="1347" spans="3:8" x14ac:dyDescent="0.2">
      <c r="C1347" s="16"/>
      <c r="D1347" s="12"/>
      <c r="E1347" s="12"/>
      <c r="F1347" s="12"/>
      <c r="G1347" s="12"/>
      <c r="H1347" s="12"/>
    </row>
    <row r="1348" spans="3:8" x14ac:dyDescent="0.2">
      <c r="C1348" s="16"/>
      <c r="D1348" s="12"/>
      <c r="E1348" s="12"/>
      <c r="F1348" s="12"/>
      <c r="G1348" s="12"/>
      <c r="H1348" s="12"/>
    </row>
    <row r="1349" spans="3:8" x14ac:dyDescent="0.2">
      <c r="C1349" s="16"/>
      <c r="D1349" s="12"/>
      <c r="E1349" s="12"/>
      <c r="F1349" s="12"/>
      <c r="G1349" s="12"/>
      <c r="H1349" s="12"/>
    </row>
    <row r="1350" spans="3:8" x14ac:dyDescent="0.2">
      <c r="C1350" s="16"/>
      <c r="D1350" s="12"/>
      <c r="E1350" s="12"/>
      <c r="F1350" s="12"/>
      <c r="G1350" s="12"/>
      <c r="H1350" s="12"/>
    </row>
    <row r="1351" spans="3:8" x14ac:dyDescent="0.2">
      <c r="C1351" s="16"/>
      <c r="D1351" s="12"/>
      <c r="E1351" s="12"/>
      <c r="F1351" s="12"/>
      <c r="G1351" s="12"/>
      <c r="H1351" s="12"/>
    </row>
    <row r="1352" spans="3:8" x14ac:dyDescent="0.2">
      <c r="C1352" s="16"/>
      <c r="D1352" s="12"/>
      <c r="E1352" s="12"/>
      <c r="F1352" s="12"/>
      <c r="G1352" s="12"/>
      <c r="H1352" s="12"/>
    </row>
    <row r="1353" spans="3:8" x14ac:dyDescent="0.2">
      <c r="C1353" s="16"/>
      <c r="D1353" s="12"/>
      <c r="E1353" s="12"/>
      <c r="F1353" s="12"/>
      <c r="G1353" s="12"/>
      <c r="H1353" s="12"/>
    </row>
    <row r="1354" spans="3:8" x14ac:dyDescent="0.2">
      <c r="C1354" s="16"/>
      <c r="D1354" s="12"/>
      <c r="E1354" s="12"/>
      <c r="F1354" s="12"/>
      <c r="G1354" s="12"/>
      <c r="H1354" s="12"/>
    </row>
    <row r="1355" spans="3:8" x14ac:dyDescent="0.2">
      <c r="C1355" s="16"/>
      <c r="D1355" s="12"/>
      <c r="E1355" s="12"/>
      <c r="F1355" s="12"/>
      <c r="G1355" s="12"/>
      <c r="H1355" s="12"/>
    </row>
    <row r="1356" spans="3:8" x14ac:dyDescent="0.2">
      <c r="C1356" s="16"/>
      <c r="D1356" s="12"/>
      <c r="E1356" s="12"/>
      <c r="F1356" s="12"/>
      <c r="G1356" s="12"/>
      <c r="H1356" s="12"/>
    </row>
    <row r="1357" spans="3:8" x14ac:dyDescent="0.2">
      <c r="C1357" s="16"/>
      <c r="D1357" s="12"/>
      <c r="E1357" s="12"/>
      <c r="F1357" s="12"/>
      <c r="G1357" s="12"/>
      <c r="H1357" s="12"/>
    </row>
    <row r="1358" spans="3:8" x14ac:dyDescent="0.2">
      <c r="C1358" s="16"/>
      <c r="D1358" s="12"/>
      <c r="E1358" s="12"/>
      <c r="F1358" s="12"/>
      <c r="G1358" s="12"/>
      <c r="H1358" s="12"/>
    </row>
    <row r="1359" spans="3:8" x14ac:dyDescent="0.2">
      <c r="C1359" s="16"/>
      <c r="D1359" s="12"/>
      <c r="E1359" s="12"/>
      <c r="F1359" s="12"/>
      <c r="G1359" s="12"/>
      <c r="H1359" s="12"/>
    </row>
    <row r="1360" spans="3:8" x14ac:dyDescent="0.2">
      <c r="C1360" s="16"/>
      <c r="D1360" s="12"/>
      <c r="E1360" s="12"/>
      <c r="F1360" s="12"/>
      <c r="G1360" s="12"/>
      <c r="H1360" s="12"/>
    </row>
    <row r="1361" spans="3:8" x14ac:dyDescent="0.2">
      <c r="C1361" s="16"/>
      <c r="D1361" s="12"/>
      <c r="E1361" s="12"/>
      <c r="F1361" s="12"/>
      <c r="G1361" s="12"/>
      <c r="H1361" s="12"/>
    </row>
    <row r="1362" spans="3:8" x14ac:dyDescent="0.2">
      <c r="C1362" s="16"/>
      <c r="D1362" s="12"/>
      <c r="E1362" s="12"/>
      <c r="F1362" s="12"/>
      <c r="G1362" s="12"/>
      <c r="H1362" s="12"/>
    </row>
    <row r="1363" spans="3:8" x14ac:dyDescent="0.2">
      <c r="C1363" s="16"/>
      <c r="D1363" s="12"/>
      <c r="E1363" s="12"/>
      <c r="F1363" s="12"/>
      <c r="G1363" s="12"/>
      <c r="H1363" s="12"/>
    </row>
    <row r="1364" spans="3:8" x14ac:dyDescent="0.2">
      <c r="C1364" s="16"/>
      <c r="D1364" s="12"/>
      <c r="E1364" s="12"/>
      <c r="F1364" s="12"/>
      <c r="G1364" s="12"/>
      <c r="H1364" s="12"/>
    </row>
    <row r="1365" spans="3:8" x14ac:dyDescent="0.2">
      <c r="C1365" s="16"/>
      <c r="D1365" s="12"/>
      <c r="E1365" s="12"/>
      <c r="F1365" s="12"/>
      <c r="G1365" s="12"/>
      <c r="H1365" s="12"/>
    </row>
    <row r="1366" spans="3:8" x14ac:dyDescent="0.2">
      <c r="C1366" s="16"/>
      <c r="D1366" s="12"/>
      <c r="E1366" s="12"/>
      <c r="F1366" s="12"/>
      <c r="G1366" s="12"/>
      <c r="H1366" s="12"/>
    </row>
    <row r="1367" spans="3:8" x14ac:dyDescent="0.2">
      <c r="C1367" s="16"/>
      <c r="D1367" s="12"/>
      <c r="E1367" s="12"/>
      <c r="F1367" s="12"/>
      <c r="G1367" s="12"/>
      <c r="H1367" s="12"/>
    </row>
    <row r="1368" spans="3:8" x14ac:dyDescent="0.2">
      <c r="C1368" s="16"/>
      <c r="D1368" s="12"/>
      <c r="E1368" s="12"/>
      <c r="F1368" s="12"/>
      <c r="G1368" s="12"/>
      <c r="H1368" s="12"/>
    </row>
    <row r="1369" spans="3:8" x14ac:dyDescent="0.2">
      <c r="C1369" s="16"/>
      <c r="D1369" s="12"/>
      <c r="E1369" s="12"/>
      <c r="F1369" s="12"/>
      <c r="G1369" s="12"/>
      <c r="H1369" s="12"/>
    </row>
    <row r="1370" spans="3:8" x14ac:dyDescent="0.2">
      <c r="C1370" s="16"/>
      <c r="D1370" s="12"/>
      <c r="E1370" s="12"/>
      <c r="F1370" s="12"/>
      <c r="G1370" s="12"/>
      <c r="H1370" s="12"/>
    </row>
    <row r="1371" spans="3:8" x14ac:dyDescent="0.2">
      <c r="C1371" s="16"/>
      <c r="D1371" s="12"/>
      <c r="E1371" s="12"/>
      <c r="F1371" s="12"/>
      <c r="G1371" s="12"/>
      <c r="H1371" s="12"/>
    </row>
    <row r="1372" spans="3:8" x14ac:dyDescent="0.2">
      <c r="C1372" s="16"/>
      <c r="D1372" s="12"/>
      <c r="E1372" s="12"/>
      <c r="F1372" s="12"/>
      <c r="G1372" s="12"/>
      <c r="H1372" s="12"/>
    </row>
    <row r="1373" spans="3:8" x14ac:dyDescent="0.2">
      <c r="C1373" s="16"/>
      <c r="D1373" s="12"/>
      <c r="E1373" s="12"/>
      <c r="F1373" s="12"/>
      <c r="G1373" s="12"/>
      <c r="H1373" s="12"/>
    </row>
    <row r="1374" spans="3:8" x14ac:dyDescent="0.2">
      <c r="C1374" s="16"/>
      <c r="D1374" s="12"/>
      <c r="E1374" s="12"/>
      <c r="F1374" s="12"/>
      <c r="G1374" s="12"/>
      <c r="H1374" s="12"/>
    </row>
    <row r="1375" spans="3:8" x14ac:dyDescent="0.2">
      <c r="C1375" s="16"/>
      <c r="D1375" s="12"/>
      <c r="E1375" s="12"/>
      <c r="F1375" s="12"/>
      <c r="G1375" s="12"/>
      <c r="H1375" s="12"/>
    </row>
    <row r="1376" spans="3:8" x14ac:dyDescent="0.2">
      <c r="C1376" s="16"/>
      <c r="D1376" s="12"/>
      <c r="E1376" s="12"/>
      <c r="F1376" s="12"/>
      <c r="G1376" s="12"/>
      <c r="H1376" s="12"/>
    </row>
    <row r="1377" spans="3:8" x14ac:dyDescent="0.2">
      <c r="C1377" s="16"/>
      <c r="D1377" s="12"/>
      <c r="E1377" s="12"/>
      <c r="F1377" s="12"/>
      <c r="G1377" s="12"/>
      <c r="H1377" s="12"/>
    </row>
    <row r="1378" spans="3:8" x14ac:dyDescent="0.2">
      <c r="C1378" s="16"/>
      <c r="D1378" s="12"/>
      <c r="E1378" s="12"/>
      <c r="F1378" s="12"/>
      <c r="G1378" s="12"/>
      <c r="H1378" s="12"/>
    </row>
    <row r="1379" spans="3:8" x14ac:dyDescent="0.2">
      <c r="C1379" s="16"/>
      <c r="D1379" s="12"/>
      <c r="E1379" s="12"/>
      <c r="F1379" s="12"/>
      <c r="G1379" s="12"/>
      <c r="H1379" s="12"/>
    </row>
    <row r="1380" spans="3:8" x14ac:dyDescent="0.2">
      <c r="C1380" s="16"/>
      <c r="D1380" s="12"/>
      <c r="E1380" s="12"/>
      <c r="F1380" s="12"/>
      <c r="G1380" s="12"/>
      <c r="H1380" s="12"/>
    </row>
    <row r="1381" spans="3:8" x14ac:dyDescent="0.2">
      <c r="C1381" s="16"/>
      <c r="D1381" s="12"/>
      <c r="E1381" s="12"/>
      <c r="F1381" s="12"/>
      <c r="G1381" s="12"/>
      <c r="H1381" s="12"/>
    </row>
    <row r="1382" spans="3:8" x14ac:dyDescent="0.2">
      <c r="C1382" s="16"/>
      <c r="D1382" s="12"/>
      <c r="E1382" s="12"/>
      <c r="F1382" s="12"/>
      <c r="G1382" s="12"/>
      <c r="H1382" s="12"/>
    </row>
    <row r="1383" spans="3:8" x14ac:dyDescent="0.2">
      <c r="C1383" s="16"/>
      <c r="D1383" s="12"/>
      <c r="E1383" s="12"/>
      <c r="F1383" s="12"/>
      <c r="G1383" s="12"/>
      <c r="H1383" s="12"/>
    </row>
    <row r="1384" spans="3:8" x14ac:dyDescent="0.2">
      <c r="C1384" s="16"/>
      <c r="D1384" s="12"/>
      <c r="E1384" s="12"/>
      <c r="F1384" s="12"/>
      <c r="G1384" s="12"/>
      <c r="H1384" s="12"/>
    </row>
    <row r="1385" spans="3:8" x14ac:dyDescent="0.2">
      <c r="C1385" s="16"/>
      <c r="D1385" s="12"/>
      <c r="E1385" s="12"/>
      <c r="F1385" s="12"/>
      <c r="G1385" s="12"/>
      <c r="H1385" s="12"/>
    </row>
    <row r="1386" spans="3:8" x14ac:dyDescent="0.2">
      <c r="C1386" s="16"/>
      <c r="D1386" s="12"/>
      <c r="E1386" s="12"/>
      <c r="F1386" s="12"/>
      <c r="G1386" s="12"/>
      <c r="H1386" s="12"/>
    </row>
    <row r="1387" spans="3:8" x14ac:dyDescent="0.2">
      <c r="C1387" s="16"/>
      <c r="D1387" s="12"/>
      <c r="E1387" s="12"/>
      <c r="F1387" s="12"/>
      <c r="G1387" s="12"/>
      <c r="H1387" s="12"/>
    </row>
    <row r="1388" spans="3:8" x14ac:dyDescent="0.2">
      <c r="C1388" s="16"/>
      <c r="D1388" s="12"/>
      <c r="E1388" s="12"/>
      <c r="F1388" s="12"/>
      <c r="G1388" s="12"/>
      <c r="H1388" s="12"/>
    </row>
    <row r="1389" spans="3:8" x14ac:dyDescent="0.2">
      <c r="C1389" s="16"/>
      <c r="D1389" s="12"/>
      <c r="E1389" s="12"/>
      <c r="F1389" s="12"/>
      <c r="G1389" s="12"/>
      <c r="H1389" s="12"/>
    </row>
    <row r="1390" spans="3:8" x14ac:dyDescent="0.2">
      <c r="C1390" s="16"/>
      <c r="D1390" s="12"/>
      <c r="E1390" s="12"/>
      <c r="F1390" s="12"/>
      <c r="G1390" s="12"/>
      <c r="H1390" s="12"/>
    </row>
    <row r="1391" spans="3:8" x14ac:dyDescent="0.2">
      <c r="C1391" s="16"/>
      <c r="D1391" s="12"/>
      <c r="E1391" s="12"/>
      <c r="F1391" s="12"/>
      <c r="G1391" s="12"/>
      <c r="H1391" s="12"/>
    </row>
    <row r="1392" spans="3:8" x14ac:dyDescent="0.2">
      <c r="C1392" s="16"/>
      <c r="D1392" s="12"/>
      <c r="E1392" s="12"/>
      <c r="F1392" s="12"/>
      <c r="G1392" s="12"/>
      <c r="H1392" s="12"/>
    </row>
    <row r="1393" spans="3:8" x14ac:dyDescent="0.2">
      <c r="C1393" s="16"/>
      <c r="D1393" s="12"/>
      <c r="E1393" s="12"/>
      <c r="F1393" s="12"/>
      <c r="G1393" s="12"/>
      <c r="H1393" s="12"/>
    </row>
  </sheetData>
  <sheetProtection algorithmName="SHA-512" hashValue="PvSlTY/0RMdIIM8m+6KgoqY++gihkW0a+YQaU1bt4aaOL6Io6VtSIwM/eg3ljQBowlTUoAkwM5pT8ps5QHDqQQ==" saltValue="0clKfrJolwyGL54Z65A1DA==" spinCount="100000" sheet="1" objects="1" scenario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19">
    <mergeCell ref="O8:P8"/>
    <mergeCell ref="C94:D94"/>
    <mergeCell ref="B34:C34"/>
    <mergeCell ref="C85:D85"/>
    <mergeCell ref="C33:D33"/>
    <mergeCell ref="G8:G9"/>
    <mergeCell ref="C19:D19"/>
    <mergeCell ref="B11:D11"/>
    <mergeCell ref="C13:D13"/>
    <mergeCell ref="C31:D31"/>
    <mergeCell ref="C30:D30"/>
    <mergeCell ref="B12:C12"/>
    <mergeCell ref="B10:D10"/>
    <mergeCell ref="C73:D73"/>
    <mergeCell ref="C25:D25"/>
    <mergeCell ref="B26:C26"/>
    <mergeCell ref="C27:D27"/>
    <mergeCell ref="C66:D66"/>
    <mergeCell ref="C32:D32"/>
    <mergeCell ref="C59:D59"/>
    <mergeCell ref="C52:D52"/>
    <mergeCell ref="C35:D35"/>
    <mergeCell ref="C61:D61"/>
    <mergeCell ref="C53:D53"/>
    <mergeCell ref="B60:C60"/>
    <mergeCell ref="C72:D72"/>
    <mergeCell ref="C155:D155"/>
    <mergeCell ref="C152:D152"/>
    <mergeCell ref="B97:C97"/>
    <mergeCell ref="B74:C74"/>
    <mergeCell ref="C81:D81"/>
    <mergeCell ref="C75:D75"/>
    <mergeCell ref="C149:D149"/>
    <mergeCell ref="B136:C136"/>
    <mergeCell ref="C135:D135"/>
    <mergeCell ref="C117:D117"/>
    <mergeCell ref="C96:D96"/>
    <mergeCell ref="C109:D109"/>
    <mergeCell ref="C98:D98"/>
    <mergeCell ref="C131:D131"/>
    <mergeCell ref="C124:D124"/>
    <mergeCell ref="C92:D92"/>
    <mergeCell ref="C120:D120"/>
    <mergeCell ref="C119:D119"/>
    <mergeCell ref="C116:D116"/>
    <mergeCell ref="B88:C88"/>
    <mergeCell ref="C82:D82"/>
    <mergeCell ref="C87:D87"/>
    <mergeCell ref="C84:D84"/>
    <mergeCell ref="B256:D256"/>
    <mergeCell ref="C254:D254"/>
    <mergeCell ref="C252:D252"/>
    <mergeCell ref="B253:D253"/>
    <mergeCell ref="B255:D255"/>
    <mergeCell ref="C249:D249"/>
    <mergeCell ref="C137:D137"/>
    <mergeCell ref="C147:D147"/>
    <mergeCell ref="C194:D194"/>
    <mergeCell ref="B225:C225"/>
    <mergeCell ref="C219:D219"/>
    <mergeCell ref="C159:D159"/>
    <mergeCell ref="C224:D224"/>
    <mergeCell ref="C209:D209"/>
    <mergeCell ref="C161:D161"/>
    <mergeCell ref="C183:D183"/>
    <mergeCell ref="C190:D190"/>
    <mergeCell ref="C163:D163"/>
    <mergeCell ref="C204:D204"/>
    <mergeCell ref="C185:D185"/>
    <mergeCell ref="C207:D207"/>
    <mergeCell ref="C206:D206"/>
    <mergeCell ref="C200:D200"/>
    <mergeCell ref="C227:D227"/>
    <mergeCell ref="C202:D202"/>
    <mergeCell ref="C192:D192"/>
    <mergeCell ref="C212:D212"/>
    <mergeCell ref="C226:D226"/>
    <mergeCell ref="C250:D250"/>
    <mergeCell ref="C248:D248"/>
    <mergeCell ref="C246:D246"/>
    <mergeCell ref="C236:D236"/>
    <mergeCell ref="C214:D214"/>
    <mergeCell ref="C215:D215"/>
    <mergeCell ref="C165:D165"/>
    <mergeCell ref="C169:D169"/>
    <mergeCell ref="C171:D171"/>
    <mergeCell ref="C177:D177"/>
    <mergeCell ref="C189:D189"/>
    <mergeCell ref="C198:D198"/>
    <mergeCell ref="C179:D179"/>
    <mergeCell ref="C168:D168"/>
    <mergeCell ref="C172:D172"/>
    <mergeCell ref="C181:D181"/>
    <mergeCell ref="C187:D187"/>
    <mergeCell ref="C175:D175"/>
    <mergeCell ref="C128:D128"/>
    <mergeCell ref="AD1:AW1"/>
    <mergeCell ref="A7:A9"/>
    <mergeCell ref="B5:AW5"/>
    <mergeCell ref="U8:U9"/>
    <mergeCell ref="I8:I9"/>
    <mergeCell ref="AW7:AW9"/>
    <mergeCell ref="AV7:AV9"/>
    <mergeCell ref="AN8:AN9"/>
    <mergeCell ref="AL8:AL9"/>
    <mergeCell ref="B7:D9"/>
    <mergeCell ref="AD8:AD9"/>
    <mergeCell ref="E7:E9"/>
    <mergeCell ref="J8:J9"/>
    <mergeCell ref="V8:V9"/>
    <mergeCell ref="AE8:AE9"/>
    <mergeCell ref="H8:H9"/>
    <mergeCell ref="T8:T9"/>
    <mergeCell ref="AC8:AC9"/>
    <mergeCell ref="AM8:AM9"/>
    <mergeCell ref="AO8:AO9"/>
    <mergeCell ref="F8:F9"/>
    <mergeCell ref="F7:AN7"/>
    <mergeCell ref="C89:D89"/>
  </mergeCells>
  <phoneticPr fontId="1" type="noConversion"/>
  <printOptions horizontalCentered="1"/>
  <pageMargins left="0.19685039370078741" right="0.11811023622047245" top="0.39370078740157483" bottom="0.35433070866141736" header="0.11811023622047245" footer="0.15748031496062992"/>
  <pageSetup paperSize="9" scale="55" orientation="portrait" horizontalDpi="300" verticalDpi="300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C1:U189"/>
  <sheetViews>
    <sheetView zoomScaleNormal="100" workbookViewId="0">
      <selection activeCell="I4" sqref="I4"/>
    </sheetView>
  </sheetViews>
  <sheetFormatPr defaultRowHeight="12" outlineLevelRow="1" outlineLevelCol="1" x14ac:dyDescent="0.2"/>
  <cols>
    <col min="1" max="3" width="9.140625" style="26"/>
    <col min="4" max="4" width="1.42578125" style="83" customWidth="1"/>
    <col min="5" max="5" width="3" style="83" customWidth="1"/>
    <col min="6" max="6" width="9.140625" style="83" customWidth="1"/>
    <col min="7" max="7" width="40.7109375" style="83" customWidth="1"/>
    <col min="8" max="8" width="10.5703125" style="83" hidden="1" customWidth="1" outlineLevel="1"/>
    <col min="9" max="9" width="10" style="83" customWidth="1" collapsed="1"/>
    <col min="10" max="10" width="10" style="368" hidden="1" customWidth="1" outlineLevel="1"/>
    <col min="11" max="11" width="7.42578125" style="368" hidden="1" customWidth="1" outlineLevel="1"/>
    <col min="12" max="20" width="9.140625" style="369" hidden="1" customWidth="1" outlineLevel="1"/>
    <col min="21" max="21" width="9.140625" style="26" collapsed="1"/>
    <col min="22" max="16384" width="9.140625" style="26"/>
  </cols>
  <sheetData>
    <row r="1" spans="3:21" ht="16.5" x14ac:dyDescent="0.25">
      <c r="D1" s="449" t="s">
        <v>716</v>
      </c>
      <c r="E1" s="449"/>
      <c r="F1" s="449"/>
      <c r="G1" s="449"/>
      <c r="H1" s="449"/>
      <c r="I1" s="449"/>
    </row>
    <row r="2" spans="3:21" ht="16.5" x14ac:dyDescent="0.25">
      <c r="D2" s="445"/>
      <c r="E2" s="445"/>
      <c r="F2" s="445"/>
      <c r="G2" s="445"/>
      <c r="H2" s="445"/>
      <c r="I2" s="446" t="s">
        <v>772</v>
      </c>
    </row>
    <row r="3" spans="3:21" ht="16.5" x14ac:dyDescent="0.25">
      <c r="D3" s="445"/>
      <c r="E3" s="445"/>
      <c r="F3" s="445"/>
      <c r="G3" s="445"/>
      <c r="H3" s="445"/>
      <c r="I3" s="446" t="s">
        <v>773</v>
      </c>
    </row>
    <row r="6" spans="3:21" ht="18" customHeight="1" x14ac:dyDescent="0.35">
      <c r="C6" s="502" t="s">
        <v>524</v>
      </c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</row>
    <row r="7" spans="3:21" ht="12.75" thickBot="1" x14ac:dyDescent="0.25">
      <c r="D7" s="26"/>
      <c r="E7" s="26"/>
      <c r="F7" s="26"/>
      <c r="G7" s="26"/>
      <c r="H7" s="26"/>
      <c r="I7" s="26"/>
      <c r="J7" s="369"/>
      <c r="K7" s="369"/>
    </row>
    <row r="8" spans="3:21" ht="36" x14ac:dyDescent="0.2">
      <c r="D8" s="512" t="s">
        <v>28</v>
      </c>
      <c r="E8" s="513"/>
      <c r="F8" s="513"/>
      <c r="G8" s="185" t="s">
        <v>29</v>
      </c>
      <c r="H8" s="413" t="s">
        <v>751</v>
      </c>
      <c r="I8" s="257" t="s">
        <v>705</v>
      </c>
      <c r="J8" s="370" t="s">
        <v>728</v>
      </c>
      <c r="K8" s="412" t="s">
        <v>732</v>
      </c>
      <c r="L8" s="412" t="s">
        <v>744</v>
      </c>
      <c r="M8" s="432" t="s">
        <v>755</v>
      </c>
      <c r="N8" s="371"/>
      <c r="O8" s="371"/>
      <c r="P8" s="371"/>
      <c r="Q8" s="371"/>
      <c r="R8" s="371"/>
      <c r="S8" s="371"/>
      <c r="T8" s="371"/>
    </row>
    <row r="9" spans="3:21" ht="10.5" customHeight="1" thickBot="1" x14ac:dyDescent="0.25">
      <c r="D9" s="514">
        <v>1</v>
      </c>
      <c r="E9" s="515"/>
      <c r="F9" s="516"/>
      <c r="G9" s="87">
        <v>2</v>
      </c>
      <c r="H9" s="383">
        <v>7</v>
      </c>
      <c r="I9" s="363">
        <v>7</v>
      </c>
      <c r="J9" s="372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3:21" s="186" customFormat="1" ht="12.75" customHeight="1" thickTop="1" x14ac:dyDescent="0.2">
      <c r="D10" s="504" t="s">
        <v>133</v>
      </c>
      <c r="E10" s="505"/>
      <c r="F10" s="505"/>
      <c r="G10" s="506"/>
      <c r="H10" s="384">
        <f t="shared" ref="H10:T10" si="0">SUM(H118,H120,H146)</f>
        <v>109320788</v>
      </c>
      <c r="I10" s="364">
        <f t="shared" si="0"/>
        <v>111501354</v>
      </c>
      <c r="J10" s="365">
        <f t="shared" si="0"/>
        <v>2180566</v>
      </c>
      <c r="K10" s="366">
        <f t="shared" si="0"/>
        <v>42815</v>
      </c>
      <c r="L10" s="366">
        <f t="shared" si="0"/>
        <v>1686405</v>
      </c>
      <c r="M10" s="366">
        <f t="shared" si="0"/>
        <v>451346</v>
      </c>
      <c r="N10" s="366">
        <f t="shared" si="0"/>
        <v>0</v>
      </c>
      <c r="O10" s="366">
        <f t="shared" si="0"/>
        <v>0</v>
      </c>
      <c r="P10" s="366">
        <f t="shared" si="0"/>
        <v>0</v>
      </c>
      <c r="Q10" s="366">
        <f t="shared" si="0"/>
        <v>0</v>
      </c>
      <c r="R10" s="366">
        <f t="shared" si="0"/>
        <v>0</v>
      </c>
      <c r="S10" s="366">
        <f t="shared" si="0"/>
        <v>0</v>
      </c>
      <c r="T10" s="367">
        <f t="shared" si="0"/>
        <v>0</v>
      </c>
    </row>
    <row r="11" spans="3:21" s="186" customFormat="1" x14ac:dyDescent="0.2">
      <c r="D11" s="27"/>
      <c r="E11" s="28"/>
      <c r="F11" s="29"/>
      <c r="G11" s="30"/>
      <c r="H11" s="31"/>
      <c r="I11" s="31"/>
      <c r="J11" s="374"/>
      <c r="K11" s="375"/>
      <c r="L11" s="375"/>
      <c r="M11" s="375"/>
      <c r="N11" s="375"/>
      <c r="O11" s="375"/>
      <c r="P11" s="375"/>
      <c r="Q11" s="375"/>
      <c r="R11" s="375"/>
      <c r="S11" s="375"/>
      <c r="T11" s="375"/>
    </row>
    <row r="12" spans="3:21" s="187" customFormat="1" x14ac:dyDescent="0.2">
      <c r="D12" s="507" t="s">
        <v>30</v>
      </c>
      <c r="E12" s="508"/>
      <c r="F12" s="508"/>
      <c r="G12" s="32" t="s">
        <v>31</v>
      </c>
      <c r="H12" s="33">
        <f t="shared" ref="H12:T13" si="1">H13</f>
        <v>42254761</v>
      </c>
      <c r="I12" s="33">
        <f t="shared" si="1"/>
        <v>42254761</v>
      </c>
      <c r="J12" s="324">
        <f t="shared" si="1"/>
        <v>0</v>
      </c>
      <c r="K12" s="325">
        <f t="shared" si="1"/>
        <v>0</v>
      </c>
      <c r="L12" s="325">
        <f t="shared" si="1"/>
        <v>0</v>
      </c>
      <c r="M12" s="325">
        <f t="shared" si="1"/>
        <v>0</v>
      </c>
      <c r="N12" s="325">
        <f t="shared" si="1"/>
        <v>0</v>
      </c>
      <c r="O12" s="325">
        <f t="shared" si="1"/>
        <v>0</v>
      </c>
      <c r="P12" s="325">
        <f t="shared" si="1"/>
        <v>0</v>
      </c>
      <c r="Q12" s="325">
        <f t="shared" si="1"/>
        <v>0</v>
      </c>
      <c r="R12" s="325">
        <f t="shared" si="1"/>
        <v>0</v>
      </c>
      <c r="S12" s="325">
        <f t="shared" si="1"/>
        <v>0</v>
      </c>
      <c r="T12" s="326">
        <f t="shared" si="1"/>
        <v>0</v>
      </c>
    </row>
    <row r="13" spans="3:21" s="186" customFormat="1" x14ac:dyDescent="0.2">
      <c r="D13" s="34"/>
      <c r="E13" s="503" t="s">
        <v>32</v>
      </c>
      <c r="F13" s="503"/>
      <c r="G13" s="35" t="s">
        <v>33</v>
      </c>
      <c r="H13" s="36">
        <f t="shared" si="1"/>
        <v>42254761</v>
      </c>
      <c r="I13" s="36">
        <f t="shared" si="1"/>
        <v>42254761</v>
      </c>
      <c r="J13" s="327">
        <f t="shared" si="1"/>
        <v>0</v>
      </c>
      <c r="K13" s="328">
        <f t="shared" si="1"/>
        <v>0</v>
      </c>
      <c r="L13" s="328">
        <f t="shared" si="1"/>
        <v>0</v>
      </c>
      <c r="M13" s="328">
        <f t="shared" si="1"/>
        <v>0</v>
      </c>
      <c r="N13" s="328">
        <f t="shared" si="1"/>
        <v>0</v>
      </c>
      <c r="O13" s="328">
        <f t="shared" si="1"/>
        <v>0</v>
      </c>
      <c r="P13" s="328">
        <f t="shared" si="1"/>
        <v>0</v>
      </c>
      <c r="Q13" s="328">
        <f t="shared" si="1"/>
        <v>0</v>
      </c>
      <c r="R13" s="328">
        <f t="shared" si="1"/>
        <v>0</v>
      </c>
      <c r="S13" s="328">
        <f t="shared" si="1"/>
        <v>0</v>
      </c>
      <c r="T13" s="329">
        <f t="shared" si="1"/>
        <v>0</v>
      </c>
    </row>
    <row r="14" spans="3:21" x14ac:dyDescent="0.2">
      <c r="D14" s="37"/>
      <c r="E14" s="509" t="s">
        <v>34</v>
      </c>
      <c r="F14" s="509"/>
      <c r="G14" s="38" t="s">
        <v>35</v>
      </c>
      <c r="H14" s="385">
        <f t="shared" ref="H14" si="2">SUM(H15:H16)</f>
        <v>42254761</v>
      </c>
      <c r="I14" s="39">
        <f t="shared" ref="I14:T14" si="3">SUM(I15:I16)</f>
        <v>42254761</v>
      </c>
      <c r="J14" s="330">
        <f t="shared" ref="J14" si="4">SUM(J15:J16)</f>
        <v>0</v>
      </c>
      <c r="K14" s="331">
        <f t="shared" si="3"/>
        <v>0</v>
      </c>
      <c r="L14" s="331">
        <f t="shared" si="3"/>
        <v>0</v>
      </c>
      <c r="M14" s="331">
        <f t="shared" si="3"/>
        <v>0</v>
      </c>
      <c r="N14" s="331">
        <f t="shared" si="3"/>
        <v>0</v>
      </c>
      <c r="O14" s="331">
        <f t="shared" si="3"/>
        <v>0</v>
      </c>
      <c r="P14" s="331">
        <f t="shared" si="3"/>
        <v>0</v>
      </c>
      <c r="Q14" s="331">
        <f t="shared" si="3"/>
        <v>0</v>
      </c>
      <c r="R14" s="331">
        <f t="shared" si="3"/>
        <v>0</v>
      </c>
      <c r="S14" s="331">
        <f t="shared" si="3"/>
        <v>0</v>
      </c>
      <c r="T14" s="332">
        <f t="shared" si="3"/>
        <v>0</v>
      </c>
    </row>
    <row r="15" spans="3:21" ht="24" x14ac:dyDescent="0.2">
      <c r="D15" s="40"/>
      <c r="E15" s="510" t="s">
        <v>36</v>
      </c>
      <c r="F15" s="510"/>
      <c r="G15" s="41" t="s">
        <v>175</v>
      </c>
      <c r="H15" s="386">
        <f>205965</f>
        <v>205965</v>
      </c>
      <c r="I15" s="42">
        <f>H15+J15</f>
        <v>205965</v>
      </c>
      <c r="J15" s="342">
        <f>SUM(K15:T15)</f>
        <v>0</v>
      </c>
      <c r="K15" s="276"/>
      <c r="L15" s="276"/>
      <c r="M15" s="276"/>
      <c r="N15" s="276"/>
      <c r="O15" s="276"/>
      <c r="P15" s="276"/>
      <c r="Q15" s="276"/>
      <c r="R15" s="276"/>
      <c r="S15" s="276"/>
      <c r="T15" s="276"/>
    </row>
    <row r="16" spans="3:21" ht="24" x14ac:dyDescent="0.2">
      <c r="D16" s="43"/>
      <c r="E16" s="511" t="s">
        <v>37</v>
      </c>
      <c r="F16" s="511"/>
      <c r="G16" s="44" t="s">
        <v>511</v>
      </c>
      <c r="H16" s="387">
        <f>42048796</f>
        <v>42048796</v>
      </c>
      <c r="I16" s="45">
        <f>H16+J16</f>
        <v>42048796</v>
      </c>
      <c r="J16" s="342">
        <f>SUM(K16:T16)</f>
        <v>0</v>
      </c>
      <c r="K16" s="276"/>
      <c r="L16" s="276"/>
      <c r="M16" s="276"/>
      <c r="N16" s="276"/>
      <c r="O16" s="276"/>
      <c r="P16" s="276"/>
      <c r="Q16" s="276"/>
      <c r="R16" s="276"/>
      <c r="S16" s="276"/>
      <c r="T16" s="276"/>
    </row>
    <row r="17" spans="4:20" s="187" customFormat="1" x14ac:dyDescent="0.2">
      <c r="D17" s="507" t="s">
        <v>38</v>
      </c>
      <c r="E17" s="508"/>
      <c r="F17" s="508"/>
      <c r="G17" s="32" t="s">
        <v>39</v>
      </c>
      <c r="H17" s="33">
        <f t="shared" ref="H17:T17" si="5">SUM(H18)</f>
        <v>8371815</v>
      </c>
      <c r="I17" s="46">
        <f t="shared" si="5"/>
        <v>8371815</v>
      </c>
      <c r="J17" s="333">
        <f t="shared" si="5"/>
        <v>0</v>
      </c>
      <c r="K17" s="334">
        <f t="shared" si="5"/>
        <v>0</v>
      </c>
      <c r="L17" s="334">
        <f t="shared" si="5"/>
        <v>0</v>
      </c>
      <c r="M17" s="334">
        <f t="shared" si="5"/>
        <v>0</v>
      </c>
      <c r="N17" s="334">
        <f t="shared" si="5"/>
        <v>0</v>
      </c>
      <c r="O17" s="334">
        <f t="shared" si="5"/>
        <v>0</v>
      </c>
      <c r="P17" s="334">
        <f t="shared" si="5"/>
        <v>0</v>
      </c>
      <c r="Q17" s="334">
        <f t="shared" si="5"/>
        <v>0</v>
      </c>
      <c r="R17" s="334">
        <f t="shared" si="5"/>
        <v>0</v>
      </c>
      <c r="S17" s="334">
        <f t="shared" si="5"/>
        <v>0</v>
      </c>
      <c r="T17" s="335">
        <f t="shared" si="5"/>
        <v>0</v>
      </c>
    </row>
    <row r="18" spans="4:20" s="186" customFormat="1" x14ac:dyDescent="0.2">
      <c r="D18" s="34"/>
      <c r="E18" s="503" t="s">
        <v>40</v>
      </c>
      <c r="F18" s="503"/>
      <c r="G18" s="35" t="s">
        <v>41</v>
      </c>
      <c r="H18" s="36">
        <f t="shared" ref="H18" si="6">SUM(H19,H22)</f>
        <v>8371815</v>
      </c>
      <c r="I18" s="47">
        <f t="shared" ref="I18:T18" si="7">SUM(I19,I22)</f>
        <v>8371815</v>
      </c>
      <c r="J18" s="336">
        <f t="shared" ref="J18" si="8">SUM(J19,J22)</f>
        <v>0</v>
      </c>
      <c r="K18" s="337">
        <f t="shared" si="7"/>
        <v>0</v>
      </c>
      <c r="L18" s="337">
        <f t="shared" si="7"/>
        <v>0</v>
      </c>
      <c r="M18" s="337">
        <f t="shared" si="7"/>
        <v>0</v>
      </c>
      <c r="N18" s="337">
        <f t="shared" si="7"/>
        <v>0</v>
      </c>
      <c r="O18" s="337">
        <f t="shared" si="7"/>
        <v>0</v>
      </c>
      <c r="P18" s="337">
        <f t="shared" si="7"/>
        <v>0</v>
      </c>
      <c r="Q18" s="337">
        <f t="shared" si="7"/>
        <v>0</v>
      </c>
      <c r="R18" s="337">
        <f t="shared" si="7"/>
        <v>0</v>
      </c>
      <c r="S18" s="337">
        <f t="shared" si="7"/>
        <v>0</v>
      </c>
      <c r="T18" s="338">
        <f t="shared" si="7"/>
        <v>0</v>
      </c>
    </row>
    <row r="19" spans="4:20" x14ac:dyDescent="0.2">
      <c r="D19" s="48"/>
      <c r="E19" s="522" t="s">
        <v>227</v>
      </c>
      <c r="F19" s="522"/>
      <c r="G19" s="49" t="s">
        <v>226</v>
      </c>
      <c r="H19" s="388">
        <f t="shared" ref="H19" si="9">SUM(H20:H21)</f>
        <v>4643309</v>
      </c>
      <c r="I19" s="50">
        <f t="shared" ref="I19:T19" si="10">SUM(I20:I21)</f>
        <v>4643309</v>
      </c>
      <c r="J19" s="339">
        <f t="shared" ref="J19" si="11">SUM(J20:J21)</f>
        <v>0</v>
      </c>
      <c r="K19" s="340">
        <f t="shared" si="10"/>
        <v>0</v>
      </c>
      <c r="L19" s="340">
        <f t="shared" si="10"/>
        <v>0</v>
      </c>
      <c r="M19" s="340">
        <f t="shared" si="10"/>
        <v>0</v>
      </c>
      <c r="N19" s="340">
        <f t="shared" si="10"/>
        <v>0</v>
      </c>
      <c r="O19" s="340">
        <f t="shared" si="10"/>
        <v>0</v>
      </c>
      <c r="P19" s="340">
        <f t="shared" si="10"/>
        <v>0</v>
      </c>
      <c r="Q19" s="340">
        <f t="shared" si="10"/>
        <v>0</v>
      </c>
      <c r="R19" s="340">
        <f t="shared" si="10"/>
        <v>0</v>
      </c>
      <c r="S19" s="340">
        <f t="shared" si="10"/>
        <v>0</v>
      </c>
      <c r="T19" s="341">
        <f t="shared" si="10"/>
        <v>0</v>
      </c>
    </row>
    <row r="20" spans="4:20" ht="24" x14ac:dyDescent="0.2">
      <c r="D20" s="40"/>
      <c r="E20" s="510" t="s">
        <v>42</v>
      </c>
      <c r="F20" s="510"/>
      <c r="G20" s="41" t="s">
        <v>43</v>
      </c>
      <c r="H20" s="386">
        <f>4143309</f>
        <v>4143309</v>
      </c>
      <c r="I20" s="42">
        <f t="shared" ref="I20:I21" si="12">H20+J20</f>
        <v>4143309</v>
      </c>
      <c r="J20" s="342">
        <f>SUM(K20:T20)</f>
        <v>0</v>
      </c>
      <c r="K20" s="276"/>
      <c r="L20" s="276"/>
      <c r="M20" s="276"/>
      <c r="N20" s="276"/>
      <c r="O20" s="276"/>
      <c r="P20" s="276"/>
      <c r="Q20" s="276"/>
      <c r="R20" s="276"/>
      <c r="S20" s="276"/>
      <c r="T20" s="276"/>
    </row>
    <row r="21" spans="4:20" ht="24" x14ac:dyDescent="0.2">
      <c r="D21" s="43"/>
      <c r="E21" s="518" t="s">
        <v>44</v>
      </c>
      <c r="F21" s="518"/>
      <c r="G21" s="44" t="s">
        <v>45</v>
      </c>
      <c r="H21" s="387">
        <f>500000</f>
        <v>500000</v>
      </c>
      <c r="I21" s="45">
        <f t="shared" si="12"/>
        <v>500000</v>
      </c>
      <c r="J21" s="342">
        <f>SUM(K21:T21)</f>
        <v>0</v>
      </c>
      <c r="K21" s="276"/>
      <c r="L21" s="276"/>
      <c r="M21" s="276"/>
      <c r="N21" s="276"/>
      <c r="O21" s="276"/>
      <c r="P21" s="276"/>
      <c r="Q21" s="276"/>
      <c r="R21" s="276"/>
      <c r="S21" s="276"/>
      <c r="T21" s="276"/>
    </row>
    <row r="22" spans="4:20" x14ac:dyDescent="0.2">
      <c r="D22" s="48"/>
      <c r="E22" s="522" t="s">
        <v>46</v>
      </c>
      <c r="F22" s="522"/>
      <c r="G22" s="49" t="s">
        <v>176</v>
      </c>
      <c r="H22" s="388">
        <f>SUM(H23:H24)</f>
        <v>3728506</v>
      </c>
      <c r="I22" s="50">
        <f t="shared" ref="I22:T22" si="13">SUM(I23:I24)</f>
        <v>3728506</v>
      </c>
      <c r="J22" s="339">
        <f t="shared" ref="J22" si="14">SUM(J23:J24)</f>
        <v>0</v>
      </c>
      <c r="K22" s="340">
        <f t="shared" si="13"/>
        <v>0</v>
      </c>
      <c r="L22" s="340">
        <f t="shared" si="13"/>
        <v>0</v>
      </c>
      <c r="M22" s="340">
        <f t="shared" si="13"/>
        <v>0</v>
      </c>
      <c r="N22" s="340">
        <f t="shared" si="13"/>
        <v>0</v>
      </c>
      <c r="O22" s="340">
        <f t="shared" si="13"/>
        <v>0</v>
      </c>
      <c r="P22" s="340">
        <f t="shared" si="13"/>
        <v>0</v>
      </c>
      <c r="Q22" s="340">
        <f t="shared" si="13"/>
        <v>0</v>
      </c>
      <c r="R22" s="340">
        <f t="shared" si="13"/>
        <v>0</v>
      </c>
      <c r="S22" s="340">
        <f t="shared" si="13"/>
        <v>0</v>
      </c>
      <c r="T22" s="341">
        <f t="shared" si="13"/>
        <v>0</v>
      </c>
    </row>
    <row r="23" spans="4:20" ht="24" x14ac:dyDescent="0.2">
      <c r="D23" s="40"/>
      <c r="E23" s="517" t="s">
        <v>47</v>
      </c>
      <c r="F23" s="517"/>
      <c r="G23" s="41" t="s">
        <v>187</v>
      </c>
      <c r="H23" s="386">
        <f>3428506</f>
        <v>3428506</v>
      </c>
      <c r="I23" s="42">
        <f t="shared" ref="I23:I24" si="15">H23+J23</f>
        <v>3428506</v>
      </c>
      <c r="J23" s="343">
        <f>SUM(K23:T23)</f>
        <v>0</v>
      </c>
      <c r="K23" s="323"/>
      <c r="L23" s="276"/>
      <c r="M23" s="276"/>
      <c r="N23" s="276"/>
      <c r="O23" s="276"/>
      <c r="P23" s="276"/>
      <c r="Q23" s="276"/>
      <c r="R23" s="276"/>
      <c r="S23" s="276"/>
      <c r="T23" s="276"/>
    </row>
    <row r="24" spans="4:20" ht="24" x14ac:dyDescent="0.2">
      <c r="D24" s="43"/>
      <c r="E24" s="518" t="s">
        <v>48</v>
      </c>
      <c r="F24" s="518"/>
      <c r="G24" s="44" t="s">
        <v>188</v>
      </c>
      <c r="H24" s="387">
        <f>300000</f>
        <v>300000</v>
      </c>
      <c r="I24" s="45">
        <f t="shared" si="15"/>
        <v>300000</v>
      </c>
      <c r="J24" s="342">
        <f>SUM(K24:T24)</f>
        <v>0</v>
      </c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4:20" s="187" customFormat="1" x14ac:dyDescent="0.2">
      <c r="D25" s="507" t="s">
        <v>49</v>
      </c>
      <c r="E25" s="508"/>
      <c r="F25" s="508"/>
      <c r="G25" s="32" t="s">
        <v>50</v>
      </c>
      <c r="H25" s="33">
        <f t="shared" ref="H25" si="16">SUM(H26,H28)</f>
        <v>272473</v>
      </c>
      <c r="I25" s="46">
        <f t="shared" ref="I25:T25" si="17">SUM(I26,I28)</f>
        <v>272473</v>
      </c>
      <c r="J25" s="333">
        <f t="shared" ref="J25" si="18">SUM(J26,J28)</f>
        <v>0</v>
      </c>
      <c r="K25" s="334">
        <f t="shared" si="17"/>
        <v>0</v>
      </c>
      <c r="L25" s="334">
        <f t="shared" si="17"/>
        <v>0</v>
      </c>
      <c r="M25" s="334">
        <f t="shared" si="17"/>
        <v>0</v>
      </c>
      <c r="N25" s="334">
        <f t="shared" si="17"/>
        <v>0</v>
      </c>
      <c r="O25" s="334">
        <f t="shared" si="17"/>
        <v>0</v>
      </c>
      <c r="P25" s="334">
        <f t="shared" si="17"/>
        <v>0</v>
      </c>
      <c r="Q25" s="334">
        <f t="shared" si="17"/>
        <v>0</v>
      </c>
      <c r="R25" s="334">
        <f t="shared" si="17"/>
        <v>0</v>
      </c>
      <c r="S25" s="334">
        <f t="shared" si="17"/>
        <v>0</v>
      </c>
      <c r="T25" s="335">
        <f t="shared" si="17"/>
        <v>0</v>
      </c>
    </row>
    <row r="26" spans="4:20" s="186" customFormat="1" ht="24" x14ac:dyDescent="0.2">
      <c r="D26" s="34"/>
      <c r="E26" s="503" t="s">
        <v>51</v>
      </c>
      <c r="F26" s="503"/>
      <c r="G26" s="51" t="s">
        <v>52</v>
      </c>
      <c r="H26" s="36">
        <f t="shared" ref="H26:T26" si="19">H27</f>
        <v>200200</v>
      </c>
      <c r="I26" s="47">
        <f t="shared" si="19"/>
        <v>200200</v>
      </c>
      <c r="J26" s="336">
        <f t="shared" si="19"/>
        <v>0</v>
      </c>
      <c r="K26" s="337">
        <f t="shared" si="19"/>
        <v>0</v>
      </c>
      <c r="L26" s="337">
        <f t="shared" si="19"/>
        <v>0</v>
      </c>
      <c r="M26" s="337">
        <f t="shared" si="19"/>
        <v>0</v>
      </c>
      <c r="N26" s="337">
        <f t="shared" si="19"/>
        <v>0</v>
      </c>
      <c r="O26" s="337">
        <f t="shared" si="19"/>
        <v>0</v>
      </c>
      <c r="P26" s="337">
        <f t="shared" si="19"/>
        <v>0</v>
      </c>
      <c r="Q26" s="337">
        <f t="shared" si="19"/>
        <v>0</v>
      </c>
      <c r="R26" s="337">
        <f t="shared" si="19"/>
        <v>0</v>
      </c>
      <c r="S26" s="337">
        <f t="shared" si="19"/>
        <v>0</v>
      </c>
      <c r="T26" s="338">
        <f t="shared" si="19"/>
        <v>0</v>
      </c>
    </row>
    <row r="27" spans="4:20" x14ac:dyDescent="0.2">
      <c r="D27" s="52"/>
      <c r="E27" s="519" t="s">
        <v>53</v>
      </c>
      <c r="F27" s="519"/>
      <c r="G27" s="53" t="s">
        <v>54</v>
      </c>
      <c r="H27" s="389">
        <f>200200</f>
        <v>200200</v>
      </c>
      <c r="I27" s="54">
        <f>H27+J27</f>
        <v>200200</v>
      </c>
      <c r="J27" s="342">
        <f>SUM(K27:T27)</f>
        <v>0</v>
      </c>
      <c r="K27" s="276"/>
      <c r="L27" s="276"/>
      <c r="M27" s="276"/>
      <c r="N27" s="276"/>
      <c r="O27" s="276"/>
      <c r="P27" s="276"/>
      <c r="Q27" s="276"/>
      <c r="R27" s="276"/>
      <c r="S27" s="276"/>
      <c r="T27" s="276"/>
    </row>
    <row r="28" spans="4:20" s="186" customFormat="1" ht="24" x14ac:dyDescent="0.2">
      <c r="D28" s="34"/>
      <c r="E28" s="520" t="s">
        <v>55</v>
      </c>
      <c r="F28" s="521"/>
      <c r="G28" s="55" t="s">
        <v>56</v>
      </c>
      <c r="H28" s="390">
        <f t="shared" ref="H28:T29" si="20">SUM(H29)</f>
        <v>72273</v>
      </c>
      <c r="I28" s="47">
        <f t="shared" si="20"/>
        <v>72273</v>
      </c>
      <c r="J28" s="336">
        <f t="shared" si="20"/>
        <v>0</v>
      </c>
      <c r="K28" s="337">
        <f t="shared" si="20"/>
        <v>0</v>
      </c>
      <c r="L28" s="337">
        <f t="shared" si="20"/>
        <v>0</v>
      </c>
      <c r="M28" s="337">
        <f t="shared" si="20"/>
        <v>0</v>
      </c>
      <c r="N28" s="337">
        <f t="shared" si="20"/>
        <v>0</v>
      </c>
      <c r="O28" s="337">
        <f t="shared" si="20"/>
        <v>0</v>
      </c>
      <c r="P28" s="337">
        <f t="shared" si="20"/>
        <v>0</v>
      </c>
      <c r="Q28" s="337">
        <f t="shared" si="20"/>
        <v>0</v>
      </c>
      <c r="R28" s="337">
        <f t="shared" si="20"/>
        <v>0</v>
      </c>
      <c r="S28" s="337">
        <f t="shared" si="20"/>
        <v>0</v>
      </c>
      <c r="T28" s="338">
        <f t="shared" si="20"/>
        <v>0</v>
      </c>
    </row>
    <row r="29" spans="4:20" x14ac:dyDescent="0.2">
      <c r="D29" s="52"/>
      <c r="E29" s="524" t="s">
        <v>57</v>
      </c>
      <c r="F29" s="525"/>
      <c r="G29" s="57" t="s">
        <v>58</v>
      </c>
      <c r="H29" s="391">
        <f>SUM(H30)</f>
        <v>72273</v>
      </c>
      <c r="I29" s="50">
        <f>SUM(I30)</f>
        <v>72273</v>
      </c>
      <c r="J29" s="339">
        <f>SUM(J30)</f>
        <v>0</v>
      </c>
      <c r="K29" s="340">
        <f t="shared" si="20"/>
        <v>0</v>
      </c>
      <c r="L29" s="340">
        <f t="shared" si="20"/>
        <v>0</v>
      </c>
      <c r="M29" s="340">
        <f t="shared" si="20"/>
        <v>0</v>
      </c>
      <c r="N29" s="340">
        <f t="shared" si="20"/>
        <v>0</v>
      </c>
      <c r="O29" s="340">
        <f t="shared" si="20"/>
        <v>0</v>
      </c>
      <c r="P29" s="340">
        <f t="shared" si="20"/>
        <v>0</v>
      </c>
      <c r="Q29" s="340">
        <f t="shared" si="20"/>
        <v>0</v>
      </c>
      <c r="R29" s="340">
        <f t="shared" si="20"/>
        <v>0</v>
      </c>
      <c r="S29" s="340">
        <f t="shared" si="20"/>
        <v>0</v>
      </c>
      <c r="T29" s="341">
        <f t="shared" si="20"/>
        <v>0</v>
      </c>
    </row>
    <row r="30" spans="4:20" ht="24" x14ac:dyDescent="0.2">
      <c r="D30" s="52"/>
      <c r="E30" s="208"/>
      <c r="F30" s="210" t="s">
        <v>540</v>
      </c>
      <c r="G30" s="137" t="s">
        <v>541</v>
      </c>
      <c r="H30" s="392">
        <f>72273</f>
        <v>72273</v>
      </c>
      <c r="I30" s="54">
        <f>H30+J30</f>
        <v>72273</v>
      </c>
      <c r="J30" s="342">
        <f>SUM(K30:T30)</f>
        <v>0</v>
      </c>
      <c r="K30" s="276"/>
      <c r="L30" s="276"/>
      <c r="M30" s="276"/>
      <c r="N30" s="276"/>
      <c r="O30" s="276"/>
      <c r="P30" s="276"/>
      <c r="Q30" s="276"/>
      <c r="R30" s="276"/>
      <c r="S30" s="276"/>
      <c r="T30" s="276"/>
    </row>
    <row r="31" spans="4:20" s="187" customFormat="1" ht="24" x14ac:dyDescent="0.2">
      <c r="D31" s="507" t="s">
        <v>59</v>
      </c>
      <c r="E31" s="508"/>
      <c r="F31" s="508"/>
      <c r="G31" s="58" t="s">
        <v>143</v>
      </c>
      <c r="H31" s="33">
        <f>SUM(H32,H34,H37)</f>
        <v>4116</v>
      </c>
      <c r="I31" s="46">
        <f>SUM(I32,I34,I37)</f>
        <v>4116</v>
      </c>
      <c r="J31" s="333">
        <f>SUM(J32,J34,J37)</f>
        <v>0</v>
      </c>
      <c r="K31" s="334">
        <f t="shared" ref="K31:T31" si="21">SUM(K32,K34,K37)</f>
        <v>0</v>
      </c>
      <c r="L31" s="334">
        <f t="shared" si="21"/>
        <v>0</v>
      </c>
      <c r="M31" s="334">
        <f t="shared" si="21"/>
        <v>0</v>
      </c>
      <c r="N31" s="334">
        <f t="shared" si="21"/>
        <v>0</v>
      </c>
      <c r="O31" s="334">
        <f t="shared" si="21"/>
        <v>0</v>
      </c>
      <c r="P31" s="334">
        <f t="shared" si="21"/>
        <v>0</v>
      </c>
      <c r="Q31" s="334">
        <f t="shared" si="21"/>
        <v>0</v>
      </c>
      <c r="R31" s="334">
        <f t="shared" si="21"/>
        <v>0</v>
      </c>
      <c r="S31" s="334">
        <f t="shared" si="21"/>
        <v>0</v>
      </c>
      <c r="T31" s="335">
        <f t="shared" si="21"/>
        <v>0</v>
      </c>
    </row>
    <row r="32" spans="4:20" s="187" customFormat="1" ht="24" x14ac:dyDescent="0.2">
      <c r="D32" s="132"/>
      <c r="E32" s="503" t="s">
        <v>327</v>
      </c>
      <c r="F32" s="526"/>
      <c r="G32" s="35" t="s">
        <v>329</v>
      </c>
      <c r="H32" s="36">
        <f>H33</f>
        <v>0</v>
      </c>
      <c r="I32" s="47">
        <f>I33</f>
        <v>0</v>
      </c>
      <c r="J32" s="336">
        <f>J33</f>
        <v>0</v>
      </c>
      <c r="K32" s="337">
        <f t="shared" ref="K32:T32" si="22">K33</f>
        <v>0</v>
      </c>
      <c r="L32" s="337">
        <f t="shared" si="22"/>
        <v>0</v>
      </c>
      <c r="M32" s="337">
        <f t="shared" si="22"/>
        <v>0</v>
      </c>
      <c r="N32" s="337">
        <f t="shared" si="22"/>
        <v>0</v>
      </c>
      <c r="O32" s="337">
        <f t="shared" si="22"/>
        <v>0</v>
      </c>
      <c r="P32" s="337">
        <f t="shared" si="22"/>
        <v>0</v>
      </c>
      <c r="Q32" s="337">
        <f t="shared" si="22"/>
        <v>0</v>
      </c>
      <c r="R32" s="337">
        <f t="shared" si="22"/>
        <v>0</v>
      </c>
      <c r="S32" s="337">
        <f t="shared" si="22"/>
        <v>0</v>
      </c>
      <c r="T32" s="338">
        <f t="shared" si="22"/>
        <v>0</v>
      </c>
    </row>
    <row r="33" spans="4:20" s="187" customFormat="1" ht="24" x14ac:dyDescent="0.2">
      <c r="D33" s="132"/>
      <c r="E33" s="522" t="s">
        <v>328</v>
      </c>
      <c r="F33" s="527"/>
      <c r="G33" s="49" t="s">
        <v>330</v>
      </c>
      <c r="H33" s="388">
        <v>0</v>
      </c>
      <c r="I33" s="50">
        <f>H33+J33</f>
        <v>0</v>
      </c>
      <c r="J33" s="376">
        <f>SUM(K33:T33)</f>
        <v>0</v>
      </c>
      <c r="K33" s="377"/>
      <c r="L33" s="377"/>
      <c r="M33" s="377"/>
      <c r="N33" s="377"/>
      <c r="O33" s="377"/>
      <c r="P33" s="377"/>
      <c r="Q33" s="377"/>
      <c r="R33" s="377"/>
      <c r="S33" s="377"/>
      <c r="T33" s="377"/>
    </row>
    <row r="34" spans="4:20" s="186" customFormat="1" ht="24" x14ac:dyDescent="0.2">
      <c r="D34" s="34"/>
      <c r="E34" s="503" t="s">
        <v>60</v>
      </c>
      <c r="F34" s="503"/>
      <c r="G34" s="35" t="s">
        <v>61</v>
      </c>
      <c r="H34" s="36">
        <f t="shared" ref="H34:T35" si="23">H35</f>
        <v>0</v>
      </c>
      <c r="I34" s="47">
        <f t="shared" si="23"/>
        <v>0</v>
      </c>
      <c r="J34" s="336">
        <f t="shared" si="23"/>
        <v>0</v>
      </c>
      <c r="K34" s="337">
        <f t="shared" si="23"/>
        <v>0</v>
      </c>
      <c r="L34" s="337">
        <f t="shared" si="23"/>
        <v>0</v>
      </c>
      <c r="M34" s="337">
        <f t="shared" si="23"/>
        <v>0</v>
      </c>
      <c r="N34" s="337">
        <f t="shared" si="23"/>
        <v>0</v>
      </c>
      <c r="O34" s="337">
        <f t="shared" si="23"/>
        <v>0</v>
      </c>
      <c r="P34" s="337">
        <f t="shared" si="23"/>
        <v>0</v>
      </c>
      <c r="Q34" s="337">
        <f t="shared" si="23"/>
        <v>0</v>
      </c>
      <c r="R34" s="337">
        <f t="shared" si="23"/>
        <v>0</v>
      </c>
      <c r="S34" s="337">
        <f t="shared" si="23"/>
        <v>0</v>
      </c>
      <c r="T34" s="338">
        <f t="shared" si="23"/>
        <v>0</v>
      </c>
    </row>
    <row r="35" spans="4:20" ht="24" x14ac:dyDescent="0.2">
      <c r="D35" s="37"/>
      <c r="E35" s="509" t="s">
        <v>62</v>
      </c>
      <c r="F35" s="509"/>
      <c r="G35" s="38" t="s">
        <v>63</v>
      </c>
      <c r="H35" s="385">
        <f>H36</f>
        <v>0</v>
      </c>
      <c r="I35" s="39">
        <f t="shared" si="23"/>
        <v>0</v>
      </c>
      <c r="J35" s="330">
        <f t="shared" si="23"/>
        <v>0</v>
      </c>
      <c r="K35" s="331">
        <f t="shared" si="23"/>
        <v>0</v>
      </c>
      <c r="L35" s="331">
        <f t="shared" si="23"/>
        <v>0</v>
      </c>
      <c r="M35" s="331">
        <f t="shared" si="23"/>
        <v>0</v>
      </c>
      <c r="N35" s="331">
        <f t="shared" si="23"/>
        <v>0</v>
      </c>
      <c r="O35" s="331">
        <f t="shared" si="23"/>
        <v>0</v>
      </c>
      <c r="P35" s="331">
        <f t="shared" si="23"/>
        <v>0</v>
      </c>
      <c r="Q35" s="331">
        <f t="shared" si="23"/>
        <v>0</v>
      </c>
      <c r="R35" s="331">
        <f t="shared" si="23"/>
        <v>0</v>
      </c>
      <c r="S35" s="331">
        <f t="shared" si="23"/>
        <v>0</v>
      </c>
      <c r="T35" s="332">
        <f t="shared" si="23"/>
        <v>0</v>
      </c>
    </row>
    <row r="36" spans="4:20" ht="24" x14ac:dyDescent="0.2">
      <c r="D36" s="52"/>
      <c r="E36" s="523" t="s">
        <v>64</v>
      </c>
      <c r="F36" s="523"/>
      <c r="G36" s="53" t="s">
        <v>65</v>
      </c>
      <c r="H36" s="389">
        <v>0</v>
      </c>
      <c r="I36" s="54">
        <f>H36+J36</f>
        <v>0</v>
      </c>
      <c r="J36" s="342">
        <f>SUM(K36:T36)</f>
        <v>0</v>
      </c>
      <c r="K36" s="276"/>
      <c r="L36" s="276"/>
      <c r="M36" s="276"/>
      <c r="N36" s="276"/>
      <c r="O36" s="276"/>
      <c r="P36" s="276"/>
      <c r="Q36" s="276"/>
      <c r="R36" s="276"/>
      <c r="S36" s="276"/>
      <c r="T36" s="276"/>
    </row>
    <row r="37" spans="4:20" s="186" customFormat="1" ht="36" x14ac:dyDescent="0.2">
      <c r="D37" s="34"/>
      <c r="E37" s="503" t="s">
        <v>66</v>
      </c>
      <c r="F37" s="503"/>
      <c r="G37" s="35" t="s">
        <v>706</v>
      </c>
      <c r="H37" s="36">
        <f t="shared" ref="H37" si="24">SUM(H38,H40)</f>
        <v>4116</v>
      </c>
      <c r="I37" s="47">
        <f t="shared" ref="I37:T37" si="25">SUM(I38,I40)</f>
        <v>4116</v>
      </c>
      <c r="J37" s="336">
        <f t="shared" ref="J37" si="26">SUM(J38,J40)</f>
        <v>0</v>
      </c>
      <c r="K37" s="337">
        <f t="shared" si="25"/>
        <v>0</v>
      </c>
      <c r="L37" s="337">
        <f t="shared" si="25"/>
        <v>0</v>
      </c>
      <c r="M37" s="337">
        <f t="shared" si="25"/>
        <v>0</v>
      </c>
      <c r="N37" s="337">
        <f t="shared" si="25"/>
        <v>0</v>
      </c>
      <c r="O37" s="337">
        <f t="shared" si="25"/>
        <v>0</v>
      </c>
      <c r="P37" s="337">
        <f t="shared" si="25"/>
        <v>0</v>
      </c>
      <c r="Q37" s="337">
        <f t="shared" si="25"/>
        <v>0</v>
      </c>
      <c r="R37" s="337">
        <f t="shared" si="25"/>
        <v>0</v>
      </c>
      <c r="S37" s="337">
        <f t="shared" si="25"/>
        <v>0</v>
      </c>
      <c r="T37" s="338">
        <f t="shared" si="25"/>
        <v>0</v>
      </c>
    </row>
    <row r="38" spans="4:20" x14ac:dyDescent="0.2">
      <c r="D38" s="37"/>
      <c r="E38" s="509" t="s">
        <v>67</v>
      </c>
      <c r="F38" s="509"/>
      <c r="G38" s="38" t="s">
        <v>189</v>
      </c>
      <c r="H38" s="385">
        <f t="shared" ref="H38:T40" si="27">H39</f>
        <v>118</v>
      </c>
      <c r="I38" s="39">
        <f t="shared" si="27"/>
        <v>118</v>
      </c>
      <c r="J38" s="330">
        <f t="shared" si="27"/>
        <v>0</v>
      </c>
      <c r="K38" s="331">
        <f t="shared" si="27"/>
        <v>0</v>
      </c>
      <c r="L38" s="331">
        <f t="shared" si="27"/>
        <v>0</v>
      </c>
      <c r="M38" s="331">
        <f t="shared" si="27"/>
        <v>0</v>
      </c>
      <c r="N38" s="331">
        <f t="shared" si="27"/>
        <v>0</v>
      </c>
      <c r="O38" s="331">
        <f t="shared" si="27"/>
        <v>0</v>
      </c>
      <c r="P38" s="331">
        <f t="shared" si="27"/>
        <v>0</v>
      </c>
      <c r="Q38" s="331">
        <f t="shared" si="27"/>
        <v>0</v>
      </c>
      <c r="R38" s="331">
        <f t="shared" si="27"/>
        <v>0</v>
      </c>
      <c r="S38" s="331">
        <f t="shared" si="27"/>
        <v>0</v>
      </c>
      <c r="T38" s="332">
        <f t="shared" si="27"/>
        <v>0</v>
      </c>
    </row>
    <row r="39" spans="4:20" ht="36" x14ac:dyDescent="0.2">
      <c r="D39" s="52"/>
      <c r="E39" s="523" t="s">
        <v>68</v>
      </c>
      <c r="F39" s="523"/>
      <c r="G39" s="53" t="s">
        <v>190</v>
      </c>
      <c r="H39" s="389">
        <f>118</f>
        <v>118</v>
      </c>
      <c r="I39" s="54">
        <f>H39+J39</f>
        <v>118</v>
      </c>
      <c r="J39" s="342">
        <f>SUM(K39:T39)</f>
        <v>0</v>
      </c>
      <c r="K39" s="276"/>
      <c r="L39" s="276"/>
      <c r="M39" s="276"/>
      <c r="N39" s="276"/>
      <c r="O39" s="276"/>
      <c r="P39" s="276"/>
      <c r="Q39" s="276"/>
      <c r="R39" s="276"/>
      <c r="S39" s="276"/>
      <c r="T39" s="276"/>
    </row>
    <row r="40" spans="4:20" ht="14.25" customHeight="1" x14ac:dyDescent="0.2">
      <c r="D40" s="48"/>
      <c r="E40" s="522" t="s">
        <v>543</v>
      </c>
      <c r="F40" s="522"/>
      <c r="G40" s="49" t="s">
        <v>542</v>
      </c>
      <c r="H40" s="388">
        <f t="shared" si="27"/>
        <v>3998</v>
      </c>
      <c r="I40" s="50">
        <f t="shared" si="27"/>
        <v>3998</v>
      </c>
      <c r="J40" s="339">
        <f t="shared" si="27"/>
        <v>0</v>
      </c>
      <c r="K40" s="340">
        <f t="shared" si="27"/>
        <v>0</v>
      </c>
      <c r="L40" s="340">
        <f t="shared" si="27"/>
        <v>0</v>
      </c>
      <c r="M40" s="340">
        <f t="shared" si="27"/>
        <v>0</v>
      </c>
      <c r="N40" s="340">
        <f t="shared" si="27"/>
        <v>0</v>
      </c>
      <c r="O40" s="340">
        <f t="shared" si="27"/>
        <v>0</v>
      </c>
      <c r="P40" s="340">
        <f t="shared" si="27"/>
        <v>0</v>
      </c>
      <c r="Q40" s="340">
        <f t="shared" si="27"/>
        <v>0</v>
      </c>
      <c r="R40" s="340">
        <f t="shared" si="27"/>
        <v>0</v>
      </c>
      <c r="S40" s="340">
        <f t="shared" si="27"/>
        <v>0</v>
      </c>
      <c r="T40" s="341">
        <f t="shared" si="27"/>
        <v>0</v>
      </c>
    </row>
    <row r="41" spans="4:20" ht="26.25" customHeight="1" x14ac:dyDescent="0.2">
      <c r="D41" s="52"/>
      <c r="E41" s="209"/>
      <c r="F41" s="209" t="s">
        <v>544</v>
      </c>
      <c r="G41" s="53" t="s">
        <v>545</v>
      </c>
      <c r="H41" s="389">
        <f>3998</f>
        <v>3998</v>
      </c>
      <c r="I41" s="54">
        <f>H41+J41</f>
        <v>3998</v>
      </c>
      <c r="J41" s="342">
        <f>SUM(K41:T41)</f>
        <v>0</v>
      </c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4:20" s="187" customFormat="1" ht="24" x14ac:dyDescent="0.2">
      <c r="D42" s="507" t="s">
        <v>69</v>
      </c>
      <c r="E42" s="508"/>
      <c r="F42" s="508"/>
      <c r="G42" s="58" t="s">
        <v>70</v>
      </c>
      <c r="H42" s="33">
        <f t="shared" ref="H42" si="28">SUM(H43,H46)</f>
        <v>2299019</v>
      </c>
      <c r="I42" s="46">
        <f t="shared" ref="I42:T42" si="29">SUM(I43,I46)</f>
        <v>2299019</v>
      </c>
      <c r="J42" s="333">
        <f t="shared" ref="J42" si="30">SUM(J43,J46)</f>
        <v>0</v>
      </c>
      <c r="K42" s="334">
        <f t="shared" si="29"/>
        <v>0</v>
      </c>
      <c r="L42" s="334">
        <f t="shared" si="29"/>
        <v>0</v>
      </c>
      <c r="M42" s="334">
        <f t="shared" si="29"/>
        <v>0</v>
      </c>
      <c r="N42" s="334">
        <f t="shared" si="29"/>
        <v>0</v>
      </c>
      <c r="O42" s="334">
        <f t="shared" si="29"/>
        <v>0</v>
      </c>
      <c r="P42" s="334">
        <f t="shared" si="29"/>
        <v>0</v>
      </c>
      <c r="Q42" s="334">
        <f t="shared" si="29"/>
        <v>0</v>
      </c>
      <c r="R42" s="334">
        <f t="shared" si="29"/>
        <v>0</v>
      </c>
      <c r="S42" s="334">
        <f t="shared" si="29"/>
        <v>0</v>
      </c>
      <c r="T42" s="335">
        <f t="shared" si="29"/>
        <v>0</v>
      </c>
    </row>
    <row r="43" spans="4:20" s="186" customFormat="1" x14ac:dyDescent="0.2">
      <c r="D43" s="34"/>
      <c r="E43" s="503" t="s">
        <v>71</v>
      </c>
      <c r="F43" s="503"/>
      <c r="G43" s="35" t="s">
        <v>72</v>
      </c>
      <c r="H43" s="36">
        <f t="shared" ref="H43" si="31">SUM(H44:H45)</f>
        <v>17837</v>
      </c>
      <c r="I43" s="47">
        <f t="shared" ref="I43:T43" si="32">SUM(I44:I45)</f>
        <v>17837</v>
      </c>
      <c r="J43" s="336">
        <f t="shared" ref="J43" si="33">SUM(J44:J45)</f>
        <v>0</v>
      </c>
      <c r="K43" s="337">
        <f t="shared" si="32"/>
        <v>0</v>
      </c>
      <c r="L43" s="337">
        <f t="shared" si="32"/>
        <v>0</v>
      </c>
      <c r="M43" s="337">
        <f t="shared" si="32"/>
        <v>0</v>
      </c>
      <c r="N43" s="337">
        <f t="shared" si="32"/>
        <v>0</v>
      </c>
      <c r="O43" s="337">
        <f t="shared" si="32"/>
        <v>0</v>
      </c>
      <c r="P43" s="337">
        <f t="shared" si="32"/>
        <v>0</v>
      </c>
      <c r="Q43" s="337">
        <f t="shared" si="32"/>
        <v>0</v>
      </c>
      <c r="R43" s="337">
        <f t="shared" si="32"/>
        <v>0</v>
      </c>
      <c r="S43" s="337">
        <f t="shared" si="32"/>
        <v>0</v>
      </c>
      <c r="T43" s="338">
        <f t="shared" si="32"/>
        <v>0</v>
      </c>
    </row>
    <row r="44" spans="4:20" ht="48" x14ac:dyDescent="0.2">
      <c r="D44" s="48"/>
      <c r="E44" s="522" t="s">
        <v>73</v>
      </c>
      <c r="F44" s="522"/>
      <c r="G44" s="49" t="s">
        <v>707</v>
      </c>
      <c r="H44" s="388">
        <f>9300</f>
        <v>9300</v>
      </c>
      <c r="I44" s="50">
        <f t="shared" ref="I44:I45" si="34">H44+J44</f>
        <v>9300</v>
      </c>
      <c r="J44" s="342">
        <f>SUM(K44:T44)</f>
        <v>0</v>
      </c>
      <c r="K44" s="276"/>
      <c r="L44" s="276"/>
      <c r="M44" s="276"/>
      <c r="N44" s="276"/>
      <c r="O44" s="276"/>
      <c r="P44" s="276"/>
      <c r="Q44" s="276"/>
      <c r="R44" s="276"/>
      <c r="S44" s="276"/>
      <c r="T44" s="276"/>
    </row>
    <row r="45" spans="4:20" ht="24" x14ac:dyDescent="0.2">
      <c r="D45" s="59"/>
      <c r="E45" s="530" t="s">
        <v>74</v>
      </c>
      <c r="F45" s="530"/>
      <c r="G45" s="60" t="s">
        <v>254</v>
      </c>
      <c r="H45" s="393">
        <f>8537</f>
        <v>8537</v>
      </c>
      <c r="I45" s="61">
        <f t="shared" si="34"/>
        <v>8537</v>
      </c>
      <c r="J45" s="342">
        <f>SUM(K45:T45)</f>
        <v>0</v>
      </c>
      <c r="K45" s="276"/>
      <c r="L45" s="276"/>
      <c r="M45" s="276"/>
      <c r="N45" s="276"/>
      <c r="O45" s="276"/>
      <c r="P45" s="276"/>
      <c r="Q45" s="276"/>
      <c r="R45" s="276"/>
      <c r="S45" s="276"/>
      <c r="T45" s="276"/>
    </row>
    <row r="46" spans="4:20" s="186" customFormat="1" x14ac:dyDescent="0.2">
      <c r="D46" s="34"/>
      <c r="E46" s="503" t="s">
        <v>75</v>
      </c>
      <c r="F46" s="503"/>
      <c r="G46" s="35" t="s">
        <v>76</v>
      </c>
      <c r="H46" s="36">
        <f t="shared" ref="H46" si="35">SUM(H47:H52)</f>
        <v>2281182</v>
      </c>
      <c r="I46" s="47">
        <f t="shared" ref="I46:T46" si="36">SUM(I47:I52)</f>
        <v>2281182</v>
      </c>
      <c r="J46" s="336">
        <f t="shared" ref="J46" si="37">SUM(J47:J52)</f>
        <v>0</v>
      </c>
      <c r="K46" s="337">
        <f t="shared" si="36"/>
        <v>0</v>
      </c>
      <c r="L46" s="337">
        <f t="shared" si="36"/>
        <v>0</v>
      </c>
      <c r="M46" s="337">
        <f t="shared" si="36"/>
        <v>0</v>
      </c>
      <c r="N46" s="337">
        <f t="shared" si="36"/>
        <v>0</v>
      </c>
      <c r="O46" s="337">
        <f t="shared" si="36"/>
        <v>0</v>
      </c>
      <c r="P46" s="337">
        <f t="shared" si="36"/>
        <v>0</v>
      </c>
      <c r="Q46" s="337">
        <f t="shared" si="36"/>
        <v>0</v>
      </c>
      <c r="R46" s="337">
        <f t="shared" si="36"/>
        <v>0</v>
      </c>
      <c r="S46" s="337">
        <f t="shared" si="36"/>
        <v>0</v>
      </c>
      <c r="T46" s="338">
        <f t="shared" si="36"/>
        <v>0</v>
      </c>
    </row>
    <row r="47" spans="4:20" ht="24" x14ac:dyDescent="0.2">
      <c r="D47" s="62"/>
      <c r="E47" s="528" t="s">
        <v>77</v>
      </c>
      <c r="F47" s="528"/>
      <c r="G47" s="63" t="s">
        <v>177</v>
      </c>
      <c r="H47" s="394">
        <v>0</v>
      </c>
      <c r="I47" s="64">
        <f t="shared" ref="I47:I52" si="38">H47+J47</f>
        <v>0</v>
      </c>
      <c r="J47" s="342">
        <f t="shared" ref="J47:J52" si="39">SUM(K47:T47)</f>
        <v>0</v>
      </c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4:20" x14ac:dyDescent="0.2">
      <c r="D48" s="62"/>
      <c r="E48" s="528" t="s">
        <v>78</v>
      </c>
      <c r="F48" s="528"/>
      <c r="G48" s="63" t="s">
        <v>178</v>
      </c>
      <c r="H48" s="394">
        <f>55000</f>
        <v>55000</v>
      </c>
      <c r="I48" s="64">
        <f t="shared" si="38"/>
        <v>55000</v>
      </c>
      <c r="J48" s="342">
        <f t="shared" si="39"/>
        <v>0</v>
      </c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4:20" ht="24" x14ac:dyDescent="0.2">
      <c r="D49" s="62"/>
      <c r="E49" s="528" t="s">
        <v>79</v>
      </c>
      <c r="F49" s="528"/>
      <c r="G49" s="63" t="s">
        <v>179</v>
      </c>
      <c r="H49" s="394">
        <f>2082182</f>
        <v>2082182</v>
      </c>
      <c r="I49" s="64">
        <f t="shared" si="38"/>
        <v>2082182</v>
      </c>
      <c r="J49" s="342">
        <f t="shared" si="39"/>
        <v>0</v>
      </c>
      <c r="K49" s="276"/>
      <c r="L49" s="276"/>
      <c r="M49" s="276"/>
      <c r="N49" s="276"/>
      <c r="O49" s="276"/>
      <c r="P49" s="276"/>
      <c r="Q49" s="276"/>
      <c r="R49" s="276"/>
      <c r="S49" s="276"/>
      <c r="T49" s="276"/>
    </row>
    <row r="50" spans="4:20" ht="24" x14ac:dyDescent="0.2">
      <c r="D50" s="62"/>
      <c r="E50" s="528" t="s">
        <v>80</v>
      </c>
      <c r="F50" s="528"/>
      <c r="G50" s="63" t="s">
        <v>180</v>
      </c>
      <c r="H50" s="394">
        <f>67600</f>
        <v>67600</v>
      </c>
      <c r="I50" s="64">
        <f t="shared" si="38"/>
        <v>67600</v>
      </c>
      <c r="J50" s="342">
        <f t="shared" si="39"/>
        <v>0</v>
      </c>
      <c r="K50" s="276"/>
      <c r="L50" s="276"/>
      <c r="M50" s="276"/>
      <c r="N50" s="276"/>
      <c r="O50" s="276"/>
      <c r="P50" s="276"/>
      <c r="Q50" s="276"/>
      <c r="R50" s="276"/>
      <c r="S50" s="276"/>
      <c r="T50" s="276"/>
    </row>
    <row r="51" spans="4:20" ht="26.25" customHeight="1" x14ac:dyDescent="0.2">
      <c r="D51" s="43"/>
      <c r="E51" s="528" t="s">
        <v>602</v>
      </c>
      <c r="F51" s="531"/>
      <c r="G51" s="44" t="s">
        <v>603</v>
      </c>
      <c r="H51" s="387">
        <v>0</v>
      </c>
      <c r="I51" s="45">
        <f t="shared" si="38"/>
        <v>0</v>
      </c>
      <c r="J51" s="342">
        <f t="shared" si="39"/>
        <v>0</v>
      </c>
      <c r="K51" s="276"/>
      <c r="L51" s="276"/>
      <c r="M51" s="276"/>
      <c r="N51" s="276"/>
      <c r="O51" s="276"/>
      <c r="P51" s="276"/>
      <c r="Q51" s="276"/>
      <c r="R51" s="276"/>
      <c r="S51" s="276"/>
      <c r="T51" s="276"/>
    </row>
    <row r="52" spans="4:20" x14ac:dyDescent="0.2">
      <c r="D52" s="43"/>
      <c r="E52" s="518" t="s">
        <v>159</v>
      </c>
      <c r="F52" s="518"/>
      <c r="G52" s="44" t="s">
        <v>181</v>
      </c>
      <c r="H52" s="387">
        <f>76400</f>
        <v>76400</v>
      </c>
      <c r="I52" s="45">
        <f t="shared" si="38"/>
        <v>76400</v>
      </c>
      <c r="J52" s="342">
        <f t="shared" si="39"/>
        <v>0</v>
      </c>
      <c r="K52" s="276"/>
      <c r="L52" s="276"/>
      <c r="M52" s="276"/>
      <c r="N52" s="276"/>
      <c r="O52" s="276"/>
      <c r="P52" s="276"/>
      <c r="Q52" s="276"/>
      <c r="R52" s="276"/>
      <c r="S52" s="276"/>
      <c r="T52" s="276"/>
    </row>
    <row r="53" spans="4:20" s="187" customFormat="1" x14ac:dyDescent="0.2">
      <c r="D53" s="507" t="s">
        <v>81</v>
      </c>
      <c r="E53" s="508"/>
      <c r="F53" s="508"/>
      <c r="G53" s="58" t="s">
        <v>82</v>
      </c>
      <c r="H53" s="33">
        <f t="shared" ref="H53" si="40">SUM(H57,H54)</f>
        <v>359300</v>
      </c>
      <c r="I53" s="46">
        <f t="shared" ref="I53:T53" si="41">SUM(I57,I54)</f>
        <v>359300</v>
      </c>
      <c r="J53" s="333">
        <f t="shared" ref="J53" si="42">SUM(J57,J54)</f>
        <v>0</v>
      </c>
      <c r="K53" s="334">
        <f t="shared" si="41"/>
        <v>0</v>
      </c>
      <c r="L53" s="334">
        <f t="shared" si="41"/>
        <v>0</v>
      </c>
      <c r="M53" s="334">
        <f t="shared" si="41"/>
        <v>0</v>
      </c>
      <c r="N53" s="334">
        <f t="shared" si="41"/>
        <v>0</v>
      </c>
      <c r="O53" s="334">
        <f t="shared" si="41"/>
        <v>0</v>
      </c>
      <c r="P53" s="334">
        <f t="shared" si="41"/>
        <v>0</v>
      </c>
      <c r="Q53" s="334">
        <f t="shared" si="41"/>
        <v>0</v>
      </c>
      <c r="R53" s="334">
        <f t="shared" si="41"/>
        <v>0</v>
      </c>
      <c r="S53" s="334">
        <f t="shared" si="41"/>
        <v>0</v>
      </c>
      <c r="T53" s="335">
        <f t="shared" si="41"/>
        <v>0</v>
      </c>
    </row>
    <row r="54" spans="4:20" s="186" customFormat="1" x14ac:dyDescent="0.2">
      <c r="D54" s="34"/>
      <c r="E54" s="503" t="s">
        <v>83</v>
      </c>
      <c r="F54" s="503"/>
      <c r="G54" s="35" t="s">
        <v>84</v>
      </c>
      <c r="H54" s="36">
        <f t="shared" ref="H54" si="43">H55+H56</f>
        <v>138800</v>
      </c>
      <c r="I54" s="47">
        <f t="shared" ref="I54:T54" si="44">I55+I56</f>
        <v>138800</v>
      </c>
      <c r="J54" s="336">
        <f t="shared" ref="J54" si="45">J55+J56</f>
        <v>0</v>
      </c>
      <c r="K54" s="337">
        <f t="shared" si="44"/>
        <v>0</v>
      </c>
      <c r="L54" s="337">
        <f t="shared" si="44"/>
        <v>0</v>
      </c>
      <c r="M54" s="337">
        <f t="shared" si="44"/>
        <v>0</v>
      </c>
      <c r="N54" s="337">
        <f t="shared" si="44"/>
        <v>0</v>
      </c>
      <c r="O54" s="337">
        <f t="shared" si="44"/>
        <v>0</v>
      </c>
      <c r="P54" s="337">
        <f t="shared" si="44"/>
        <v>0</v>
      </c>
      <c r="Q54" s="337">
        <f t="shared" si="44"/>
        <v>0</v>
      </c>
      <c r="R54" s="337">
        <f t="shared" si="44"/>
        <v>0</v>
      </c>
      <c r="S54" s="337">
        <f t="shared" si="44"/>
        <v>0</v>
      </c>
      <c r="T54" s="338">
        <f t="shared" si="44"/>
        <v>0</v>
      </c>
    </row>
    <row r="55" spans="4:20" x14ac:dyDescent="0.2">
      <c r="D55" s="189"/>
      <c r="E55" s="529" t="s">
        <v>85</v>
      </c>
      <c r="F55" s="529"/>
      <c r="G55" s="92" t="s">
        <v>86</v>
      </c>
      <c r="H55" s="396">
        <f>138800</f>
        <v>138800</v>
      </c>
      <c r="I55" s="93">
        <f t="shared" ref="I55:I57" si="46">H55+J55</f>
        <v>138800</v>
      </c>
      <c r="J55" s="442">
        <f t="shared" ref="J55:J57" si="47">SUM(K55:T55)</f>
        <v>0</v>
      </c>
      <c r="K55" s="443"/>
      <c r="L55" s="443"/>
      <c r="M55" s="443"/>
      <c r="N55" s="443"/>
      <c r="O55" s="443"/>
      <c r="P55" s="443"/>
      <c r="Q55" s="443"/>
      <c r="R55" s="443"/>
      <c r="S55" s="443"/>
      <c r="T55" s="443"/>
    </row>
    <row r="56" spans="4:20" x14ac:dyDescent="0.2">
      <c r="D56" s="37"/>
      <c r="E56" s="519" t="s">
        <v>512</v>
      </c>
      <c r="F56" s="519"/>
      <c r="G56" s="53" t="s">
        <v>513</v>
      </c>
      <c r="H56" s="389">
        <v>0</v>
      </c>
      <c r="I56" s="54">
        <f t="shared" si="46"/>
        <v>0</v>
      </c>
      <c r="J56" s="440">
        <f t="shared" si="47"/>
        <v>0</v>
      </c>
      <c r="K56" s="441"/>
      <c r="L56" s="441"/>
      <c r="M56" s="441"/>
      <c r="N56" s="441"/>
      <c r="O56" s="441"/>
      <c r="P56" s="441"/>
      <c r="Q56" s="441"/>
      <c r="R56" s="441"/>
      <c r="S56" s="441"/>
      <c r="T56" s="441"/>
    </row>
    <row r="57" spans="4:20" ht="24" x14ac:dyDescent="0.2">
      <c r="D57" s="52"/>
      <c r="E57" s="503" t="s">
        <v>546</v>
      </c>
      <c r="F57" s="503"/>
      <c r="G57" s="35" t="s">
        <v>547</v>
      </c>
      <c r="H57" s="36">
        <f>220500</f>
        <v>220500</v>
      </c>
      <c r="I57" s="47">
        <f t="shared" si="46"/>
        <v>220500</v>
      </c>
      <c r="J57" s="342">
        <f t="shared" si="47"/>
        <v>0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</row>
    <row r="58" spans="4:20" s="187" customFormat="1" x14ac:dyDescent="0.2">
      <c r="D58" s="507" t="s">
        <v>87</v>
      </c>
      <c r="E58" s="508"/>
      <c r="F58" s="508"/>
      <c r="G58" s="58" t="s">
        <v>88</v>
      </c>
      <c r="H58" s="33">
        <f t="shared" ref="H58" si="48">SUM(H59,H61)</f>
        <v>108880</v>
      </c>
      <c r="I58" s="46">
        <f t="shared" ref="I58:T58" si="49">SUM(I59,I61)</f>
        <v>152921</v>
      </c>
      <c r="J58" s="333">
        <f t="shared" ref="J58" si="50">SUM(J59,J61)</f>
        <v>44041</v>
      </c>
      <c r="K58" s="334">
        <f t="shared" si="49"/>
        <v>0</v>
      </c>
      <c r="L58" s="334">
        <f t="shared" si="49"/>
        <v>44041</v>
      </c>
      <c r="M58" s="334">
        <f t="shared" si="49"/>
        <v>0</v>
      </c>
      <c r="N58" s="334">
        <f t="shared" si="49"/>
        <v>0</v>
      </c>
      <c r="O58" s="334">
        <f t="shared" si="49"/>
        <v>0</v>
      </c>
      <c r="P58" s="334">
        <f t="shared" si="49"/>
        <v>0</v>
      </c>
      <c r="Q58" s="334">
        <f t="shared" si="49"/>
        <v>0</v>
      </c>
      <c r="R58" s="334">
        <f t="shared" si="49"/>
        <v>0</v>
      </c>
      <c r="S58" s="334">
        <f t="shared" si="49"/>
        <v>0</v>
      </c>
      <c r="T58" s="335">
        <f t="shared" si="49"/>
        <v>0</v>
      </c>
    </row>
    <row r="59" spans="4:20" s="186" customFormat="1" ht="24" x14ac:dyDescent="0.2">
      <c r="D59" s="34"/>
      <c r="E59" s="535" t="s">
        <v>89</v>
      </c>
      <c r="F59" s="536"/>
      <c r="G59" s="65" t="s">
        <v>90</v>
      </c>
      <c r="H59" s="411">
        <f t="shared" ref="H59:T59" si="51">SUM(H60)</f>
        <v>28380</v>
      </c>
      <c r="I59" s="47">
        <f t="shared" si="51"/>
        <v>28380</v>
      </c>
      <c r="J59" s="336">
        <f t="shared" si="51"/>
        <v>0</v>
      </c>
      <c r="K59" s="337">
        <f t="shared" si="51"/>
        <v>0</v>
      </c>
      <c r="L59" s="337">
        <f t="shared" si="51"/>
        <v>0</v>
      </c>
      <c r="M59" s="337">
        <f t="shared" si="51"/>
        <v>0</v>
      </c>
      <c r="N59" s="337">
        <f t="shared" si="51"/>
        <v>0</v>
      </c>
      <c r="O59" s="337">
        <f t="shared" si="51"/>
        <v>0</v>
      </c>
      <c r="P59" s="337">
        <f t="shared" si="51"/>
        <v>0</v>
      </c>
      <c r="Q59" s="337">
        <f t="shared" si="51"/>
        <v>0</v>
      </c>
      <c r="R59" s="337">
        <f t="shared" si="51"/>
        <v>0</v>
      </c>
      <c r="S59" s="337">
        <f t="shared" si="51"/>
        <v>0</v>
      </c>
      <c r="T59" s="338">
        <f t="shared" si="51"/>
        <v>0</v>
      </c>
    </row>
    <row r="60" spans="4:20" ht="24" x14ac:dyDescent="0.2">
      <c r="D60" s="37"/>
      <c r="E60" s="537" t="s">
        <v>91</v>
      </c>
      <c r="F60" s="538"/>
      <c r="G60" s="66" t="s">
        <v>92</v>
      </c>
      <c r="H60" s="395">
        <f>28380</f>
        <v>28380</v>
      </c>
      <c r="I60" s="101">
        <f>H60+J60</f>
        <v>28380</v>
      </c>
      <c r="J60" s="342">
        <f>SUM(K60:T60)</f>
        <v>0</v>
      </c>
      <c r="K60" s="276"/>
      <c r="L60" s="276"/>
      <c r="M60" s="276"/>
      <c r="N60" s="276"/>
      <c r="O60" s="276"/>
      <c r="P60" s="276"/>
      <c r="Q60" s="276"/>
      <c r="R60" s="276"/>
      <c r="S60" s="276"/>
      <c r="T60" s="276"/>
    </row>
    <row r="61" spans="4:20" s="186" customFormat="1" x14ac:dyDescent="0.2">
      <c r="D61" s="34"/>
      <c r="E61" s="503" t="s">
        <v>93</v>
      </c>
      <c r="F61" s="503"/>
      <c r="G61" s="35" t="s">
        <v>135</v>
      </c>
      <c r="H61" s="36">
        <f t="shared" ref="H61" si="52">SUM(H62+H65)</f>
        <v>80500</v>
      </c>
      <c r="I61" s="47">
        <f t="shared" ref="I61:T61" si="53">SUM(I62+I65)</f>
        <v>124541</v>
      </c>
      <c r="J61" s="336">
        <f t="shared" ref="J61" si="54">SUM(J62+J65)</f>
        <v>44041</v>
      </c>
      <c r="K61" s="337">
        <f t="shared" si="53"/>
        <v>0</v>
      </c>
      <c r="L61" s="337">
        <f>SUM(L62+L65)</f>
        <v>44041</v>
      </c>
      <c r="M61" s="337">
        <f t="shared" si="53"/>
        <v>0</v>
      </c>
      <c r="N61" s="337">
        <f t="shared" si="53"/>
        <v>0</v>
      </c>
      <c r="O61" s="337">
        <f t="shared" si="53"/>
        <v>0</v>
      </c>
      <c r="P61" s="337">
        <f t="shared" si="53"/>
        <v>0</v>
      </c>
      <c r="Q61" s="337">
        <f t="shared" si="53"/>
        <v>0</v>
      </c>
      <c r="R61" s="337">
        <f t="shared" si="53"/>
        <v>0</v>
      </c>
      <c r="S61" s="337">
        <f t="shared" si="53"/>
        <v>0</v>
      </c>
      <c r="T61" s="338">
        <f t="shared" si="53"/>
        <v>0</v>
      </c>
    </row>
    <row r="62" spans="4:20" s="186" customFormat="1" x14ac:dyDescent="0.2">
      <c r="D62" s="234"/>
      <c r="E62" s="522" t="s">
        <v>604</v>
      </c>
      <c r="F62" s="527"/>
      <c r="G62" s="38" t="s">
        <v>607</v>
      </c>
      <c r="H62" s="385">
        <f t="shared" ref="H62" si="55">SUM(H63:H64)</f>
        <v>0</v>
      </c>
      <c r="I62" s="39">
        <f t="shared" ref="I62:T62" si="56">SUM(I63:I64)</f>
        <v>7310</v>
      </c>
      <c r="J62" s="330">
        <f t="shared" ref="J62:J64" si="57">SUM(K62:T62)</f>
        <v>7310</v>
      </c>
      <c r="K62" s="331">
        <f t="shared" si="56"/>
        <v>0</v>
      </c>
      <c r="L62" s="331">
        <f t="shared" si="56"/>
        <v>7310</v>
      </c>
      <c r="M62" s="331">
        <f t="shared" si="56"/>
        <v>0</v>
      </c>
      <c r="N62" s="331">
        <f t="shared" si="56"/>
        <v>0</v>
      </c>
      <c r="O62" s="331">
        <f t="shared" si="56"/>
        <v>0</v>
      </c>
      <c r="P62" s="331">
        <f t="shared" si="56"/>
        <v>0</v>
      </c>
      <c r="Q62" s="331">
        <f t="shared" si="56"/>
        <v>0</v>
      </c>
      <c r="R62" s="331">
        <f t="shared" si="56"/>
        <v>0</v>
      </c>
      <c r="S62" s="331">
        <f t="shared" si="56"/>
        <v>0</v>
      </c>
      <c r="T62" s="332">
        <f t="shared" si="56"/>
        <v>0</v>
      </c>
    </row>
    <row r="63" spans="4:20" s="186" customFormat="1" x14ac:dyDescent="0.2">
      <c r="D63" s="234"/>
      <c r="E63" s="541" t="s">
        <v>605</v>
      </c>
      <c r="F63" s="542"/>
      <c r="G63" s="38" t="s">
        <v>608</v>
      </c>
      <c r="H63" s="385">
        <v>0</v>
      </c>
      <c r="I63" s="39">
        <f>H63+J63</f>
        <v>7310</v>
      </c>
      <c r="J63" s="342">
        <f t="shared" si="57"/>
        <v>7310</v>
      </c>
      <c r="K63" s="375"/>
      <c r="L63" s="276">
        <f>7310</f>
        <v>7310</v>
      </c>
      <c r="M63" s="375"/>
      <c r="N63" s="375"/>
      <c r="O63" s="375"/>
      <c r="P63" s="375"/>
      <c r="Q63" s="375"/>
      <c r="R63" s="375"/>
      <c r="S63" s="375"/>
      <c r="T63" s="375"/>
    </row>
    <row r="64" spans="4:20" s="186" customFormat="1" x14ac:dyDescent="0.2">
      <c r="D64" s="234"/>
      <c r="E64" s="541" t="s">
        <v>606</v>
      </c>
      <c r="F64" s="542"/>
      <c r="G64" s="38" t="s">
        <v>609</v>
      </c>
      <c r="H64" s="385">
        <v>0</v>
      </c>
      <c r="I64" s="39">
        <f>H64+J64</f>
        <v>0</v>
      </c>
      <c r="J64" s="342">
        <f t="shared" si="57"/>
        <v>0</v>
      </c>
      <c r="K64" s="375"/>
      <c r="L64" s="375"/>
      <c r="M64" s="375"/>
      <c r="N64" s="375"/>
      <c r="O64" s="375"/>
      <c r="P64" s="375"/>
      <c r="Q64" s="375"/>
      <c r="R64" s="375"/>
      <c r="S64" s="375"/>
      <c r="T64" s="375"/>
    </row>
    <row r="65" spans="4:20" x14ac:dyDescent="0.2">
      <c r="D65" s="37"/>
      <c r="E65" s="509" t="s">
        <v>136</v>
      </c>
      <c r="F65" s="509"/>
      <c r="G65" s="38" t="s">
        <v>94</v>
      </c>
      <c r="H65" s="385">
        <f t="shared" ref="H65" si="58">SUM(H66:H67)</f>
        <v>80500</v>
      </c>
      <c r="I65" s="39">
        <f t="shared" ref="I65:T65" si="59">SUM(I66:I67)</f>
        <v>117231</v>
      </c>
      <c r="J65" s="330">
        <f t="shared" ref="J65" si="60">SUM(J66:J67)</f>
        <v>36731</v>
      </c>
      <c r="K65" s="331">
        <f t="shared" si="59"/>
        <v>0</v>
      </c>
      <c r="L65" s="331">
        <f t="shared" si="59"/>
        <v>36731</v>
      </c>
      <c r="M65" s="331">
        <f t="shared" si="59"/>
        <v>0</v>
      </c>
      <c r="N65" s="331">
        <f t="shared" si="59"/>
        <v>0</v>
      </c>
      <c r="O65" s="331">
        <f t="shared" si="59"/>
        <v>0</v>
      </c>
      <c r="P65" s="331">
        <f t="shared" si="59"/>
        <v>0</v>
      </c>
      <c r="Q65" s="331">
        <f t="shared" si="59"/>
        <v>0</v>
      </c>
      <c r="R65" s="331">
        <f t="shared" si="59"/>
        <v>0</v>
      </c>
      <c r="S65" s="331">
        <f t="shared" si="59"/>
        <v>0</v>
      </c>
      <c r="T65" s="332">
        <f t="shared" si="59"/>
        <v>0</v>
      </c>
    </row>
    <row r="66" spans="4:20" x14ac:dyDescent="0.2">
      <c r="D66" s="189"/>
      <c r="E66" s="539" t="s">
        <v>160</v>
      </c>
      <c r="F66" s="540"/>
      <c r="G66" s="92" t="s">
        <v>161</v>
      </c>
      <c r="H66" s="396">
        <f>500</f>
        <v>500</v>
      </c>
      <c r="I66" s="93">
        <f>H66+J66</f>
        <v>500</v>
      </c>
      <c r="J66" s="342">
        <f t="shared" ref="J66:J67" si="61">SUM(K66:T66)</f>
        <v>0</v>
      </c>
      <c r="K66" s="276"/>
      <c r="L66" s="276"/>
      <c r="M66" s="276"/>
      <c r="N66" s="276"/>
      <c r="O66" s="276"/>
      <c r="P66" s="276"/>
      <c r="Q66" s="276"/>
      <c r="R66" s="276"/>
      <c r="S66" s="276"/>
      <c r="T66" s="276"/>
    </row>
    <row r="67" spans="4:20" ht="24" x14ac:dyDescent="0.2">
      <c r="D67" s="188"/>
      <c r="E67" s="532" t="s">
        <v>137</v>
      </c>
      <c r="F67" s="533"/>
      <c r="G67" s="120" t="s">
        <v>138</v>
      </c>
      <c r="H67" s="397">
        <f>80000</f>
        <v>80000</v>
      </c>
      <c r="I67" s="118">
        <f>H67+J67</f>
        <v>116731</v>
      </c>
      <c r="J67" s="342">
        <f t="shared" si="61"/>
        <v>36731</v>
      </c>
      <c r="K67" s="276"/>
      <c r="L67" s="276">
        <f>18500+51+797+2272+1692+4618+7267+1534</f>
        <v>36731</v>
      </c>
      <c r="M67" s="276"/>
      <c r="N67" s="276"/>
      <c r="O67" s="276"/>
      <c r="P67" s="276"/>
      <c r="Q67" s="276"/>
      <c r="R67" s="276"/>
      <c r="S67" s="276"/>
      <c r="T67" s="276"/>
    </row>
    <row r="68" spans="4:20" s="187" customFormat="1" ht="48" x14ac:dyDescent="0.2">
      <c r="D68" s="507" t="s">
        <v>95</v>
      </c>
      <c r="E68" s="508"/>
      <c r="F68" s="508"/>
      <c r="G68" s="58" t="s">
        <v>191</v>
      </c>
      <c r="H68" s="33">
        <f>SUM(H75,H73,H70,H69,H74)</f>
        <v>2169387</v>
      </c>
      <c r="I68" s="46">
        <f>SUM(I75,I73,I70,I69,I74)</f>
        <v>2169387</v>
      </c>
      <c r="J68" s="333">
        <f t="shared" ref="J68:T68" si="62">SUM(J75,J73,J70,J69,J74)</f>
        <v>0</v>
      </c>
      <c r="K68" s="334">
        <f t="shared" si="62"/>
        <v>0</v>
      </c>
      <c r="L68" s="334">
        <f t="shared" si="62"/>
        <v>0</v>
      </c>
      <c r="M68" s="334">
        <f t="shared" si="62"/>
        <v>0</v>
      </c>
      <c r="N68" s="334">
        <f t="shared" si="62"/>
        <v>0</v>
      </c>
      <c r="O68" s="334">
        <f t="shared" si="62"/>
        <v>0</v>
      </c>
      <c r="P68" s="334">
        <f t="shared" si="62"/>
        <v>0</v>
      </c>
      <c r="Q68" s="334">
        <f t="shared" si="62"/>
        <v>0</v>
      </c>
      <c r="R68" s="334">
        <f t="shared" si="62"/>
        <v>0</v>
      </c>
      <c r="S68" s="334">
        <f t="shared" si="62"/>
        <v>0</v>
      </c>
      <c r="T68" s="335">
        <f t="shared" si="62"/>
        <v>0</v>
      </c>
    </row>
    <row r="69" spans="4:20" s="186" customFormat="1" ht="12.75" x14ac:dyDescent="0.2">
      <c r="D69" s="114"/>
      <c r="E69" s="115" t="s">
        <v>270</v>
      </c>
      <c r="F69" s="115"/>
      <c r="G69" s="116" t="s">
        <v>269</v>
      </c>
      <c r="H69" s="398">
        <v>0</v>
      </c>
      <c r="I69" s="47">
        <f>H69+J69</f>
        <v>0</v>
      </c>
      <c r="J69" s="374">
        <f>SUM(K69:T69)</f>
        <v>0</v>
      </c>
      <c r="K69" s="375"/>
      <c r="L69" s="375"/>
      <c r="M69" s="375"/>
      <c r="N69" s="375"/>
      <c r="O69" s="375"/>
      <c r="P69" s="375"/>
      <c r="Q69" s="375"/>
      <c r="R69" s="375"/>
      <c r="S69" s="375"/>
      <c r="T69" s="375"/>
    </row>
    <row r="70" spans="4:20" s="186" customFormat="1" x14ac:dyDescent="0.2">
      <c r="D70" s="34"/>
      <c r="E70" s="503" t="s">
        <v>283</v>
      </c>
      <c r="F70" s="503"/>
      <c r="G70" s="35" t="s">
        <v>286</v>
      </c>
      <c r="H70" s="36">
        <f>SUM(H71:H72)</f>
        <v>1918828</v>
      </c>
      <c r="I70" s="47">
        <f>SUM(I71:I72)</f>
        <v>1918828</v>
      </c>
      <c r="J70" s="336">
        <f t="shared" ref="J70:T70" si="63">SUM(J71:J72)</f>
        <v>0</v>
      </c>
      <c r="K70" s="337">
        <f t="shared" si="63"/>
        <v>0</v>
      </c>
      <c r="L70" s="337">
        <f t="shared" si="63"/>
        <v>0</v>
      </c>
      <c r="M70" s="337">
        <f t="shared" si="63"/>
        <v>0</v>
      </c>
      <c r="N70" s="337">
        <f t="shared" si="63"/>
        <v>0</v>
      </c>
      <c r="O70" s="337">
        <f t="shared" si="63"/>
        <v>0</v>
      </c>
      <c r="P70" s="337">
        <f t="shared" si="63"/>
        <v>0</v>
      </c>
      <c r="Q70" s="337">
        <f t="shared" si="63"/>
        <v>0</v>
      </c>
      <c r="R70" s="337">
        <f t="shared" si="63"/>
        <v>0</v>
      </c>
      <c r="S70" s="337">
        <f t="shared" si="63"/>
        <v>0</v>
      </c>
      <c r="T70" s="338">
        <f t="shared" si="63"/>
        <v>0</v>
      </c>
    </row>
    <row r="71" spans="4:20" s="186" customFormat="1" x14ac:dyDescent="0.2">
      <c r="D71" s="34"/>
      <c r="E71" s="509" t="s">
        <v>162</v>
      </c>
      <c r="F71" s="509"/>
      <c r="G71" s="49" t="s">
        <v>163</v>
      </c>
      <c r="H71" s="388">
        <f>1918828</f>
        <v>1918828</v>
      </c>
      <c r="I71" s="50">
        <f t="shared" ref="I71:I74" si="64">H71+J71</f>
        <v>1918828</v>
      </c>
      <c r="J71" s="374">
        <f t="shared" ref="J71:J74" si="65">SUM(K71:T71)</f>
        <v>0</v>
      </c>
      <c r="K71" s="375"/>
      <c r="L71" s="375"/>
      <c r="M71" s="375"/>
      <c r="N71" s="375"/>
      <c r="O71" s="375"/>
      <c r="P71" s="375"/>
      <c r="Q71" s="375"/>
      <c r="R71" s="375"/>
      <c r="S71" s="375"/>
      <c r="T71" s="375"/>
    </row>
    <row r="72" spans="4:20" s="186" customFormat="1" x14ac:dyDescent="0.2">
      <c r="D72" s="34"/>
      <c r="E72" s="522" t="s">
        <v>284</v>
      </c>
      <c r="F72" s="522"/>
      <c r="G72" s="49" t="s">
        <v>285</v>
      </c>
      <c r="H72" s="388">
        <v>0</v>
      </c>
      <c r="I72" s="50">
        <f t="shared" si="64"/>
        <v>0</v>
      </c>
      <c r="J72" s="374">
        <f t="shared" si="65"/>
        <v>0</v>
      </c>
      <c r="K72" s="375"/>
      <c r="L72" s="375"/>
      <c r="M72" s="375"/>
      <c r="N72" s="375"/>
      <c r="O72" s="375"/>
      <c r="P72" s="375"/>
      <c r="Q72" s="375"/>
      <c r="R72" s="375"/>
      <c r="S72" s="375"/>
      <c r="T72" s="375"/>
    </row>
    <row r="73" spans="4:20" s="186" customFormat="1" ht="24" x14ac:dyDescent="0.2">
      <c r="D73" s="34"/>
      <c r="E73" s="534" t="s">
        <v>164</v>
      </c>
      <c r="F73" s="534"/>
      <c r="G73" s="49" t="s">
        <v>165</v>
      </c>
      <c r="H73" s="388">
        <v>0</v>
      </c>
      <c r="I73" s="50">
        <f t="shared" si="64"/>
        <v>0</v>
      </c>
      <c r="J73" s="374">
        <f t="shared" si="65"/>
        <v>0</v>
      </c>
      <c r="K73" s="375"/>
      <c r="L73" s="375"/>
      <c r="M73" s="375"/>
      <c r="N73" s="375"/>
      <c r="O73" s="375"/>
      <c r="P73" s="375"/>
      <c r="Q73" s="375"/>
      <c r="R73" s="375"/>
      <c r="S73" s="375"/>
      <c r="T73" s="375"/>
    </row>
    <row r="74" spans="4:20" s="186" customFormat="1" ht="24" x14ac:dyDescent="0.2">
      <c r="D74" s="34"/>
      <c r="E74" s="183" t="s">
        <v>287</v>
      </c>
      <c r="F74" s="183"/>
      <c r="G74" s="35" t="s">
        <v>514</v>
      </c>
      <c r="H74" s="36">
        <v>0</v>
      </c>
      <c r="I74" s="47">
        <f t="shared" si="64"/>
        <v>0</v>
      </c>
      <c r="J74" s="374">
        <f t="shared" si="65"/>
        <v>0</v>
      </c>
      <c r="K74" s="375"/>
      <c r="L74" s="375"/>
      <c r="M74" s="375"/>
      <c r="N74" s="375"/>
      <c r="O74" s="375"/>
      <c r="P74" s="375"/>
      <c r="Q74" s="375"/>
      <c r="R74" s="375"/>
      <c r="S74" s="375"/>
      <c r="T74" s="375"/>
    </row>
    <row r="75" spans="4:20" s="186" customFormat="1" ht="24" x14ac:dyDescent="0.2">
      <c r="D75" s="34"/>
      <c r="E75" s="503" t="s">
        <v>167</v>
      </c>
      <c r="F75" s="503"/>
      <c r="G75" s="35" t="s">
        <v>129</v>
      </c>
      <c r="H75" s="36">
        <f>SUM(H76:H78)</f>
        <v>250559</v>
      </c>
      <c r="I75" s="47">
        <f>SUM(I76:I78)</f>
        <v>250559</v>
      </c>
      <c r="J75" s="336">
        <f t="shared" ref="J75:T75" si="66">SUM(J76:J78)</f>
        <v>0</v>
      </c>
      <c r="K75" s="337">
        <f t="shared" si="66"/>
        <v>0</v>
      </c>
      <c r="L75" s="337">
        <f t="shared" si="66"/>
        <v>0</v>
      </c>
      <c r="M75" s="337">
        <f t="shared" si="66"/>
        <v>0</v>
      </c>
      <c r="N75" s="337">
        <f t="shared" si="66"/>
        <v>0</v>
      </c>
      <c r="O75" s="337">
        <f t="shared" si="66"/>
        <v>0</v>
      </c>
      <c r="P75" s="337">
        <f t="shared" si="66"/>
        <v>0</v>
      </c>
      <c r="Q75" s="337">
        <f t="shared" si="66"/>
        <v>0</v>
      </c>
      <c r="R75" s="337">
        <f t="shared" si="66"/>
        <v>0</v>
      </c>
      <c r="S75" s="337">
        <f t="shared" si="66"/>
        <v>0</v>
      </c>
      <c r="T75" s="338">
        <f t="shared" si="66"/>
        <v>0</v>
      </c>
    </row>
    <row r="76" spans="4:20" x14ac:dyDescent="0.2">
      <c r="D76" s="37"/>
      <c r="E76" s="509" t="s">
        <v>168</v>
      </c>
      <c r="F76" s="509"/>
      <c r="G76" s="38" t="s">
        <v>130</v>
      </c>
      <c r="H76" s="385">
        <f>130000</f>
        <v>130000</v>
      </c>
      <c r="I76" s="39">
        <f t="shared" ref="I76:I78" si="67">H76+J76</f>
        <v>130000</v>
      </c>
      <c r="J76" s="342">
        <f t="shared" ref="J76:J78" si="68">SUM(K76:T76)</f>
        <v>0</v>
      </c>
      <c r="K76" s="276"/>
      <c r="L76" s="276"/>
      <c r="M76" s="276"/>
      <c r="N76" s="276"/>
      <c r="O76" s="276"/>
      <c r="P76" s="276"/>
      <c r="Q76" s="276"/>
      <c r="R76" s="276"/>
      <c r="S76" s="276"/>
      <c r="T76" s="276"/>
    </row>
    <row r="77" spans="4:20" x14ac:dyDescent="0.2">
      <c r="D77" s="48"/>
      <c r="E77" s="522" t="s">
        <v>169</v>
      </c>
      <c r="F77" s="522"/>
      <c r="G77" s="49" t="s">
        <v>131</v>
      </c>
      <c r="H77" s="388">
        <f>57000</f>
        <v>57000</v>
      </c>
      <c r="I77" s="50">
        <f t="shared" si="67"/>
        <v>57000</v>
      </c>
      <c r="J77" s="342">
        <f t="shared" si="68"/>
        <v>0</v>
      </c>
      <c r="K77" s="276"/>
      <c r="L77" s="276"/>
      <c r="M77" s="276"/>
      <c r="N77" s="276"/>
      <c r="O77" s="276"/>
      <c r="P77" s="276"/>
      <c r="Q77" s="276"/>
      <c r="R77" s="276"/>
      <c r="S77" s="276"/>
      <c r="T77" s="276"/>
    </row>
    <row r="78" spans="4:20" x14ac:dyDescent="0.2">
      <c r="D78" s="59"/>
      <c r="E78" s="530" t="s">
        <v>170</v>
      </c>
      <c r="F78" s="530"/>
      <c r="G78" s="60" t="s">
        <v>132</v>
      </c>
      <c r="H78" s="393">
        <f>63559</f>
        <v>63559</v>
      </c>
      <c r="I78" s="61">
        <f t="shared" si="67"/>
        <v>63559</v>
      </c>
      <c r="J78" s="342">
        <f t="shared" si="68"/>
        <v>0</v>
      </c>
      <c r="K78" s="276"/>
      <c r="L78" s="276"/>
      <c r="M78" s="276"/>
      <c r="N78" s="276"/>
      <c r="O78" s="276"/>
      <c r="P78" s="276"/>
      <c r="Q78" s="276"/>
      <c r="R78" s="276"/>
      <c r="S78" s="276"/>
      <c r="T78" s="276"/>
    </row>
    <row r="79" spans="4:20" s="187" customFormat="1" x14ac:dyDescent="0.2">
      <c r="D79" s="507" t="s">
        <v>96</v>
      </c>
      <c r="E79" s="508"/>
      <c r="F79" s="508"/>
      <c r="G79" s="58" t="s">
        <v>97</v>
      </c>
      <c r="H79" s="33">
        <f t="shared" ref="H79:T79" si="69">SUM(H80)</f>
        <v>12778218</v>
      </c>
      <c r="I79" s="46">
        <f t="shared" si="69"/>
        <v>11682721</v>
      </c>
      <c r="J79" s="333">
        <f t="shared" si="69"/>
        <v>-1095497</v>
      </c>
      <c r="K79" s="334">
        <f t="shared" si="69"/>
        <v>7491</v>
      </c>
      <c r="L79" s="334">
        <f t="shared" si="69"/>
        <v>-1102988</v>
      </c>
      <c r="M79" s="334">
        <f t="shared" si="69"/>
        <v>0</v>
      </c>
      <c r="N79" s="334">
        <f t="shared" si="69"/>
        <v>0</v>
      </c>
      <c r="O79" s="334">
        <f t="shared" si="69"/>
        <v>0</v>
      </c>
      <c r="P79" s="334">
        <f t="shared" si="69"/>
        <v>0</v>
      </c>
      <c r="Q79" s="334">
        <f t="shared" si="69"/>
        <v>0</v>
      </c>
      <c r="R79" s="334">
        <f t="shared" si="69"/>
        <v>0</v>
      </c>
      <c r="S79" s="334">
        <f t="shared" si="69"/>
        <v>0</v>
      </c>
      <c r="T79" s="335">
        <f t="shared" si="69"/>
        <v>0</v>
      </c>
    </row>
    <row r="80" spans="4:20" s="186" customFormat="1" x14ac:dyDescent="0.2">
      <c r="D80" s="34"/>
      <c r="E80" s="503" t="s">
        <v>98</v>
      </c>
      <c r="F80" s="503"/>
      <c r="G80" s="35" t="s">
        <v>317</v>
      </c>
      <c r="H80" s="36">
        <f t="shared" ref="H80" si="70">SUM(,H81,H82,H83)</f>
        <v>12778218</v>
      </c>
      <c r="I80" s="47">
        <f t="shared" ref="I80:T80" si="71">SUM(,I81,I82,I83)</f>
        <v>11682721</v>
      </c>
      <c r="J80" s="336">
        <f t="shared" ref="J80" si="72">SUM(,J81,J82,J83)</f>
        <v>-1095497</v>
      </c>
      <c r="K80" s="337">
        <f t="shared" si="71"/>
        <v>7491</v>
      </c>
      <c r="L80" s="337">
        <f t="shared" si="71"/>
        <v>-1102988</v>
      </c>
      <c r="M80" s="337">
        <f t="shared" si="71"/>
        <v>0</v>
      </c>
      <c r="N80" s="337">
        <f t="shared" si="71"/>
        <v>0</v>
      </c>
      <c r="O80" s="337">
        <f t="shared" si="71"/>
        <v>0</v>
      </c>
      <c r="P80" s="337">
        <f t="shared" si="71"/>
        <v>0</v>
      </c>
      <c r="Q80" s="337">
        <f t="shared" si="71"/>
        <v>0</v>
      </c>
      <c r="R80" s="337">
        <f t="shared" si="71"/>
        <v>0</v>
      </c>
      <c r="S80" s="337">
        <f t="shared" si="71"/>
        <v>0</v>
      </c>
      <c r="T80" s="338">
        <f t="shared" si="71"/>
        <v>0</v>
      </c>
    </row>
    <row r="81" spans="4:20" ht="24" x14ac:dyDescent="0.2">
      <c r="D81" s="48"/>
      <c r="E81" s="522" t="s">
        <v>99</v>
      </c>
      <c r="F81" s="522"/>
      <c r="G81" s="49" t="s">
        <v>313</v>
      </c>
      <c r="H81" s="388">
        <f>8935871+7000+227558</f>
        <v>9170429</v>
      </c>
      <c r="I81" s="50">
        <f t="shared" ref="I81:I83" si="73">H81+J81</f>
        <v>9257763</v>
      </c>
      <c r="J81" s="342">
        <f t="shared" ref="J81:J83" si="74">SUM(K81:T81)</f>
        <v>87334</v>
      </c>
      <c r="K81" s="276"/>
      <c r="L81" s="276">
        <f>-18500+2660+2710-2182-36480+100932+8399+29795</f>
        <v>87334</v>
      </c>
      <c r="M81" s="276"/>
      <c r="N81" s="276"/>
      <c r="O81" s="276"/>
      <c r="P81" s="276"/>
      <c r="Q81" s="276"/>
      <c r="R81" s="276"/>
      <c r="S81" s="276"/>
      <c r="T81" s="276"/>
    </row>
    <row r="82" spans="4:20" ht="48" x14ac:dyDescent="0.2">
      <c r="D82" s="48"/>
      <c r="E82" s="522" t="s">
        <v>139</v>
      </c>
      <c r="F82" s="522"/>
      <c r="G82" s="49" t="s">
        <v>314</v>
      </c>
      <c r="H82" s="388">
        <f>3569359</f>
        <v>3569359</v>
      </c>
      <c r="I82" s="50">
        <f t="shared" si="73"/>
        <v>2386528</v>
      </c>
      <c r="J82" s="342">
        <f t="shared" si="74"/>
        <v>-1182831</v>
      </c>
      <c r="K82" s="276">
        <v>7491</v>
      </c>
      <c r="L82" s="276">
        <f>-1199113+8791</f>
        <v>-1190322</v>
      </c>
      <c r="M82" s="276"/>
      <c r="N82" s="276"/>
      <c r="O82" s="276"/>
      <c r="P82" s="276"/>
      <c r="Q82" s="276"/>
      <c r="R82" s="276"/>
      <c r="S82" s="276"/>
      <c r="T82" s="276"/>
    </row>
    <row r="83" spans="4:20" ht="24" x14ac:dyDescent="0.2">
      <c r="D83" s="59"/>
      <c r="E83" s="530" t="s">
        <v>140</v>
      </c>
      <c r="F83" s="530"/>
      <c r="G83" s="60" t="s">
        <v>315</v>
      </c>
      <c r="H83" s="393">
        <f>38430</f>
        <v>38430</v>
      </c>
      <c r="I83" s="61">
        <f t="shared" si="73"/>
        <v>38430</v>
      </c>
      <c r="J83" s="342">
        <f t="shared" si="74"/>
        <v>0</v>
      </c>
      <c r="K83" s="276"/>
      <c r="L83" s="276"/>
      <c r="M83" s="276"/>
      <c r="N83" s="276"/>
      <c r="O83" s="276"/>
      <c r="P83" s="276"/>
      <c r="Q83" s="276"/>
      <c r="R83" s="276"/>
      <c r="S83" s="276"/>
      <c r="T83" s="276"/>
    </row>
    <row r="84" spans="4:20" s="187" customFormat="1" x14ac:dyDescent="0.2">
      <c r="D84" s="507" t="s">
        <v>100</v>
      </c>
      <c r="E84" s="508"/>
      <c r="F84" s="508"/>
      <c r="G84" s="58" t="s">
        <v>101</v>
      </c>
      <c r="H84" s="33">
        <f>SUM(H85,H86)</f>
        <v>420700</v>
      </c>
      <c r="I84" s="46">
        <f>SUM(I85,I86)</f>
        <v>420700</v>
      </c>
      <c r="J84" s="333">
        <f>SUM(J85,J86)</f>
        <v>0</v>
      </c>
      <c r="K84" s="334">
        <f t="shared" ref="K84:T84" si="75">SUM(K85,K86)</f>
        <v>0</v>
      </c>
      <c r="L84" s="334">
        <f t="shared" si="75"/>
        <v>0</v>
      </c>
      <c r="M84" s="334">
        <f t="shared" si="75"/>
        <v>0</v>
      </c>
      <c r="N84" s="334">
        <f t="shared" si="75"/>
        <v>0</v>
      </c>
      <c r="O84" s="334">
        <f t="shared" si="75"/>
        <v>0</v>
      </c>
      <c r="P84" s="334">
        <f t="shared" si="75"/>
        <v>0</v>
      </c>
      <c r="Q84" s="334">
        <f t="shared" si="75"/>
        <v>0</v>
      </c>
      <c r="R84" s="334">
        <f t="shared" si="75"/>
        <v>0</v>
      </c>
      <c r="S84" s="334">
        <f t="shared" si="75"/>
        <v>0</v>
      </c>
      <c r="T84" s="335">
        <f t="shared" si="75"/>
        <v>0</v>
      </c>
    </row>
    <row r="85" spans="4:20" s="187" customFormat="1" ht="24" x14ac:dyDescent="0.2">
      <c r="D85" s="132"/>
      <c r="E85" s="503" t="s">
        <v>610</v>
      </c>
      <c r="F85" s="526"/>
      <c r="G85" s="35" t="s">
        <v>611</v>
      </c>
      <c r="H85" s="36">
        <v>0</v>
      </c>
      <c r="I85" s="47">
        <f>H85+J85</f>
        <v>0</v>
      </c>
      <c r="J85" s="376">
        <f>SUM(K85:T85)</f>
        <v>0</v>
      </c>
      <c r="K85" s="377"/>
      <c r="L85" s="377"/>
      <c r="M85" s="377"/>
      <c r="N85" s="377"/>
      <c r="O85" s="377"/>
      <c r="P85" s="377"/>
      <c r="Q85" s="377"/>
      <c r="R85" s="377"/>
      <c r="S85" s="377"/>
      <c r="T85" s="377"/>
    </row>
    <row r="86" spans="4:20" s="186" customFormat="1" ht="24" x14ac:dyDescent="0.2">
      <c r="D86" s="34"/>
      <c r="E86" s="503" t="s">
        <v>102</v>
      </c>
      <c r="F86" s="503"/>
      <c r="G86" s="35" t="s">
        <v>316</v>
      </c>
      <c r="H86" s="36">
        <f t="shared" ref="H86" si="76">SUM(H88,H87)</f>
        <v>420700</v>
      </c>
      <c r="I86" s="47">
        <f t="shared" ref="I86:T86" si="77">SUM(I88,I87)</f>
        <v>420700</v>
      </c>
      <c r="J86" s="336">
        <f t="shared" ref="J86" si="78">SUM(J88,J87)</f>
        <v>0</v>
      </c>
      <c r="K86" s="337">
        <f t="shared" si="77"/>
        <v>0</v>
      </c>
      <c r="L86" s="337">
        <f t="shared" si="77"/>
        <v>0</v>
      </c>
      <c r="M86" s="337">
        <f t="shared" si="77"/>
        <v>0</v>
      </c>
      <c r="N86" s="337">
        <f t="shared" si="77"/>
        <v>0</v>
      </c>
      <c r="O86" s="337">
        <f t="shared" si="77"/>
        <v>0</v>
      </c>
      <c r="P86" s="337">
        <f t="shared" si="77"/>
        <v>0</v>
      </c>
      <c r="Q86" s="337">
        <f t="shared" si="77"/>
        <v>0</v>
      </c>
      <c r="R86" s="337">
        <f t="shared" si="77"/>
        <v>0</v>
      </c>
      <c r="S86" s="337">
        <f t="shared" si="77"/>
        <v>0</v>
      </c>
      <c r="T86" s="338">
        <f t="shared" si="77"/>
        <v>0</v>
      </c>
    </row>
    <row r="87" spans="4:20" x14ac:dyDescent="0.2">
      <c r="D87" s="37"/>
      <c r="E87" s="509" t="s">
        <v>103</v>
      </c>
      <c r="F87" s="509"/>
      <c r="G87" s="38" t="s">
        <v>104</v>
      </c>
      <c r="H87" s="385">
        <f>420000</f>
        <v>420000</v>
      </c>
      <c r="I87" s="39">
        <f t="shared" ref="I87:I88" si="79">H87+J87</f>
        <v>420000</v>
      </c>
      <c r="J87" s="342">
        <f t="shared" ref="J87:J88" si="80">SUM(K87:T87)</f>
        <v>0</v>
      </c>
      <c r="K87" s="276"/>
      <c r="L87" s="276"/>
      <c r="M87" s="276"/>
      <c r="N87" s="276"/>
      <c r="O87" s="276"/>
      <c r="P87" s="276"/>
      <c r="Q87" s="276"/>
      <c r="R87" s="276"/>
      <c r="S87" s="276"/>
      <c r="T87" s="276"/>
    </row>
    <row r="88" spans="4:20" x14ac:dyDescent="0.2">
      <c r="D88" s="59"/>
      <c r="E88" s="509" t="s">
        <v>105</v>
      </c>
      <c r="F88" s="509"/>
      <c r="G88" s="60" t="s">
        <v>266</v>
      </c>
      <c r="H88" s="393">
        <f>700</f>
        <v>700</v>
      </c>
      <c r="I88" s="61">
        <f t="shared" si="79"/>
        <v>700</v>
      </c>
      <c r="J88" s="342">
        <f t="shared" si="80"/>
        <v>0</v>
      </c>
      <c r="K88" s="276"/>
      <c r="L88" s="276"/>
      <c r="M88" s="276"/>
      <c r="N88" s="276"/>
      <c r="O88" s="276"/>
      <c r="P88" s="276"/>
      <c r="Q88" s="276"/>
      <c r="R88" s="276"/>
      <c r="S88" s="276"/>
      <c r="T88" s="276"/>
    </row>
    <row r="89" spans="4:20" s="187" customFormat="1" x14ac:dyDescent="0.2">
      <c r="D89" s="507" t="s">
        <v>106</v>
      </c>
      <c r="E89" s="508"/>
      <c r="F89" s="543"/>
      <c r="G89" s="58" t="s">
        <v>708</v>
      </c>
      <c r="H89" s="33">
        <f t="shared" ref="H89" si="81">SUM(H90,H93,H110)</f>
        <v>1498743</v>
      </c>
      <c r="I89" s="46">
        <f t="shared" ref="I89:T89" si="82">SUM(I90,I93,I110)</f>
        <v>1565604</v>
      </c>
      <c r="J89" s="333">
        <f>SUM(J90,J93,J110)</f>
        <v>66861</v>
      </c>
      <c r="K89" s="334">
        <f t="shared" si="82"/>
        <v>0</v>
      </c>
      <c r="L89" s="334">
        <f t="shared" si="82"/>
        <v>20158</v>
      </c>
      <c r="M89" s="334">
        <f t="shared" si="82"/>
        <v>46703</v>
      </c>
      <c r="N89" s="334">
        <f t="shared" si="82"/>
        <v>0</v>
      </c>
      <c r="O89" s="334">
        <f t="shared" si="82"/>
        <v>0</v>
      </c>
      <c r="P89" s="334">
        <f t="shared" si="82"/>
        <v>0</v>
      </c>
      <c r="Q89" s="334">
        <f t="shared" si="82"/>
        <v>0</v>
      </c>
      <c r="R89" s="334">
        <f t="shared" si="82"/>
        <v>0</v>
      </c>
      <c r="S89" s="334">
        <f t="shared" si="82"/>
        <v>0</v>
      </c>
      <c r="T89" s="335">
        <f t="shared" si="82"/>
        <v>0</v>
      </c>
    </row>
    <row r="90" spans="4:20" s="186" customFormat="1" x14ac:dyDescent="0.2">
      <c r="D90" s="67"/>
      <c r="E90" s="503" t="s">
        <v>107</v>
      </c>
      <c r="F90" s="526"/>
      <c r="G90" s="111" t="s">
        <v>709</v>
      </c>
      <c r="H90" s="399">
        <f>SUM(H91:H92)</f>
        <v>0</v>
      </c>
      <c r="I90" s="47">
        <f>SUM(I91:I92)</f>
        <v>0</v>
      </c>
      <c r="J90" s="336">
        <f t="shared" ref="J90:T90" si="83">SUM(J91:J92)</f>
        <v>0</v>
      </c>
      <c r="K90" s="337">
        <f t="shared" si="83"/>
        <v>0</v>
      </c>
      <c r="L90" s="337">
        <f t="shared" si="83"/>
        <v>0</v>
      </c>
      <c r="M90" s="337">
        <f t="shared" si="83"/>
        <v>0</v>
      </c>
      <c r="N90" s="337">
        <f t="shared" si="83"/>
        <v>0</v>
      </c>
      <c r="O90" s="337">
        <f t="shared" si="83"/>
        <v>0</v>
      </c>
      <c r="P90" s="337">
        <f t="shared" si="83"/>
        <v>0</v>
      </c>
      <c r="Q90" s="337">
        <f t="shared" si="83"/>
        <v>0</v>
      </c>
      <c r="R90" s="337">
        <f t="shared" si="83"/>
        <v>0</v>
      </c>
      <c r="S90" s="337">
        <f t="shared" si="83"/>
        <v>0</v>
      </c>
      <c r="T90" s="338">
        <f t="shared" si="83"/>
        <v>0</v>
      </c>
    </row>
    <row r="91" spans="4:20" ht="48" x14ac:dyDescent="0.2">
      <c r="D91" s="190"/>
      <c r="E91" s="539" t="s">
        <v>166</v>
      </c>
      <c r="F91" s="540"/>
      <c r="G91" s="92" t="s">
        <v>710</v>
      </c>
      <c r="H91" s="396">
        <v>0</v>
      </c>
      <c r="I91" s="93">
        <f t="shared" ref="I91:I92" si="84">H91+J91</f>
        <v>0</v>
      </c>
      <c r="J91" s="342">
        <f t="shared" ref="J91:J92" si="85">SUM(K91:T91)</f>
        <v>0</v>
      </c>
      <c r="K91" s="276"/>
      <c r="L91" s="276"/>
      <c r="M91" s="276"/>
      <c r="N91" s="276"/>
      <c r="O91" s="276"/>
      <c r="P91" s="276"/>
      <c r="Q91" s="276"/>
      <c r="R91" s="276"/>
      <c r="S91" s="276"/>
      <c r="T91" s="276"/>
    </row>
    <row r="92" spans="4:20" ht="24" x14ac:dyDescent="0.2">
      <c r="D92" s="191"/>
      <c r="E92" s="532" t="s">
        <v>296</v>
      </c>
      <c r="F92" s="533"/>
      <c r="G92" s="120" t="s">
        <v>297</v>
      </c>
      <c r="H92" s="397">
        <v>0</v>
      </c>
      <c r="I92" s="118">
        <f t="shared" si="84"/>
        <v>0</v>
      </c>
      <c r="J92" s="342">
        <f t="shared" si="85"/>
        <v>0</v>
      </c>
      <c r="K92" s="276"/>
      <c r="L92" s="276"/>
      <c r="M92" s="276"/>
      <c r="N92" s="276"/>
      <c r="O92" s="276"/>
      <c r="P92" s="276"/>
      <c r="Q92" s="276"/>
      <c r="R92" s="276"/>
      <c r="S92" s="276"/>
      <c r="T92" s="276"/>
    </row>
    <row r="93" spans="4:20" s="186" customFormat="1" ht="24" x14ac:dyDescent="0.2">
      <c r="D93" s="34"/>
      <c r="E93" s="503" t="s">
        <v>108</v>
      </c>
      <c r="F93" s="526"/>
      <c r="G93" s="35" t="s">
        <v>711</v>
      </c>
      <c r="H93" s="36">
        <f t="shared" ref="H93" si="86">SUM(H94,H98,H100,H104)</f>
        <v>1450173</v>
      </c>
      <c r="I93" s="47">
        <f t="shared" ref="I93:T93" si="87">SUM(I94,I98,I100,I104)</f>
        <v>1516328</v>
      </c>
      <c r="J93" s="336">
        <f t="shared" ref="J93" si="88">SUM(J94,J98,J100,J104)</f>
        <v>66155</v>
      </c>
      <c r="K93" s="337">
        <f t="shared" si="87"/>
        <v>0</v>
      </c>
      <c r="L93" s="337">
        <f t="shared" si="87"/>
        <v>19452</v>
      </c>
      <c r="M93" s="337">
        <f t="shared" si="87"/>
        <v>46703</v>
      </c>
      <c r="N93" s="337">
        <f t="shared" si="87"/>
        <v>0</v>
      </c>
      <c r="O93" s="337">
        <f t="shared" si="87"/>
        <v>0</v>
      </c>
      <c r="P93" s="337">
        <f t="shared" si="87"/>
        <v>0</v>
      </c>
      <c r="Q93" s="337">
        <f t="shared" si="87"/>
        <v>0</v>
      </c>
      <c r="R93" s="337">
        <f t="shared" si="87"/>
        <v>0</v>
      </c>
      <c r="S93" s="337">
        <f t="shared" si="87"/>
        <v>0</v>
      </c>
      <c r="T93" s="338">
        <f t="shared" si="87"/>
        <v>0</v>
      </c>
    </row>
    <row r="94" spans="4:20" x14ac:dyDescent="0.2">
      <c r="D94" s="37"/>
      <c r="E94" s="522" t="s">
        <v>109</v>
      </c>
      <c r="F94" s="527"/>
      <c r="G94" s="38" t="s">
        <v>110</v>
      </c>
      <c r="H94" s="385">
        <f t="shared" ref="H94" si="89">SUM(H95:H97)</f>
        <v>161519</v>
      </c>
      <c r="I94" s="39">
        <f t="shared" ref="I94:T94" si="90">SUM(I95:I97)</f>
        <v>176246</v>
      </c>
      <c r="J94" s="330">
        <f t="shared" ref="J94" si="91">SUM(J95:J97)</f>
        <v>14727</v>
      </c>
      <c r="K94" s="331">
        <f t="shared" si="90"/>
        <v>0</v>
      </c>
      <c r="L94" s="331">
        <f t="shared" si="90"/>
        <v>14727</v>
      </c>
      <c r="M94" s="331">
        <f t="shared" si="90"/>
        <v>0</v>
      </c>
      <c r="N94" s="331">
        <f t="shared" si="90"/>
        <v>0</v>
      </c>
      <c r="O94" s="331">
        <f t="shared" si="90"/>
        <v>0</v>
      </c>
      <c r="P94" s="331">
        <f t="shared" si="90"/>
        <v>0</v>
      </c>
      <c r="Q94" s="331">
        <f t="shared" si="90"/>
        <v>0</v>
      </c>
      <c r="R94" s="331">
        <f t="shared" si="90"/>
        <v>0</v>
      </c>
      <c r="S94" s="331">
        <f t="shared" si="90"/>
        <v>0</v>
      </c>
      <c r="T94" s="332">
        <f t="shared" si="90"/>
        <v>0</v>
      </c>
    </row>
    <row r="95" spans="4:20" x14ac:dyDescent="0.2">
      <c r="D95" s="40"/>
      <c r="E95" s="539" t="s">
        <v>111</v>
      </c>
      <c r="F95" s="540"/>
      <c r="G95" s="44" t="s">
        <v>228</v>
      </c>
      <c r="H95" s="389">
        <f>107393</f>
        <v>107393</v>
      </c>
      <c r="I95" s="42">
        <f t="shared" ref="I95:I97" si="92">H95+J95</f>
        <v>107393</v>
      </c>
      <c r="J95" s="342">
        <f t="shared" ref="J95:J97" si="93">SUM(K95:T95)</f>
        <v>0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</row>
    <row r="96" spans="4:20" x14ac:dyDescent="0.2">
      <c r="D96" s="62"/>
      <c r="E96" s="528" t="s">
        <v>112</v>
      </c>
      <c r="F96" s="531"/>
      <c r="G96" s="63" t="s">
        <v>113</v>
      </c>
      <c r="H96" s="386">
        <f>36196</f>
        <v>36196</v>
      </c>
      <c r="I96" s="42">
        <f t="shared" si="92"/>
        <v>50923</v>
      </c>
      <c r="J96" s="342">
        <f t="shared" si="93"/>
        <v>14727</v>
      </c>
      <c r="K96" s="276"/>
      <c r="L96" s="276">
        <f>14727</f>
        <v>14727</v>
      </c>
      <c r="M96" s="276"/>
      <c r="N96" s="276"/>
      <c r="O96" s="276"/>
      <c r="P96" s="276"/>
      <c r="Q96" s="276"/>
      <c r="R96" s="276"/>
      <c r="S96" s="276"/>
      <c r="T96" s="276"/>
    </row>
    <row r="97" spans="4:20" x14ac:dyDescent="0.2">
      <c r="D97" s="43"/>
      <c r="E97" s="532" t="s">
        <v>114</v>
      </c>
      <c r="F97" s="533"/>
      <c r="G97" s="44" t="s">
        <v>229</v>
      </c>
      <c r="H97" s="389">
        <f>17930</f>
        <v>17930</v>
      </c>
      <c r="I97" s="42">
        <f t="shared" si="92"/>
        <v>17930</v>
      </c>
      <c r="J97" s="342">
        <f t="shared" si="93"/>
        <v>0</v>
      </c>
      <c r="K97" s="276"/>
      <c r="L97" s="276"/>
      <c r="M97" s="276"/>
      <c r="N97" s="276"/>
      <c r="O97" s="276"/>
      <c r="P97" s="276"/>
      <c r="Q97" s="276"/>
      <c r="R97" s="276"/>
      <c r="S97" s="276"/>
      <c r="T97" s="276"/>
    </row>
    <row r="98" spans="4:20" ht="24" x14ac:dyDescent="0.2">
      <c r="D98" s="48"/>
      <c r="E98" s="522" t="s">
        <v>115</v>
      </c>
      <c r="F98" s="527"/>
      <c r="G98" s="49" t="s">
        <v>116</v>
      </c>
      <c r="H98" s="388">
        <f>SUM(H99:H99)</f>
        <v>44210</v>
      </c>
      <c r="I98" s="50">
        <f>SUM(I99:I99)</f>
        <v>44210</v>
      </c>
      <c r="J98" s="339">
        <f t="shared" ref="J98:T98" si="94">SUM(J99:J99)</f>
        <v>0</v>
      </c>
      <c r="K98" s="340">
        <f t="shared" si="94"/>
        <v>0</v>
      </c>
      <c r="L98" s="340">
        <f t="shared" si="94"/>
        <v>0</v>
      </c>
      <c r="M98" s="340">
        <f t="shared" si="94"/>
        <v>0</v>
      </c>
      <c r="N98" s="340">
        <f t="shared" si="94"/>
        <v>0</v>
      </c>
      <c r="O98" s="340">
        <f t="shared" si="94"/>
        <v>0</v>
      </c>
      <c r="P98" s="340">
        <f t="shared" si="94"/>
        <v>0</v>
      </c>
      <c r="Q98" s="340">
        <f t="shared" si="94"/>
        <v>0</v>
      </c>
      <c r="R98" s="340">
        <f t="shared" si="94"/>
        <v>0</v>
      </c>
      <c r="S98" s="340">
        <f t="shared" si="94"/>
        <v>0</v>
      </c>
      <c r="T98" s="341">
        <f t="shared" si="94"/>
        <v>0</v>
      </c>
    </row>
    <row r="99" spans="4:20" ht="24" x14ac:dyDescent="0.2">
      <c r="D99" s="52"/>
      <c r="E99" s="541" t="s">
        <v>117</v>
      </c>
      <c r="F99" s="542"/>
      <c r="G99" s="63" t="s">
        <v>230</v>
      </c>
      <c r="H99" s="386">
        <f>44210</f>
        <v>44210</v>
      </c>
      <c r="I99" s="42">
        <f>H99+J99</f>
        <v>44210</v>
      </c>
      <c r="J99" s="342">
        <f>SUM(K99:T99)</f>
        <v>0</v>
      </c>
      <c r="K99" s="276"/>
      <c r="L99" s="276"/>
      <c r="M99" s="276"/>
      <c r="N99" s="276"/>
      <c r="O99" s="276"/>
      <c r="P99" s="276"/>
      <c r="Q99" s="276"/>
      <c r="R99" s="276"/>
      <c r="S99" s="276"/>
      <c r="T99" s="276"/>
    </row>
    <row r="100" spans="4:20" x14ac:dyDescent="0.2">
      <c r="D100" s="48"/>
      <c r="E100" s="522" t="s">
        <v>118</v>
      </c>
      <c r="F100" s="527"/>
      <c r="G100" s="49" t="s">
        <v>232</v>
      </c>
      <c r="H100" s="388">
        <f t="shared" ref="H100" si="95">SUM(H101:H103)</f>
        <v>236313</v>
      </c>
      <c r="I100" s="50">
        <f t="shared" ref="I100:T100" si="96">SUM(I101:I103)</f>
        <v>236838</v>
      </c>
      <c r="J100" s="339">
        <f t="shared" ref="J100" si="97">SUM(J101:J103)</f>
        <v>525</v>
      </c>
      <c r="K100" s="340">
        <f t="shared" si="96"/>
        <v>0</v>
      </c>
      <c r="L100" s="340">
        <f t="shared" si="96"/>
        <v>525</v>
      </c>
      <c r="M100" s="340">
        <f t="shared" si="96"/>
        <v>0</v>
      </c>
      <c r="N100" s="340">
        <f t="shared" si="96"/>
        <v>0</v>
      </c>
      <c r="O100" s="340">
        <f t="shared" si="96"/>
        <v>0</v>
      </c>
      <c r="P100" s="340">
        <f t="shared" si="96"/>
        <v>0</v>
      </c>
      <c r="Q100" s="340">
        <f t="shared" si="96"/>
        <v>0</v>
      </c>
      <c r="R100" s="340">
        <f t="shared" si="96"/>
        <v>0</v>
      </c>
      <c r="S100" s="340">
        <f t="shared" si="96"/>
        <v>0</v>
      </c>
      <c r="T100" s="341">
        <f t="shared" si="96"/>
        <v>0</v>
      </c>
    </row>
    <row r="101" spans="4:20" x14ac:dyDescent="0.2">
      <c r="D101" s="40"/>
      <c r="E101" s="539" t="s">
        <v>119</v>
      </c>
      <c r="F101" s="540"/>
      <c r="G101" s="41" t="s">
        <v>183</v>
      </c>
      <c r="H101" s="386">
        <f>232715</f>
        <v>232715</v>
      </c>
      <c r="I101" s="42">
        <f t="shared" ref="I101:I103" si="98">H101+J101</f>
        <v>233240</v>
      </c>
      <c r="J101" s="342">
        <f t="shared" ref="J101:J103" si="99">SUM(K101:T101)</f>
        <v>525</v>
      </c>
      <c r="K101" s="276"/>
      <c r="L101" s="276">
        <f>525</f>
        <v>525</v>
      </c>
      <c r="M101" s="276"/>
      <c r="N101" s="276"/>
      <c r="O101" s="276"/>
      <c r="P101" s="276"/>
      <c r="Q101" s="276"/>
      <c r="R101" s="276"/>
      <c r="S101" s="276"/>
      <c r="T101" s="276"/>
    </row>
    <row r="102" spans="4:20" x14ac:dyDescent="0.2">
      <c r="D102" s="62"/>
      <c r="E102" s="528" t="s">
        <v>120</v>
      </c>
      <c r="F102" s="531"/>
      <c r="G102" s="63" t="s">
        <v>231</v>
      </c>
      <c r="H102" s="386">
        <f>3598</f>
        <v>3598</v>
      </c>
      <c r="I102" s="42">
        <f t="shared" si="98"/>
        <v>3598</v>
      </c>
      <c r="J102" s="342">
        <f t="shared" si="99"/>
        <v>0</v>
      </c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</row>
    <row r="103" spans="4:20" x14ac:dyDescent="0.2">
      <c r="D103" s="52"/>
      <c r="E103" s="184"/>
      <c r="F103" s="133" t="s">
        <v>331</v>
      </c>
      <c r="G103" s="53" t="s">
        <v>332</v>
      </c>
      <c r="H103" s="389">
        <v>0</v>
      </c>
      <c r="I103" s="42">
        <f t="shared" si="98"/>
        <v>0</v>
      </c>
      <c r="J103" s="342">
        <f t="shared" si="99"/>
        <v>0</v>
      </c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</row>
    <row r="104" spans="4:20" ht="24" x14ac:dyDescent="0.2">
      <c r="D104" s="48"/>
      <c r="E104" s="522" t="s">
        <v>121</v>
      </c>
      <c r="F104" s="527"/>
      <c r="G104" s="49" t="s">
        <v>712</v>
      </c>
      <c r="H104" s="388">
        <f t="shared" ref="H104" si="100">SUM(H105:H109)</f>
        <v>1008131</v>
      </c>
      <c r="I104" s="50">
        <f t="shared" ref="I104:T104" si="101">SUM(I105:I109)</f>
        <v>1059034</v>
      </c>
      <c r="J104" s="339">
        <f t="shared" ref="J104" si="102">SUM(J105:J109)</f>
        <v>50903</v>
      </c>
      <c r="K104" s="340">
        <f t="shared" si="101"/>
        <v>0</v>
      </c>
      <c r="L104" s="340">
        <f t="shared" si="101"/>
        <v>4200</v>
      </c>
      <c r="M104" s="340">
        <f t="shared" si="101"/>
        <v>46703</v>
      </c>
      <c r="N104" s="340">
        <f t="shared" si="101"/>
        <v>0</v>
      </c>
      <c r="O104" s="340">
        <f t="shared" si="101"/>
        <v>0</v>
      </c>
      <c r="P104" s="340">
        <f t="shared" si="101"/>
        <v>0</v>
      </c>
      <c r="Q104" s="340">
        <f t="shared" si="101"/>
        <v>0</v>
      </c>
      <c r="R104" s="340">
        <f t="shared" si="101"/>
        <v>0</v>
      </c>
      <c r="S104" s="340">
        <f t="shared" si="101"/>
        <v>0</v>
      </c>
      <c r="T104" s="341">
        <f t="shared" si="101"/>
        <v>0</v>
      </c>
    </row>
    <row r="105" spans="4:20" ht="24" x14ac:dyDescent="0.2">
      <c r="D105" s="40"/>
      <c r="E105" s="539" t="s">
        <v>122</v>
      </c>
      <c r="F105" s="540"/>
      <c r="G105" s="44" t="s">
        <v>233</v>
      </c>
      <c r="H105" s="389">
        <f>477470</f>
        <v>477470</v>
      </c>
      <c r="I105" s="42">
        <f t="shared" ref="I105:I108" si="103">H105+J105</f>
        <v>477470</v>
      </c>
      <c r="J105" s="342">
        <f t="shared" ref="J105:J109" si="104">SUM(K105:T105)</f>
        <v>0</v>
      </c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</row>
    <row r="106" spans="4:20" x14ac:dyDescent="0.2">
      <c r="D106" s="62"/>
      <c r="E106" s="528" t="s">
        <v>123</v>
      </c>
      <c r="F106" s="531"/>
      <c r="G106" s="44" t="s">
        <v>255</v>
      </c>
      <c r="H106" s="389">
        <f>19817</f>
        <v>19817</v>
      </c>
      <c r="I106" s="42">
        <f t="shared" si="103"/>
        <v>19817</v>
      </c>
      <c r="J106" s="342">
        <f t="shared" si="104"/>
        <v>0</v>
      </c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</row>
    <row r="107" spans="4:20" x14ac:dyDescent="0.2">
      <c r="D107" s="62"/>
      <c r="E107" s="528" t="s">
        <v>124</v>
      </c>
      <c r="F107" s="531"/>
      <c r="G107" s="44" t="s">
        <v>234</v>
      </c>
      <c r="H107" s="389">
        <v>0</v>
      </c>
      <c r="I107" s="42">
        <f t="shared" si="103"/>
        <v>0</v>
      </c>
      <c r="J107" s="342">
        <f t="shared" si="104"/>
        <v>0</v>
      </c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</row>
    <row r="108" spans="4:20" ht="36" x14ac:dyDescent="0.2">
      <c r="D108" s="43"/>
      <c r="E108" s="528" t="s">
        <v>515</v>
      </c>
      <c r="F108" s="531"/>
      <c r="G108" s="44" t="s">
        <v>713</v>
      </c>
      <c r="H108" s="389">
        <v>0</v>
      </c>
      <c r="I108" s="42">
        <f t="shared" si="103"/>
        <v>0</v>
      </c>
      <c r="J108" s="342">
        <f t="shared" si="104"/>
        <v>0</v>
      </c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</row>
    <row r="109" spans="4:20" x14ac:dyDescent="0.2">
      <c r="D109" s="43"/>
      <c r="E109" s="532" t="s">
        <v>125</v>
      </c>
      <c r="F109" s="533"/>
      <c r="G109" s="44" t="s">
        <v>235</v>
      </c>
      <c r="H109" s="389">
        <f>510844</f>
        <v>510844</v>
      </c>
      <c r="I109" s="42">
        <f>H109+J109</f>
        <v>561747</v>
      </c>
      <c r="J109" s="342">
        <f t="shared" si="104"/>
        <v>50903</v>
      </c>
      <c r="K109" s="276"/>
      <c r="L109" s="276">
        <f>4200</f>
        <v>4200</v>
      </c>
      <c r="M109" s="276">
        <f>740+45963</f>
        <v>46703</v>
      </c>
      <c r="N109" s="276"/>
      <c r="O109" s="276"/>
      <c r="P109" s="276"/>
      <c r="Q109" s="276"/>
      <c r="R109" s="276"/>
      <c r="S109" s="276"/>
      <c r="T109" s="276"/>
    </row>
    <row r="110" spans="4:20" ht="36" x14ac:dyDescent="0.2">
      <c r="D110" s="48"/>
      <c r="E110" s="503" t="s">
        <v>326</v>
      </c>
      <c r="F110" s="526"/>
      <c r="G110" s="138" t="s">
        <v>714</v>
      </c>
      <c r="H110" s="400">
        <f>SUM(H111,H114)</f>
        <v>48570</v>
      </c>
      <c r="I110" s="50">
        <f>SUM(I111,I114)</f>
        <v>49276</v>
      </c>
      <c r="J110" s="339">
        <f t="shared" ref="J110:T110" si="105">SUM(J111,J114)</f>
        <v>706</v>
      </c>
      <c r="K110" s="340">
        <f t="shared" si="105"/>
        <v>0</v>
      </c>
      <c r="L110" s="340">
        <f t="shared" si="105"/>
        <v>706</v>
      </c>
      <c r="M110" s="340">
        <f t="shared" si="105"/>
        <v>0</v>
      </c>
      <c r="N110" s="340">
        <f t="shared" si="105"/>
        <v>0</v>
      </c>
      <c r="O110" s="340">
        <f t="shared" si="105"/>
        <v>0</v>
      </c>
      <c r="P110" s="340">
        <f t="shared" si="105"/>
        <v>0</v>
      </c>
      <c r="Q110" s="340">
        <f t="shared" si="105"/>
        <v>0</v>
      </c>
      <c r="R110" s="340">
        <f t="shared" si="105"/>
        <v>0</v>
      </c>
      <c r="S110" s="340">
        <f t="shared" si="105"/>
        <v>0</v>
      </c>
      <c r="T110" s="341">
        <f t="shared" si="105"/>
        <v>0</v>
      </c>
    </row>
    <row r="111" spans="4:20" s="186" customFormat="1" x14ac:dyDescent="0.2">
      <c r="D111" s="34"/>
      <c r="E111" s="522" t="s">
        <v>126</v>
      </c>
      <c r="F111" s="527"/>
      <c r="G111" s="49" t="s">
        <v>318</v>
      </c>
      <c r="H111" s="388">
        <f>SUM(H112:H113)</f>
        <v>15300</v>
      </c>
      <c r="I111" s="113">
        <f>SUM(I112:I113)</f>
        <v>0</v>
      </c>
      <c r="J111" s="344">
        <f>SUM(K111:T111)</f>
        <v>-15300</v>
      </c>
      <c r="K111" s="345">
        <f t="shared" ref="K111:T111" si="106">SUM(K112:K113)</f>
        <v>0</v>
      </c>
      <c r="L111" s="345">
        <f t="shared" si="106"/>
        <v>-15300</v>
      </c>
      <c r="M111" s="345">
        <f t="shared" si="106"/>
        <v>0</v>
      </c>
      <c r="N111" s="345">
        <f t="shared" si="106"/>
        <v>0</v>
      </c>
      <c r="O111" s="345">
        <f t="shared" si="106"/>
        <v>0</v>
      </c>
      <c r="P111" s="345">
        <f t="shared" si="106"/>
        <v>0</v>
      </c>
      <c r="Q111" s="345">
        <f t="shared" si="106"/>
        <v>0</v>
      </c>
      <c r="R111" s="345">
        <f t="shared" si="106"/>
        <v>0</v>
      </c>
      <c r="S111" s="345">
        <f t="shared" si="106"/>
        <v>0</v>
      </c>
      <c r="T111" s="346">
        <f t="shared" si="106"/>
        <v>0</v>
      </c>
    </row>
    <row r="112" spans="4:20" x14ac:dyDescent="0.2">
      <c r="D112" s="62"/>
      <c r="E112" s="528"/>
      <c r="F112" s="531"/>
      <c r="G112" s="44"/>
      <c r="H112" s="387"/>
      <c r="I112" s="64"/>
      <c r="J112" s="342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</row>
    <row r="113" spans="4:20" ht="24" x14ac:dyDescent="0.2">
      <c r="D113" s="43"/>
      <c r="E113" s="518" t="s">
        <v>267</v>
      </c>
      <c r="F113" s="544"/>
      <c r="G113" s="44" t="s">
        <v>268</v>
      </c>
      <c r="H113" s="387">
        <f>15300</f>
        <v>15300</v>
      </c>
      <c r="I113" s="45">
        <f t="shared" ref="I113:I114" si="107">H113+J113</f>
        <v>0</v>
      </c>
      <c r="J113" s="342">
        <f t="shared" ref="J113" si="108">SUM(K113:T113)</f>
        <v>-15300</v>
      </c>
      <c r="K113" s="276"/>
      <c r="L113" s="276">
        <v>-15300</v>
      </c>
      <c r="M113" s="276"/>
      <c r="N113" s="276"/>
      <c r="O113" s="276"/>
      <c r="P113" s="276"/>
      <c r="Q113" s="276"/>
      <c r="R113" s="276"/>
      <c r="S113" s="276"/>
      <c r="T113" s="276"/>
    </row>
    <row r="114" spans="4:20" s="186" customFormat="1" x14ac:dyDescent="0.2">
      <c r="D114" s="68"/>
      <c r="E114" s="524" t="s">
        <v>324</v>
      </c>
      <c r="F114" s="525"/>
      <c r="G114" s="49" t="s">
        <v>325</v>
      </c>
      <c r="H114" s="388">
        <f>33270</f>
        <v>33270</v>
      </c>
      <c r="I114" s="113">
        <f t="shared" si="107"/>
        <v>49276</v>
      </c>
      <c r="J114" s="342">
        <f>SUM(K114:T114)</f>
        <v>16006</v>
      </c>
      <c r="K114" s="375"/>
      <c r="L114" s="276">
        <f>706+15300</f>
        <v>16006</v>
      </c>
      <c r="M114" s="375"/>
      <c r="N114" s="375"/>
      <c r="O114" s="375"/>
      <c r="P114" s="375"/>
      <c r="Q114" s="375"/>
      <c r="R114" s="375"/>
      <c r="S114" s="375"/>
      <c r="T114" s="375"/>
    </row>
    <row r="115" spans="4:20" s="186" customFormat="1" x14ac:dyDescent="0.2">
      <c r="D115" s="192"/>
      <c r="E115" s="193"/>
      <c r="F115" s="194"/>
      <c r="G115" s="53"/>
      <c r="H115" s="389"/>
      <c r="I115" s="195"/>
      <c r="J115" s="374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</row>
    <row r="116" spans="4:20" s="186" customFormat="1" ht="27.75" customHeight="1" x14ac:dyDescent="0.2">
      <c r="D116" s="196"/>
      <c r="E116" s="197" t="s">
        <v>516</v>
      </c>
      <c r="F116" s="198"/>
      <c r="G116" s="199" t="s">
        <v>517</v>
      </c>
      <c r="H116" s="401">
        <v>0</v>
      </c>
      <c r="I116" s="200">
        <v>0</v>
      </c>
      <c r="J116" s="380">
        <v>0</v>
      </c>
      <c r="K116" s="381"/>
      <c r="L116" s="381"/>
      <c r="M116" s="381"/>
      <c r="N116" s="381"/>
      <c r="O116" s="381"/>
      <c r="P116" s="381"/>
      <c r="Q116" s="381"/>
      <c r="R116" s="381"/>
      <c r="S116" s="381"/>
      <c r="T116" s="382"/>
    </row>
    <row r="117" spans="4:20" x14ac:dyDescent="0.2">
      <c r="D117" s="37"/>
      <c r="E117" s="70"/>
      <c r="F117" s="71"/>
      <c r="G117" s="53"/>
      <c r="H117" s="389"/>
      <c r="I117" s="39"/>
      <c r="J117" s="342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</row>
    <row r="118" spans="4:20" s="202" customFormat="1" ht="12.75" x14ac:dyDescent="0.2">
      <c r="D118" s="545" t="s">
        <v>142</v>
      </c>
      <c r="E118" s="546"/>
      <c r="F118" s="546"/>
      <c r="G118" s="547"/>
      <c r="H118" s="402">
        <f>SUM(H12,H17,H25,H31,H42,H53,H68,H58,H79,H84,H89,H116)</f>
        <v>70537412</v>
      </c>
      <c r="I118" s="201">
        <f>SUM(I12,I17,I25,I31,I42,I53,I68,I58,I79,I84,I89,I116)</f>
        <v>69552817</v>
      </c>
      <c r="J118" s="378">
        <f>SUM(J12,J17,J25,J31,J42,J53,J68,J58,J79,J84,J89,J116)</f>
        <v>-984595</v>
      </c>
      <c r="K118" s="379">
        <f t="shared" ref="K118:T118" si="109">SUM(K12,K17,K25,K31,K42,K53,K68,K58,K79,K84,K89,K116)</f>
        <v>7491</v>
      </c>
      <c r="L118" s="379">
        <f t="shared" si="109"/>
        <v>-1038789</v>
      </c>
      <c r="M118" s="379">
        <f t="shared" si="109"/>
        <v>46703</v>
      </c>
      <c r="N118" s="379">
        <f t="shared" si="109"/>
        <v>0</v>
      </c>
      <c r="O118" s="379">
        <f t="shared" si="109"/>
        <v>0</v>
      </c>
      <c r="P118" s="379">
        <f t="shared" si="109"/>
        <v>0</v>
      </c>
      <c r="Q118" s="379">
        <f t="shared" si="109"/>
        <v>0</v>
      </c>
      <c r="R118" s="379">
        <f t="shared" si="109"/>
        <v>0</v>
      </c>
      <c r="S118" s="379">
        <f t="shared" si="109"/>
        <v>0</v>
      </c>
      <c r="T118" s="379">
        <f t="shared" si="109"/>
        <v>0</v>
      </c>
    </row>
    <row r="119" spans="4:20" x14ac:dyDescent="0.2">
      <c r="D119" s="48"/>
      <c r="E119" s="72"/>
      <c r="F119" s="73"/>
      <c r="G119" s="44"/>
      <c r="H119" s="389"/>
      <c r="I119" s="50"/>
      <c r="J119" s="342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</row>
    <row r="120" spans="4:20" s="186" customFormat="1" x14ac:dyDescent="0.2">
      <c r="D120" s="34"/>
      <c r="E120" s="548" t="s">
        <v>697</v>
      </c>
      <c r="F120" s="549"/>
      <c r="G120" s="35" t="s">
        <v>156</v>
      </c>
      <c r="H120" s="36">
        <f t="shared" ref="H120:T120" si="110">SUM(,H121)</f>
        <v>27776740</v>
      </c>
      <c r="I120" s="47">
        <f t="shared" si="110"/>
        <v>28116263</v>
      </c>
      <c r="J120" s="336">
        <f t="shared" si="110"/>
        <v>339523</v>
      </c>
      <c r="K120" s="337">
        <f t="shared" si="110"/>
        <v>0</v>
      </c>
      <c r="L120" s="337">
        <f t="shared" si="110"/>
        <v>0</v>
      </c>
      <c r="M120" s="337">
        <f t="shared" si="110"/>
        <v>339523</v>
      </c>
      <c r="N120" s="337">
        <f t="shared" si="110"/>
        <v>0</v>
      </c>
      <c r="O120" s="337">
        <f t="shared" si="110"/>
        <v>0</v>
      </c>
      <c r="P120" s="337">
        <f t="shared" si="110"/>
        <v>0</v>
      </c>
      <c r="Q120" s="337">
        <f t="shared" si="110"/>
        <v>0</v>
      </c>
      <c r="R120" s="337">
        <f t="shared" si="110"/>
        <v>0</v>
      </c>
      <c r="S120" s="337">
        <f t="shared" si="110"/>
        <v>0</v>
      </c>
      <c r="T120" s="338">
        <f t="shared" si="110"/>
        <v>0</v>
      </c>
    </row>
    <row r="121" spans="4:20" s="186" customFormat="1" x14ac:dyDescent="0.2">
      <c r="D121" s="34"/>
      <c r="E121" s="182"/>
      <c r="F121" s="182"/>
      <c r="G121" s="102" t="s">
        <v>319</v>
      </c>
      <c r="H121" s="403">
        <f t="shared" ref="H121" si="111">SUM(H128,H122)</f>
        <v>27776740</v>
      </c>
      <c r="I121" s="47">
        <f t="shared" ref="I121:T121" si="112">SUM(I128,I122)</f>
        <v>28116263</v>
      </c>
      <c r="J121" s="336">
        <f t="shared" ref="J121" si="113">SUM(J128,J122)</f>
        <v>339523</v>
      </c>
      <c r="K121" s="337">
        <f t="shared" si="112"/>
        <v>0</v>
      </c>
      <c r="L121" s="337">
        <f t="shared" si="112"/>
        <v>0</v>
      </c>
      <c r="M121" s="337">
        <f t="shared" si="112"/>
        <v>339523</v>
      </c>
      <c r="N121" s="337">
        <f t="shared" si="112"/>
        <v>0</v>
      </c>
      <c r="O121" s="337">
        <f t="shared" si="112"/>
        <v>0</v>
      </c>
      <c r="P121" s="337">
        <f t="shared" si="112"/>
        <v>0</v>
      </c>
      <c r="Q121" s="337">
        <f t="shared" si="112"/>
        <v>0</v>
      </c>
      <c r="R121" s="337">
        <f t="shared" si="112"/>
        <v>0</v>
      </c>
      <c r="S121" s="337">
        <f t="shared" si="112"/>
        <v>0</v>
      </c>
      <c r="T121" s="338">
        <f t="shared" si="112"/>
        <v>0</v>
      </c>
    </row>
    <row r="122" spans="4:20" s="186" customFormat="1" x14ac:dyDescent="0.2">
      <c r="D122" s="68"/>
      <c r="E122" s="76"/>
      <c r="F122" s="182" t="s">
        <v>158</v>
      </c>
      <c r="G122" s="69" t="s">
        <v>335</v>
      </c>
      <c r="H122" s="404">
        <f t="shared" ref="H122" si="114">SUM(H123:H127)</f>
        <v>173175</v>
      </c>
      <c r="I122" s="47">
        <f t="shared" ref="I122:T122" si="115">SUM(I123:I127)</f>
        <v>173175</v>
      </c>
      <c r="J122" s="336">
        <f t="shared" ref="J122" si="116">SUM(J123:J127)</f>
        <v>0</v>
      </c>
      <c r="K122" s="337">
        <f t="shared" si="115"/>
        <v>0</v>
      </c>
      <c r="L122" s="337">
        <f t="shared" si="115"/>
        <v>0</v>
      </c>
      <c r="M122" s="337">
        <f t="shared" si="115"/>
        <v>0</v>
      </c>
      <c r="N122" s="337">
        <f t="shared" si="115"/>
        <v>0</v>
      </c>
      <c r="O122" s="337">
        <f t="shared" si="115"/>
        <v>0</v>
      </c>
      <c r="P122" s="337">
        <f t="shared" si="115"/>
        <v>0</v>
      </c>
      <c r="Q122" s="337">
        <f t="shared" si="115"/>
        <v>0</v>
      </c>
      <c r="R122" s="337">
        <f t="shared" si="115"/>
        <v>0</v>
      </c>
      <c r="S122" s="337">
        <f t="shared" si="115"/>
        <v>0</v>
      </c>
      <c r="T122" s="338">
        <f t="shared" si="115"/>
        <v>0</v>
      </c>
    </row>
    <row r="123" spans="4:20" x14ac:dyDescent="0.2">
      <c r="D123" s="62"/>
      <c r="E123" s="528"/>
      <c r="F123" s="531"/>
      <c r="G123" s="44"/>
      <c r="H123" s="387"/>
      <c r="I123" s="64"/>
      <c r="J123" s="342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</row>
    <row r="124" spans="4:20" x14ac:dyDescent="0.2">
      <c r="D124" s="62"/>
      <c r="E124" s="180"/>
      <c r="F124" s="181"/>
      <c r="G124" s="44" t="s">
        <v>518</v>
      </c>
      <c r="H124" s="387">
        <v>0</v>
      </c>
      <c r="I124" s="64">
        <f t="shared" ref="I124:I126" si="117">H124+J124</f>
        <v>0</v>
      </c>
      <c r="J124" s="342">
        <f t="shared" ref="J124:J126" si="118">SUM(K124:T124)</f>
        <v>0</v>
      </c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</row>
    <row r="125" spans="4:20" ht="36" x14ac:dyDescent="0.2">
      <c r="D125" s="62"/>
      <c r="E125" s="528"/>
      <c r="F125" s="531"/>
      <c r="G125" s="44" t="s">
        <v>696</v>
      </c>
      <c r="H125" s="387">
        <f>173175</f>
        <v>173175</v>
      </c>
      <c r="I125" s="64">
        <f t="shared" si="117"/>
        <v>173175</v>
      </c>
      <c r="J125" s="342">
        <f t="shared" si="118"/>
        <v>0</v>
      </c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</row>
    <row r="126" spans="4:20" ht="24" x14ac:dyDescent="0.2">
      <c r="D126" s="43"/>
      <c r="E126" s="518"/>
      <c r="F126" s="544"/>
      <c r="G126" s="63" t="s">
        <v>519</v>
      </c>
      <c r="H126" s="394">
        <v>0</v>
      </c>
      <c r="I126" s="64">
        <f t="shared" si="117"/>
        <v>0</v>
      </c>
      <c r="J126" s="342">
        <f t="shared" si="118"/>
        <v>0</v>
      </c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</row>
    <row r="127" spans="4:20" x14ac:dyDescent="0.2">
      <c r="D127" s="134"/>
      <c r="E127" s="135"/>
      <c r="F127" s="136"/>
      <c r="G127" s="137"/>
      <c r="H127" s="405"/>
      <c r="I127" s="39"/>
      <c r="J127" s="342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</row>
    <row r="128" spans="4:20" s="186" customFormat="1" x14ac:dyDescent="0.2">
      <c r="D128" s="68"/>
      <c r="E128" s="76"/>
      <c r="F128" s="182" t="s">
        <v>694</v>
      </c>
      <c r="G128" s="69" t="s">
        <v>336</v>
      </c>
      <c r="H128" s="404">
        <f t="shared" ref="H128:T128" si="119">SUM(H129:H145)</f>
        <v>27603565</v>
      </c>
      <c r="I128" s="47">
        <f t="shared" si="119"/>
        <v>27943088</v>
      </c>
      <c r="J128" s="336">
        <f t="shared" si="119"/>
        <v>339523</v>
      </c>
      <c r="K128" s="337">
        <f t="shared" si="119"/>
        <v>0</v>
      </c>
      <c r="L128" s="337">
        <f t="shared" si="119"/>
        <v>0</v>
      </c>
      <c r="M128" s="337">
        <f t="shared" si="119"/>
        <v>339523</v>
      </c>
      <c r="N128" s="337">
        <f t="shared" si="119"/>
        <v>0</v>
      </c>
      <c r="O128" s="337">
        <f t="shared" si="119"/>
        <v>0</v>
      </c>
      <c r="P128" s="337">
        <f t="shared" si="119"/>
        <v>0</v>
      </c>
      <c r="Q128" s="337">
        <f t="shared" si="119"/>
        <v>0</v>
      </c>
      <c r="R128" s="337">
        <f t="shared" si="119"/>
        <v>0</v>
      </c>
      <c r="S128" s="337">
        <f t="shared" si="119"/>
        <v>0</v>
      </c>
      <c r="T128" s="338">
        <f t="shared" si="119"/>
        <v>0</v>
      </c>
    </row>
    <row r="129" spans="4:20" ht="36" x14ac:dyDescent="0.2">
      <c r="D129" s="62"/>
      <c r="E129" s="528"/>
      <c r="F129" s="531"/>
      <c r="G129" s="44" t="s">
        <v>298</v>
      </c>
      <c r="H129" s="387">
        <v>0</v>
      </c>
      <c r="I129" s="64">
        <f t="shared" ref="I129:I142" si="120">H129+J129</f>
        <v>0</v>
      </c>
      <c r="J129" s="342">
        <f t="shared" ref="J129:J142" si="121">SUM(K129:T129)</f>
        <v>0</v>
      </c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</row>
    <row r="130" spans="4:20" ht="36" x14ac:dyDescent="0.2">
      <c r="D130" s="62"/>
      <c r="E130" s="528"/>
      <c r="F130" s="531"/>
      <c r="G130" s="44" t="s">
        <v>323</v>
      </c>
      <c r="H130" s="387">
        <f>121668</f>
        <v>121668</v>
      </c>
      <c r="I130" s="64">
        <f t="shared" si="120"/>
        <v>121668</v>
      </c>
      <c r="J130" s="342">
        <f t="shared" si="121"/>
        <v>0</v>
      </c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</row>
    <row r="131" spans="4:20" x14ac:dyDescent="0.2">
      <c r="D131" s="62"/>
      <c r="E131" s="248"/>
      <c r="F131" s="249"/>
      <c r="G131" s="44" t="s">
        <v>518</v>
      </c>
      <c r="H131" s="387">
        <f>2430000</f>
        <v>2430000</v>
      </c>
      <c r="I131" s="64">
        <f t="shared" si="120"/>
        <v>2430000</v>
      </c>
      <c r="J131" s="342">
        <f t="shared" si="121"/>
        <v>0</v>
      </c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</row>
    <row r="132" spans="4:20" x14ac:dyDescent="0.2">
      <c r="D132" s="62"/>
      <c r="E132" s="248"/>
      <c r="F132" s="249"/>
      <c r="G132" s="44" t="s">
        <v>681</v>
      </c>
      <c r="H132" s="387">
        <f>4049754</f>
        <v>4049754</v>
      </c>
      <c r="I132" s="64">
        <f t="shared" si="120"/>
        <v>4049754</v>
      </c>
      <c r="J132" s="342">
        <f t="shared" si="121"/>
        <v>0</v>
      </c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</row>
    <row r="133" spans="4:20" ht="50.25" customHeight="1" x14ac:dyDescent="0.2">
      <c r="D133" s="62"/>
      <c r="E133" s="248"/>
      <c r="F133" s="249"/>
      <c r="G133" s="44" t="s">
        <v>682</v>
      </c>
      <c r="H133" s="387">
        <f>1000000</f>
        <v>1000000</v>
      </c>
      <c r="I133" s="64">
        <f t="shared" si="120"/>
        <v>1000000</v>
      </c>
      <c r="J133" s="342">
        <f t="shared" si="121"/>
        <v>0</v>
      </c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</row>
    <row r="134" spans="4:20" ht="24" x14ac:dyDescent="0.2">
      <c r="D134" s="62"/>
      <c r="E134" s="528"/>
      <c r="F134" s="531"/>
      <c r="G134" s="44" t="s">
        <v>322</v>
      </c>
      <c r="H134" s="387">
        <f>3859785+708855</f>
        <v>4568640</v>
      </c>
      <c r="I134" s="64">
        <f t="shared" si="120"/>
        <v>4568640</v>
      </c>
      <c r="J134" s="342">
        <f t="shared" si="121"/>
        <v>0</v>
      </c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</row>
    <row r="135" spans="4:20" ht="13.5" customHeight="1" x14ac:dyDescent="0.2">
      <c r="D135" s="62"/>
      <c r="E135" s="528"/>
      <c r="F135" s="531"/>
      <c r="G135" s="44" t="s">
        <v>338</v>
      </c>
      <c r="H135" s="387">
        <v>0</v>
      </c>
      <c r="I135" s="64">
        <f t="shared" si="120"/>
        <v>0</v>
      </c>
      <c r="J135" s="342">
        <f t="shared" si="121"/>
        <v>0</v>
      </c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</row>
    <row r="136" spans="4:20" ht="24" x14ac:dyDescent="0.2">
      <c r="D136" s="62"/>
      <c r="E136" s="528"/>
      <c r="F136" s="531"/>
      <c r="G136" s="44" t="s">
        <v>337</v>
      </c>
      <c r="H136" s="387">
        <f>2765015</f>
        <v>2765015</v>
      </c>
      <c r="I136" s="64">
        <f t="shared" si="120"/>
        <v>3159004</v>
      </c>
      <c r="J136" s="342">
        <f t="shared" si="121"/>
        <v>393989</v>
      </c>
      <c r="K136" s="276"/>
      <c r="L136" s="276"/>
      <c r="M136" s="276">
        <v>393989</v>
      </c>
      <c r="N136" s="276"/>
      <c r="O136" s="276"/>
      <c r="P136" s="276"/>
      <c r="Q136" s="276"/>
      <c r="R136" s="276"/>
      <c r="S136" s="276"/>
      <c r="T136" s="276"/>
    </row>
    <row r="137" spans="4:20" ht="36" x14ac:dyDescent="0.2">
      <c r="D137" s="62"/>
      <c r="E137" s="180"/>
      <c r="F137" s="181"/>
      <c r="G137" s="44" t="s">
        <v>520</v>
      </c>
      <c r="H137" s="387">
        <f>14274+484000</f>
        <v>498274</v>
      </c>
      <c r="I137" s="64">
        <f>H137+J137</f>
        <v>491156</v>
      </c>
      <c r="J137" s="342">
        <f t="shared" si="121"/>
        <v>-7118</v>
      </c>
      <c r="K137" s="276"/>
      <c r="L137" s="276"/>
      <c r="M137" s="276">
        <f>7156-14274</f>
        <v>-7118</v>
      </c>
      <c r="N137" s="276"/>
      <c r="O137" s="276"/>
      <c r="P137" s="276"/>
      <c r="Q137" s="276"/>
      <c r="R137" s="276"/>
      <c r="S137" s="276"/>
      <c r="T137" s="276"/>
    </row>
    <row r="138" spans="4:20" ht="36" x14ac:dyDescent="0.2">
      <c r="D138" s="62"/>
      <c r="E138" s="528"/>
      <c r="F138" s="531"/>
      <c r="G138" s="44" t="s">
        <v>339</v>
      </c>
      <c r="H138" s="387">
        <f>3439446</f>
        <v>3439446</v>
      </c>
      <c r="I138" s="64">
        <f t="shared" si="120"/>
        <v>3392098</v>
      </c>
      <c r="J138" s="342">
        <f t="shared" si="121"/>
        <v>-47348</v>
      </c>
      <c r="K138" s="276"/>
      <c r="L138" s="276"/>
      <c r="M138" s="276">
        <v>-47348</v>
      </c>
      <c r="N138" s="276"/>
      <c r="O138" s="276"/>
      <c r="P138" s="276"/>
      <c r="Q138" s="276"/>
      <c r="R138" s="276"/>
      <c r="S138" s="276"/>
      <c r="T138" s="276"/>
    </row>
    <row r="139" spans="4:20" x14ac:dyDescent="0.2">
      <c r="D139" s="62"/>
      <c r="E139" s="528"/>
      <c r="F139" s="531"/>
      <c r="G139" s="44" t="s">
        <v>340</v>
      </c>
      <c r="H139" s="387">
        <v>0</v>
      </c>
      <c r="I139" s="64">
        <f t="shared" si="120"/>
        <v>0</v>
      </c>
      <c r="J139" s="342">
        <f t="shared" si="121"/>
        <v>0</v>
      </c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</row>
    <row r="140" spans="4:20" ht="24" x14ac:dyDescent="0.2">
      <c r="D140" s="62"/>
      <c r="E140" s="180"/>
      <c r="F140" s="181"/>
      <c r="G140" s="44" t="s">
        <v>521</v>
      </c>
      <c r="H140" s="387">
        <v>0</v>
      </c>
      <c r="I140" s="64">
        <f t="shared" si="120"/>
        <v>0</v>
      </c>
      <c r="J140" s="342">
        <f t="shared" si="121"/>
        <v>0</v>
      </c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</row>
    <row r="141" spans="4:20" ht="15.75" customHeight="1" x14ac:dyDescent="0.2">
      <c r="D141" s="62"/>
      <c r="E141" s="180"/>
      <c r="F141" s="181"/>
      <c r="G141" s="44" t="s">
        <v>539</v>
      </c>
      <c r="H141" s="387">
        <f>2320876</f>
        <v>2320876</v>
      </c>
      <c r="I141" s="64">
        <f t="shared" si="120"/>
        <v>2320876</v>
      </c>
      <c r="J141" s="342">
        <f t="shared" si="121"/>
        <v>0</v>
      </c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</row>
    <row r="142" spans="4:20" x14ac:dyDescent="0.2">
      <c r="D142" s="62"/>
      <c r="E142" s="528"/>
      <c r="F142" s="531"/>
      <c r="G142" s="44" t="s">
        <v>538</v>
      </c>
      <c r="H142" s="387">
        <f>6409892</f>
        <v>6409892</v>
      </c>
      <c r="I142" s="64">
        <f t="shared" si="120"/>
        <v>6409892</v>
      </c>
      <c r="J142" s="342">
        <f t="shared" si="121"/>
        <v>0</v>
      </c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</row>
    <row r="143" spans="4:20" x14ac:dyDescent="0.2">
      <c r="D143" s="62"/>
      <c r="E143" s="528"/>
      <c r="F143" s="531"/>
      <c r="G143" s="44"/>
      <c r="H143" s="387"/>
      <c r="I143" s="64"/>
      <c r="J143" s="342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</row>
    <row r="144" spans="4:20" x14ac:dyDescent="0.2">
      <c r="D144" s="62"/>
      <c r="E144" s="528"/>
      <c r="F144" s="531"/>
      <c r="G144" s="44"/>
      <c r="H144" s="387"/>
      <c r="I144" s="64"/>
      <c r="J144" s="342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</row>
    <row r="145" spans="4:20" x14ac:dyDescent="0.2">
      <c r="D145" s="62"/>
      <c r="E145" s="528"/>
      <c r="F145" s="531"/>
      <c r="G145" s="44"/>
      <c r="H145" s="387"/>
      <c r="I145" s="64"/>
      <c r="J145" s="342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</row>
    <row r="146" spans="4:20" s="186" customFormat="1" x14ac:dyDescent="0.2">
      <c r="D146" s="68"/>
      <c r="E146" s="76"/>
      <c r="F146" s="77"/>
      <c r="G146" s="35" t="s">
        <v>236</v>
      </c>
      <c r="H146" s="36">
        <f>SUM(H147:H168)</f>
        <v>11006636</v>
      </c>
      <c r="I146" s="47">
        <f>SUM(I147:I168)</f>
        <v>13832274</v>
      </c>
      <c r="J146" s="336">
        <f>SUM(J147:J168)</f>
        <v>2825638</v>
      </c>
      <c r="K146" s="337">
        <f t="shared" ref="K146:T146" si="122">SUM(K147:K168)</f>
        <v>35324</v>
      </c>
      <c r="L146" s="337">
        <f t="shared" si="122"/>
        <v>2725194</v>
      </c>
      <c r="M146" s="337">
        <f t="shared" si="122"/>
        <v>65120</v>
      </c>
      <c r="N146" s="337">
        <f t="shared" si="122"/>
        <v>0</v>
      </c>
      <c r="O146" s="337">
        <f t="shared" si="122"/>
        <v>0</v>
      </c>
      <c r="P146" s="337">
        <f t="shared" si="122"/>
        <v>0</v>
      </c>
      <c r="Q146" s="337">
        <f t="shared" si="122"/>
        <v>0</v>
      </c>
      <c r="R146" s="337">
        <f t="shared" si="122"/>
        <v>0</v>
      </c>
      <c r="S146" s="337">
        <f t="shared" si="122"/>
        <v>0</v>
      </c>
      <c r="T146" s="338">
        <f t="shared" si="122"/>
        <v>0</v>
      </c>
    </row>
    <row r="147" spans="4:20" ht="12" hidden="1" customHeight="1" outlineLevel="1" x14ac:dyDescent="0.2">
      <c r="D147" s="56"/>
      <c r="E147" s="74"/>
      <c r="F147" s="75"/>
      <c r="G147" s="78" t="s">
        <v>237</v>
      </c>
      <c r="H147" s="391">
        <f>10465797</f>
        <v>10465797</v>
      </c>
      <c r="I147" s="50">
        <f t="shared" ref="I147:I168" si="123">H147+J147</f>
        <v>11175309</v>
      </c>
      <c r="J147" s="342">
        <f t="shared" ref="J147:J168" si="124">SUM(K147:T147)</f>
        <v>709512</v>
      </c>
      <c r="K147" s="276"/>
      <c r="L147" s="276">
        <f>857335-147823</f>
        <v>709512</v>
      </c>
      <c r="M147" s="276"/>
      <c r="N147" s="276"/>
      <c r="O147" s="276"/>
      <c r="P147" s="276"/>
      <c r="Q147" s="276"/>
      <c r="R147" s="276"/>
      <c r="S147" s="276"/>
      <c r="T147" s="276"/>
    </row>
    <row r="148" spans="4:20" ht="12" hidden="1" customHeight="1" outlineLevel="1" x14ac:dyDescent="0.2">
      <c r="D148" s="56"/>
      <c r="E148" s="74"/>
      <c r="F148" s="75"/>
      <c r="G148" s="44" t="s">
        <v>238</v>
      </c>
      <c r="H148" s="389">
        <f>292723</f>
        <v>292723</v>
      </c>
      <c r="I148" s="50">
        <f t="shared" si="123"/>
        <v>478674</v>
      </c>
      <c r="J148" s="347">
        <f>SUM(K148:T148)</f>
        <v>185951</v>
      </c>
      <c r="K148" s="277">
        <v>35324</v>
      </c>
      <c r="L148" s="276">
        <v>85507</v>
      </c>
      <c r="M148" s="276">
        <f>65120</f>
        <v>65120</v>
      </c>
      <c r="N148" s="276"/>
      <c r="O148" s="276"/>
      <c r="P148" s="276"/>
      <c r="Q148" s="276"/>
      <c r="R148" s="276"/>
      <c r="S148" s="276"/>
      <c r="T148" s="276"/>
    </row>
    <row r="149" spans="4:20" ht="12" hidden="1" customHeight="1" outlineLevel="1" x14ac:dyDescent="0.2">
      <c r="D149" s="56"/>
      <c r="E149" s="74"/>
      <c r="F149" s="75"/>
      <c r="G149" s="78" t="s">
        <v>151</v>
      </c>
      <c r="H149" s="391">
        <f>135094</f>
        <v>135094</v>
      </c>
      <c r="I149" s="50">
        <f t="shared" si="123"/>
        <v>1365277</v>
      </c>
      <c r="J149" s="342">
        <f t="shared" si="124"/>
        <v>1230183</v>
      </c>
      <c r="K149" s="276"/>
      <c r="L149" s="276">
        <f>1199113-11+3096+18500+56+797+805+1107+5585+991+144</f>
        <v>1230183</v>
      </c>
      <c r="M149" s="276"/>
      <c r="N149" s="276"/>
      <c r="O149" s="276"/>
      <c r="P149" s="276"/>
      <c r="Q149" s="276"/>
      <c r="R149" s="276"/>
      <c r="S149" s="276"/>
      <c r="T149" s="276"/>
    </row>
    <row r="150" spans="4:20" ht="12" hidden="1" customHeight="1" outlineLevel="1" x14ac:dyDescent="0.2">
      <c r="D150" s="56"/>
      <c r="E150" s="74"/>
      <c r="F150" s="75"/>
      <c r="G150" s="44" t="s">
        <v>94</v>
      </c>
      <c r="H150" s="389">
        <v>0</v>
      </c>
      <c r="I150" s="50">
        <f t="shared" si="123"/>
        <v>5150</v>
      </c>
      <c r="J150" s="342">
        <f t="shared" si="124"/>
        <v>5150</v>
      </c>
      <c r="K150" s="276"/>
      <c r="L150" s="276">
        <v>5150</v>
      </c>
      <c r="M150" s="276"/>
      <c r="N150" s="276"/>
      <c r="O150" s="276"/>
      <c r="P150" s="276"/>
      <c r="Q150" s="276"/>
      <c r="R150" s="276"/>
      <c r="S150" s="276"/>
      <c r="T150" s="276"/>
    </row>
    <row r="151" spans="4:20" ht="12" hidden="1" customHeight="1" outlineLevel="1" x14ac:dyDescent="0.2">
      <c r="D151" s="56"/>
      <c r="E151" s="74"/>
      <c r="F151" s="75"/>
      <c r="G151" s="78" t="s">
        <v>153</v>
      </c>
      <c r="H151" s="391">
        <f>1248</f>
        <v>1248</v>
      </c>
      <c r="I151" s="50">
        <f t="shared" si="123"/>
        <v>34694</v>
      </c>
      <c r="J151" s="342">
        <f t="shared" si="124"/>
        <v>33446</v>
      </c>
      <c r="K151" s="276"/>
      <c r="L151" s="276">
        <f>33446</f>
        <v>33446</v>
      </c>
      <c r="M151" s="276"/>
      <c r="N151" s="276"/>
      <c r="O151" s="276"/>
      <c r="P151" s="276"/>
      <c r="Q151" s="276"/>
      <c r="R151" s="276"/>
      <c r="S151" s="276"/>
      <c r="T151" s="276"/>
    </row>
    <row r="152" spans="4:20" ht="24" hidden="1" customHeight="1" outlineLevel="1" x14ac:dyDescent="0.2">
      <c r="D152" s="56"/>
      <c r="E152" s="74"/>
      <c r="F152" s="75"/>
      <c r="G152" s="78" t="s">
        <v>522</v>
      </c>
      <c r="H152" s="391">
        <v>0</v>
      </c>
      <c r="I152" s="50">
        <f t="shared" si="123"/>
        <v>0</v>
      </c>
      <c r="J152" s="342">
        <f t="shared" si="124"/>
        <v>0</v>
      </c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</row>
    <row r="153" spans="4:20" ht="24" hidden="1" customHeight="1" outlineLevel="1" x14ac:dyDescent="0.2">
      <c r="D153" s="56"/>
      <c r="E153" s="74"/>
      <c r="F153" s="75"/>
      <c r="G153" s="78" t="s">
        <v>523</v>
      </c>
      <c r="H153" s="391">
        <v>0</v>
      </c>
      <c r="I153" s="50">
        <f t="shared" si="123"/>
        <v>5736</v>
      </c>
      <c r="J153" s="342">
        <f t="shared" si="124"/>
        <v>5736</v>
      </c>
      <c r="K153" s="276"/>
      <c r="L153" s="276">
        <f>5736</f>
        <v>5736</v>
      </c>
      <c r="M153" s="276"/>
      <c r="N153" s="276"/>
      <c r="O153" s="276"/>
      <c r="P153" s="276"/>
      <c r="Q153" s="276"/>
      <c r="R153" s="276"/>
      <c r="S153" s="276"/>
      <c r="T153" s="276"/>
    </row>
    <row r="154" spans="4:20" ht="12" hidden="1" customHeight="1" outlineLevel="1" x14ac:dyDescent="0.2">
      <c r="D154" s="56"/>
      <c r="E154" s="74"/>
      <c r="F154" s="75"/>
      <c r="G154" s="78" t="s">
        <v>312</v>
      </c>
      <c r="H154" s="391">
        <v>0</v>
      </c>
      <c r="I154" s="50">
        <f t="shared" si="123"/>
        <v>134</v>
      </c>
      <c r="J154" s="342">
        <f t="shared" si="124"/>
        <v>134</v>
      </c>
      <c r="K154" s="276"/>
      <c r="L154" s="276">
        <v>134</v>
      </c>
      <c r="M154" s="276"/>
      <c r="N154" s="276"/>
      <c r="O154" s="276"/>
      <c r="P154" s="276"/>
      <c r="Q154" s="276"/>
      <c r="R154" s="276"/>
      <c r="S154" s="276"/>
      <c r="T154" s="276"/>
    </row>
    <row r="155" spans="4:20" ht="12" hidden="1" customHeight="1" outlineLevel="1" x14ac:dyDescent="0.2">
      <c r="D155" s="56"/>
      <c r="E155" s="74"/>
      <c r="F155" s="75"/>
      <c r="G155" s="78" t="s">
        <v>186</v>
      </c>
      <c r="H155" s="391">
        <f>39959</f>
        <v>39959</v>
      </c>
      <c r="I155" s="50">
        <f t="shared" si="123"/>
        <v>141862</v>
      </c>
      <c r="J155" s="342">
        <f t="shared" si="124"/>
        <v>101903</v>
      </c>
      <c r="K155" s="276"/>
      <c r="L155" s="276">
        <f>101903</f>
        <v>101903</v>
      </c>
      <c r="M155" s="276"/>
      <c r="N155" s="276"/>
      <c r="O155" s="276"/>
      <c r="P155" s="276"/>
      <c r="Q155" s="276"/>
      <c r="R155" s="276"/>
      <c r="S155" s="276"/>
      <c r="T155" s="276"/>
    </row>
    <row r="156" spans="4:20" ht="24" hidden="1" customHeight="1" outlineLevel="1" x14ac:dyDescent="0.2">
      <c r="D156" s="56"/>
      <c r="E156" s="74"/>
      <c r="F156" s="75"/>
      <c r="G156" s="78" t="s">
        <v>678</v>
      </c>
      <c r="H156" s="391">
        <f>531</f>
        <v>531</v>
      </c>
      <c r="I156" s="50">
        <f t="shared" si="123"/>
        <v>546</v>
      </c>
      <c r="J156" s="342">
        <f t="shared" si="124"/>
        <v>15</v>
      </c>
      <c r="K156" s="276"/>
      <c r="L156" s="276">
        <v>15</v>
      </c>
      <c r="M156" s="276"/>
      <c r="N156" s="276"/>
      <c r="O156" s="276"/>
      <c r="P156" s="276"/>
      <c r="Q156" s="276"/>
      <c r="R156" s="276"/>
      <c r="S156" s="276"/>
      <c r="T156" s="276"/>
    </row>
    <row r="157" spans="4:20" ht="24" hidden="1" customHeight="1" outlineLevel="1" x14ac:dyDescent="0.2">
      <c r="D157" s="56"/>
      <c r="E157" s="74"/>
      <c r="F157" s="75"/>
      <c r="G157" s="78" t="s">
        <v>695</v>
      </c>
      <c r="H157" s="391">
        <f>1163</f>
        <v>1163</v>
      </c>
      <c r="I157" s="50">
        <f t="shared" si="123"/>
        <v>2161</v>
      </c>
      <c r="J157" s="342">
        <f t="shared" si="124"/>
        <v>998</v>
      </c>
      <c r="K157" s="276"/>
      <c r="L157" s="276">
        <f>998</f>
        <v>998</v>
      </c>
      <c r="M157" s="276"/>
      <c r="N157" s="276"/>
      <c r="O157" s="276"/>
      <c r="P157" s="276"/>
      <c r="Q157" s="276"/>
      <c r="R157" s="276"/>
      <c r="S157" s="276"/>
      <c r="T157" s="276"/>
    </row>
    <row r="158" spans="4:20" ht="12" hidden="1" customHeight="1" outlineLevel="1" x14ac:dyDescent="0.2">
      <c r="D158" s="56"/>
      <c r="E158" s="74"/>
      <c r="F158" s="75"/>
      <c r="G158" s="78" t="s">
        <v>301</v>
      </c>
      <c r="H158" s="391">
        <v>0</v>
      </c>
      <c r="I158" s="50">
        <f t="shared" si="123"/>
        <v>20680</v>
      </c>
      <c r="J158" s="342">
        <f t="shared" si="124"/>
        <v>20680</v>
      </c>
      <c r="K158" s="276"/>
      <c r="L158" s="276">
        <f>20680</f>
        <v>20680</v>
      </c>
      <c r="M158" s="276"/>
      <c r="N158" s="276"/>
      <c r="O158" s="276"/>
      <c r="P158" s="276"/>
      <c r="Q158" s="276"/>
      <c r="R158" s="276"/>
      <c r="S158" s="276"/>
      <c r="T158" s="276"/>
    </row>
    <row r="159" spans="4:20" ht="24" hidden="1" customHeight="1" outlineLevel="1" x14ac:dyDescent="0.2">
      <c r="D159" s="56"/>
      <c r="E159" s="74"/>
      <c r="F159" s="75"/>
      <c r="G159" s="78" t="s">
        <v>172</v>
      </c>
      <c r="H159" s="391">
        <v>0</v>
      </c>
      <c r="I159" s="50">
        <f t="shared" si="123"/>
        <v>0</v>
      </c>
      <c r="J159" s="342">
        <f t="shared" si="124"/>
        <v>0</v>
      </c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</row>
    <row r="160" spans="4:20" ht="12" hidden="1" customHeight="1" outlineLevel="1" x14ac:dyDescent="0.2">
      <c r="D160" s="56"/>
      <c r="E160" s="74"/>
      <c r="F160" s="75"/>
      <c r="G160" s="78" t="s">
        <v>171</v>
      </c>
      <c r="H160" s="391">
        <v>0</v>
      </c>
      <c r="I160" s="50">
        <f t="shared" si="123"/>
        <v>0</v>
      </c>
      <c r="J160" s="342">
        <f t="shared" si="124"/>
        <v>0</v>
      </c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</row>
    <row r="161" spans="4:20" ht="12" hidden="1" customHeight="1" outlineLevel="1" x14ac:dyDescent="0.2">
      <c r="D161" s="56"/>
      <c r="E161" s="74"/>
      <c r="F161" s="75"/>
      <c r="G161" s="78" t="s">
        <v>300</v>
      </c>
      <c r="H161" s="391">
        <v>0</v>
      </c>
      <c r="I161" s="50">
        <f t="shared" si="123"/>
        <v>0</v>
      </c>
      <c r="J161" s="342">
        <f t="shared" si="124"/>
        <v>0</v>
      </c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</row>
    <row r="162" spans="4:20" ht="12" hidden="1" customHeight="1" outlineLevel="1" x14ac:dyDescent="0.2">
      <c r="D162" s="56"/>
      <c r="E162" s="74"/>
      <c r="F162" s="75"/>
      <c r="G162" s="78" t="s">
        <v>157</v>
      </c>
      <c r="H162" s="391">
        <f>33500</f>
        <v>33500</v>
      </c>
      <c r="I162" s="50">
        <f t="shared" si="123"/>
        <v>147823</v>
      </c>
      <c r="J162" s="342">
        <f t="shared" si="124"/>
        <v>114323</v>
      </c>
      <c r="K162" s="276"/>
      <c r="L162" s="276">
        <v>114323</v>
      </c>
      <c r="M162" s="276"/>
      <c r="N162" s="276"/>
      <c r="O162" s="276"/>
      <c r="P162" s="276"/>
      <c r="Q162" s="276"/>
      <c r="R162" s="276"/>
      <c r="S162" s="276"/>
      <c r="T162" s="276"/>
    </row>
    <row r="163" spans="4:20" ht="12" hidden="1" customHeight="1" outlineLevel="1" x14ac:dyDescent="0.2">
      <c r="D163" s="56"/>
      <c r="E163" s="74"/>
      <c r="F163" s="75"/>
      <c r="G163" s="57" t="s">
        <v>58</v>
      </c>
      <c r="H163" s="391">
        <v>0</v>
      </c>
      <c r="I163" s="50">
        <f t="shared" si="123"/>
        <v>126</v>
      </c>
      <c r="J163" s="342">
        <f t="shared" si="124"/>
        <v>126</v>
      </c>
      <c r="K163" s="276"/>
      <c r="L163" s="276">
        <v>126</v>
      </c>
      <c r="M163" s="276"/>
      <c r="N163" s="276"/>
      <c r="O163" s="276"/>
      <c r="P163" s="276"/>
      <c r="Q163" s="276"/>
      <c r="R163" s="276"/>
      <c r="S163" s="276"/>
      <c r="T163" s="276"/>
    </row>
    <row r="164" spans="4:20" ht="24" hidden="1" customHeight="1" outlineLevel="1" x14ac:dyDescent="0.2">
      <c r="D164" s="56"/>
      <c r="E164" s="74"/>
      <c r="F164" s="75"/>
      <c r="G164" s="57" t="s">
        <v>92</v>
      </c>
      <c r="H164" s="391">
        <f>5355+20473</f>
        <v>25828</v>
      </c>
      <c r="I164" s="50">
        <f t="shared" si="123"/>
        <v>26192</v>
      </c>
      <c r="J164" s="342">
        <f t="shared" si="124"/>
        <v>364</v>
      </c>
      <c r="K164" s="276"/>
      <c r="L164" s="276">
        <v>364</v>
      </c>
      <c r="M164" s="276"/>
      <c r="N164" s="276"/>
      <c r="O164" s="276"/>
      <c r="P164" s="276"/>
      <c r="Q164" s="276"/>
      <c r="R164" s="276"/>
      <c r="S164" s="276"/>
      <c r="T164" s="276"/>
    </row>
    <row r="165" spans="4:20" ht="12" hidden="1" customHeight="1" outlineLevel="1" x14ac:dyDescent="0.2">
      <c r="D165" s="56"/>
      <c r="E165" s="74"/>
      <c r="F165" s="75"/>
      <c r="G165" s="57" t="s">
        <v>217</v>
      </c>
      <c r="H165" s="391">
        <v>0</v>
      </c>
      <c r="I165" s="50">
        <f t="shared" si="123"/>
        <v>6802</v>
      </c>
      <c r="J165" s="342">
        <f t="shared" si="124"/>
        <v>6802</v>
      </c>
      <c r="K165" s="276"/>
      <c r="L165" s="276">
        <v>6802</v>
      </c>
      <c r="M165" s="276"/>
      <c r="N165" s="276"/>
      <c r="O165" s="276"/>
      <c r="P165" s="276"/>
      <c r="Q165" s="276"/>
      <c r="R165" s="276"/>
      <c r="S165" s="276"/>
      <c r="T165" s="276"/>
    </row>
    <row r="166" spans="4:20" ht="12" hidden="1" customHeight="1" outlineLevel="1" x14ac:dyDescent="0.2">
      <c r="D166" s="56"/>
      <c r="E166" s="74"/>
      <c r="F166" s="75"/>
      <c r="G166" s="57" t="s">
        <v>141</v>
      </c>
      <c r="H166" s="391">
        <f>10793</f>
        <v>10793</v>
      </c>
      <c r="I166" s="50">
        <f t="shared" si="123"/>
        <v>273285</v>
      </c>
      <c r="J166" s="342">
        <f t="shared" si="124"/>
        <v>262492</v>
      </c>
      <c r="K166" s="276"/>
      <c r="L166" s="276">
        <f>262492</f>
        <v>262492</v>
      </c>
      <c r="M166" s="276"/>
      <c r="N166" s="276"/>
      <c r="O166" s="276"/>
      <c r="P166" s="276"/>
      <c r="Q166" s="276"/>
      <c r="R166" s="276"/>
      <c r="S166" s="276"/>
      <c r="T166" s="276"/>
    </row>
    <row r="167" spans="4:20" ht="24" hidden="1" customHeight="1" outlineLevel="1" x14ac:dyDescent="0.2">
      <c r="D167" s="56"/>
      <c r="E167" s="74"/>
      <c r="F167" s="75"/>
      <c r="G167" s="57" t="s">
        <v>182</v>
      </c>
      <c r="H167" s="391">
        <v>0</v>
      </c>
      <c r="I167" s="50">
        <f t="shared" si="123"/>
        <v>0</v>
      </c>
      <c r="J167" s="342">
        <f t="shared" si="124"/>
        <v>0</v>
      </c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</row>
    <row r="168" spans="4:20" ht="12" hidden="1" customHeight="1" outlineLevel="1" x14ac:dyDescent="0.2">
      <c r="D168" s="56"/>
      <c r="E168" s="74"/>
      <c r="F168" s="75"/>
      <c r="G168" s="57" t="s">
        <v>737</v>
      </c>
      <c r="H168" s="391">
        <v>0</v>
      </c>
      <c r="I168" s="50">
        <f t="shared" si="123"/>
        <v>147823</v>
      </c>
      <c r="J168" s="342">
        <f t="shared" si="124"/>
        <v>147823</v>
      </c>
      <c r="K168" s="276"/>
      <c r="L168" s="276">
        <v>147823</v>
      </c>
      <c r="M168" s="276"/>
      <c r="N168" s="276"/>
      <c r="O168" s="276"/>
      <c r="P168" s="276"/>
      <c r="Q168" s="276"/>
      <c r="R168" s="276"/>
      <c r="S168" s="276"/>
      <c r="T168" s="276"/>
    </row>
    <row r="169" spans="4:20" ht="12" hidden="1" customHeight="1" outlineLevel="1" x14ac:dyDescent="0.2">
      <c r="D169" s="56"/>
      <c r="E169" s="74"/>
      <c r="F169" s="75"/>
      <c r="G169" s="57"/>
      <c r="H169" s="391"/>
      <c r="I169" s="50"/>
      <c r="J169" s="342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</row>
    <row r="170" spans="4:20" collapsed="1" x14ac:dyDescent="0.2">
      <c r="D170" s="79"/>
      <c r="E170" s="80"/>
      <c r="F170" s="81"/>
      <c r="G170" s="57"/>
      <c r="H170" s="406"/>
      <c r="I170" s="61"/>
      <c r="J170" s="342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</row>
    <row r="171" spans="4:20" x14ac:dyDescent="0.2">
      <c r="D171" s="560" t="s">
        <v>205</v>
      </c>
      <c r="E171" s="561"/>
      <c r="F171" s="561"/>
      <c r="G171" s="562"/>
      <c r="H171" s="407">
        <f>SUM(H173,H178)</f>
        <v>26666</v>
      </c>
      <c r="I171" s="89">
        <f>SUM(I173,I178)</f>
        <v>30860</v>
      </c>
      <c r="J171" s="348">
        <f t="shared" ref="J171:T171" si="125">SUM(J173,J178)</f>
        <v>4194</v>
      </c>
      <c r="K171" s="349">
        <f t="shared" si="125"/>
        <v>0</v>
      </c>
      <c r="L171" s="349">
        <f t="shared" si="125"/>
        <v>4403</v>
      </c>
      <c r="M171" s="349">
        <f t="shared" si="125"/>
        <v>-209</v>
      </c>
      <c r="N171" s="349">
        <f t="shared" si="125"/>
        <v>0</v>
      </c>
      <c r="O171" s="349">
        <f t="shared" si="125"/>
        <v>0</v>
      </c>
      <c r="P171" s="349">
        <f t="shared" si="125"/>
        <v>0</v>
      </c>
      <c r="Q171" s="349">
        <f t="shared" si="125"/>
        <v>0</v>
      </c>
      <c r="R171" s="349">
        <f t="shared" si="125"/>
        <v>0</v>
      </c>
      <c r="S171" s="349">
        <f t="shared" si="125"/>
        <v>0</v>
      </c>
      <c r="T171" s="350">
        <f t="shared" si="125"/>
        <v>0</v>
      </c>
    </row>
    <row r="172" spans="4:20" x14ac:dyDescent="0.2">
      <c r="D172" s="79"/>
      <c r="E172" s="80"/>
      <c r="F172" s="81"/>
      <c r="G172" s="57"/>
      <c r="H172" s="406"/>
      <c r="I172" s="86"/>
      <c r="J172" s="342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</row>
    <row r="173" spans="4:20" x14ac:dyDescent="0.2">
      <c r="D173" s="551" t="s">
        <v>127</v>
      </c>
      <c r="E173" s="552"/>
      <c r="F173" s="553"/>
      <c r="G173" s="88" t="s">
        <v>206</v>
      </c>
      <c r="H173" s="408">
        <f>SUM(H174:H175)</f>
        <v>3530</v>
      </c>
      <c r="I173" s="90">
        <f>SUM(I174:I175)</f>
        <v>3530</v>
      </c>
      <c r="J173" s="351">
        <f t="shared" ref="J173:T173" si="126">SUM(J174:J175)</f>
        <v>0</v>
      </c>
      <c r="K173" s="352">
        <f t="shared" si="126"/>
        <v>0</v>
      </c>
      <c r="L173" s="352">
        <f t="shared" si="126"/>
        <v>0</v>
      </c>
      <c r="M173" s="352">
        <f t="shared" si="126"/>
        <v>0</v>
      </c>
      <c r="N173" s="352">
        <f t="shared" si="126"/>
        <v>0</v>
      </c>
      <c r="O173" s="352">
        <f t="shared" si="126"/>
        <v>0</v>
      </c>
      <c r="P173" s="352">
        <f t="shared" si="126"/>
        <v>0</v>
      </c>
      <c r="Q173" s="352">
        <f t="shared" si="126"/>
        <v>0</v>
      </c>
      <c r="R173" s="352">
        <f t="shared" si="126"/>
        <v>0</v>
      </c>
      <c r="S173" s="352">
        <f t="shared" si="126"/>
        <v>0</v>
      </c>
      <c r="T173" s="353">
        <f t="shared" si="126"/>
        <v>0</v>
      </c>
    </row>
    <row r="174" spans="4:20" s="186" customFormat="1" x14ac:dyDescent="0.2">
      <c r="D174" s="68"/>
      <c r="E174" s="524" t="s">
        <v>184</v>
      </c>
      <c r="F174" s="525"/>
      <c r="G174" s="57" t="s">
        <v>185</v>
      </c>
      <c r="H174" s="391">
        <v>0</v>
      </c>
      <c r="I174" s="50">
        <f t="shared" ref="I174:I175" si="127">H174+J174</f>
        <v>0</v>
      </c>
      <c r="J174" s="374">
        <f t="shared" ref="J174:J175" si="128">SUM(K174:T174)</f>
        <v>0</v>
      </c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</row>
    <row r="175" spans="4:20" s="186" customFormat="1" ht="24" x14ac:dyDescent="0.2">
      <c r="D175" s="68"/>
      <c r="E175" s="524" t="s">
        <v>128</v>
      </c>
      <c r="F175" s="525"/>
      <c r="G175" s="57" t="s">
        <v>211</v>
      </c>
      <c r="H175" s="391">
        <f>3530</f>
        <v>3530</v>
      </c>
      <c r="I175" s="50">
        <f t="shared" si="127"/>
        <v>3530</v>
      </c>
      <c r="J175" s="374">
        <f t="shared" si="128"/>
        <v>0</v>
      </c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</row>
    <row r="176" spans="4:20" x14ac:dyDescent="0.2">
      <c r="D176" s="79"/>
      <c r="E176" s="80"/>
      <c r="F176" s="81"/>
      <c r="G176" s="57"/>
      <c r="H176" s="406"/>
      <c r="I176" s="86"/>
      <c r="J176" s="342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</row>
    <row r="177" spans="4:20" x14ac:dyDescent="0.2">
      <c r="D177" s="79"/>
      <c r="E177" s="80"/>
      <c r="F177" s="81"/>
      <c r="G177" s="57"/>
      <c r="H177" s="406"/>
      <c r="I177" s="86"/>
      <c r="J177" s="342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</row>
    <row r="178" spans="4:20" x14ac:dyDescent="0.2">
      <c r="D178" s="79"/>
      <c r="E178" s="80"/>
      <c r="F178" s="81"/>
      <c r="G178" s="69" t="s">
        <v>207</v>
      </c>
      <c r="H178" s="390">
        <f>SUM(H179)</f>
        <v>23136</v>
      </c>
      <c r="I178" s="94">
        <f>SUM(I179)</f>
        <v>27330</v>
      </c>
      <c r="J178" s="354">
        <f t="shared" ref="J178:T178" si="129">SUM(J179)</f>
        <v>4194</v>
      </c>
      <c r="K178" s="355">
        <f t="shared" si="129"/>
        <v>0</v>
      </c>
      <c r="L178" s="355">
        <f t="shared" si="129"/>
        <v>4403</v>
      </c>
      <c r="M178" s="355">
        <f t="shared" si="129"/>
        <v>-209</v>
      </c>
      <c r="N178" s="355">
        <f t="shared" si="129"/>
        <v>0</v>
      </c>
      <c r="O178" s="355">
        <f t="shared" si="129"/>
        <v>0</v>
      </c>
      <c r="P178" s="355">
        <f t="shared" si="129"/>
        <v>0</v>
      </c>
      <c r="Q178" s="355">
        <f t="shared" si="129"/>
        <v>0</v>
      </c>
      <c r="R178" s="355">
        <f t="shared" si="129"/>
        <v>0</v>
      </c>
      <c r="S178" s="355">
        <f t="shared" si="129"/>
        <v>0</v>
      </c>
      <c r="T178" s="356">
        <f t="shared" si="129"/>
        <v>0</v>
      </c>
    </row>
    <row r="179" spans="4:20" x14ac:dyDescent="0.2">
      <c r="D179" s="79"/>
      <c r="E179" s="80"/>
      <c r="F179" s="81"/>
      <c r="G179" s="57" t="s">
        <v>208</v>
      </c>
      <c r="H179" s="406">
        <f>SUM(H180:H181)</f>
        <v>23136</v>
      </c>
      <c r="I179" s="61">
        <f>SUM(I180:I181)</f>
        <v>27330</v>
      </c>
      <c r="J179" s="357">
        <f t="shared" ref="J179:T179" si="130">SUM(J180:J181)</f>
        <v>4194</v>
      </c>
      <c r="K179" s="358">
        <f t="shared" si="130"/>
        <v>0</v>
      </c>
      <c r="L179" s="358">
        <f t="shared" si="130"/>
        <v>4403</v>
      </c>
      <c r="M179" s="358">
        <f t="shared" si="130"/>
        <v>-209</v>
      </c>
      <c r="N179" s="358">
        <f t="shared" si="130"/>
        <v>0</v>
      </c>
      <c r="O179" s="358">
        <f t="shared" si="130"/>
        <v>0</v>
      </c>
      <c r="P179" s="358">
        <f t="shared" si="130"/>
        <v>0</v>
      </c>
      <c r="Q179" s="358">
        <f t="shared" si="130"/>
        <v>0</v>
      </c>
      <c r="R179" s="358">
        <f t="shared" si="130"/>
        <v>0</v>
      </c>
      <c r="S179" s="358">
        <f t="shared" si="130"/>
        <v>0</v>
      </c>
      <c r="T179" s="359">
        <f t="shared" si="130"/>
        <v>0</v>
      </c>
    </row>
    <row r="180" spans="4:20" ht="24" x14ac:dyDescent="0.2">
      <c r="D180" s="79"/>
      <c r="E180" s="80"/>
      <c r="F180" s="81"/>
      <c r="G180" s="91" t="s">
        <v>209</v>
      </c>
      <c r="H180" s="406">
        <f>14931</f>
        <v>14931</v>
      </c>
      <c r="I180" s="61">
        <f t="shared" ref="I180:I181" si="131">H180+J180</f>
        <v>17905</v>
      </c>
      <c r="J180" s="342">
        <f t="shared" ref="J180:J181" si="132">SUM(K180:T180)</f>
        <v>2974</v>
      </c>
      <c r="K180" s="276"/>
      <c r="L180" s="276">
        <v>2974</v>
      </c>
      <c r="M180" s="276"/>
      <c r="N180" s="276"/>
      <c r="O180" s="276"/>
      <c r="P180" s="276"/>
      <c r="Q180" s="276"/>
      <c r="R180" s="276"/>
      <c r="S180" s="276"/>
      <c r="T180" s="276"/>
    </row>
    <row r="181" spans="4:20" ht="24" x14ac:dyDescent="0.2">
      <c r="D181" s="79"/>
      <c r="E181" s="80"/>
      <c r="F181" s="81"/>
      <c r="G181" s="91" t="s">
        <v>210</v>
      </c>
      <c r="H181" s="406">
        <f>8205</f>
        <v>8205</v>
      </c>
      <c r="I181" s="61">
        <f t="shared" si="131"/>
        <v>9425</v>
      </c>
      <c r="J181" s="342">
        <f t="shared" si="132"/>
        <v>1220</v>
      </c>
      <c r="K181" s="276"/>
      <c r="L181" s="276">
        <f>1220+209</f>
        <v>1429</v>
      </c>
      <c r="M181" s="276">
        <f>-209</f>
        <v>-209</v>
      </c>
      <c r="N181" s="276"/>
      <c r="O181" s="276"/>
      <c r="P181" s="276"/>
      <c r="Q181" s="276"/>
      <c r="R181" s="276"/>
      <c r="S181" s="276"/>
      <c r="T181" s="276"/>
    </row>
    <row r="182" spans="4:20" x14ac:dyDescent="0.2">
      <c r="D182" s="79"/>
      <c r="E182" s="80"/>
      <c r="F182" s="81"/>
      <c r="G182" s="57"/>
      <c r="H182" s="406"/>
      <c r="I182" s="61"/>
      <c r="J182" s="342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</row>
    <row r="183" spans="4:20" x14ac:dyDescent="0.2">
      <c r="D183" s="56"/>
      <c r="E183" s="74"/>
      <c r="F183" s="75"/>
      <c r="G183" s="57"/>
      <c r="H183" s="406"/>
      <c r="I183" s="61"/>
      <c r="J183" s="342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</row>
    <row r="184" spans="4:20" s="186" customFormat="1" ht="24.75" customHeight="1" thickBot="1" x14ac:dyDescent="0.25">
      <c r="D184" s="554" t="s">
        <v>148</v>
      </c>
      <c r="E184" s="555"/>
      <c r="F184" s="555"/>
      <c r="G184" s="556"/>
      <c r="H184" s="409">
        <f t="shared" ref="H184:T184" si="133">SUM(H173,H118)</f>
        <v>70540942</v>
      </c>
      <c r="I184" s="82">
        <f t="shared" si="133"/>
        <v>69556347</v>
      </c>
      <c r="J184" s="360">
        <f t="shared" si="133"/>
        <v>-984595</v>
      </c>
      <c r="K184" s="361">
        <f t="shared" si="133"/>
        <v>7491</v>
      </c>
      <c r="L184" s="361">
        <f t="shared" si="133"/>
        <v>-1038789</v>
      </c>
      <c r="M184" s="361">
        <f t="shared" si="133"/>
        <v>46703</v>
      </c>
      <c r="N184" s="361">
        <f t="shared" si="133"/>
        <v>0</v>
      </c>
      <c r="O184" s="361">
        <f t="shared" si="133"/>
        <v>0</v>
      </c>
      <c r="P184" s="361">
        <f t="shared" si="133"/>
        <v>0</v>
      </c>
      <c r="Q184" s="361">
        <f t="shared" si="133"/>
        <v>0</v>
      </c>
      <c r="R184" s="361">
        <f t="shared" si="133"/>
        <v>0</v>
      </c>
      <c r="S184" s="361">
        <f t="shared" si="133"/>
        <v>0</v>
      </c>
      <c r="T184" s="362">
        <f t="shared" si="133"/>
        <v>0</v>
      </c>
    </row>
    <row r="185" spans="4:20" s="186" customFormat="1" ht="12.75" thickBot="1" x14ac:dyDescent="0.25">
      <c r="D185" s="557" t="s">
        <v>134</v>
      </c>
      <c r="E185" s="558"/>
      <c r="F185" s="558"/>
      <c r="G185" s="559"/>
      <c r="H185" s="410">
        <f t="shared" ref="H185:T185" si="134">SUM(H10,H171)</f>
        <v>109347454</v>
      </c>
      <c r="I185" s="82">
        <f>SUM(I10,I171)</f>
        <v>111532214</v>
      </c>
      <c r="J185" s="360">
        <f t="shared" si="134"/>
        <v>2184760</v>
      </c>
      <c r="K185" s="361">
        <f t="shared" si="134"/>
        <v>42815</v>
      </c>
      <c r="L185" s="361">
        <f t="shared" si="134"/>
        <v>1690808</v>
      </c>
      <c r="M185" s="361">
        <f t="shared" si="134"/>
        <v>451137</v>
      </c>
      <c r="N185" s="361">
        <f t="shared" si="134"/>
        <v>0</v>
      </c>
      <c r="O185" s="361">
        <f t="shared" si="134"/>
        <v>0</v>
      </c>
      <c r="P185" s="361">
        <f t="shared" si="134"/>
        <v>0</v>
      </c>
      <c r="Q185" s="361">
        <f t="shared" si="134"/>
        <v>0</v>
      </c>
      <c r="R185" s="361">
        <f t="shared" si="134"/>
        <v>0</v>
      </c>
      <c r="S185" s="361">
        <f t="shared" si="134"/>
        <v>0</v>
      </c>
      <c r="T185" s="362">
        <f t="shared" si="134"/>
        <v>0</v>
      </c>
    </row>
    <row r="188" spans="4:20" x14ac:dyDescent="0.2">
      <c r="D188" s="550"/>
      <c r="E188" s="550"/>
      <c r="F188" s="550"/>
      <c r="G188" s="550"/>
      <c r="H188" s="550"/>
      <c r="I188" s="550"/>
      <c r="J188" s="550"/>
      <c r="K188" s="550"/>
    </row>
    <row r="189" spans="4:20" x14ac:dyDescent="0.2">
      <c r="D189" s="550"/>
      <c r="E189" s="550"/>
      <c r="F189" s="550"/>
      <c r="G189" s="550"/>
      <c r="H189" s="550"/>
      <c r="I189" s="550"/>
      <c r="J189" s="550"/>
      <c r="K189" s="550"/>
    </row>
  </sheetData>
  <sheetProtection algorithmName="SHA-512" hashValue="GVJOcU8HWQbWZL6JxJA0GkeeKHZ0Vu2SRmo+RQlPmsqKV9Qq5U0reHUBSWApbSLeCFeKOw+22xauSgd47LXLTQ==" saltValue="+JNrWiVq2RGK+aJBdbJT4g==" spinCount="100000" sheet="1" objects="1" scenarios="1"/>
  <mergeCells count="127">
    <mergeCell ref="D189:K189"/>
    <mergeCell ref="D173:F173"/>
    <mergeCell ref="E174:F174"/>
    <mergeCell ref="E175:F175"/>
    <mergeCell ref="D184:G184"/>
    <mergeCell ref="D185:G185"/>
    <mergeCell ref="D188:K188"/>
    <mergeCell ref="E139:F139"/>
    <mergeCell ref="E142:F142"/>
    <mergeCell ref="E143:F143"/>
    <mergeCell ref="E144:F144"/>
    <mergeCell ref="E145:F145"/>
    <mergeCell ref="D171:G171"/>
    <mergeCell ref="E129:F129"/>
    <mergeCell ref="E130:F130"/>
    <mergeCell ref="E134:F134"/>
    <mergeCell ref="E135:F135"/>
    <mergeCell ref="E136:F136"/>
    <mergeCell ref="E138:F138"/>
    <mergeCell ref="E114:F114"/>
    <mergeCell ref="D118:G118"/>
    <mergeCell ref="E120:F120"/>
    <mergeCell ref="E123:F123"/>
    <mergeCell ref="E125:F125"/>
    <mergeCell ref="E126:F126"/>
    <mergeCell ref="E108:F108"/>
    <mergeCell ref="E109:F109"/>
    <mergeCell ref="E110:F110"/>
    <mergeCell ref="E111:F111"/>
    <mergeCell ref="E112:F112"/>
    <mergeCell ref="E113:F113"/>
    <mergeCell ref="E101:F101"/>
    <mergeCell ref="E102:F102"/>
    <mergeCell ref="E104:F104"/>
    <mergeCell ref="E105:F105"/>
    <mergeCell ref="E106:F106"/>
    <mergeCell ref="E107:F107"/>
    <mergeCell ref="E95:F95"/>
    <mergeCell ref="E96:F96"/>
    <mergeCell ref="E97:F97"/>
    <mergeCell ref="E98:F98"/>
    <mergeCell ref="E99:F99"/>
    <mergeCell ref="E100:F100"/>
    <mergeCell ref="E88:F88"/>
    <mergeCell ref="D89:F89"/>
    <mergeCell ref="E90:F90"/>
    <mergeCell ref="E91:F91"/>
    <mergeCell ref="E93:F93"/>
    <mergeCell ref="E94:F94"/>
    <mergeCell ref="E92:F92"/>
    <mergeCell ref="E81:F81"/>
    <mergeCell ref="E82:F82"/>
    <mergeCell ref="E83:F83"/>
    <mergeCell ref="D84:F84"/>
    <mergeCell ref="E86:F86"/>
    <mergeCell ref="E87:F87"/>
    <mergeCell ref="E75:F75"/>
    <mergeCell ref="E76:F76"/>
    <mergeCell ref="E77:F77"/>
    <mergeCell ref="E78:F78"/>
    <mergeCell ref="D79:F79"/>
    <mergeCell ref="E80:F80"/>
    <mergeCell ref="E85:F85"/>
    <mergeCell ref="E67:F67"/>
    <mergeCell ref="D68:F68"/>
    <mergeCell ref="E70:F70"/>
    <mergeCell ref="E71:F71"/>
    <mergeCell ref="E72:F72"/>
    <mergeCell ref="E73:F73"/>
    <mergeCell ref="D58:F58"/>
    <mergeCell ref="E59:F59"/>
    <mergeCell ref="E60:F60"/>
    <mergeCell ref="E61:F61"/>
    <mergeCell ref="E65:F65"/>
    <mergeCell ref="E66:F66"/>
    <mergeCell ref="E62:F62"/>
    <mergeCell ref="E63:F63"/>
    <mergeCell ref="E64:F64"/>
    <mergeCell ref="E50:F50"/>
    <mergeCell ref="E52:F52"/>
    <mergeCell ref="D53:F53"/>
    <mergeCell ref="E54:F54"/>
    <mergeCell ref="E55:F55"/>
    <mergeCell ref="E56:F56"/>
    <mergeCell ref="E44:F44"/>
    <mergeCell ref="E45:F45"/>
    <mergeCell ref="E46:F46"/>
    <mergeCell ref="E47:F47"/>
    <mergeCell ref="E48:F48"/>
    <mergeCell ref="E49:F49"/>
    <mergeCell ref="E51:F51"/>
    <mergeCell ref="E37:F37"/>
    <mergeCell ref="E38:F38"/>
    <mergeCell ref="E39:F39"/>
    <mergeCell ref="D42:F42"/>
    <mergeCell ref="E43:F43"/>
    <mergeCell ref="E29:F29"/>
    <mergeCell ref="D31:F31"/>
    <mergeCell ref="E32:F32"/>
    <mergeCell ref="E33:F33"/>
    <mergeCell ref="E34:F34"/>
    <mergeCell ref="E35:F35"/>
    <mergeCell ref="E40:F40"/>
    <mergeCell ref="C6:U6"/>
    <mergeCell ref="D1:I1"/>
    <mergeCell ref="E57:F57"/>
    <mergeCell ref="D10:G10"/>
    <mergeCell ref="D12:F12"/>
    <mergeCell ref="E13:F13"/>
    <mergeCell ref="E14:F14"/>
    <mergeCell ref="E15:F15"/>
    <mergeCell ref="E16:F16"/>
    <mergeCell ref="D8:F8"/>
    <mergeCell ref="D9:F9"/>
    <mergeCell ref="E23:F23"/>
    <mergeCell ref="E24:F24"/>
    <mergeCell ref="D25:F25"/>
    <mergeCell ref="E26:F26"/>
    <mergeCell ref="E27:F27"/>
    <mergeCell ref="E28:F28"/>
    <mergeCell ref="D17:F17"/>
    <mergeCell ref="E18:F18"/>
    <mergeCell ref="E19:F19"/>
    <mergeCell ref="E20:F20"/>
    <mergeCell ref="E21:F21"/>
    <mergeCell ref="E22:F22"/>
    <mergeCell ref="E36:F36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5" orientation="portrait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Izdevumi</vt:lpstr>
      <vt:lpstr>Ienemumi</vt:lpstr>
      <vt:lpstr>Ienemumi!Print_Area</vt:lpstr>
      <vt:lpstr>Izdevumi!Print_Area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Elina Markaine</cp:lastModifiedBy>
  <cp:lastPrinted>2015-03-09T15:25:21Z</cp:lastPrinted>
  <dcterms:created xsi:type="dcterms:W3CDTF">2006-10-31T12:58:11Z</dcterms:created>
  <dcterms:modified xsi:type="dcterms:W3CDTF">2015-03-09T15:25:36Z</dcterms:modified>
</cp:coreProperties>
</file>