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800" windowHeight="12435" activeTab="1"/>
  </bookViews>
  <sheets>
    <sheet name="Izdevumi" sheetId="1" r:id="rId1"/>
    <sheet name="Ienemumi2" sheetId="5" r:id="rId2"/>
    <sheet name="Ienemumi" sheetId="4" state="hidden" r:id="rId3"/>
  </sheets>
  <definedNames>
    <definedName name="_xlnm._FilterDatabase" localSheetId="0" hidden="1">Izdevumi!$A$11:$BA$265</definedName>
    <definedName name="_xlnm.Print_Area" localSheetId="2">Ienemumi!$C$1:$U$185</definedName>
    <definedName name="_xlnm.Print_Area" localSheetId="1">Ienemumi2!$C$1:$U$185</definedName>
    <definedName name="_xlnm.Print_Area" localSheetId="0">Izdevumi!$A$1:$BA$262</definedName>
    <definedName name="_xlnm.Print_Titles" localSheetId="2">Ienemumi!$8:$8</definedName>
    <definedName name="_xlnm.Print_Titles" localSheetId="1">Ienemumi2!$8:$8</definedName>
    <definedName name="_xlnm.Print_Titles" localSheetId="0">Izdevumi!$8:$11</definedName>
    <definedName name="Z_C32C0FCD_AE7D_41A3_975E_D7367DDEA994_.wvu.PrintArea" localSheetId="2" hidden="1">Ienemumi!$D$5:$K$185</definedName>
    <definedName name="Z_C32C0FCD_AE7D_41A3_975E_D7367DDEA994_.wvu.PrintArea" localSheetId="1" hidden="1">Ienemumi2!$D$5:$K$185</definedName>
    <definedName name="Z_C32C0FCD_AE7D_41A3_975E_D7367DDEA994_.wvu.PrintArea" localSheetId="0" hidden="1">Izdevumi!$B$6:$BA$262</definedName>
    <definedName name="Z_C32C0FCD_AE7D_41A3_975E_D7367DDEA994_.wvu.PrintTitles" localSheetId="2" hidden="1">Ienemumi!$8:$9</definedName>
    <definedName name="Z_C32C0FCD_AE7D_41A3_975E_D7367DDEA994_.wvu.PrintTitles" localSheetId="1" hidden="1">Ienemumi2!$8:$9</definedName>
    <definedName name="Z_C32C0FCD_AE7D_41A3_975E_D7367DDEA994_.wvu.PrintTitles" localSheetId="0" hidden="1">Izdevumi!$8:$11</definedName>
    <definedName name="Z_C32C0FCD_AE7D_41A3_975E_D7367DDEA994_.wvu.Rows" localSheetId="2" hidden="1">Ienemumi!#REF!,Ienemumi!#REF!,Ienemumi!$173:$183</definedName>
    <definedName name="Z_C32C0FCD_AE7D_41A3_975E_D7367DDEA994_.wvu.Rows" localSheetId="1" hidden="1">Ienemumi2!#REF!,Ienemumi2!#REF!,Ienemumi2!$173:$183</definedName>
  </definedNames>
  <calcPr calcId="145621"/>
  <customWorkbookViews>
    <customWorkbookView name="Inga Braca - Personal View" guid="{C32C0FCD-AE7D-41A3-975E-D7367DDEA994}" mergeInterval="0" personalView="1" maximized="1" windowWidth="1276" windowHeight="771" activeSheetId="1"/>
    <customWorkbookView name="Kristine Maurina - Personal View" guid="{8E07C9B9-277B-448A-92DB-DFFDE2869977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T24" i="1" l="1"/>
  <c r="M181" i="5" l="1"/>
  <c r="M179" i="5" s="1"/>
  <c r="L181" i="5"/>
  <c r="J181" i="5" s="1"/>
  <c r="H181" i="5"/>
  <c r="J180" i="5"/>
  <c r="H180" i="5"/>
  <c r="T179" i="5"/>
  <c r="T178" i="5" s="1"/>
  <c r="T171" i="5" s="1"/>
  <c r="S179" i="5"/>
  <c r="S178" i="5" s="1"/>
  <c r="R179" i="5"/>
  <c r="R178" i="5" s="1"/>
  <c r="Q179" i="5"/>
  <c r="P179" i="5"/>
  <c r="P178" i="5" s="1"/>
  <c r="O179" i="5"/>
  <c r="O178" i="5" s="1"/>
  <c r="N179" i="5"/>
  <c r="N178" i="5" s="1"/>
  <c r="K179" i="5"/>
  <c r="K178" i="5" s="1"/>
  <c r="H179" i="5"/>
  <c r="H178" i="5" s="1"/>
  <c r="Q178" i="5"/>
  <c r="M178" i="5"/>
  <c r="J175" i="5"/>
  <c r="H175" i="5"/>
  <c r="J174" i="5"/>
  <c r="I174" i="5" s="1"/>
  <c r="T173" i="5"/>
  <c r="S173" i="5"/>
  <c r="R173" i="5"/>
  <c r="Q173" i="5"/>
  <c r="P173" i="5"/>
  <c r="O173" i="5"/>
  <c r="N173" i="5"/>
  <c r="M173" i="5"/>
  <c r="L173" i="5"/>
  <c r="K173" i="5"/>
  <c r="J173" i="5"/>
  <c r="O171" i="5"/>
  <c r="J168" i="5"/>
  <c r="I168" i="5" s="1"/>
  <c r="J167" i="5"/>
  <c r="I167" i="5" s="1"/>
  <c r="L166" i="5"/>
  <c r="J166" i="5" s="1"/>
  <c r="H166" i="5"/>
  <c r="J165" i="5"/>
  <c r="I165" i="5" s="1"/>
  <c r="J164" i="5"/>
  <c r="H164" i="5"/>
  <c r="H146" i="5" s="1"/>
  <c r="J163" i="5"/>
  <c r="I163" i="5" s="1"/>
  <c r="J162" i="5"/>
  <c r="I162" i="5" s="1"/>
  <c r="H162" i="5"/>
  <c r="J161" i="5"/>
  <c r="I161" i="5"/>
  <c r="J160" i="5"/>
  <c r="I160" i="5" s="1"/>
  <c r="J159" i="5"/>
  <c r="I159" i="5" s="1"/>
  <c r="L158" i="5"/>
  <c r="J158" i="5" s="1"/>
  <c r="I158" i="5" s="1"/>
  <c r="L157" i="5"/>
  <c r="J157" i="5"/>
  <c r="I157" i="5" s="1"/>
  <c r="H157" i="5"/>
  <c r="J156" i="5"/>
  <c r="I156" i="5" s="1"/>
  <c r="H156" i="5"/>
  <c r="L155" i="5"/>
  <c r="J155" i="5"/>
  <c r="I155" i="5" s="1"/>
  <c r="H155" i="5"/>
  <c r="J154" i="5"/>
  <c r="I154" i="5"/>
  <c r="L153" i="5"/>
  <c r="J153" i="5" s="1"/>
  <c r="I153" i="5" s="1"/>
  <c r="J152" i="5"/>
  <c r="I152" i="5" s="1"/>
  <c r="L151" i="5"/>
  <c r="J151" i="5" s="1"/>
  <c r="I151" i="5"/>
  <c r="H151" i="5"/>
  <c r="J150" i="5"/>
  <c r="I150" i="5" s="1"/>
  <c r="L149" i="5"/>
  <c r="J149" i="5"/>
  <c r="I149" i="5" s="1"/>
  <c r="H149" i="5"/>
  <c r="N148" i="5"/>
  <c r="N146" i="5" s="1"/>
  <c r="M148" i="5"/>
  <c r="J148" i="5" s="1"/>
  <c r="H148" i="5"/>
  <c r="I148" i="5" s="1"/>
  <c r="L147" i="5"/>
  <c r="H147" i="5"/>
  <c r="T146" i="5"/>
  <c r="S146" i="5"/>
  <c r="R146" i="5"/>
  <c r="Q146" i="5"/>
  <c r="P146" i="5"/>
  <c r="O146" i="5"/>
  <c r="M146" i="5"/>
  <c r="K146" i="5"/>
  <c r="J142" i="5"/>
  <c r="H142" i="5"/>
  <c r="I142" i="5" s="1"/>
  <c r="J141" i="5"/>
  <c r="I141" i="5" s="1"/>
  <c r="H141" i="5"/>
  <c r="J140" i="5"/>
  <c r="I140" i="5"/>
  <c r="J139" i="5"/>
  <c r="I139" i="5" s="1"/>
  <c r="J138" i="5"/>
  <c r="I138" i="5" s="1"/>
  <c r="H138" i="5"/>
  <c r="M137" i="5"/>
  <c r="J137" i="5"/>
  <c r="I137" i="5" s="1"/>
  <c r="H137" i="5"/>
  <c r="J136" i="5"/>
  <c r="I136" i="5"/>
  <c r="H136" i="5"/>
  <c r="J135" i="5"/>
  <c r="I135" i="5" s="1"/>
  <c r="J134" i="5"/>
  <c r="I134" i="5"/>
  <c r="H134" i="5"/>
  <c r="J133" i="5"/>
  <c r="H133" i="5"/>
  <c r="J132" i="5"/>
  <c r="H132" i="5"/>
  <c r="J131" i="5"/>
  <c r="I131" i="5" s="1"/>
  <c r="H131" i="5"/>
  <c r="J130" i="5"/>
  <c r="I130" i="5" s="1"/>
  <c r="H130" i="5"/>
  <c r="J129" i="5"/>
  <c r="I129" i="5"/>
  <c r="T128" i="5"/>
  <c r="S128" i="5"/>
  <c r="S121" i="5" s="1"/>
  <c r="S120" i="5" s="1"/>
  <c r="R128" i="5"/>
  <c r="Q128" i="5"/>
  <c r="P128" i="5"/>
  <c r="O128" i="5"/>
  <c r="O121" i="5" s="1"/>
  <c r="O120" i="5" s="1"/>
  <c r="N128" i="5"/>
  <c r="M128" i="5"/>
  <c r="M121" i="5" s="1"/>
  <c r="M120" i="5" s="1"/>
  <c r="L128" i="5"/>
  <c r="K128" i="5"/>
  <c r="K121" i="5" s="1"/>
  <c r="K120" i="5" s="1"/>
  <c r="J126" i="5"/>
  <c r="I126" i="5" s="1"/>
  <c r="J125" i="5"/>
  <c r="J122" i="5" s="1"/>
  <c r="H125" i="5"/>
  <c r="J124" i="5"/>
  <c r="I124" i="5" s="1"/>
  <c r="T122" i="5"/>
  <c r="S122" i="5"/>
  <c r="R122" i="5"/>
  <c r="R121" i="5" s="1"/>
  <c r="R120" i="5" s="1"/>
  <c r="Q122" i="5"/>
  <c r="P122" i="5"/>
  <c r="O122" i="5"/>
  <c r="N122" i="5"/>
  <c r="M122" i="5"/>
  <c r="L122" i="5"/>
  <c r="K122" i="5"/>
  <c r="H122" i="5"/>
  <c r="N121" i="5"/>
  <c r="N120" i="5" s="1"/>
  <c r="N114" i="5"/>
  <c r="N110" i="5" s="1"/>
  <c r="L114" i="5"/>
  <c r="H114" i="5"/>
  <c r="J113" i="5"/>
  <c r="H113" i="5"/>
  <c r="I113" i="5" s="1"/>
  <c r="I111" i="5" s="1"/>
  <c r="T111" i="5"/>
  <c r="T110" i="5" s="1"/>
  <c r="S111" i="5"/>
  <c r="S110" i="5" s="1"/>
  <c r="R111" i="5"/>
  <c r="Q111" i="5"/>
  <c r="Q110" i="5" s="1"/>
  <c r="P111" i="5"/>
  <c r="P110" i="5" s="1"/>
  <c r="O111" i="5"/>
  <c r="O110" i="5" s="1"/>
  <c r="N111" i="5"/>
  <c r="M111" i="5"/>
  <c r="M110" i="5" s="1"/>
  <c r="L111" i="5"/>
  <c r="L110" i="5" s="1"/>
  <c r="K111" i="5"/>
  <c r="H111" i="5"/>
  <c r="H110" i="5" s="1"/>
  <c r="R110" i="5"/>
  <c r="M109" i="5"/>
  <c r="L109" i="5"/>
  <c r="H109" i="5"/>
  <c r="J108" i="5"/>
  <c r="I108" i="5" s="1"/>
  <c r="J107" i="5"/>
  <c r="I107" i="5" s="1"/>
  <c r="J106" i="5"/>
  <c r="I106" i="5"/>
  <c r="H106" i="5"/>
  <c r="J105" i="5"/>
  <c r="H105" i="5"/>
  <c r="T104" i="5"/>
  <c r="S104" i="5"/>
  <c r="R104" i="5"/>
  <c r="Q104" i="5"/>
  <c r="P104" i="5"/>
  <c r="O104" i="5"/>
  <c r="N104" i="5"/>
  <c r="M104" i="5"/>
  <c r="K104" i="5"/>
  <c r="J103" i="5"/>
  <c r="I103" i="5"/>
  <c r="J102" i="5"/>
  <c r="I102" i="5" s="1"/>
  <c r="H102" i="5"/>
  <c r="L101" i="5"/>
  <c r="L100" i="5" s="1"/>
  <c r="H101" i="5"/>
  <c r="T100" i="5"/>
  <c r="S100" i="5"/>
  <c r="R100" i="5"/>
  <c r="Q100" i="5"/>
  <c r="P100" i="5"/>
  <c r="O100" i="5"/>
  <c r="N100" i="5"/>
  <c r="M100" i="5"/>
  <c r="K100" i="5"/>
  <c r="H100" i="5"/>
  <c r="J99" i="5"/>
  <c r="H99" i="5"/>
  <c r="T98" i="5"/>
  <c r="S98" i="5"/>
  <c r="R98" i="5"/>
  <c r="Q98" i="5"/>
  <c r="P98" i="5"/>
  <c r="O98" i="5"/>
  <c r="O93" i="5" s="1"/>
  <c r="N98" i="5"/>
  <c r="M98" i="5"/>
  <c r="L98" i="5"/>
  <c r="K98" i="5"/>
  <c r="H98" i="5"/>
  <c r="J97" i="5"/>
  <c r="I97" i="5" s="1"/>
  <c r="H97" i="5"/>
  <c r="L96" i="5"/>
  <c r="H96" i="5"/>
  <c r="J95" i="5"/>
  <c r="I95" i="5" s="1"/>
  <c r="H95" i="5"/>
  <c r="H94" i="5" s="1"/>
  <c r="T94" i="5"/>
  <c r="T93" i="5" s="1"/>
  <c r="S94" i="5"/>
  <c r="R94" i="5"/>
  <c r="R93" i="5" s="1"/>
  <c r="Q94" i="5"/>
  <c r="P94" i="5"/>
  <c r="O94" i="5"/>
  <c r="N94" i="5"/>
  <c r="N93" i="5" s="1"/>
  <c r="M94" i="5"/>
  <c r="K94" i="5"/>
  <c r="J92" i="5"/>
  <c r="J91" i="5"/>
  <c r="I91" i="5" s="1"/>
  <c r="T90" i="5"/>
  <c r="S90" i="5"/>
  <c r="R90" i="5"/>
  <c r="Q90" i="5"/>
  <c r="P90" i="5"/>
  <c r="O90" i="5"/>
  <c r="N90" i="5"/>
  <c r="M90" i="5"/>
  <c r="L90" i="5"/>
  <c r="K90" i="5"/>
  <c r="H90" i="5"/>
  <c r="J88" i="5"/>
  <c r="H88" i="5"/>
  <c r="I88" i="5" s="1"/>
  <c r="I86" i="5" s="1"/>
  <c r="J87" i="5"/>
  <c r="J86" i="5" s="1"/>
  <c r="H87" i="5"/>
  <c r="I87" i="5" s="1"/>
  <c r="T86" i="5"/>
  <c r="S86" i="5"/>
  <c r="S84" i="5" s="1"/>
  <c r="R86" i="5"/>
  <c r="Q86" i="5"/>
  <c r="Q84" i="5" s="1"/>
  <c r="P86" i="5"/>
  <c r="O86" i="5"/>
  <c r="N86" i="5"/>
  <c r="M86" i="5"/>
  <c r="M84" i="5" s="1"/>
  <c r="L86" i="5"/>
  <c r="K86" i="5"/>
  <c r="K84" i="5" s="1"/>
  <c r="H86" i="5"/>
  <c r="H84" i="5" s="1"/>
  <c r="J85" i="5"/>
  <c r="I85" i="5" s="1"/>
  <c r="T84" i="5"/>
  <c r="R84" i="5"/>
  <c r="P84" i="5"/>
  <c r="O84" i="5"/>
  <c r="N84" i="5"/>
  <c r="L84" i="5"/>
  <c r="J83" i="5"/>
  <c r="I83" i="5" s="1"/>
  <c r="H83" i="5"/>
  <c r="L82" i="5"/>
  <c r="J82" i="5"/>
  <c r="I82" i="5" s="1"/>
  <c r="H82" i="5"/>
  <c r="L81" i="5"/>
  <c r="J81" i="5" s="1"/>
  <c r="H81" i="5"/>
  <c r="T80" i="5"/>
  <c r="T79" i="5" s="1"/>
  <c r="S80" i="5"/>
  <c r="S79" i="5" s="1"/>
  <c r="R80" i="5"/>
  <c r="R79" i="5" s="1"/>
  <c r="Q80" i="5"/>
  <c r="Q79" i="5" s="1"/>
  <c r="P80" i="5"/>
  <c r="O80" i="5"/>
  <c r="O79" i="5" s="1"/>
  <c r="N80" i="5"/>
  <c r="N79" i="5" s="1"/>
  <c r="M80" i="5"/>
  <c r="M79" i="5" s="1"/>
  <c r="L80" i="5"/>
  <c r="L79" i="5" s="1"/>
  <c r="K80" i="5"/>
  <c r="K79" i="5" s="1"/>
  <c r="H80" i="5"/>
  <c r="P79" i="5"/>
  <c r="H79" i="5"/>
  <c r="J78" i="5"/>
  <c r="H78" i="5"/>
  <c r="J77" i="5"/>
  <c r="H77" i="5"/>
  <c r="J76" i="5"/>
  <c r="I76" i="5" s="1"/>
  <c r="H76" i="5"/>
  <c r="H75" i="5" s="1"/>
  <c r="H68" i="5" s="1"/>
  <c r="T75" i="5"/>
  <c r="S75" i="5"/>
  <c r="S68" i="5" s="1"/>
  <c r="R75" i="5"/>
  <c r="Q75" i="5"/>
  <c r="Q68" i="5" s="1"/>
  <c r="P75" i="5"/>
  <c r="O75" i="5"/>
  <c r="N75" i="5"/>
  <c r="M75" i="5"/>
  <c r="M68" i="5" s="1"/>
  <c r="L75" i="5"/>
  <c r="K75" i="5"/>
  <c r="J74" i="5"/>
  <c r="I74" i="5"/>
  <c r="J73" i="5"/>
  <c r="I73" i="5" s="1"/>
  <c r="J72" i="5"/>
  <c r="I72" i="5" s="1"/>
  <c r="J71" i="5"/>
  <c r="H71" i="5"/>
  <c r="T70" i="5"/>
  <c r="T68" i="5" s="1"/>
  <c r="S70" i="5"/>
  <c r="R70" i="5"/>
  <c r="Q70" i="5"/>
  <c r="P70" i="5"/>
  <c r="P68" i="5" s="1"/>
  <c r="O70" i="5"/>
  <c r="N70" i="5"/>
  <c r="N68" i="5" s="1"/>
  <c r="M70" i="5"/>
  <c r="L70" i="5"/>
  <c r="L68" i="5" s="1"/>
  <c r="K70" i="5"/>
  <c r="H70" i="5"/>
  <c r="J69" i="5"/>
  <c r="I69" i="5" s="1"/>
  <c r="O68" i="5"/>
  <c r="L67" i="5"/>
  <c r="J67" i="5"/>
  <c r="H67" i="5"/>
  <c r="J66" i="5"/>
  <c r="H66" i="5"/>
  <c r="T65" i="5"/>
  <c r="S65" i="5"/>
  <c r="S61" i="5" s="1"/>
  <c r="R65" i="5"/>
  <c r="Q65" i="5"/>
  <c r="P65" i="5"/>
  <c r="O65" i="5"/>
  <c r="O61" i="5" s="1"/>
  <c r="N65" i="5"/>
  <c r="M65" i="5"/>
  <c r="L65" i="5"/>
  <c r="K65" i="5"/>
  <c r="K61" i="5" s="1"/>
  <c r="J64" i="5"/>
  <c r="I64" i="5"/>
  <c r="L63" i="5"/>
  <c r="J63" i="5"/>
  <c r="I63" i="5" s="1"/>
  <c r="T62" i="5"/>
  <c r="T61" i="5" s="1"/>
  <c r="S62" i="5"/>
  <c r="R62" i="5"/>
  <c r="R61" i="5" s="1"/>
  <c r="R58" i="5" s="1"/>
  <c r="Q62" i="5"/>
  <c r="P62" i="5"/>
  <c r="P61" i="5" s="1"/>
  <c r="O62" i="5"/>
  <c r="N62" i="5"/>
  <c r="N61" i="5" s="1"/>
  <c r="N58" i="5" s="1"/>
  <c r="M62" i="5"/>
  <c r="L62" i="5"/>
  <c r="K62" i="5"/>
  <c r="H62" i="5"/>
  <c r="Q61" i="5"/>
  <c r="M61" i="5"/>
  <c r="M58" i="5" s="1"/>
  <c r="J60" i="5"/>
  <c r="H60" i="5"/>
  <c r="I60" i="5" s="1"/>
  <c r="T59" i="5"/>
  <c r="S59" i="5"/>
  <c r="R59" i="5"/>
  <c r="Q59" i="5"/>
  <c r="Q58" i="5" s="1"/>
  <c r="P59" i="5"/>
  <c r="O59" i="5"/>
  <c r="N59" i="5"/>
  <c r="M59" i="5"/>
  <c r="L59" i="5"/>
  <c r="K59" i="5"/>
  <c r="J59" i="5"/>
  <c r="I59" i="5"/>
  <c r="H59" i="5"/>
  <c r="J57" i="5"/>
  <c r="I57" i="5"/>
  <c r="H57" i="5"/>
  <c r="J56" i="5"/>
  <c r="I56" i="5" s="1"/>
  <c r="J55" i="5"/>
  <c r="I55" i="5" s="1"/>
  <c r="H55" i="5"/>
  <c r="T54" i="5"/>
  <c r="T53" i="5" s="1"/>
  <c r="S54" i="5"/>
  <c r="R54" i="5"/>
  <c r="R53" i="5" s="1"/>
  <c r="Q54" i="5"/>
  <c r="P54" i="5"/>
  <c r="O54" i="5"/>
  <c r="O53" i="5" s="1"/>
  <c r="N54" i="5"/>
  <c r="N53" i="5" s="1"/>
  <c r="M54" i="5"/>
  <c r="L54" i="5"/>
  <c r="K54" i="5"/>
  <c r="H54" i="5"/>
  <c r="S53" i="5"/>
  <c r="Q53" i="5"/>
  <c r="P53" i="5"/>
  <c r="M53" i="5"/>
  <c r="L53" i="5"/>
  <c r="K53" i="5"/>
  <c r="H53" i="5"/>
  <c r="J52" i="5"/>
  <c r="H52" i="5"/>
  <c r="J51" i="5"/>
  <c r="I51" i="5" s="1"/>
  <c r="J50" i="5"/>
  <c r="H50" i="5"/>
  <c r="J49" i="5"/>
  <c r="H49" i="5"/>
  <c r="J48" i="5"/>
  <c r="I48" i="5" s="1"/>
  <c r="H48" i="5"/>
  <c r="J47" i="5"/>
  <c r="I47" i="5" s="1"/>
  <c r="T46" i="5"/>
  <c r="T42" i="5" s="1"/>
  <c r="S46" i="5"/>
  <c r="R46" i="5"/>
  <c r="Q46" i="5"/>
  <c r="P46" i="5"/>
  <c r="O46" i="5"/>
  <c r="N46" i="5"/>
  <c r="N42" i="5" s="1"/>
  <c r="M46" i="5"/>
  <c r="L46" i="5"/>
  <c r="L42" i="5" s="1"/>
  <c r="K46" i="5"/>
  <c r="H46" i="5"/>
  <c r="J45" i="5"/>
  <c r="H45" i="5"/>
  <c r="I45" i="5" s="1"/>
  <c r="J44" i="5"/>
  <c r="H44" i="5"/>
  <c r="I44" i="5" s="1"/>
  <c r="T43" i="5"/>
  <c r="S43" i="5"/>
  <c r="S42" i="5" s="1"/>
  <c r="R43" i="5"/>
  <c r="Q43" i="5"/>
  <c r="Q42" i="5" s="1"/>
  <c r="P43" i="5"/>
  <c r="O43" i="5"/>
  <c r="O42" i="5" s="1"/>
  <c r="N43" i="5"/>
  <c r="M43" i="5"/>
  <c r="L43" i="5"/>
  <c r="K43" i="5"/>
  <c r="K42" i="5" s="1"/>
  <c r="R42" i="5"/>
  <c r="P42" i="5"/>
  <c r="J41" i="5"/>
  <c r="H41" i="5"/>
  <c r="I41" i="5" s="1"/>
  <c r="I40" i="5" s="1"/>
  <c r="T40" i="5"/>
  <c r="S40" i="5"/>
  <c r="S37" i="5" s="1"/>
  <c r="S31" i="5" s="1"/>
  <c r="R40" i="5"/>
  <c r="Q40" i="5"/>
  <c r="Q37" i="5" s="1"/>
  <c r="Q31" i="5" s="1"/>
  <c r="P40" i="5"/>
  <c r="O40" i="5"/>
  <c r="N40" i="5"/>
  <c r="M40" i="5"/>
  <c r="L40" i="5"/>
  <c r="K40" i="5"/>
  <c r="J40" i="5"/>
  <c r="J39" i="5"/>
  <c r="H39" i="5"/>
  <c r="T38" i="5"/>
  <c r="T37" i="5" s="1"/>
  <c r="S38" i="5"/>
  <c r="R38" i="5"/>
  <c r="R37" i="5" s="1"/>
  <c r="Q38" i="5"/>
  <c r="P38" i="5"/>
  <c r="P37" i="5" s="1"/>
  <c r="O38" i="5"/>
  <c r="N38" i="5"/>
  <c r="N37" i="5" s="1"/>
  <c r="M38" i="5"/>
  <c r="L38" i="5"/>
  <c r="L37" i="5" s="1"/>
  <c r="K38" i="5"/>
  <c r="J38" i="5"/>
  <c r="J37" i="5" s="1"/>
  <c r="O37" i="5"/>
  <c r="K37" i="5"/>
  <c r="J36" i="5"/>
  <c r="I36" i="5" s="1"/>
  <c r="I35" i="5" s="1"/>
  <c r="I34" i="5" s="1"/>
  <c r="T35" i="5"/>
  <c r="T34" i="5" s="1"/>
  <c r="S35" i="5"/>
  <c r="R35" i="5"/>
  <c r="Q35" i="5"/>
  <c r="P35" i="5"/>
  <c r="P34" i="5" s="1"/>
  <c r="O35" i="5"/>
  <c r="N35" i="5"/>
  <c r="N34" i="5" s="1"/>
  <c r="M35" i="5"/>
  <c r="M34" i="5" s="1"/>
  <c r="L35" i="5"/>
  <c r="L34" i="5" s="1"/>
  <c r="K35" i="5"/>
  <c r="J35" i="5"/>
  <c r="J34" i="5" s="1"/>
  <c r="H35" i="5"/>
  <c r="H34" i="5" s="1"/>
  <c r="S34" i="5"/>
  <c r="R34" i="5"/>
  <c r="R31" i="5" s="1"/>
  <c r="Q34" i="5"/>
  <c r="O34" i="5"/>
  <c r="K34" i="5"/>
  <c r="J33" i="5"/>
  <c r="I33" i="5"/>
  <c r="T32" i="5"/>
  <c r="S32" i="5"/>
  <c r="R32" i="5"/>
  <c r="Q32" i="5"/>
  <c r="P32" i="5"/>
  <c r="O32" i="5"/>
  <c r="O31" i="5" s="1"/>
  <c r="N32" i="5"/>
  <c r="M32" i="5"/>
  <c r="L32" i="5"/>
  <c r="K32" i="5"/>
  <c r="K31" i="5" s="1"/>
  <c r="J32" i="5"/>
  <c r="I32" i="5"/>
  <c r="H32" i="5"/>
  <c r="J30" i="5"/>
  <c r="I30" i="5"/>
  <c r="I29" i="5" s="1"/>
  <c r="I28" i="5" s="1"/>
  <c r="H30" i="5"/>
  <c r="H29" i="5" s="1"/>
  <c r="H28" i="5" s="1"/>
  <c r="T29" i="5"/>
  <c r="T28" i="5" s="1"/>
  <c r="T25" i="5" s="1"/>
  <c r="S29" i="5"/>
  <c r="R29" i="5"/>
  <c r="R28" i="5" s="1"/>
  <c r="Q29" i="5"/>
  <c r="Q28" i="5" s="1"/>
  <c r="P29" i="5"/>
  <c r="P28" i="5" s="1"/>
  <c r="O29" i="5"/>
  <c r="N29" i="5"/>
  <c r="N28" i="5" s="1"/>
  <c r="M29" i="5"/>
  <c r="M28" i="5" s="1"/>
  <c r="L29" i="5"/>
  <c r="L28" i="5" s="1"/>
  <c r="L25" i="5" s="1"/>
  <c r="K29" i="5"/>
  <c r="J29" i="5"/>
  <c r="J28" i="5" s="1"/>
  <c r="S28" i="5"/>
  <c r="S25" i="5" s="1"/>
  <c r="O28" i="5"/>
  <c r="K28" i="5"/>
  <c r="K25" i="5" s="1"/>
  <c r="J27" i="5"/>
  <c r="I27" i="5" s="1"/>
  <c r="I26" i="5" s="1"/>
  <c r="I25" i="5" s="1"/>
  <c r="H27" i="5"/>
  <c r="T26" i="5"/>
  <c r="S26" i="5"/>
  <c r="R26" i="5"/>
  <c r="Q26" i="5"/>
  <c r="P26" i="5"/>
  <c r="P25" i="5" s="1"/>
  <c r="O26" i="5"/>
  <c r="N26" i="5"/>
  <c r="M26" i="5"/>
  <c r="L26" i="5"/>
  <c r="K26" i="5"/>
  <c r="H26" i="5"/>
  <c r="H25" i="5" s="1"/>
  <c r="Q25" i="5"/>
  <c r="M25" i="5"/>
  <c r="J24" i="5"/>
  <c r="H24" i="5"/>
  <c r="J23" i="5"/>
  <c r="I23" i="5" s="1"/>
  <c r="H23" i="5"/>
  <c r="T22" i="5"/>
  <c r="S22" i="5"/>
  <c r="R22" i="5"/>
  <c r="Q22" i="5"/>
  <c r="P22" i="5"/>
  <c r="O22" i="5"/>
  <c r="N22" i="5"/>
  <c r="M22" i="5"/>
  <c r="L22" i="5"/>
  <c r="K22" i="5"/>
  <c r="J21" i="5"/>
  <c r="I21" i="5" s="1"/>
  <c r="H21" i="5"/>
  <c r="J20" i="5"/>
  <c r="I20" i="5" s="1"/>
  <c r="H20" i="5"/>
  <c r="H19" i="5" s="1"/>
  <c r="T19" i="5"/>
  <c r="S19" i="5"/>
  <c r="R19" i="5"/>
  <c r="Q19" i="5"/>
  <c r="Q18" i="5" s="1"/>
  <c r="P19" i="5"/>
  <c r="O19" i="5"/>
  <c r="N19" i="5"/>
  <c r="N18" i="5" s="1"/>
  <c r="N17" i="5" s="1"/>
  <c r="M19" i="5"/>
  <c r="M18" i="5" s="1"/>
  <c r="M17" i="5" s="1"/>
  <c r="L19" i="5"/>
  <c r="K19" i="5"/>
  <c r="K18" i="5" s="1"/>
  <c r="K17" i="5" s="1"/>
  <c r="S18" i="5"/>
  <c r="S17" i="5" s="1"/>
  <c r="R18" i="5"/>
  <c r="R17" i="5" s="1"/>
  <c r="O18" i="5"/>
  <c r="O17" i="5" s="1"/>
  <c r="L18" i="5"/>
  <c r="L17" i="5" s="1"/>
  <c r="Q17" i="5"/>
  <c r="J16" i="5"/>
  <c r="H16" i="5"/>
  <c r="I16" i="5" s="1"/>
  <c r="J15" i="5"/>
  <c r="I15" i="5"/>
  <c r="H15" i="5"/>
  <c r="T14" i="5"/>
  <c r="T13" i="5" s="1"/>
  <c r="T12" i="5" s="1"/>
  <c r="S14" i="5"/>
  <c r="R14" i="5"/>
  <c r="R13" i="5" s="1"/>
  <c r="R12" i="5" s="1"/>
  <c r="Q14" i="5"/>
  <c r="P14" i="5"/>
  <c r="P13" i="5" s="1"/>
  <c r="P12" i="5" s="1"/>
  <c r="O14" i="5"/>
  <c r="N14" i="5"/>
  <c r="N13" i="5" s="1"/>
  <c r="N12" i="5" s="1"/>
  <c r="M14" i="5"/>
  <c r="L14" i="5"/>
  <c r="L13" i="5" s="1"/>
  <c r="L12" i="5" s="1"/>
  <c r="K14" i="5"/>
  <c r="J14" i="5"/>
  <c r="J13" i="5" s="1"/>
  <c r="J12" i="5" s="1"/>
  <c r="H14" i="5"/>
  <c r="H13" i="5" s="1"/>
  <c r="H12" i="5" s="1"/>
  <c r="S13" i="5"/>
  <c r="S12" i="5" s="1"/>
  <c r="Q13" i="5"/>
  <c r="Q12" i="5" s="1"/>
  <c r="O13" i="5"/>
  <c r="O12" i="5" s="1"/>
  <c r="M13" i="5"/>
  <c r="M12" i="5" s="1"/>
  <c r="K13" i="5"/>
  <c r="K12" i="5" s="1"/>
  <c r="P171" i="5" l="1"/>
  <c r="J31" i="5"/>
  <c r="N31" i="5"/>
  <c r="O58" i="5"/>
  <c r="J19" i="5"/>
  <c r="J18" i="5" s="1"/>
  <c r="J17" i="5" s="1"/>
  <c r="J22" i="5"/>
  <c r="M42" i="5"/>
  <c r="I71" i="5"/>
  <c r="I70" i="5" s="1"/>
  <c r="J84" i="5"/>
  <c r="P93" i="5"/>
  <c r="Q121" i="5"/>
  <c r="Q120" i="5" s="1"/>
  <c r="I133" i="5"/>
  <c r="I128" i="5" s="1"/>
  <c r="I166" i="5"/>
  <c r="I181" i="5"/>
  <c r="K58" i="5"/>
  <c r="R171" i="5"/>
  <c r="J62" i="5"/>
  <c r="I62" i="5"/>
  <c r="J70" i="5"/>
  <c r="R89" i="5"/>
  <c r="I54" i="5"/>
  <c r="I53" i="5" s="1"/>
  <c r="S58" i="5"/>
  <c r="N89" i="5"/>
  <c r="I14" i="5"/>
  <c r="I13" i="5" s="1"/>
  <c r="I12" i="5" s="1"/>
  <c r="P18" i="5"/>
  <c r="P17" i="5" s="1"/>
  <c r="T18" i="5"/>
  <c r="T17" i="5" s="1"/>
  <c r="T118" i="5" s="1"/>
  <c r="T10" i="5" s="1"/>
  <c r="T185" i="5" s="1"/>
  <c r="I24" i="5"/>
  <c r="O25" i="5"/>
  <c r="L31" i="5"/>
  <c r="P31" i="5"/>
  <c r="T31" i="5"/>
  <c r="M37" i="5"/>
  <c r="I39" i="5"/>
  <c r="I38" i="5" s="1"/>
  <c r="I37" i="5" s="1"/>
  <c r="I31" i="5" s="1"/>
  <c r="J43" i="5"/>
  <c r="I50" i="5"/>
  <c r="K68" i="5"/>
  <c r="R68" i="5"/>
  <c r="I78" i="5"/>
  <c r="I132" i="5"/>
  <c r="M31" i="5"/>
  <c r="I19" i="5"/>
  <c r="N171" i="5"/>
  <c r="H22" i="5"/>
  <c r="H18" i="5" s="1"/>
  <c r="H17" i="5" s="1"/>
  <c r="J26" i="5"/>
  <c r="J25" i="5" s="1"/>
  <c r="N25" i="5"/>
  <c r="N118" i="5" s="1"/>
  <c r="R25" i="5"/>
  <c r="R118" i="5" s="1"/>
  <c r="H38" i="5"/>
  <c r="H40" i="5"/>
  <c r="I52" i="5"/>
  <c r="J54" i="5"/>
  <c r="I66" i="5"/>
  <c r="J65" i="5"/>
  <c r="I125" i="5"/>
  <c r="J147" i="5"/>
  <c r="J146" i="5" s="1"/>
  <c r="L146" i="5"/>
  <c r="I164" i="5"/>
  <c r="K171" i="5"/>
  <c r="S171" i="5"/>
  <c r="I180" i="5"/>
  <c r="J179" i="5"/>
  <c r="J178" i="5" s="1"/>
  <c r="J171" i="5" s="1"/>
  <c r="J61" i="5"/>
  <c r="J58" i="5" s="1"/>
  <c r="L94" i="5"/>
  <c r="J96" i="5"/>
  <c r="I175" i="5"/>
  <c r="I173" i="5" s="1"/>
  <c r="H173" i="5"/>
  <c r="I43" i="5"/>
  <c r="J46" i="5"/>
  <c r="P58" i="5"/>
  <c r="P118" i="5" s="1"/>
  <c r="T58" i="5"/>
  <c r="I67" i="5"/>
  <c r="H65" i="5"/>
  <c r="H61" i="5" s="1"/>
  <c r="H58" i="5" s="1"/>
  <c r="I77" i="5"/>
  <c r="I75" i="5" s="1"/>
  <c r="I68" i="5" s="1"/>
  <c r="J75" i="5"/>
  <c r="J68" i="5" s="1"/>
  <c r="I81" i="5"/>
  <c r="I80" i="5" s="1"/>
  <c r="I79" i="5" s="1"/>
  <c r="J80" i="5"/>
  <c r="J79" i="5" s="1"/>
  <c r="O89" i="5"/>
  <c r="O118" i="5" s="1"/>
  <c r="O10" i="5" s="1"/>
  <c r="O185" i="5" s="1"/>
  <c r="I92" i="5"/>
  <c r="I90" i="5" s="1"/>
  <c r="J90" i="5"/>
  <c r="S93" i="5"/>
  <c r="S89" i="5" s="1"/>
  <c r="S118" i="5" s="1"/>
  <c r="H104" i="5"/>
  <c r="H93" i="5" s="1"/>
  <c r="H89" i="5" s="1"/>
  <c r="I105" i="5"/>
  <c r="I122" i="5"/>
  <c r="I121" i="5" s="1"/>
  <c r="I120" i="5" s="1"/>
  <c r="I22" i="5"/>
  <c r="H43" i="5"/>
  <c r="H42" i="5" s="1"/>
  <c r="I49" i="5"/>
  <c r="J53" i="5"/>
  <c r="L61" i="5"/>
  <c r="L58" i="5" s="1"/>
  <c r="K93" i="5"/>
  <c r="J101" i="5"/>
  <c r="L104" i="5"/>
  <c r="J109" i="5"/>
  <c r="I109" i="5" s="1"/>
  <c r="J114" i="5"/>
  <c r="I114" i="5" s="1"/>
  <c r="I110" i="5" s="1"/>
  <c r="P89" i="5"/>
  <c r="T89" i="5"/>
  <c r="J111" i="5"/>
  <c r="J110" i="5" s="1"/>
  <c r="L121" i="5"/>
  <c r="L120" i="5" s="1"/>
  <c r="P121" i="5"/>
  <c r="P120" i="5" s="1"/>
  <c r="T121" i="5"/>
  <c r="T120" i="5" s="1"/>
  <c r="I84" i="5"/>
  <c r="M93" i="5"/>
  <c r="M89" i="5" s="1"/>
  <c r="M118" i="5" s="1"/>
  <c r="Q93" i="5"/>
  <c r="Q89" i="5" s="1"/>
  <c r="Q118" i="5" s="1"/>
  <c r="I99" i="5"/>
  <c r="I98" i="5" s="1"/>
  <c r="J98" i="5"/>
  <c r="H128" i="5"/>
  <c r="H121" i="5" s="1"/>
  <c r="H120" i="5" s="1"/>
  <c r="J128" i="5"/>
  <c r="J121" i="5" s="1"/>
  <c r="J120" i="5" s="1"/>
  <c r="L179" i="5"/>
  <c r="L178" i="5" s="1"/>
  <c r="L171" i="5" s="1"/>
  <c r="K110" i="5"/>
  <c r="M171" i="5"/>
  <c r="Q171" i="5"/>
  <c r="P10" i="5" l="1"/>
  <c r="P185" i="5" s="1"/>
  <c r="P184" i="5"/>
  <c r="Q10" i="5"/>
  <c r="Q185" i="5" s="1"/>
  <c r="Q184" i="5"/>
  <c r="I46" i="5"/>
  <c r="I104" i="5"/>
  <c r="K89" i="5"/>
  <c r="K118" i="5" s="1"/>
  <c r="J42" i="5"/>
  <c r="I179" i="5"/>
  <c r="I178" i="5" s="1"/>
  <c r="I171" i="5" s="1"/>
  <c r="K10" i="5"/>
  <c r="K185" i="5" s="1"/>
  <c r="K184" i="5"/>
  <c r="S10" i="5"/>
  <c r="S185" i="5" s="1"/>
  <c r="S184" i="5"/>
  <c r="R10" i="5"/>
  <c r="R185" i="5" s="1"/>
  <c r="R184" i="5"/>
  <c r="M10" i="5"/>
  <c r="M185" i="5" s="1"/>
  <c r="M184" i="5"/>
  <c r="N10" i="5"/>
  <c r="N185" i="5" s="1"/>
  <c r="N184" i="5"/>
  <c r="I101" i="5"/>
  <c r="I100" i="5" s="1"/>
  <c r="J100" i="5"/>
  <c r="H171" i="5"/>
  <c r="I147" i="5"/>
  <c r="I146" i="5" s="1"/>
  <c r="T184" i="5"/>
  <c r="J104" i="5"/>
  <c r="I96" i="5"/>
  <c r="I94" i="5" s="1"/>
  <c r="J94" i="5"/>
  <c r="O184" i="5"/>
  <c r="I65" i="5"/>
  <c r="I61" i="5" s="1"/>
  <c r="I58" i="5" s="1"/>
  <c r="H37" i="5"/>
  <c r="H31" i="5" s="1"/>
  <c r="H118" i="5" s="1"/>
  <c r="I18" i="5"/>
  <c r="I17" i="5" s="1"/>
  <c r="I42" i="5"/>
  <c r="L93" i="5"/>
  <c r="L89" i="5" s="1"/>
  <c r="L118" i="5" s="1"/>
  <c r="I93" i="5" l="1"/>
  <c r="I89" i="5" s="1"/>
  <c r="J93" i="5"/>
  <c r="J89" i="5" s="1"/>
  <c r="J118" i="5" s="1"/>
  <c r="J10" i="5" s="1"/>
  <c r="J185" i="5" s="1"/>
  <c r="L10" i="5"/>
  <c r="L185" i="5" s="1"/>
  <c r="L184" i="5"/>
  <c r="H10" i="5"/>
  <c r="H185" i="5" s="1"/>
  <c r="H184" i="5"/>
  <c r="I118" i="5"/>
  <c r="J184" i="5" l="1"/>
  <c r="I10" i="5"/>
  <c r="I185" i="5" s="1"/>
  <c r="I184" i="5"/>
  <c r="S259" i="1" l="1"/>
  <c r="S230" i="1"/>
  <c r="S220" i="1"/>
  <c r="S138" i="1"/>
  <c r="S99" i="1"/>
  <c r="S90" i="1"/>
  <c r="S76" i="1"/>
  <c r="S62" i="1"/>
  <c r="S35" i="1"/>
  <c r="S27" i="1"/>
  <c r="S20" i="1"/>
  <c r="S13" i="1" s="1"/>
  <c r="S262" i="1" l="1"/>
  <c r="S261" i="1"/>
  <c r="R260" i="1" l="1"/>
  <c r="R82" i="1"/>
  <c r="R232" i="1" l="1"/>
  <c r="AI232" i="1" l="1"/>
  <c r="AH232" i="1" s="1"/>
  <c r="J232" i="1"/>
  <c r="I232" i="1" s="1"/>
  <c r="G232" i="1" l="1"/>
  <c r="K20" i="1"/>
  <c r="J21" i="1"/>
  <c r="J14" i="1"/>
  <c r="H14" i="1"/>
  <c r="I14" i="1" l="1"/>
  <c r="AP138" i="1" l="1"/>
  <c r="I10" i="4" l="1"/>
  <c r="I184" i="4"/>
  <c r="I185" i="4"/>
  <c r="R24" i="1" l="1"/>
  <c r="R79" i="1" l="1"/>
  <c r="N114" i="4" l="1"/>
  <c r="Q46" i="1" l="1"/>
  <c r="R145" i="1" l="1"/>
  <c r="Q24" i="1" l="1"/>
  <c r="AI150" i="1" l="1"/>
  <c r="AH150" i="1" s="1"/>
  <c r="J150" i="1"/>
  <c r="I150" i="1" s="1"/>
  <c r="G150" i="1" l="1"/>
  <c r="AI149" i="1" l="1"/>
  <c r="AH149" i="1" s="1"/>
  <c r="J149" i="1"/>
  <c r="I149" i="1" s="1"/>
  <c r="G149" i="1" l="1"/>
  <c r="V259" i="1"/>
  <c r="U259" i="1"/>
  <c r="T259" i="1"/>
  <c r="V230" i="1"/>
  <c r="U230" i="1"/>
  <c r="T230" i="1"/>
  <c r="V220" i="1"/>
  <c r="V138" i="1" s="1"/>
  <c r="U220" i="1"/>
  <c r="U138" i="1" s="1"/>
  <c r="T220" i="1"/>
  <c r="T138" i="1" s="1"/>
  <c r="V99" i="1"/>
  <c r="U99" i="1"/>
  <c r="T99" i="1"/>
  <c r="V90" i="1"/>
  <c r="U90" i="1"/>
  <c r="T90" i="1"/>
  <c r="V76" i="1"/>
  <c r="U76" i="1"/>
  <c r="T76" i="1"/>
  <c r="V62" i="1"/>
  <c r="U62" i="1"/>
  <c r="T62" i="1"/>
  <c r="V35" i="1"/>
  <c r="U35" i="1"/>
  <c r="T35" i="1"/>
  <c r="V27" i="1"/>
  <c r="U27" i="1"/>
  <c r="T27" i="1"/>
  <c r="V20" i="1"/>
  <c r="U20" i="1"/>
  <c r="T20" i="1"/>
  <c r="T271" i="1" s="1"/>
  <c r="V271" i="1" l="1"/>
  <c r="U271" i="1"/>
  <c r="T13" i="1"/>
  <c r="T261" i="1" s="1"/>
  <c r="U13" i="1"/>
  <c r="U272" i="1" s="1"/>
  <c r="V13" i="1"/>
  <c r="U261" i="1" l="1"/>
  <c r="U262" i="1"/>
  <c r="U273" i="1" s="1"/>
  <c r="T262" i="1"/>
  <c r="T272" i="1"/>
  <c r="V261" i="1"/>
  <c r="V262" i="1"/>
  <c r="V272" i="1"/>
  <c r="T273" i="1" l="1"/>
  <c r="V273" i="1"/>
  <c r="N148" i="4"/>
  <c r="J159" i="1" l="1"/>
  <c r="I159" i="1" s="1"/>
  <c r="G159" i="1" s="1"/>
  <c r="AI53" i="1"/>
  <c r="AH53" i="1" s="1"/>
  <c r="J53" i="1"/>
  <c r="I53" i="1" s="1"/>
  <c r="G53" i="1" l="1"/>
  <c r="F272" i="1" l="1"/>
  <c r="F271" i="1"/>
  <c r="F273" i="1" s="1"/>
  <c r="N66" i="1" l="1"/>
  <c r="P260" i="1" l="1"/>
  <c r="P24" i="1"/>
  <c r="J73" i="1" l="1"/>
  <c r="I73" i="1" s="1"/>
  <c r="G73" i="1" s="1"/>
  <c r="J72" i="1"/>
  <c r="P145" i="1" l="1"/>
  <c r="M109" i="4" l="1"/>
  <c r="O260" i="1" l="1"/>
  <c r="L147" i="4"/>
  <c r="AI96" i="1"/>
  <c r="AH96" i="1" s="1"/>
  <c r="J96" i="1"/>
  <c r="I96" i="1" s="1"/>
  <c r="G96" i="1" l="1"/>
  <c r="O79" i="1" l="1"/>
  <c r="O144" i="1"/>
  <c r="O145" i="1"/>
  <c r="AL260" i="1"/>
  <c r="P47" i="1" l="1"/>
  <c r="P144" i="1"/>
  <c r="P79" i="1"/>
  <c r="AL174" i="1"/>
  <c r="AB194" i="1"/>
  <c r="AB176" i="1"/>
  <c r="Z119" i="1"/>
  <c r="Y119" i="1" s="1"/>
  <c r="Z120" i="1"/>
  <c r="Y120" i="1" s="1"/>
  <c r="Z121" i="1"/>
  <c r="Y121" i="1" s="1"/>
  <c r="Z122" i="1"/>
  <c r="Y122" i="1" s="1"/>
  <c r="Z123" i="1"/>
  <c r="Y123" i="1" s="1"/>
  <c r="Z124" i="1"/>
  <c r="Y124" i="1" s="1"/>
  <c r="Z125" i="1"/>
  <c r="Y125" i="1" s="1"/>
  <c r="Z126" i="1"/>
  <c r="Y126" i="1" s="1"/>
  <c r="Z127" i="1"/>
  <c r="Y127" i="1" s="1"/>
  <c r="Z128" i="1"/>
  <c r="Y128" i="1" s="1"/>
  <c r="Z129" i="1"/>
  <c r="Y129" i="1" s="1"/>
  <c r="Z130" i="1"/>
  <c r="Y130" i="1" s="1"/>
  <c r="Z131" i="1"/>
  <c r="Y131" i="1" s="1"/>
  <c r="Z132" i="1"/>
  <c r="Y132" i="1" s="1"/>
  <c r="Z133" i="1"/>
  <c r="Y133" i="1" s="1"/>
  <c r="Z134" i="1"/>
  <c r="Y134" i="1" s="1"/>
  <c r="Z135" i="1"/>
  <c r="Y135" i="1" s="1"/>
  <c r="Z136" i="1"/>
  <c r="AB182" i="1"/>
  <c r="AB188" i="1"/>
  <c r="AB186" i="1"/>
  <c r="AB166" i="1"/>
  <c r="AB217" i="1"/>
  <c r="AB168" i="1"/>
  <c r="AB169" i="1"/>
  <c r="AB209" i="1"/>
  <c r="AB210" i="1"/>
  <c r="AL156" i="1"/>
  <c r="AL177" i="1"/>
  <c r="AL212" i="1"/>
  <c r="AL168" i="1"/>
  <c r="AL29" i="1"/>
  <c r="AL14" i="1"/>
  <c r="AL197" i="1"/>
  <c r="AL195" i="1"/>
  <c r="AL194" i="1"/>
  <c r="AL190" i="1"/>
  <c r="AL188" i="1"/>
  <c r="AL186" i="1"/>
  <c r="AL182" i="1"/>
  <c r="AL132" i="1"/>
  <c r="P132" i="1"/>
  <c r="AL131" i="1"/>
  <c r="AI131" i="1" s="1"/>
  <c r="AH131" i="1" s="1"/>
  <c r="P131" i="1"/>
  <c r="J131" i="1" s="1"/>
  <c r="I131" i="1" s="1"/>
  <c r="P130" i="1"/>
  <c r="AV138" i="1"/>
  <c r="AW138" i="1"/>
  <c r="AX138" i="1"/>
  <c r="AY138" i="1"/>
  <c r="AT138" i="1"/>
  <c r="AM138" i="1"/>
  <c r="AN138" i="1"/>
  <c r="AO138" i="1"/>
  <c r="AJ138" i="1"/>
  <c r="AC138" i="1"/>
  <c r="AD138" i="1"/>
  <c r="AE138" i="1"/>
  <c r="AF138" i="1"/>
  <c r="L138" i="1"/>
  <c r="K138" i="1"/>
  <c r="AL121" i="1"/>
  <c r="P121" i="1"/>
  <c r="AL178" i="1"/>
  <c r="P178" i="1"/>
  <c r="P99" i="1" l="1"/>
  <c r="AL138" i="1"/>
  <c r="AB138" i="1"/>
  <c r="G131" i="1"/>
  <c r="P176" i="1"/>
  <c r="P156" i="1"/>
  <c r="P209" i="1"/>
  <c r="P168" i="1"/>
  <c r="P166" i="1"/>
  <c r="P197" i="1"/>
  <c r="P195" i="1"/>
  <c r="P190" i="1"/>
  <c r="P188" i="1"/>
  <c r="P186" i="1"/>
  <c r="P182" i="1"/>
  <c r="AU197" i="1"/>
  <c r="AU138" i="1" s="1"/>
  <c r="M181" i="4"/>
  <c r="AB260" i="1"/>
  <c r="AP60" i="1"/>
  <c r="M148" i="4" l="1"/>
  <c r="AI255" i="1" l="1"/>
  <c r="AH255" i="1" s="1"/>
  <c r="AI254" i="1"/>
  <c r="AH254" i="1" s="1"/>
  <c r="AI253" i="1"/>
  <c r="AH253" i="1" s="1"/>
  <c r="AI251" i="1"/>
  <c r="AH251" i="1" s="1"/>
  <c r="AI249" i="1"/>
  <c r="AH249" i="1" s="1"/>
  <c r="AI248" i="1"/>
  <c r="AH248" i="1" s="1"/>
  <c r="AI247" i="1"/>
  <c r="AH247" i="1" s="1"/>
  <c r="AI246" i="1"/>
  <c r="AH246" i="1" s="1"/>
  <c r="AI245" i="1"/>
  <c r="AH245" i="1" s="1"/>
  <c r="AI244" i="1"/>
  <c r="AH244" i="1" s="1"/>
  <c r="AI241" i="1"/>
  <c r="AH241" i="1" s="1"/>
  <c r="AI240" i="1"/>
  <c r="AH240" i="1" s="1"/>
  <c r="AI239" i="1"/>
  <c r="AH239" i="1" s="1"/>
  <c r="AI238" i="1"/>
  <c r="AH238" i="1" s="1"/>
  <c r="AI237" i="1"/>
  <c r="AH237" i="1" s="1"/>
  <c r="AI235" i="1"/>
  <c r="AH235" i="1" s="1"/>
  <c r="AI234" i="1"/>
  <c r="AH234" i="1" s="1"/>
  <c r="AI233" i="1"/>
  <c r="AH233" i="1" s="1"/>
  <c r="AI231" i="1"/>
  <c r="AH231" i="1" s="1"/>
  <c r="AI215" i="1"/>
  <c r="AH215" i="1" s="1"/>
  <c r="AI210" i="1"/>
  <c r="AH210" i="1" s="1"/>
  <c r="AI208" i="1"/>
  <c r="AH208" i="1" s="1"/>
  <c r="AI206" i="1"/>
  <c r="AH206" i="1" s="1"/>
  <c r="AI204" i="1"/>
  <c r="AH204" i="1" s="1"/>
  <c r="AI202" i="1"/>
  <c r="AH202" i="1" s="1"/>
  <c r="AI201" i="1"/>
  <c r="AH201" i="1" s="1"/>
  <c r="AI200" i="1"/>
  <c r="AH200" i="1" s="1"/>
  <c r="AI198" i="1"/>
  <c r="AH198" i="1" s="1"/>
  <c r="AI196" i="1"/>
  <c r="AH196" i="1" s="1"/>
  <c r="AI193" i="1"/>
  <c r="AH193" i="1" s="1"/>
  <c r="AI191" i="1"/>
  <c r="AH191" i="1" s="1"/>
  <c r="AI189" i="1"/>
  <c r="AH189" i="1" s="1"/>
  <c r="AI187" i="1"/>
  <c r="AH187" i="1" s="1"/>
  <c r="AI185" i="1"/>
  <c r="AH185" i="1" s="1"/>
  <c r="AI183" i="1"/>
  <c r="AH183" i="1" s="1"/>
  <c r="AI181" i="1"/>
  <c r="AH181" i="1" s="1"/>
  <c r="AI175" i="1"/>
  <c r="AH175" i="1" s="1"/>
  <c r="AI172" i="1"/>
  <c r="AH172" i="1" s="1"/>
  <c r="AI171" i="1"/>
  <c r="AH171" i="1" s="1"/>
  <c r="AI169" i="1"/>
  <c r="AH169" i="1" s="1"/>
  <c r="AI167" i="1"/>
  <c r="AH167" i="1" s="1"/>
  <c r="AI165" i="1"/>
  <c r="AH165" i="1" s="1"/>
  <c r="AI163" i="1"/>
  <c r="AH163" i="1" s="1"/>
  <c r="AI162" i="1"/>
  <c r="AH162" i="1" s="1"/>
  <c r="AI161" i="1"/>
  <c r="AH161" i="1" s="1"/>
  <c r="AI158" i="1"/>
  <c r="AH158" i="1" s="1"/>
  <c r="AI157" i="1"/>
  <c r="AH157" i="1" s="1"/>
  <c r="AI155" i="1"/>
  <c r="AH155" i="1" s="1"/>
  <c r="AI154" i="1"/>
  <c r="AH154" i="1" s="1"/>
  <c r="AI152" i="1"/>
  <c r="AH152" i="1" s="1"/>
  <c r="AI148" i="1"/>
  <c r="AH148" i="1" s="1"/>
  <c r="AI147" i="1"/>
  <c r="AH147" i="1" s="1"/>
  <c r="AI146" i="1"/>
  <c r="AH146" i="1" s="1"/>
  <c r="AI145" i="1"/>
  <c r="AH145" i="1" s="1"/>
  <c r="AI144" i="1"/>
  <c r="AH144" i="1" s="1"/>
  <c r="AI143" i="1"/>
  <c r="AH143" i="1" s="1"/>
  <c r="AI142" i="1"/>
  <c r="AH142" i="1" s="1"/>
  <c r="AI141" i="1"/>
  <c r="AH141" i="1" s="1"/>
  <c r="AI140" i="1"/>
  <c r="AH140" i="1" s="1"/>
  <c r="AI139" i="1"/>
  <c r="AH139" i="1" s="1"/>
  <c r="AA99" i="1"/>
  <c r="AI129" i="1"/>
  <c r="AH129" i="1" s="1"/>
  <c r="AI128" i="1"/>
  <c r="AH128" i="1" s="1"/>
  <c r="AI127" i="1"/>
  <c r="AH127" i="1" s="1"/>
  <c r="AI126" i="1"/>
  <c r="AH126" i="1" s="1"/>
  <c r="AI125" i="1"/>
  <c r="AH125" i="1" s="1"/>
  <c r="AI124" i="1"/>
  <c r="AH124" i="1" s="1"/>
  <c r="AI123" i="1"/>
  <c r="AH123" i="1" s="1"/>
  <c r="AI117" i="1"/>
  <c r="AH117" i="1" s="1"/>
  <c r="AI116" i="1"/>
  <c r="AH116" i="1" s="1"/>
  <c r="AI115" i="1"/>
  <c r="AH115" i="1" s="1"/>
  <c r="AI114" i="1"/>
  <c r="AH114" i="1" s="1"/>
  <c r="AI113" i="1"/>
  <c r="AH113" i="1" s="1"/>
  <c r="AI112" i="1"/>
  <c r="AH112" i="1" s="1"/>
  <c r="AI111" i="1"/>
  <c r="AH111" i="1" s="1"/>
  <c r="AI110" i="1"/>
  <c r="AH110" i="1" s="1"/>
  <c r="AI109" i="1"/>
  <c r="AH109" i="1" s="1"/>
  <c r="AI108" i="1"/>
  <c r="AH108" i="1" s="1"/>
  <c r="AI107" i="1"/>
  <c r="AH107" i="1" s="1"/>
  <c r="AI106" i="1"/>
  <c r="AH106" i="1" s="1"/>
  <c r="AI105" i="1"/>
  <c r="AH105" i="1" s="1"/>
  <c r="AI104" i="1"/>
  <c r="AH104" i="1" s="1"/>
  <c r="AI103" i="1"/>
  <c r="AH103" i="1" s="1"/>
  <c r="AI102" i="1"/>
  <c r="AH102" i="1" s="1"/>
  <c r="AI101" i="1"/>
  <c r="AH101" i="1" s="1"/>
  <c r="AI100" i="1"/>
  <c r="AH100" i="1" s="1"/>
  <c r="AI97" i="1"/>
  <c r="AH97" i="1" s="1"/>
  <c r="AI94" i="1"/>
  <c r="AH94" i="1" s="1"/>
  <c r="AI93" i="1"/>
  <c r="AH93" i="1" s="1"/>
  <c r="AI92" i="1"/>
  <c r="AH92" i="1" s="1"/>
  <c r="AI91" i="1"/>
  <c r="AH91" i="1" s="1"/>
  <c r="AI85" i="1"/>
  <c r="AH85" i="1" s="1"/>
  <c r="AI84" i="1"/>
  <c r="AH84" i="1" s="1"/>
  <c r="AI83" i="1"/>
  <c r="AH83" i="1" s="1"/>
  <c r="AI81" i="1"/>
  <c r="AH81" i="1" s="1"/>
  <c r="AI80" i="1"/>
  <c r="AH80" i="1" s="1"/>
  <c r="AI79" i="1"/>
  <c r="AH79" i="1" s="1"/>
  <c r="AI78" i="1"/>
  <c r="AH78" i="1" s="1"/>
  <c r="AI72" i="1"/>
  <c r="AH72" i="1" s="1"/>
  <c r="AI71" i="1"/>
  <c r="AH71" i="1" s="1"/>
  <c r="AI70" i="1"/>
  <c r="AH70" i="1" s="1"/>
  <c r="AI69" i="1"/>
  <c r="AH69" i="1" s="1"/>
  <c r="AI68" i="1"/>
  <c r="AH68" i="1" s="1"/>
  <c r="AI67" i="1"/>
  <c r="AH67" i="1" s="1"/>
  <c r="AI66" i="1"/>
  <c r="AH66" i="1" s="1"/>
  <c r="AI65" i="1"/>
  <c r="AH65" i="1" s="1"/>
  <c r="AI64" i="1"/>
  <c r="AH64" i="1" s="1"/>
  <c r="AI63" i="1"/>
  <c r="AH63" i="1" s="1"/>
  <c r="AI54" i="1"/>
  <c r="AH54" i="1" s="1"/>
  <c r="AI52" i="1"/>
  <c r="AH52" i="1" s="1"/>
  <c r="AI51" i="1"/>
  <c r="AH51" i="1" s="1"/>
  <c r="AI50" i="1"/>
  <c r="AH50" i="1" s="1"/>
  <c r="AI49" i="1"/>
  <c r="AH49" i="1" s="1"/>
  <c r="AI48" i="1"/>
  <c r="AH48" i="1" s="1"/>
  <c r="AI47" i="1"/>
  <c r="AH47" i="1" s="1"/>
  <c r="AI46" i="1"/>
  <c r="AH46" i="1" s="1"/>
  <c r="AI43" i="1"/>
  <c r="AH43" i="1" s="1"/>
  <c r="AI42" i="1"/>
  <c r="AH42" i="1" s="1"/>
  <c r="AI41" i="1"/>
  <c r="AH41" i="1" s="1"/>
  <c r="AI40" i="1"/>
  <c r="AH40" i="1" s="1"/>
  <c r="AI39" i="1"/>
  <c r="AH39" i="1" s="1"/>
  <c r="AI38" i="1"/>
  <c r="AH38" i="1" s="1"/>
  <c r="AI37" i="1"/>
  <c r="AH37" i="1" s="1"/>
  <c r="AI36" i="1"/>
  <c r="AH36" i="1" s="1"/>
  <c r="AI33" i="1"/>
  <c r="AH33" i="1" s="1"/>
  <c r="AI31" i="1"/>
  <c r="AH31" i="1" s="1"/>
  <c r="AI30" i="1"/>
  <c r="AH30" i="1" s="1"/>
  <c r="AI28" i="1"/>
  <c r="AH28" i="1" s="1"/>
  <c r="AI15" i="1"/>
  <c r="AI16" i="1"/>
  <c r="AH16" i="1" s="1"/>
  <c r="AI17" i="1"/>
  <c r="AH17" i="1" s="1"/>
  <c r="AI18" i="1"/>
  <c r="AH18" i="1" s="1"/>
  <c r="AI19" i="1"/>
  <c r="AH19" i="1" s="1"/>
  <c r="AI132" i="1"/>
  <c r="AH132" i="1" s="1"/>
  <c r="AI130" i="1"/>
  <c r="AH130" i="1" s="1"/>
  <c r="J221" i="1"/>
  <c r="J222" i="1"/>
  <c r="J223" i="1"/>
  <c r="J130" i="1"/>
  <c r="I130" i="1" s="1"/>
  <c r="J132" i="1"/>
  <c r="I132" i="1" s="1"/>
  <c r="J129" i="1"/>
  <c r="AH15" i="1" l="1"/>
  <c r="G130" i="1"/>
  <c r="G132" i="1"/>
  <c r="M137" i="4"/>
  <c r="N15" i="1" l="1"/>
  <c r="N24" i="1"/>
  <c r="N20" i="1" s="1"/>
  <c r="L259" i="1"/>
  <c r="L230" i="1"/>
  <c r="L99" i="1"/>
  <c r="L90" i="1"/>
  <c r="L76" i="1"/>
  <c r="L62" i="1"/>
  <c r="L35" i="1"/>
  <c r="L27" i="1"/>
  <c r="L20" i="1"/>
  <c r="M259" i="1"/>
  <c r="M230" i="1"/>
  <c r="M220" i="1"/>
  <c r="M138" i="1" s="1"/>
  <c r="M99" i="1"/>
  <c r="M90" i="1"/>
  <c r="M76" i="1"/>
  <c r="M62" i="1"/>
  <c r="M35" i="1"/>
  <c r="M27" i="1"/>
  <c r="M24" i="1"/>
  <c r="M20" i="1"/>
  <c r="M271" i="1" s="1"/>
  <c r="J24" i="1" l="1"/>
  <c r="L13" i="1"/>
  <c r="L272" i="1" s="1"/>
  <c r="L271" i="1"/>
  <c r="M13" i="1"/>
  <c r="M262" i="1" s="1"/>
  <c r="L261" i="1" l="1"/>
  <c r="L262" i="1"/>
  <c r="L273" i="1" s="1"/>
  <c r="M261" i="1"/>
  <c r="M272" i="1"/>
  <c r="M273" i="1" s="1"/>
  <c r="H166" i="4"/>
  <c r="H164" i="4"/>
  <c r="H162" i="4"/>
  <c r="H157" i="4"/>
  <c r="H156" i="4"/>
  <c r="H155" i="4"/>
  <c r="H151" i="4"/>
  <c r="H149" i="4"/>
  <c r="H148" i="4"/>
  <c r="H147" i="4"/>
  <c r="H181" i="4"/>
  <c r="H180" i="4"/>
  <c r="H175" i="4"/>
  <c r="H142" i="4"/>
  <c r="H141" i="4"/>
  <c r="H138" i="4"/>
  <c r="H137" i="4"/>
  <c r="H136" i="4"/>
  <c r="H134" i="4"/>
  <c r="H133" i="4"/>
  <c r="H132" i="4"/>
  <c r="H131" i="4"/>
  <c r="H130" i="4"/>
  <c r="H125" i="4"/>
  <c r="H122" i="4" s="1"/>
  <c r="H114" i="4"/>
  <c r="H113" i="4"/>
  <c r="H109" i="4"/>
  <c r="H106" i="4"/>
  <c r="H105" i="4"/>
  <c r="H102" i="4"/>
  <c r="H100" i="4" s="1"/>
  <c r="H101" i="4"/>
  <c r="H99" i="4"/>
  <c r="H97" i="4"/>
  <c r="H96" i="4"/>
  <c r="H95" i="4"/>
  <c r="H88" i="4"/>
  <c r="H86" i="4" s="1"/>
  <c r="H84" i="4" s="1"/>
  <c r="H87" i="4"/>
  <c r="H83" i="4"/>
  <c r="H82" i="4"/>
  <c r="H81" i="4"/>
  <c r="H78" i="4"/>
  <c r="H77" i="4"/>
  <c r="H76" i="4"/>
  <c r="H71" i="4"/>
  <c r="H70" i="4" s="1"/>
  <c r="H67" i="4"/>
  <c r="H66" i="4"/>
  <c r="H60" i="4"/>
  <c r="H57" i="4"/>
  <c r="H55" i="4"/>
  <c r="H52" i="4"/>
  <c r="H50" i="4"/>
  <c r="H49" i="4"/>
  <c r="H48" i="4"/>
  <c r="H45" i="4"/>
  <c r="H44" i="4"/>
  <c r="H41" i="4"/>
  <c r="H39" i="4"/>
  <c r="H35" i="4"/>
  <c r="H34" i="4" s="1"/>
  <c r="H30" i="4"/>
  <c r="H27" i="4"/>
  <c r="H26" i="4" s="1"/>
  <c r="H24" i="4"/>
  <c r="H23" i="4"/>
  <c r="H21" i="4"/>
  <c r="H20" i="4"/>
  <c r="H16" i="4"/>
  <c r="H15" i="4"/>
  <c r="H173" i="4"/>
  <c r="H111" i="4"/>
  <c r="H98" i="4"/>
  <c r="H90" i="4"/>
  <c r="H62" i="4"/>
  <c r="H54" i="4"/>
  <c r="H38" i="4"/>
  <c r="H32" i="4"/>
  <c r="H29" i="4"/>
  <c r="H28" i="4" s="1"/>
  <c r="J20" i="4"/>
  <c r="AT260" i="1"/>
  <c r="H179" i="4" l="1"/>
  <c r="H178" i="4" s="1"/>
  <c r="H65" i="4"/>
  <c r="H46" i="4"/>
  <c r="H75" i="4"/>
  <c r="H68" i="4" s="1"/>
  <c r="I20" i="4"/>
  <c r="H40" i="4"/>
  <c r="H53" i="4"/>
  <c r="H14" i="4"/>
  <c r="H13" i="4" s="1"/>
  <c r="H12" i="4" s="1"/>
  <c r="H43" i="4"/>
  <c r="H59" i="4"/>
  <c r="H110" i="4"/>
  <c r="H22" i="4"/>
  <c r="H80" i="4"/>
  <c r="H79" i="4" s="1"/>
  <c r="H128" i="4"/>
  <c r="H121" i="4" s="1"/>
  <c r="H120" i="4" s="1"/>
  <c r="H104" i="4"/>
  <c r="H94" i="4"/>
  <c r="H61" i="4"/>
  <c r="H37" i="4"/>
  <c r="H31" i="4" s="1"/>
  <c r="H25" i="4"/>
  <c r="H19" i="4"/>
  <c r="H171" i="4"/>
  <c r="H42" i="4" l="1"/>
  <c r="H93" i="4"/>
  <c r="H89" i="4" s="1"/>
  <c r="H58" i="4"/>
  <c r="H18" i="4"/>
  <c r="H17" i="4" s="1"/>
  <c r="H118" i="4" s="1"/>
  <c r="H77" i="1"/>
  <c r="H184" i="4" l="1"/>
  <c r="AS122" i="1"/>
  <c r="AR122" i="1" s="1"/>
  <c r="W76" i="1" l="1"/>
  <c r="R76" i="1"/>
  <c r="Q76" i="1"/>
  <c r="P76" i="1"/>
  <c r="O76" i="1"/>
  <c r="N76" i="1"/>
  <c r="K76" i="1"/>
  <c r="H86" i="1"/>
  <c r="H223" i="1"/>
  <c r="I223" i="1" s="1"/>
  <c r="G223" i="1" s="1"/>
  <c r="H222" i="1"/>
  <c r="I222" i="1" s="1"/>
  <c r="G222" i="1" s="1"/>
  <c r="H221" i="1"/>
  <c r="I221" i="1" s="1"/>
  <c r="G221" i="1" s="1"/>
  <c r="AQ260" i="1"/>
  <c r="AQ259" i="1" s="1"/>
  <c r="AQ252" i="1"/>
  <c r="AQ230" i="1" s="1"/>
  <c r="AQ214" i="1"/>
  <c r="AQ173" i="1"/>
  <c r="AQ153" i="1"/>
  <c r="AS107" i="1"/>
  <c r="AR107" i="1" s="1"/>
  <c r="AS29" i="1"/>
  <c r="AR29" i="1" s="1"/>
  <c r="AS260" i="1"/>
  <c r="AR260" i="1" s="1"/>
  <c r="AS252" i="1"/>
  <c r="AS242" i="1"/>
  <c r="AS214" i="1"/>
  <c r="AS203" i="1"/>
  <c r="AR203" i="1" s="1"/>
  <c r="AS197" i="1"/>
  <c r="AS177" i="1"/>
  <c r="AR177" i="1" s="1"/>
  <c r="AS176" i="1"/>
  <c r="AS173" i="1"/>
  <c r="AR173" i="1" s="1"/>
  <c r="AS153" i="1"/>
  <c r="AS120" i="1"/>
  <c r="AR120" i="1" s="1"/>
  <c r="AS95" i="1"/>
  <c r="AS90" i="1" s="1"/>
  <c r="AS82" i="1"/>
  <c r="AS77" i="1"/>
  <c r="AS62" i="1"/>
  <c r="AS35" i="1"/>
  <c r="AS32" i="1"/>
  <c r="AR32" i="1" s="1"/>
  <c r="AS20" i="1"/>
  <c r="AS13" i="1" s="1"/>
  <c r="AY259" i="1"/>
  <c r="AX259" i="1"/>
  <c r="AW259" i="1"/>
  <c r="AV259" i="1"/>
  <c r="AU259" i="1"/>
  <c r="AT259" i="1"/>
  <c r="AY230" i="1"/>
  <c r="AX230" i="1"/>
  <c r="AW230" i="1"/>
  <c r="AV230" i="1"/>
  <c r="AU230" i="1"/>
  <c r="AT230" i="1"/>
  <c r="AY99" i="1"/>
  <c r="AX99" i="1"/>
  <c r="AW99" i="1"/>
  <c r="AV99" i="1"/>
  <c r="AU99" i="1"/>
  <c r="AT99" i="1"/>
  <c r="AY90" i="1"/>
  <c r="AX90" i="1"/>
  <c r="AW90" i="1"/>
  <c r="AV90" i="1"/>
  <c r="AU90" i="1"/>
  <c r="AT90" i="1"/>
  <c r="AY76" i="1"/>
  <c r="AX76" i="1"/>
  <c r="AW76" i="1"/>
  <c r="AV76" i="1"/>
  <c r="AU76" i="1"/>
  <c r="AT76" i="1"/>
  <c r="AY62" i="1"/>
  <c r="AX62" i="1"/>
  <c r="AW62" i="1"/>
  <c r="AV62" i="1"/>
  <c r="AU62" i="1"/>
  <c r="AT62" i="1"/>
  <c r="AY35" i="1"/>
  <c r="AX35" i="1"/>
  <c r="AW35" i="1"/>
  <c r="AV35" i="1"/>
  <c r="AU35" i="1"/>
  <c r="AT35" i="1"/>
  <c r="AY27" i="1"/>
  <c r="AX27" i="1"/>
  <c r="AW27" i="1"/>
  <c r="AV27" i="1"/>
  <c r="AU27" i="1"/>
  <c r="AT27" i="1"/>
  <c r="AY20" i="1"/>
  <c r="AX20" i="1"/>
  <c r="AW20" i="1"/>
  <c r="AW271" i="1" s="1"/>
  <c r="AV20" i="1"/>
  <c r="AV271" i="1" s="1"/>
  <c r="AU20" i="1"/>
  <c r="AT20" i="1"/>
  <c r="AW13" i="1"/>
  <c r="AV13" i="1"/>
  <c r="AQ99" i="1"/>
  <c r="AQ90" i="1"/>
  <c r="AQ76" i="1"/>
  <c r="AQ62" i="1"/>
  <c r="AQ35" i="1"/>
  <c r="AQ27" i="1"/>
  <c r="AQ20" i="1"/>
  <c r="AS230" i="1" l="1"/>
  <c r="AQ13" i="1"/>
  <c r="AQ271" i="1"/>
  <c r="AU13" i="1"/>
  <c r="AU262" i="1" s="1"/>
  <c r="AU271" i="1"/>
  <c r="AY13" i="1"/>
  <c r="AY272" i="1" s="1"/>
  <c r="AY271" i="1"/>
  <c r="AU272" i="1"/>
  <c r="AW272" i="1"/>
  <c r="AT13" i="1"/>
  <c r="AT261" i="1" s="1"/>
  <c r="AT271" i="1"/>
  <c r="AX13" i="1"/>
  <c r="AX262" i="1" s="1"/>
  <c r="AX271" i="1"/>
  <c r="AT272" i="1"/>
  <c r="AV272" i="1"/>
  <c r="AS271" i="1"/>
  <c r="AS138" i="1"/>
  <c r="AR252" i="1"/>
  <c r="AR153" i="1"/>
  <c r="AQ138" i="1"/>
  <c r="AQ262" i="1" s="1"/>
  <c r="AS76" i="1"/>
  <c r="AR197" i="1"/>
  <c r="AR99" i="1"/>
  <c r="AR214" i="1"/>
  <c r="AR27" i="1"/>
  <c r="AS27" i="1"/>
  <c r="AR242" i="1"/>
  <c r="AR176" i="1"/>
  <c r="AS259" i="1"/>
  <c r="AT262" i="1"/>
  <c r="AS99" i="1"/>
  <c r="AV261" i="1"/>
  <c r="AW261" i="1"/>
  <c r="AY262" i="1"/>
  <c r="AY261" i="1"/>
  <c r="AV262" i="1"/>
  <c r="AW262" i="1"/>
  <c r="AW273" i="1" s="1"/>
  <c r="AQ261" i="1" l="1"/>
  <c r="AU273" i="1"/>
  <c r="AT273" i="1"/>
  <c r="AS272" i="1"/>
  <c r="AU261" i="1"/>
  <c r="AV273" i="1"/>
  <c r="AR138" i="1"/>
  <c r="AQ272" i="1"/>
  <c r="AQ273" i="1" s="1"/>
  <c r="AX261" i="1"/>
  <c r="AX272" i="1"/>
  <c r="AX273" i="1" s="1"/>
  <c r="AY273" i="1"/>
  <c r="AR230" i="1"/>
  <c r="AS262" i="1"/>
  <c r="AS261" i="1"/>
  <c r="AS273" i="1" l="1"/>
  <c r="AG260" i="1"/>
  <c r="AG259" i="1" s="1"/>
  <c r="AG242" i="1"/>
  <c r="AG230" i="1" s="1"/>
  <c r="AG214" i="1"/>
  <c r="AG213" i="1"/>
  <c r="AG212" i="1"/>
  <c r="AG211" i="1"/>
  <c r="AG209" i="1"/>
  <c r="AG207" i="1"/>
  <c r="AG205" i="1"/>
  <c r="AG203" i="1"/>
  <c r="AG199" i="1"/>
  <c r="AG197" i="1"/>
  <c r="AG195" i="1"/>
  <c r="AG194" i="1"/>
  <c r="AG190" i="1"/>
  <c r="AG188" i="1"/>
  <c r="AG186" i="1"/>
  <c r="AG184" i="1"/>
  <c r="AG182" i="1"/>
  <c r="AG180" i="1"/>
  <c r="AG179" i="1"/>
  <c r="AG178" i="1"/>
  <c r="AG177" i="1"/>
  <c r="AG176" i="1"/>
  <c r="AG174" i="1"/>
  <c r="AG173" i="1"/>
  <c r="AG170" i="1"/>
  <c r="AG168" i="1"/>
  <c r="AG166" i="1"/>
  <c r="AG164" i="1"/>
  <c r="AG160" i="1"/>
  <c r="AG156" i="1"/>
  <c r="AG153" i="1"/>
  <c r="AG151" i="1"/>
  <c r="AG122" i="1"/>
  <c r="AG121" i="1"/>
  <c r="AG120" i="1"/>
  <c r="AG119" i="1"/>
  <c r="AG118" i="1"/>
  <c r="AG95" i="1"/>
  <c r="AG90" i="1" s="1"/>
  <c r="AG82" i="1"/>
  <c r="AG77" i="1"/>
  <c r="AG45" i="1"/>
  <c r="AG44" i="1"/>
  <c r="AG32" i="1"/>
  <c r="AG27" i="1" s="1"/>
  <c r="AG29" i="1"/>
  <c r="AG14" i="1"/>
  <c r="AG62" i="1"/>
  <c r="AG20" i="1"/>
  <c r="X260" i="1"/>
  <c r="X259" i="1" s="1"/>
  <c r="X242" i="1"/>
  <c r="X235" i="1"/>
  <c r="X234" i="1"/>
  <c r="X219" i="1"/>
  <c r="X217" i="1"/>
  <c r="X215" i="1"/>
  <c r="X214" i="1"/>
  <c r="X212" i="1"/>
  <c r="X211" i="1"/>
  <c r="X210" i="1"/>
  <c r="X209" i="1"/>
  <c r="X208" i="1"/>
  <c r="X207" i="1"/>
  <c r="X206" i="1"/>
  <c r="X205" i="1"/>
  <c r="X204" i="1"/>
  <c r="X203" i="1"/>
  <c r="X200" i="1"/>
  <c r="X199" i="1"/>
  <c r="X197" i="1"/>
  <c r="X195" i="1"/>
  <c r="X194" i="1"/>
  <c r="X192" i="1"/>
  <c r="X190" i="1"/>
  <c r="X188" i="1"/>
  <c r="X186" i="1"/>
  <c r="X184" i="1"/>
  <c r="X182" i="1"/>
  <c r="X180" i="1"/>
  <c r="X177" i="1"/>
  <c r="X176" i="1"/>
  <c r="X175" i="1"/>
  <c r="X174" i="1"/>
  <c r="X173" i="1"/>
  <c r="X171" i="1"/>
  <c r="X170" i="1"/>
  <c r="X169" i="1"/>
  <c r="X168" i="1"/>
  <c r="X167" i="1"/>
  <c r="X166" i="1"/>
  <c r="X165" i="1"/>
  <c r="X164" i="1"/>
  <c r="X161" i="1"/>
  <c r="X160" i="1"/>
  <c r="X156" i="1"/>
  <c r="X154" i="1"/>
  <c r="X153" i="1"/>
  <c r="X152" i="1"/>
  <c r="X151" i="1"/>
  <c r="X107" i="1"/>
  <c r="X99" i="1" s="1"/>
  <c r="X67" i="1"/>
  <c r="X62" i="1" s="1"/>
  <c r="X43" i="1"/>
  <c r="X42" i="1"/>
  <c r="X90" i="1"/>
  <c r="X76" i="1"/>
  <c r="X27" i="1"/>
  <c r="X20" i="1"/>
  <c r="H260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1" i="1"/>
  <c r="H218" i="1"/>
  <c r="H217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0" i="1"/>
  <c r="H158" i="1"/>
  <c r="H157" i="1"/>
  <c r="H156" i="1"/>
  <c r="H154" i="1"/>
  <c r="H153" i="1"/>
  <c r="H152" i="1"/>
  <c r="H151" i="1"/>
  <c r="H147" i="1"/>
  <c r="H146" i="1"/>
  <c r="H145" i="1"/>
  <c r="H144" i="1"/>
  <c r="H143" i="1"/>
  <c r="H142" i="1"/>
  <c r="H141" i="1"/>
  <c r="H140" i="1"/>
  <c r="H139" i="1"/>
  <c r="H129" i="1"/>
  <c r="I129" i="1" s="1"/>
  <c r="H128" i="1"/>
  <c r="H127" i="1"/>
  <c r="H126" i="1"/>
  <c r="H125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7" i="1"/>
  <c r="H95" i="1"/>
  <c r="H94" i="1"/>
  <c r="H93" i="1"/>
  <c r="H92" i="1"/>
  <c r="H91" i="1"/>
  <c r="H85" i="1"/>
  <c r="H84" i="1"/>
  <c r="H83" i="1"/>
  <c r="H82" i="1"/>
  <c r="H81" i="1"/>
  <c r="H80" i="1"/>
  <c r="H79" i="1"/>
  <c r="H78" i="1"/>
  <c r="H72" i="1"/>
  <c r="I72" i="1" s="1"/>
  <c r="H71" i="1"/>
  <c r="H69" i="1"/>
  <c r="H68" i="1"/>
  <c r="H67" i="1"/>
  <c r="H66" i="1"/>
  <c r="H65" i="1"/>
  <c r="H64" i="1"/>
  <c r="H63" i="1"/>
  <c r="H57" i="1"/>
  <c r="H56" i="1"/>
  <c r="H55" i="1"/>
  <c r="H54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3" i="1"/>
  <c r="H32" i="1"/>
  <c r="H31" i="1"/>
  <c r="H30" i="1"/>
  <c r="H28" i="1"/>
  <c r="H24" i="1"/>
  <c r="H23" i="1"/>
  <c r="H22" i="1"/>
  <c r="H21" i="1"/>
  <c r="H19" i="1"/>
  <c r="H18" i="1"/>
  <c r="H17" i="1"/>
  <c r="H16" i="1"/>
  <c r="AG271" i="1" l="1"/>
  <c r="H230" i="1"/>
  <c r="AG76" i="1"/>
  <c r="X13" i="1"/>
  <c r="X271" i="1"/>
  <c r="X35" i="1"/>
  <c r="X138" i="1"/>
  <c r="AG35" i="1"/>
  <c r="AG138" i="1"/>
  <c r="H99" i="1"/>
  <c r="H76" i="1"/>
  <c r="AG13" i="1"/>
  <c r="X230" i="1"/>
  <c r="AG99" i="1"/>
  <c r="H15" i="1"/>
  <c r="H259" i="1"/>
  <c r="H90" i="1"/>
  <c r="H62" i="1"/>
  <c r="H35" i="1"/>
  <c r="H27" i="1"/>
  <c r="H20" i="1"/>
  <c r="AG272" i="1" l="1"/>
  <c r="X272" i="1"/>
  <c r="X262" i="1"/>
  <c r="X261" i="1"/>
  <c r="AG262" i="1"/>
  <c r="H13" i="1"/>
  <c r="AG261" i="1"/>
  <c r="AG273" i="1" l="1"/>
  <c r="X273" i="1"/>
  <c r="N260" i="1"/>
  <c r="AI260" i="1" l="1"/>
  <c r="AH260" i="1" s="1"/>
  <c r="AA199" i="1" l="1"/>
  <c r="AA207" i="1"/>
  <c r="T179" i="4" l="1"/>
  <c r="T178" i="4" s="1"/>
  <c r="S179" i="4"/>
  <c r="S178" i="4" s="1"/>
  <c r="R179" i="4"/>
  <c r="R178" i="4" s="1"/>
  <c r="Q179" i="4"/>
  <c r="Q178" i="4" s="1"/>
  <c r="P179" i="4"/>
  <c r="O179" i="4"/>
  <c r="O178" i="4" s="1"/>
  <c r="N179" i="4"/>
  <c r="N178" i="4" s="1"/>
  <c r="M179" i="4"/>
  <c r="M178" i="4" s="1"/>
  <c r="K179" i="4"/>
  <c r="K178" i="4" s="1"/>
  <c r="P178" i="4"/>
  <c r="T173" i="4"/>
  <c r="T171" i="4" s="1"/>
  <c r="S173" i="4"/>
  <c r="R173" i="4"/>
  <c r="Q173" i="4"/>
  <c r="P173" i="4"/>
  <c r="O173" i="4"/>
  <c r="N173" i="4"/>
  <c r="M173" i="4"/>
  <c r="L173" i="4"/>
  <c r="K173" i="4"/>
  <c r="T146" i="4"/>
  <c r="S146" i="4"/>
  <c r="R146" i="4"/>
  <c r="Q146" i="4"/>
  <c r="P146" i="4"/>
  <c r="O146" i="4"/>
  <c r="N146" i="4"/>
  <c r="M146" i="4"/>
  <c r="K146" i="4"/>
  <c r="T128" i="4"/>
  <c r="S128" i="4"/>
  <c r="R128" i="4"/>
  <c r="Q128" i="4"/>
  <c r="P128" i="4"/>
  <c r="O128" i="4"/>
  <c r="N128" i="4"/>
  <c r="M128" i="4"/>
  <c r="L128" i="4"/>
  <c r="K128" i="4"/>
  <c r="T122" i="4"/>
  <c r="S122" i="4"/>
  <c r="R122" i="4"/>
  <c r="Q122" i="4"/>
  <c r="P122" i="4"/>
  <c r="O122" i="4"/>
  <c r="N122" i="4"/>
  <c r="M122" i="4"/>
  <c r="L122" i="4"/>
  <c r="K122" i="4"/>
  <c r="T111" i="4"/>
  <c r="T110" i="4" s="1"/>
  <c r="S111" i="4"/>
  <c r="S110" i="4" s="1"/>
  <c r="R111" i="4"/>
  <c r="R110" i="4" s="1"/>
  <c r="Q111" i="4"/>
  <c r="Q110" i="4" s="1"/>
  <c r="P111" i="4"/>
  <c r="P110" i="4" s="1"/>
  <c r="O111" i="4"/>
  <c r="O110" i="4" s="1"/>
  <c r="N111" i="4"/>
  <c r="N110" i="4" s="1"/>
  <c r="M111" i="4"/>
  <c r="M110" i="4" s="1"/>
  <c r="L111" i="4"/>
  <c r="K111" i="4"/>
  <c r="K110" i="4" s="1"/>
  <c r="T104" i="4"/>
  <c r="S104" i="4"/>
  <c r="R104" i="4"/>
  <c r="Q104" i="4"/>
  <c r="P104" i="4"/>
  <c r="O104" i="4"/>
  <c r="N104" i="4"/>
  <c r="M104" i="4"/>
  <c r="K104" i="4"/>
  <c r="T100" i="4"/>
  <c r="S100" i="4"/>
  <c r="R100" i="4"/>
  <c r="Q100" i="4"/>
  <c r="P100" i="4"/>
  <c r="O100" i="4"/>
  <c r="N100" i="4"/>
  <c r="M100" i="4"/>
  <c r="K100" i="4"/>
  <c r="T98" i="4"/>
  <c r="S98" i="4"/>
  <c r="R98" i="4"/>
  <c r="Q98" i="4"/>
  <c r="P98" i="4"/>
  <c r="O98" i="4"/>
  <c r="N98" i="4"/>
  <c r="M98" i="4"/>
  <c r="L98" i="4"/>
  <c r="K98" i="4"/>
  <c r="T94" i="4"/>
  <c r="S94" i="4"/>
  <c r="R94" i="4"/>
  <c r="Q94" i="4"/>
  <c r="P94" i="4"/>
  <c r="O94" i="4"/>
  <c r="N94" i="4"/>
  <c r="M94" i="4"/>
  <c r="K94" i="4"/>
  <c r="T90" i="4"/>
  <c r="S90" i="4"/>
  <c r="R90" i="4"/>
  <c r="Q90" i="4"/>
  <c r="P90" i="4"/>
  <c r="O90" i="4"/>
  <c r="N90" i="4"/>
  <c r="M90" i="4"/>
  <c r="L90" i="4"/>
  <c r="K90" i="4"/>
  <c r="T86" i="4"/>
  <c r="T84" i="4" s="1"/>
  <c r="S86" i="4"/>
  <c r="S84" i="4" s="1"/>
  <c r="R86" i="4"/>
  <c r="Q86" i="4"/>
  <c r="P86" i="4"/>
  <c r="P84" i="4" s="1"/>
  <c r="O86" i="4"/>
  <c r="O84" i="4" s="1"/>
  <c r="N86" i="4"/>
  <c r="N84" i="4" s="1"/>
  <c r="M86" i="4"/>
  <c r="M84" i="4" s="1"/>
  <c r="L86" i="4"/>
  <c r="L84" i="4" s="1"/>
  <c r="K86" i="4"/>
  <c r="K84" i="4" s="1"/>
  <c r="R84" i="4"/>
  <c r="Q84" i="4"/>
  <c r="T80" i="4"/>
  <c r="T79" i="4" s="1"/>
  <c r="S80" i="4"/>
  <c r="S79" i="4" s="1"/>
  <c r="R80" i="4"/>
  <c r="R79" i="4" s="1"/>
  <c r="Q80" i="4"/>
  <c r="Q79" i="4" s="1"/>
  <c r="P80" i="4"/>
  <c r="P79" i="4" s="1"/>
  <c r="O80" i="4"/>
  <c r="O79" i="4" s="1"/>
  <c r="N80" i="4"/>
  <c r="N79" i="4" s="1"/>
  <c r="M80" i="4"/>
  <c r="M79" i="4" s="1"/>
  <c r="K80" i="4"/>
  <c r="K79" i="4" s="1"/>
  <c r="T75" i="4"/>
  <c r="S75" i="4"/>
  <c r="R75" i="4"/>
  <c r="Q75" i="4"/>
  <c r="P75" i="4"/>
  <c r="O75" i="4"/>
  <c r="N75" i="4"/>
  <c r="M75" i="4"/>
  <c r="L75" i="4"/>
  <c r="K75" i="4"/>
  <c r="T70" i="4"/>
  <c r="S70" i="4"/>
  <c r="R70" i="4"/>
  <c r="Q70" i="4"/>
  <c r="P70" i="4"/>
  <c r="O70" i="4"/>
  <c r="N70" i="4"/>
  <c r="M70" i="4"/>
  <c r="L70" i="4"/>
  <c r="K70" i="4"/>
  <c r="T65" i="4"/>
  <c r="S65" i="4"/>
  <c r="R65" i="4"/>
  <c r="Q65" i="4"/>
  <c r="P65" i="4"/>
  <c r="O65" i="4"/>
  <c r="N65" i="4"/>
  <c r="N61" i="4" s="1"/>
  <c r="M65" i="4"/>
  <c r="K65" i="4"/>
  <c r="T62" i="4"/>
  <c r="S62" i="4"/>
  <c r="R62" i="4"/>
  <c r="Q62" i="4"/>
  <c r="P62" i="4"/>
  <c r="O62" i="4"/>
  <c r="N62" i="4"/>
  <c r="M62" i="4"/>
  <c r="K62" i="4"/>
  <c r="R61" i="4"/>
  <c r="T59" i="4"/>
  <c r="S59" i="4"/>
  <c r="R59" i="4"/>
  <c r="Q59" i="4"/>
  <c r="P59" i="4"/>
  <c r="O59" i="4"/>
  <c r="N59" i="4"/>
  <c r="M59" i="4"/>
  <c r="L59" i="4"/>
  <c r="K59" i="4"/>
  <c r="T54" i="4"/>
  <c r="T53" i="4" s="1"/>
  <c r="S54" i="4"/>
  <c r="S53" i="4" s="1"/>
  <c r="R54" i="4"/>
  <c r="R53" i="4" s="1"/>
  <c r="Q54" i="4"/>
  <c r="Q53" i="4" s="1"/>
  <c r="P54" i="4"/>
  <c r="P53" i="4" s="1"/>
  <c r="O54" i="4"/>
  <c r="O53" i="4" s="1"/>
  <c r="N54" i="4"/>
  <c r="N53" i="4" s="1"/>
  <c r="M54" i="4"/>
  <c r="M53" i="4" s="1"/>
  <c r="L54" i="4"/>
  <c r="L53" i="4" s="1"/>
  <c r="K54" i="4"/>
  <c r="K53" i="4" s="1"/>
  <c r="T46" i="4"/>
  <c r="S46" i="4"/>
  <c r="R46" i="4"/>
  <c r="Q46" i="4"/>
  <c r="P46" i="4"/>
  <c r="O46" i="4"/>
  <c r="N46" i="4"/>
  <c r="M46" i="4"/>
  <c r="L46" i="4"/>
  <c r="K46" i="4"/>
  <c r="T43" i="4"/>
  <c r="T42" i="4" s="1"/>
  <c r="S43" i="4"/>
  <c r="R43" i="4"/>
  <c r="Q43" i="4"/>
  <c r="P43" i="4"/>
  <c r="O43" i="4"/>
  <c r="N43" i="4"/>
  <c r="M43" i="4"/>
  <c r="L43" i="4"/>
  <c r="K43" i="4"/>
  <c r="T40" i="4"/>
  <c r="S40" i="4"/>
  <c r="R40" i="4"/>
  <c r="Q40" i="4"/>
  <c r="P40" i="4"/>
  <c r="O40" i="4"/>
  <c r="N40" i="4"/>
  <c r="M40" i="4"/>
  <c r="L40" i="4"/>
  <c r="K40" i="4"/>
  <c r="T38" i="4"/>
  <c r="S38" i="4"/>
  <c r="R38" i="4"/>
  <c r="Q38" i="4"/>
  <c r="P38" i="4"/>
  <c r="O38" i="4"/>
  <c r="N38" i="4"/>
  <c r="M38" i="4"/>
  <c r="L38" i="4"/>
  <c r="L37" i="4" s="1"/>
  <c r="K38" i="4"/>
  <c r="T35" i="4"/>
  <c r="T34" i="4" s="1"/>
  <c r="S35" i="4"/>
  <c r="S34" i="4" s="1"/>
  <c r="R35" i="4"/>
  <c r="R34" i="4" s="1"/>
  <c r="Q35" i="4"/>
  <c r="Q34" i="4" s="1"/>
  <c r="P35" i="4"/>
  <c r="P34" i="4" s="1"/>
  <c r="O35" i="4"/>
  <c r="O34" i="4" s="1"/>
  <c r="N35" i="4"/>
  <c r="N34" i="4" s="1"/>
  <c r="M35" i="4"/>
  <c r="M34" i="4" s="1"/>
  <c r="L35" i="4"/>
  <c r="L34" i="4" s="1"/>
  <c r="K35" i="4"/>
  <c r="K34" i="4" s="1"/>
  <c r="T32" i="4"/>
  <c r="S32" i="4"/>
  <c r="R32" i="4"/>
  <c r="Q32" i="4"/>
  <c r="P32" i="4"/>
  <c r="O32" i="4"/>
  <c r="N32" i="4"/>
  <c r="M32" i="4"/>
  <c r="L32" i="4"/>
  <c r="K32" i="4"/>
  <c r="T29" i="4"/>
  <c r="T28" i="4" s="1"/>
  <c r="S29" i="4"/>
  <c r="S28" i="4" s="1"/>
  <c r="R29" i="4"/>
  <c r="Q29" i="4"/>
  <c r="P29" i="4"/>
  <c r="P28" i="4" s="1"/>
  <c r="O29" i="4"/>
  <c r="O28" i="4" s="1"/>
  <c r="N29" i="4"/>
  <c r="N28" i="4" s="1"/>
  <c r="M29" i="4"/>
  <c r="M28" i="4" s="1"/>
  <c r="L29" i="4"/>
  <c r="L28" i="4" s="1"/>
  <c r="K29" i="4"/>
  <c r="K28" i="4" s="1"/>
  <c r="R28" i="4"/>
  <c r="Q28" i="4"/>
  <c r="T26" i="4"/>
  <c r="S26" i="4"/>
  <c r="R26" i="4"/>
  <c r="Q26" i="4"/>
  <c r="P26" i="4"/>
  <c r="O26" i="4"/>
  <c r="N26" i="4"/>
  <c r="M26" i="4"/>
  <c r="L26" i="4"/>
  <c r="K26" i="4"/>
  <c r="T22" i="4"/>
  <c r="S22" i="4"/>
  <c r="R22" i="4"/>
  <c r="Q22" i="4"/>
  <c r="P22" i="4"/>
  <c r="O22" i="4"/>
  <c r="N22" i="4"/>
  <c r="M22" i="4"/>
  <c r="L22" i="4"/>
  <c r="K22" i="4"/>
  <c r="T19" i="4"/>
  <c r="S19" i="4"/>
  <c r="R19" i="4"/>
  <c r="Q19" i="4"/>
  <c r="Q18" i="4" s="1"/>
  <c r="Q17" i="4" s="1"/>
  <c r="P19" i="4"/>
  <c r="O19" i="4"/>
  <c r="N19" i="4"/>
  <c r="M19" i="4"/>
  <c r="M18" i="4" s="1"/>
  <c r="M17" i="4" s="1"/>
  <c r="L19" i="4"/>
  <c r="K19" i="4"/>
  <c r="T14" i="4"/>
  <c r="T13" i="4" s="1"/>
  <c r="T12" i="4" s="1"/>
  <c r="S14" i="4"/>
  <c r="S13" i="4" s="1"/>
  <c r="S12" i="4" s="1"/>
  <c r="R14" i="4"/>
  <c r="Q14" i="4"/>
  <c r="P14" i="4"/>
  <c r="P13" i="4" s="1"/>
  <c r="P12" i="4" s="1"/>
  <c r="O14" i="4"/>
  <c r="O13" i="4" s="1"/>
  <c r="O12" i="4" s="1"/>
  <c r="N14" i="4"/>
  <c r="N13" i="4" s="1"/>
  <c r="N12" i="4" s="1"/>
  <c r="M14" i="4"/>
  <c r="L14" i="4"/>
  <c r="L13" i="4" s="1"/>
  <c r="L12" i="4" s="1"/>
  <c r="K14" i="4"/>
  <c r="K13" i="4" s="1"/>
  <c r="K12" i="4" s="1"/>
  <c r="R13" i="4"/>
  <c r="R12" i="4" s="1"/>
  <c r="Q13" i="4"/>
  <c r="Q12" i="4" s="1"/>
  <c r="M13" i="4"/>
  <c r="M12" i="4" s="1"/>
  <c r="J260" i="1"/>
  <c r="I260" i="1" s="1"/>
  <c r="AR259" i="1"/>
  <c r="AP259" i="1"/>
  <c r="AO259" i="1"/>
  <c r="AN259" i="1"/>
  <c r="AM259" i="1"/>
  <c r="AL259" i="1"/>
  <c r="AK259" i="1"/>
  <c r="AJ259" i="1"/>
  <c r="AI259" i="1"/>
  <c r="AH259" i="1"/>
  <c r="AF259" i="1"/>
  <c r="AE259" i="1"/>
  <c r="AD259" i="1"/>
  <c r="AC259" i="1"/>
  <c r="AB259" i="1"/>
  <c r="AA259" i="1"/>
  <c r="W259" i="1"/>
  <c r="R259" i="1"/>
  <c r="Q259" i="1"/>
  <c r="P259" i="1"/>
  <c r="O259" i="1"/>
  <c r="N259" i="1"/>
  <c r="K259" i="1"/>
  <c r="K37" i="4" l="1"/>
  <c r="O37" i="4"/>
  <c r="M61" i="4"/>
  <c r="Q61" i="4"/>
  <c r="Q58" i="4" s="1"/>
  <c r="K61" i="4"/>
  <c r="R18" i="4"/>
  <c r="R17" i="4" s="1"/>
  <c r="N93" i="4"/>
  <c r="N89" i="4" s="1"/>
  <c r="K42" i="4"/>
  <c r="O42" i="4"/>
  <c r="M58" i="4"/>
  <c r="K121" i="4"/>
  <c r="K120" i="4" s="1"/>
  <c r="R171" i="4"/>
  <c r="T37" i="4"/>
  <c r="T31" i="4" s="1"/>
  <c r="N42" i="4"/>
  <c r="R42" i="4"/>
  <c r="L42" i="4"/>
  <c r="P42" i="4"/>
  <c r="L68" i="4"/>
  <c r="P68" i="4"/>
  <c r="T68" i="4"/>
  <c r="N68" i="4"/>
  <c r="R68" i="4"/>
  <c r="L121" i="4"/>
  <c r="L120" i="4" s="1"/>
  <c r="N18" i="4"/>
  <c r="N17" i="4" s="1"/>
  <c r="N25" i="4"/>
  <c r="S37" i="4"/>
  <c r="Q93" i="4"/>
  <c r="Q89" i="4" s="1"/>
  <c r="P171" i="4"/>
  <c r="S42" i="4"/>
  <c r="M68" i="4"/>
  <c r="Q68" i="4"/>
  <c r="Q25" i="4"/>
  <c r="M25" i="4"/>
  <c r="T61" i="4"/>
  <c r="M93" i="4"/>
  <c r="M89" i="4" s="1"/>
  <c r="S121" i="4"/>
  <c r="S120" i="4" s="1"/>
  <c r="T121" i="4"/>
  <c r="T120" i="4" s="1"/>
  <c r="R25" i="4"/>
  <c r="N37" i="4"/>
  <c r="R37" i="4"/>
  <c r="P37" i="4"/>
  <c r="P31" i="4" s="1"/>
  <c r="P61" i="4"/>
  <c r="P58" i="4" s="1"/>
  <c r="K68" i="4"/>
  <c r="O68" i="4"/>
  <c r="S68" i="4"/>
  <c r="K93" i="4"/>
  <c r="K89" i="4" s="1"/>
  <c r="O93" i="4"/>
  <c r="O89" i="4" s="1"/>
  <c r="S93" i="4"/>
  <c r="S89" i="4" s="1"/>
  <c r="R93" i="4"/>
  <c r="R89" i="4" s="1"/>
  <c r="Q121" i="4"/>
  <c r="Q120" i="4" s="1"/>
  <c r="O121" i="4"/>
  <c r="O120" i="4" s="1"/>
  <c r="R58" i="4"/>
  <c r="P93" i="4"/>
  <c r="P89" i="4" s="1"/>
  <c r="T93" i="4"/>
  <c r="T89" i="4" s="1"/>
  <c r="N121" i="4"/>
  <c r="N120" i="4" s="1"/>
  <c r="R121" i="4"/>
  <c r="R120" i="4" s="1"/>
  <c r="P121" i="4"/>
  <c r="P120" i="4" s="1"/>
  <c r="N171" i="4"/>
  <c r="N58" i="4"/>
  <c r="M121" i="4"/>
  <c r="M120" i="4" s="1"/>
  <c r="K171" i="4"/>
  <c r="O171" i="4"/>
  <c r="S171" i="4"/>
  <c r="M171" i="4"/>
  <c r="Q171" i="4"/>
  <c r="O61" i="4"/>
  <c r="O58" i="4" s="1"/>
  <c r="S61" i="4"/>
  <c r="S58" i="4" s="1"/>
  <c r="K58" i="4"/>
  <c r="T58" i="4"/>
  <c r="M42" i="4"/>
  <c r="Q42" i="4"/>
  <c r="M37" i="4"/>
  <c r="M31" i="4" s="1"/>
  <c r="Q37" i="4"/>
  <c r="Q31" i="4" s="1"/>
  <c r="K31" i="4"/>
  <c r="O31" i="4"/>
  <c r="S31" i="4"/>
  <c r="N31" i="4"/>
  <c r="R31" i="4"/>
  <c r="L31" i="4"/>
  <c r="K25" i="4"/>
  <c r="O25" i="4"/>
  <c r="S25" i="4"/>
  <c r="L25" i="4"/>
  <c r="P25" i="4"/>
  <c r="T25" i="4"/>
  <c r="K18" i="4"/>
  <c r="K17" i="4" s="1"/>
  <c r="O18" i="4"/>
  <c r="O17" i="4" s="1"/>
  <c r="S18" i="4"/>
  <c r="S17" i="4" s="1"/>
  <c r="L18" i="4"/>
  <c r="L17" i="4" s="1"/>
  <c r="P18" i="4"/>
  <c r="P17" i="4" s="1"/>
  <c r="T18" i="4"/>
  <c r="T17" i="4" s="1"/>
  <c r="I259" i="1"/>
  <c r="J259" i="1"/>
  <c r="M118" i="4" l="1"/>
  <c r="M184" i="4" s="1"/>
  <c r="S118" i="4"/>
  <c r="S184" i="4" s="1"/>
  <c r="Q118" i="4"/>
  <c r="Q184" i="4" s="1"/>
  <c r="N118" i="4"/>
  <c r="N10" i="4" s="1"/>
  <c r="N185" i="4" s="1"/>
  <c r="T118" i="4"/>
  <c r="T184" i="4" s="1"/>
  <c r="O118" i="4"/>
  <c r="O184" i="4" s="1"/>
  <c r="P118" i="4"/>
  <c r="K118" i="4"/>
  <c r="K184" i="4" s="1"/>
  <c r="R118" i="4"/>
  <c r="R184" i="4" s="1"/>
  <c r="O10" i="4"/>
  <c r="O185" i="4" s="1"/>
  <c r="R10" i="4"/>
  <c r="R185" i="4" s="1"/>
  <c r="S10" i="4"/>
  <c r="S185" i="4" s="1"/>
  <c r="AP230" i="1"/>
  <c r="AO230" i="1"/>
  <c r="AN230" i="1"/>
  <c r="AM230" i="1"/>
  <c r="AL230" i="1"/>
  <c r="AK230" i="1"/>
  <c r="AJ230" i="1"/>
  <c r="AF230" i="1"/>
  <c r="AE230" i="1"/>
  <c r="AD230" i="1"/>
  <c r="AC230" i="1"/>
  <c r="AB230" i="1"/>
  <c r="AA230" i="1"/>
  <c r="W230" i="1"/>
  <c r="R230" i="1"/>
  <c r="Q230" i="1"/>
  <c r="P230" i="1"/>
  <c r="O230" i="1"/>
  <c r="N230" i="1"/>
  <c r="K230" i="1"/>
  <c r="AP99" i="1"/>
  <c r="AO99" i="1"/>
  <c r="AN99" i="1"/>
  <c r="AM99" i="1"/>
  <c r="AL99" i="1"/>
  <c r="AJ99" i="1"/>
  <c r="AF99" i="1"/>
  <c r="AE99" i="1"/>
  <c r="AD99" i="1"/>
  <c r="AC99" i="1"/>
  <c r="AB99" i="1"/>
  <c r="W99" i="1"/>
  <c r="R99" i="1"/>
  <c r="Q99" i="1"/>
  <c r="O99" i="1"/>
  <c r="K99" i="1"/>
  <c r="AR90" i="1"/>
  <c r="AP90" i="1"/>
  <c r="AO90" i="1"/>
  <c r="AN90" i="1"/>
  <c r="AM90" i="1"/>
  <c r="AL90" i="1"/>
  <c r="AK90" i="1"/>
  <c r="AJ90" i="1"/>
  <c r="AF90" i="1"/>
  <c r="AE90" i="1"/>
  <c r="AD90" i="1"/>
  <c r="AC90" i="1"/>
  <c r="AB90" i="1"/>
  <c r="AA90" i="1"/>
  <c r="Z90" i="1"/>
  <c r="Y90" i="1"/>
  <c r="W90" i="1"/>
  <c r="R90" i="1"/>
  <c r="Q90" i="1"/>
  <c r="P90" i="1"/>
  <c r="O90" i="1"/>
  <c r="N90" i="1"/>
  <c r="K90" i="1"/>
  <c r="AR76" i="1"/>
  <c r="AP76" i="1"/>
  <c r="AO76" i="1"/>
  <c r="AN76" i="1"/>
  <c r="AM76" i="1"/>
  <c r="AL76" i="1"/>
  <c r="AK76" i="1"/>
  <c r="AJ76" i="1"/>
  <c r="AF76" i="1"/>
  <c r="AE76" i="1"/>
  <c r="AD76" i="1"/>
  <c r="AC76" i="1"/>
  <c r="AB76" i="1"/>
  <c r="AA76" i="1"/>
  <c r="Z76" i="1"/>
  <c r="Y76" i="1"/>
  <c r="AR62" i="1"/>
  <c r="AP62" i="1"/>
  <c r="AO62" i="1"/>
  <c r="AN62" i="1"/>
  <c r="AM62" i="1"/>
  <c r="AL62" i="1"/>
  <c r="AK62" i="1"/>
  <c r="AJ62" i="1"/>
  <c r="AI62" i="1"/>
  <c r="AH62" i="1"/>
  <c r="AF62" i="1"/>
  <c r="AE62" i="1"/>
  <c r="AD62" i="1"/>
  <c r="AC62" i="1"/>
  <c r="AB62" i="1"/>
  <c r="AA62" i="1"/>
  <c r="W62" i="1"/>
  <c r="R62" i="1"/>
  <c r="Q62" i="1"/>
  <c r="P62" i="1"/>
  <c r="O62" i="1"/>
  <c r="N62" i="1"/>
  <c r="K62" i="1"/>
  <c r="AR35" i="1"/>
  <c r="AP35" i="1"/>
  <c r="AO35" i="1"/>
  <c r="AN35" i="1"/>
  <c r="AM35" i="1"/>
  <c r="AL35" i="1"/>
  <c r="AK35" i="1"/>
  <c r="AJ35" i="1"/>
  <c r="AF35" i="1"/>
  <c r="AE35" i="1"/>
  <c r="AD35" i="1"/>
  <c r="AC35" i="1"/>
  <c r="AB35" i="1"/>
  <c r="AA35" i="1"/>
  <c r="W35" i="1"/>
  <c r="R35" i="1"/>
  <c r="Q35" i="1"/>
  <c r="P35" i="1"/>
  <c r="O35" i="1"/>
  <c r="N35" i="1"/>
  <c r="K35" i="1"/>
  <c r="AP27" i="1"/>
  <c r="AO27" i="1"/>
  <c r="AN27" i="1"/>
  <c r="AM27" i="1"/>
  <c r="AL27" i="1"/>
  <c r="AK27" i="1"/>
  <c r="AJ27" i="1"/>
  <c r="AF27" i="1"/>
  <c r="AE27" i="1"/>
  <c r="AD27" i="1"/>
  <c r="AC27" i="1"/>
  <c r="AB27" i="1"/>
  <c r="AA27" i="1"/>
  <c r="Z27" i="1"/>
  <c r="Y27" i="1"/>
  <c r="W27" i="1"/>
  <c r="R27" i="1"/>
  <c r="Q27" i="1"/>
  <c r="P27" i="1"/>
  <c r="O27" i="1"/>
  <c r="N27" i="1"/>
  <c r="K27" i="1"/>
  <c r="AR20" i="1"/>
  <c r="AP20" i="1"/>
  <c r="AO20" i="1"/>
  <c r="AN20" i="1"/>
  <c r="AM20" i="1"/>
  <c r="AL20" i="1"/>
  <c r="AK20" i="1"/>
  <c r="AJ20" i="1"/>
  <c r="AI20" i="1"/>
  <c r="AH20" i="1"/>
  <c r="AF20" i="1"/>
  <c r="AE20" i="1"/>
  <c r="AD20" i="1"/>
  <c r="AC20" i="1"/>
  <c r="AB20" i="1"/>
  <c r="AA20" i="1"/>
  <c r="Z20" i="1"/>
  <c r="Z13" i="1" s="1"/>
  <c r="Y20" i="1"/>
  <c r="Y13" i="1" s="1"/>
  <c r="W20" i="1"/>
  <c r="R20" i="1"/>
  <c r="Q20" i="1"/>
  <c r="P20" i="1"/>
  <c r="O20" i="1"/>
  <c r="O13" i="1" s="1"/>
  <c r="M10" i="4" l="1"/>
  <c r="M185" i="4" s="1"/>
  <c r="Q10" i="4"/>
  <c r="Q185" i="4" s="1"/>
  <c r="N184" i="4"/>
  <c r="AD13" i="1"/>
  <c r="AD272" i="1" s="1"/>
  <c r="AD271" i="1"/>
  <c r="AR13" i="1"/>
  <c r="AR272" i="1" s="1"/>
  <c r="AR271" i="1"/>
  <c r="AM13" i="1"/>
  <c r="AM272" i="1" s="1"/>
  <c r="AM271" i="1"/>
  <c r="AA13" i="1"/>
  <c r="AE13" i="1"/>
  <c r="AE272" i="1" s="1"/>
  <c r="AE271" i="1"/>
  <c r="AJ13" i="1"/>
  <c r="AJ272" i="1" s="1"/>
  <c r="AJ271" i="1"/>
  <c r="AN13" i="1"/>
  <c r="AN272" i="1" s="1"/>
  <c r="AN271" i="1"/>
  <c r="W13" i="1"/>
  <c r="AB13" i="1"/>
  <c r="AB272" i="1" s="1"/>
  <c r="AB271" i="1"/>
  <c r="AF13" i="1"/>
  <c r="AF272" i="1" s="1"/>
  <c r="AF271" i="1"/>
  <c r="AK13" i="1"/>
  <c r="AO13" i="1"/>
  <c r="AO272" i="1" s="1"/>
  <c r="AO271" i="1"/>
  <c r="P13" i="1"/>
  <c r="AC13" i="1"/>
  <c r="AC272" i="1" s="1"/>
  <c r="AC271" i="1"/>
  <c r="AL13" i="1"/>
  <c r="AL272" i="1" s="1"/>
  <c r="AL271" i="1"/>
  <c r="AP13" i="1"/>
  <c r="AP272" i="1" s="1"/>
  <c r="AP271" i="1"/>
  <c r="R13" i="1"/>
  <c r="Q13" i="1"/>
  <c r="T10" i="4"/>
  <c r="T185" i="4" s="1"/>
  <c r="K10" i="4"/>
  <c r="K185" i="4" s="1"/>
  <c r="P184" i="4"/>
  <c r="P10" i="4"/>
  <c r="P185" i="4" s="1"/>
  <c r="AC261" i="1"/>
  <c r="AO261" i="1"/>
  <c r="AE261" i="1"/>
  <c r="L181" i="4"/>
  <c r="L179" i="4" s="1"/>
  <c r="L178" i="4" s="1"/>
  <c r="L171" i="4" s="1"/>
  <c r="AO262" i="1" l="1"/>
  <c r="AN261" i="1"/>
  <c r="AP262" i="1"/>
  <c r="AL262" i="1"/>
  <c r="AL273" i="1" s="1"/>
  <c r="AF261" i="1"/>
  <c r="AL261" i="1"/>
  <c r="AD262" i="1"/>
  <c r="AD273" i="1" s="1"/>
  <c r="AD261" i="1"/>
  <c r="AO273" i="1"/>
  <c r="AM262" i="1"/>
  <c r="AM273" i="1" s="1"/>
  <c r="AF262" i="1"/>
  <c r="AM261" i="1"/>
  <c r="AR261" i="1"/>
  <c r="AJ262" i="1"/>
  <c r="AJ273" i="1" s="1"/>
  <c r="AF273" i="1"/>
  <c r="AJ261" i="1"/>
  <c r="AN262" i="1"/>
  <c r="AN273" i="1" s="1"/>
  <c r="AB262" i="1"/>
  <c r="AB273" i="1" s="1"/>
  <c r="AP273" i="1"/>
  <c r="AB261" i="1"/>
  <c r="AP261" i="1"/>
  <c r="AE262" i="1"/>
  <c r="AE273" i="1" s="1"/>
  <c r="AC262" i="1"/>
  <c r="AC273" i="1" s="1"/>
  <c r="AR262" i="1"/>
  <c r="AR273" i="1" s="1"/>
  <c r="L114" i="4"/>
  <c r="L110" i="4" s="1"/>
  <c r="L67" i="4" l="1"/>
  <c r="L65" i="4" s="1"/>
  <c r="L81" i="4" l="1"/>
  <c r="J51" i="1"/>
  <c r="I51" i="1" s="1"/>
  <c r="G51" i="1" s="1"/>
  <c r="AI236" i="1"/>
  <c r="AH236" i="1" s="1"/>
  <c r="AI242" i="1"/>
  <c r="AH242" i="1" s="1"/>
  <c r="AI243" i="1"/>
  <c r="AH243" i="1" s="1"/>
  <c r="AI250" i="1"/>
  <c r="AH250" i="1" s="1"/>
  <c r="AI252" i="1"/>
  <c r="AH252" i="1" s="1"/>
  <c r="AI216" i="1"/>
  <c r="AH216" i="1" s="1"/>
  <c r="AI217" i="1"/>
  <c r="AH217" i="1" s="1"/>
  <c r="AI218" i="1"/>
  <c r="AH218" i="1" s="1"/>
  <c r="AI219" i="1"/>
  <c r="AH219" i="1" s="1"/>
  <c r="AI220" i="1"/>
  <c r="AI221" i="1"/>
  <c r="AI222" i="1"/>
  <c r="AI223" i="1"/>
  <c r="AA214" i="1"/>
  <c r="AA205" i="1"/>
  <c r="AA203" i="1"/>
  <c r="AI192" i="1"/>
  <c r="AH192" i="1" s="1"/>
  <c r="AA174" i="1"/>
  <c r="AA164" i="1"/>
  <c r="AA151" i="1"/>
  <c r="AA153" i="1"/>
  <c r="AH230" i="1" l="1"/>
  <c r="AI230" i="1"/>
  <c r="L63" i="4"/>
  <c r="L62" i="4" s="1"/>
  <c r="L61" i="4" s="1"/>
  <c r="L58" i="4" s="1"/>
  <c r="L166" i="4"/>
  <c r="L155" i="4" l="1"/>
  <c r="L153" i="4"/>
  <c r="L157" i="4"/>
  <c r="L158" i="4"/>
  <c r="L151" i="4"/>
  <c r="J15" i="1" l="1"/>
  <c r="N13" i="1"/>
  <c r="J155" i="1"/>
  <c r="I155" i="1" s="1"/>
  <c r="G155" i="1" s="1"/>
  <c r="L149" i="4"/>
  <c r="L146" i="4" s="1"/>
  <c r="N153" i="1" l="1"/>
  <c r="N120" i="1"/>
  <c r="L82" i="4"/>
  <c r="L80" i="4" s="1"/>
  <c r="L79" i="4" s="1"/>
  <c r="AA219" i="1"/>
  <c r="AK214" i="1"/>
  <c r="AI214" i="1" s="1"/>
  <c r="AH214" i="1" s="1"/>
  <c r="L96" i="4"/>
  <c r="L94" i="4" s="1"/>
  <c r="AK205" i="1"/>
  <c r="AK211" i="1"/>
  <c r="AK207" i="1"/>
  <c r="AK203" i="1" l="1"/>
  <c r="N202" i="1"/>
  <c r="AA192" i="1"/>
  <c r="AA184" i="1" l="1"/>
  <c r="AK180" i="1"/>
  <c r="AA180" i="1"/>
  <c r="AK176" i="1"/>
  <c r="AA176" i="1"/>
  <c r="AA173" i="1"/>
  <c r="AA170" i="1"/>
  <c r="AK164" i="1"/>
  <c r="N162" i="1"/>
  <c r="L109" i="4"/>
  <c r="L104" i="4" s="1"/>
  <c r="L101" i="4"/>
  <c r="L100" i="4" s="1"/>
  <c r="AK160" i="1"/>
  <c r="AA160" i="1"/>
  <c r="AK153" i="1"/>
  <c r="J124" i="1"/>
  <c r="I124" i="1" s="1"/>
  <c r="G124" i="1" s="1"/>
  <c r="AA138" i="1" l="1"/>
  <c r="AA272" i="1" s="1"/>
  <c r="AA271" i="1"/>
  <c r="AK138" i="1"/>
  <c r="L93" i="4"/>
  <c r="L89" i="4" s="1"/>
  <c r="L118" i="4" s="1"/>
  <c r="L184" i="4" s="1"/>
  <c r="Z108" i="1"/>
  <c r="Z109" i="1"/>
  <c r="Z110" i="1"/>
  <c r="Y110" i="1" s="1"/>
  <c r="Z111" i="1"/>
  <c r="Y111" i="1" s="1"/>
  <c r="Z112" i="1"/>
  <c r="Y112" i="1" s="1"/>
  <c r="Z113" i="1"/>
  <c r="Y113" i="1" s="1"/>
  <c r="Z114" i="1"/>
  <c r="Y114" i="1" s="1"/>
  <c r="Z115" i="1"/>
  <c r="Y115" i="1" s="1"/>
  <c r="Z116" i="1"/>
  <c r="Y116" i="1" s="1"/>
  <c r="Z117" i="1"/>
  <c r="Y117" i="1" s="1"/>
  <c r="Z118" i="1"/>
  <c r="Y118" i="1" s="1"/>
  <c r="N110" i="1"/>
  <c r="N99" i="1" s="1"/>
  <c r="AK120" i="1"/>
  <c r="AK119" i="1"/>
  <c r="AK118" i="1"/>
  <c r="AK271" i="1" l="1"/>
  <c r="L10" i="4"/>
  <c r="L185" i="4" s="1"/>
  <c r="AK99" i="1"/>
  <c r="AK272" i="1" s="1"/>
  <c r="AA261" i="1"/>
  <c r="AA262" i="1"/>
  <c r="AA273" i="1" s="1"/>
  <c r="J25" i="1"/>
  <c r="I25" i="1" s="1"/>
  <c r="G25" i="1" s="1"/>
  <c r="AK262" i="1" l="1"/>
  <c r="AK273" i="1" s="1"/>
  <c r="AK261" i="1"/>
  <c r="J52" i="1"/>
  <c r="J50" i="1"/>
  <c r="I50" i="1" s="1"/>
  <c r="I52" i="1" l="1"/>
  <c r="G52" i="1" s="1"/>
  <c r="J148" i="1"/>
  <c r="I148" i="1" s="1"/>
  <c r="G148" i="1" l="1"/>
  <c r="J148" i="4"/>
  <c r="I148" i="4" s="1"/>
  <c r="J181" i="4"/>
  <c r="I181" i="4" s="1"/>
  <c r="J180" i="4"/>
  <c r="I180" i="4" s="1"/>
  <c r="J175" i="4"/>
  <c r="I175" i="4" s="1"/>
  <c r="J174" i="4"/>
  <c r="I174" i="4" s="1"/>
  <c r="J168" i="4"/>
  <c r="I168" i="4" s="1"/>
  <c r="J167" i="4"/>
  <c r="I167" i="4" s="1"/>
  <c r="J166" i="4"/>
  <c r="I166" i="4" s="1"/>
  <c r="J165" i="4"/>
  <c r="I165" i="4" s="1"/>
  <c r="J164" i="4"/>
  <c r="I164" i="4" s="1"/>
  <c r="J163" i="4"/>
  <c r="I163" i="4" s="1"/>
  <c r="J162" i="4"/>
  <c r="I162" i="4" s="1"/>
  <c r="J161" i="4"/>
  <c r="I161" i="4" s="1"/>
  <c r="J160" i="4"/>
  <c r="I160" i="4" s="1"/>
  <c r="J159" i="4"/>
  <c r="I159" i="4" s="1"/>
  <c r="J158" i="4"/>
  <c r="I158" i="4" s="1"/>
  <c r="J157" i="4"/>
  <c r="I157" i="4" s="1"/>
  <c r="J156" i="4"/>
  <c r="I156" i="4" s="1"/>
  <c r="J155" i="4"/>
  <c r="I155" i="4" s="1"/>
  <c r="J154" i="4"/>
  <c r="I154" i="4" s="1"/>
  <c r="J153" i="4"/>
  <c r="I153" i="4" s="1"/>
  <c r="J152" i="4"/>
  <c r="I152" i="4" s="1"/>
  <c r="J151" i="4"/>
  <c r="I151" i="4" s="1"/>
  <c r="J150" i="4"/>
  <c r="I150" i="4" s="1"/>
  <c r="J149" i="4"/>
  <c r="I149" i="4" s="1"/>
  <c r="J147" i="4"/>
  <c r="I147" i="4" s="1"/>
  <c r="J142" i="4"/>
  <c r="I142" i="4" s="1"/>
  <c r="J141" i="4"/>
  <c r="I141" i="4" s="1"/>
  <c r="J140" i="4"/>
  <c r="I140" i="4" s="1"/>
  <c r="J139" i="4"/>
  <c r="I139" i="4" s="1"/>
  <c r="J138" i="4"/>
  <c r="I138" i="4" s="1"/>
  <c r="J137" i="4"/>
  <c r="I137" i="4" s="1"/>
  <c r="J136" i="4"/>
  <c r="I136" i="4" s="1"/>
  <c r="J135" i="4"/>
  <c r="I135" i="4" s="1"/>
  <c r="J134" i="4"/>
  <c r="I134" i="4" s="1"/>
  <c r="J133" i="4"/>
  <c r="I133" i="4" s="1"/>
  <c r="J132" i="4"/>
  <c r="I132" i="4" s="1"/>
  <c r="J131" i="4"/>
  <c r="I131" i="4" s="1"/>
  <c r="J130" i="4"/>
  <c r="I130" i="4" s="1"/>
  <c r="J129" i="4"/>
  <c r="I129" i="4" s="1"/>
  <c r="J126" i="4"/>
  <c r="I126" i="4" s="1"/>
  <c r="J125" i="4"/>
  <c r="I125" i="4" s="1"/>
  <c r="J124" i="4"/>
  <c r="I124" i="4" s="1"/>
  <c r="J114" i="4"/>
  <c r="I114" i="4" s="1"/>
  <c r="J113" i="4"/>
  <c r="J111" i="4"/>
  <c r="J109" i="4"/>
  <c r="I109" i="4" s="1"/>
  <c r="J108" i="4"/>
  <c r="I108" i="4" s="1"/>
  <c r="J107" i="4"/>
  <c r="I107" i="4" s="1"/>
  <c r="J106" i="4"/>
  <c r="I106" i="4" s="1"/>
  <c r="J105" i="4"/>
  <c r="I105" i="4" s="1"/>
  <c r="J103" i="4"/>
  <c r="I103" i="4" s="1"/>
  <c r="J102" i="4"/>
  <c r="I102" i="4" s="1"/>
  <c r="J101" i="4"/>
  <c r="I101" i="4" s="1"/>
  <c r="J99" i="4"/>
  <c r="J97" i="4"/>
  <c r="I97" i="4" s="1"/>
  <c r="J96" i="4"/>
  <c r="I96" i="4" s="1"/>
  <c r="J95" i="4"/>
  <c r="I95" i="4" s="1"/>
  <c r="J92" i="4"/>
  <c r="I92" i="4" s="1"/>
  <c r="J91" i="4"/>
  <c r="I91" i="4" s="1"/>
  <c r="J88" i="4"/>
  <c r="I88" i="4" s="1"/>
  <c r="J87" i="4"/>
  <c r="I87" i="4" s="1"/>
  <c r="J85" i="4"/>
  <c r="I85" i="4" s="1"/>
  <c r="J83" i="4"/>
  <c r="I83" i="4" s="1"/>
  <c r="J82" i="4"/>
  <c r="I82" i="4" s="1"/>
  <c r="J81" i="4"/>
  <c r="I81" i="4" s="1"/>
  <c r="J78" i="4"/>
  <c r="I78" i="4" s="1"/>
  <c r="J77" i="4"/>
  <c r="I77" i="4" s="1"/>
  <c r="J76" i="4"/>
  <c r="J74" i="4"/>
  <c r="I74" i="4" s="1"/>
  <c r="J73" i="4"/>
  <c r="I73" i="4" s="1"/>
  <c r="J72" i="4"/>
  <c r="I72" i="4" s="1"/>
  <c r="J71" i="4"/>
  <c r="J69" i="4"/>
  <c r="I69" i="4" s="1"/>
  <c r="J67" i="4"/>
  <c r="I67" i="4" s="1"/>
  <c r="J66" i="4"/>
  <c r="I66" i="4" s="1"/>
  <c r="J64" i="4"/>
  <c r="I64" i="4" s="1"/>
  <c r="J63" i="4"/>
  <c r="I63" i="4" s="1"/>
  <c r="J62" i="4"/>
  <c r="J60" i="4"/>
  <c r="I60" i="4" s="1"/>
  <c r="J57" i="4"/>
  <c r="I57" i="4" s="1"/>
  <c r="J56" i="4"/>
  <c r="I56" i="4" s="1"/>
  <c r="J55" i="4"/>
  <c r="I55" i="4" s="1"/>
  <c r="J52" i="4"/>
  <c r="I52" i="4" s="1"/>
  <c r="J51" i="4"/>
  <c r="I51" i="4" s="1"/>
  <c r="J50" i="4"/>
  <c r="I50" i="4" s="1"/>
  <c r="J49" i="4"/>
  <c r="I49" i="4" s="1"/>
  <c r="J48" i="4"/>
  <c r="I48" i="4" s="1"/>
  <c r="J47" i="4"/>
  <c r="J45" i="4"/>
  <c r="I45" i="4" s="1"/>
  <c r="J44" i="4"/>
  <c r="J41" i="4"/>
  <c r="J39" i="4"/>
  <c r="J36" i="4"/>
  <c r="I36" i="4" s="1"/>
  <c r="J33" i="4"/>
  <c r="I33" i="4" s="1"/>
  <c r="I32" i="4" s="1"/>
  <c r="J30" i="4"/>
  <c r="J27" i="4"/>
  <c r="J24" i="4"/>
  <c r="I24" i="4" s="1"/>
  <c r="J23" i="4"/>
  <c r="I23" i="4" s="1"/>
  <c r="J21" i="4"/>
  <c r="I21" i="4" s="1"/>
  <c r="J16" i="4"/>
  <c r="I16" i="4" s="1"/>
  <c r="J15" i="4"/>
  <c r="J22" i="4" l="1"/>
  <c r="I173" i="4"/>
  <c r="J35" i="4"/>
  <c r="J34" i="4" s="1"/>
  <c r="J86" i="4"/>
  <c r="J84" i="4" s="1"/>
  <c r="I146" i="4"/>
  <c r="J40" i="4"/>
  <c r="I41" i="4"/>
  <c r="J43" i="4"/>
  <c r="J42" i="4" s="1"/>
  <c r="I44" i="4"/>
  <c r="J98" i="4"/>
  <c r="I99" i="4"/>
  <c r="I98" i="4" s="1"/>
  <c r="J32" i="4"/>
  <c r="J29" i="4"/>
  <c r="J28" i="4" s="1"/>
  <c r="I30" i="4"/>
  <c r="J14" i="4"/>
  <c r="J13" i="4" s="1"/>
  <c r="J12" i="4" s="1"/>
  <c r="I15" i="4"/>
  <c r="J59" i="4"/>
  <c r="J19" i="4"/>
  <c r="J18" i="4" s="1"/>
  <c r="J17" i="4" s="1"/>
  <c r="J26" i="4"/>
  <c r="I27" i="4"/>
  <c r="J38" i="4"/>
  <c r="I39" i="4"/>
  <c r="I113" i="4"/>
  <c r="I111" i="4" s="1"/>
  <c r="I110" i="4" s="1"/>
  <c r="J70" i="4"/>
  <c r="I71" i="4"/>
  <c r="J75" i="4"/>
  <c r="I76" i="4"/>
  <c r="I75" i="4" s="1"/>
  <c r="J90" i="4"/>
  <c r="J46" i="4"/>
  <c r="I47" i="4"/>
  <c r="J54" i="4"/>
  <c r="J53" i="4" s="1"/>
  <c r="J122" i="4"/>
  <c r="I70" i="4"/>
  <c r="I90" i="4"/>
  <c r="J146" i="4"/>
  <c r="J110" i="4"/>
  <c r="J179" i="4"/>
  <c r="J178" i="4" s="1"/>
  <c r="I179" i="4"/>
  <c r="I178" i="4" s="1"/>
  <c r="J100" i="4"/>
  <c r="J65" i="4"/>
  <c r="J61" i="4" s="1"/>
  <c r="J80" i="4"/>
  <c r="J79" i="4" s="1"/>
  <c r="J128" i="4"/>
  <c r="J25" i="4"/>
  <c r="J94" i="4"/>
  <c r="J104" i="4"/>
  <c r="J173" i="4"/>
  <c r="AI213" i="1"/>
  <c r="AH213" i="1" s="1"/>
  <c r="AI212" i="1"/>
  <c r="AH212" i="1" s="1"/>
  <c r="AI211" i="1"/>
  <c r="AH211" i="1" s="1"/>
  <c r="AI209" i="1"/>
  <c r="AH209" i="1" s="1"/>
  <c r="AI207" i="1"/>
  <c r="AH207" i="1" s="1"/>
  <c r="AI205" i="1"/>
  <c r="AH205" i="1" s="1"/>
  <c r="AI203" i="1"/>
  <c r="AH203" i="1" s="1"/>
  <c r="AI199" i="1"/>
  <c r="AH199" i="1" s="1"/>
  <c r="AI197" i="1"/>
  <c r="AH197" i="1" s="1"/>
  <c r="AI195" i="1"/>
  <c r="AH195" i="1" s="1"/>
  <c r="AI194" i="1"/>
  <c r="AH194" i="1" s="1"/>
  <c r="AI190" i="1"/>
  <c r="AH190" i="1" s="1"/>
  <c r="AI188" i="1"/>
  <c r="AH188" i="1" s="1"/>
  <c r="AI186" i="1"/>
  <c r="AH186" i="1" s="1"/>
  <c r="AI184" i="1"/>
  <c r="AH184" i="1" s="1"/>
  <c r="AI182" i="1"/>
  <c r="AI180" i="1"/>
  <c r="AH180" i="1" s="1"/>
  <c r="AI179" i="1"/>
  <c r="AH179" i="1" s="1"/>
  <c r="AI178" i="1"/>
  <c r="AH178" i="1" s="1"/>
  <c r="AI177" i="1"/>
  <c r="AH177" i="1" s="1"/>
  <c r="AI176" i="1"/>
  <c r="AH176" i="1" s="1"/>
  <c r="AI174" i="1"/>
  <c r="AH174" i="1" s="1"/>
  <c r="AI173" i="1"/>
  <c r="AH173" i="1" s="1"/>
  <c r="AI170" i="1"/>
  <c r="AH170" i="1" s="1"/>
  <c r="AI168" i="1"/>
  <c r="AH168" i="1" s="1"/>
  <c r="AI166" i="1"/>
  <c r="AH166" i="1" s="1"/>
  <c r="AI164" i="1"/>
  <c r="AH164" i="1" s="1"/>
  <c r="AI160" i="1"/>
  <c r="AH160" i="1" s="1"/>
  <c r="AI156" i="1"/>
  <c r="AH156" i="1" s="1"/>
  <c r="AI153" i="1"/>
  <c r="AH153" i="1" s="1"/>
  <c r="AI151" i="1"/>
  <c r="AI122" i="1"/>
  <c r="AH122" i="1" s="1"/>
  <c r="AI121" i="1"/>
  <c r="AH121" i="1" s="1"/>
  <c r="AI120" i="1"/>
  <c r="AH120" i="1" s="1"/>
  <c r="AI119" i="1"/>
  <c r="AH119" i="1" s="1"/>
  <c r="AI118" i="1"/>
  <c r="AH118" i="1" s="1"/>
  <c r="AI95" i="1"/>
  <c r="AI82" i="1"/>
  <c r="AH82" i="1" s="1"/>
  <c r="AI77" i="1"/>
  <c r="AI45" i="1"/>
  <c r="AH45" i="1" s="1"/>
  <c r="AI44" i="1"/>
  <c r="AI32" i="1"/>
  <c r="AH32" i="1" s="1"/>
  <c r="AI29" i="1"/>
  <c r="AI14" i="1"/>
  <c r="Z260" i="1"/>
  <c r="Y260" i="1" s="1"/>
  <c r="Z242" i="1"/>
  <c r="Y242" i="1" s="1"/>
  <c r="Z235" i="1"/>
  <c r="Y235" i="1" s="1"/>
  <c r="Z234" i="1"/>
  <c r="Z219" i="1"/>
  <c r="Z217" i="1"/>
  <c r="Y217" i="1" s="1"/>
  <c r="Z215" i="1"/>
  <c r="Y215" i="1" s="1"/>
  <c r="Z214" i="1"/>
  <c r="Y214" i="1" s="1"/>
  <c r="Z212" i="1"/>
  <c r="Y212" i="1" s="1"/>
  <c r="Z211" i="1"/>
  <c r="Y211" i="1" s="1"/>
  <c r="Z210" i="1"/>
  <c r="Z209" i="1"/>
  <c r="Y209" i="1" s="1"/>
  <c r="Z208" i="1"/>
  <c r="Y208" i="1" s="1"/>
  <c r="Z207" i="1"/>
  <c r="Y207" i="1" s="1"/>
  <c r="Z206" i="1"/>
  <c r="Y206" i="1" s="1"/>
  <c r="Z205" i="1"/>
  <c r="Y205" i="1" s="1"/>
  <c r="Z204" i="1"/>
  <c r="Y204" i="1" s="1"/>
  <c r="Z203" i="1"/>
  <c r="Y203" i="1" s="1"/>
  <c r="Z200" i="1"/>
  <c r="Y200" i="1" s="1"/>
  <c r="Z199" i="1"/>
  <c r="Y199" i="1" s="1"/>
  <c r="Z197" i="1"/>
  <c r="Y197" i="1" s="1"/>
  <c r="Z195" i="1"/>
  <c r="Y195" i="1" s="1"/>
  <c r="Z194" i="1"/>
  <c r="Y194" i="1" s="1"/>
  <c r="Z192" i="1"/>
  <c r="Y192" i="1" s="1"/>
  <c r="Z190" i="1"/>
  <c r="Y190" i="1" s="1"/>
  <c r="Z188" i="1"/>
  <c r="Y188" i="1" s="1"/>
  <c r="Z186" i="1"/>
  <c r="Y186" i="1" s="1"/>
  <c r="Z184" i="1"/>
  <c r="Y184" i="1" s="1"/>
  <c r="Z182" i="1"/>
  <c r="Y182" i="1" s="1"/>
  <c r="Z180" i="1"/>
  <c r="Y180" i="1" s="1"/>
  <c r="Z177" i="1"/>
  <c r="Y177" i="1" s="1"/>
  <c r="Z176" i="1"/>
  <c r="Y176" i="1" s="1"/>
  <c r="Z175" i="1"/>
  <c r="Y175" i="1" s="1"/>
  <c r="Z174" i="1"/>
  <c r="Y174" i="1" s="1"/>
  <c r="Z173" i="1"/>
  <c r="Y173" i="1" s="1"/>
  <c r="Z171" i="1"/>
  <c r="Y171" i="1" s="1"/>
  <c r="Z170" i="1"/>
  <c r="Y170" i="1" s="1"/>
  <c r="Z169" i="1"/>
  <c r="Y169" i="1" s="1"/>
  <c r="Z168" i="1"/>
  <c r="Y168" i="1" s="1"/>
  <c r="Z167" i="1"/>
  <c r="Y167" i="1" s="1"/>
  <c r="Z166" i="1"/>
  <c r="Y166" i="1" s="1"/>
  <c r="Z165" i="1"/>
  <c r="Y165" i="1" s="1"/>
  <c r="Z164" i="1"/>
  <c r="Y164" i="1" s="1"/>
  <c r="Z161" i="1"/>
  <c r="Z160" i="1"/>
  <c r="Y160" i="1" s="1"/>
  <c r="Z156" i="1"/>
  <c r="Y156" i="1" s="1"/>
  <c r="Z154" i="1"/>
  <c r="Y154" i="1" s="1"/>
  <c r="Z153" i="1"/>
  <c r="Y153" i="1" s="1"/>
  <c r="Z152" i="1"/>
  <c r="Z151" i="1"/>
  <c r="Y151" i="1" s="1"/>
  <c r="Z107" i="1"/>
  <c r="Z67" i="1"/>
  <c r="Z43" i="1"/>
  <c r="Y43" i="1" s="1"/>
  <c r="Z42" i="1"/>
  <c r="N220" i="1"/>
  <c r="O220" i="1"/>
  <c r="P220" i="1"/>
  <c r="Q220" i="1"/>
  <c r="R220" i="1"/>
  <c r="W220" i="1"/>
  <c r="J86" i="1"/>
  <c r="I86" i="1" s="1"/>
  <c r="G257" i="1"/>
  <c r="G256" i="1"/>
  <c r="J255" i="1"/>
  <c r="I255" i="1" s="1"/>
  <c r="G255" i="1" s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I235" i="1" s="1"/>
  <c r="J234" i="1"/>
  <c r="I234" i="1" s="1"/>
  <c r="J233" i="1"/>
  <c r="J231" i="1"/>
  <c r="G228" i="1"/>
  <c r="G227" i="1"/>
  <c r="G226" i="1"/>
  <c r="G225" i="1"/>
  <c r="G224" i="1"/>
  <c r="J219" i="1"/>
  <c r="I219" i="1" s="1"/>
  <c r="J218" i="1"/>
  <c r="J217" i="1"/>
  <c r="I217" i="1" s="1"/>
  <c r="J216" i="1"/>
  <c r="J215" i="1"/>
  <c r="I215" i="1" s="1"/>
  <c r="J214" i="1"/>
  <c r="I214" i="1" s="1"/>
  <c r="J213" i="1"/>
  <c r="I213" i="1" s="1"/>
  <c r="G213" i="1" s="1"/>
  <c r="J212" i="1"/>
  <c r="I212" i="1" s="1"/>
  <c r="J211" i="1"/>
  <c r="I211" i="1" s="1"/>
  <c r="J210" i="1"/>
  <c r="I210" i="1" s="1"/>
  <c r="J209" i="1"/>
  <c r="I209" i="1" s="1"/>
  <c r="J208" i="1"/>
  <c r="I208" i="1" s="1"/>
  <c r="J207" i="1"/>
  <c r="I207" i="1" s="1"/>
  <c r="J206" i="1"/>
  <c r="I206" i="1" s="1"/>
  <c r="J205" i="1"/>
  <c r="I205" i="1" s="1"/>
  <c r="J204" i="1"/>
  <c r="I204" i="1" s="1"/>
  <c r="J203" i="1"/>
  <c r="I203" i="1" s="1"/>
  <c r="J202" i="1"/>
  <c r="J201" i="1"/>
  <c r="J200" i="1"/>
  <c r="I200" i="1" s="1"/>
  <c r="J199" i="1"/>
  <c r="I199" i="1" s="1"/>
  <c r="J198" i="1"/>
  <c r="J197" i="1"/>
  <c r="I197" i="1" s="1"/>
  <c r="J196" i="1"/>
  <c r="J195" i="1"/>
  <c r="I195" i="1" s="1"/>
  <c r="J194" i="1"/>
  <c r="I194" i="1" s="1"/>
  <c r="J193" i="1"/>
  <c r="J192" i="1"/>
  <c r="I192" i="1" s="1"/>
  <c r="J191" i="1"/>
  <c r="J190" i="1"/>
  <c r="I190" i="1" s="1"/>
  <c r="J189" i="1"/>
  <c r="J188" i="1"/>
  <c r="I188" i="1" s="1"/>
  <c r="J187" i="1"/>
  <c r="J186" i="1"/>
  <c r="I186" i="1" s="1"/>
  <c r="J185" i="1"/>
  <c r="J184" i="1"/>
  <c r="I184" i="1" s="1"/>
  <c r="J183" i="1"/>
  <c r="J182" i="1"/>
  <c r="I182" i="1" s="1"/>
  <c r="J181" i="1"/>
  <c r="J180" i="1"/>
  <c r="I180" i="1" s="1"/>
  <c r="J179" i="1"/>
  <c r="I179" i="1" s="1"/>
  <c r="J178" i="1"/>
  <c r="I178" i="1" s="1"/>
  <c r="J177" i="1"/>
  <c r="I177" i="1" s="1"/>
  <c r="J176" i="1"/>
  <c r="I176" i="1" s="1"/>
  <c r="J175" i="1"/>
  <c r="I175" i="1" s="1"/>
  <c r="J174" i="1"/>
  <c r="I174" i="1" s="1"/>
  <c r="J173" i="1"/>
  <c r="I173" i="1" s="1"/>
  <c r="J172" i="1"/>
  <c r="J171" i="1"/>
  <c r="I171" i="1" s="1"/>
  <c r="J170" i="1"/>
  <c r="I170" i="1" s="1"/>
  <c r="J169" i="1"/>
  <c r="I169" i="1" s="1"/>
  <c r="J168" i="1"/>
  <c r="I168" i="1" s="1"/>
  <c r="J167" i="1"/>
  <c r="I167" i="1" s="1"/>
  <c r="J166" i="1"/>
  <c r="I166" i="1" s="1"/>
  <c r="J165" i="1"/>
  <c r="I165" i="1" s="1"/>
  <c r="J164" i="1"/>
  <c r="I164" i="1" s="1"/>
  <c r="J163" i="1"/>
  <c r="J162" i="1"/>
  <c r="J161" i="1"/>
  <c r="I161" i="1" s="1"/>
  <c r="J160" i="1"/>
  <c r="I160" i="1" s="1"/>
  <c r="J158" i="1"/>
  <c r="J157" i="1"/>
  <c r="J156" i="1"/>
  <c r="I156" i="1" s="1"/>
  <c r="J154" i="1"/>
  <c r="I154" i="1" s="1"/>
  <c r="J153" i="1"/>
  <c r="I153" i="1" s="1"/>
  <c r="J152" i="1"/>
  <c r="I152" i="1" s="1"/>
  <c r="J151" i="1"/>
  <c r="I151" i="1" s="1"/>
  <c r="J147" i="1"/>
  <c r="J146" i="1"/>
  <c r="J145" i="1"/>
  <c r="J144" i="1"/>
  <c r="J143" i="1"/>
  <c r="I143" i="1" s="1"/>
  <c r="J142" i="1"/>
  <c r="J141" i="1"/>
  <c r="J140" i="1"/>
  <c r="J139" i="1"/>
  <c r="G136" i="1"/>
  <c r="G135" i="1"/>
  <c r="G134" i="1"/>
  <c r="G133" i="1"/>
  <c r="J128" i="1"/>
  <c r="J127" i="1"/>
  <c r="J126" i="1"/>
  <c r="J125" i="1"/>
  <c r="J123" i="1"/>
  <c r="J122" i="1"/>
  <c r="I122" i="1" s="1"/>
  <c r="J121" i="1"/>
  <c r="I121" i="1" s="1"/>
  <c r="J120" i="1"/>
  <c r="I120" i="1" s="1"/>
  <c r="J119" i="1"/>
  <c r="I119" i="1" s="1"/>
  <c r="J118" i="1"/>
  <c r="J117" i="1"/>
  <c r="J116" i="1"/>
  <c r="J115" i="1"/>
  <c r="J114" i="1"/>
  <c r="J113" i="1"/>
  <c r="J112" i="1"/>
  <c r="J111" i="1"/>
  <c r="J110" i="1"/>
  <c r="J109" i="1"/>
  <c r="J108" i="1"/>
  <c r="J107" i="1"/>
  <c r="I107" i="1" s="1"/>
  <c r="J106" i="1"/>
  <c r="J105" i="1"/>
  <c r="J104" i="1"/>
  <c r="J103" i="1"/>
  <c r="J102" i="1"/>
  <c r="J101" i="1"/>
  <c r="J100" i="1"/>
  <c r="J97" i="1"/>
  <c r="J95" i="1"/>
  <c r="J94" i="1"/>
  <c r="J93" i="1"/>
  <c r="J92" i="1"/>
  <c r="J91" i="1"/>
  <c r="G88" i="1"/>
  <c r="G87" i="1"/>
  <c r="J85" i="1"/>
  <c r="J84" i="1"/>
  <c r="J83" i="1"/>
  <c r="J82" i="1"/>
  <c r="I82" i="1" s="1"/>
  <c r="J81" i="1"/>
  <c r="J80" i="1"/>
  <c r="J79" i="1"/>
  <c r="J78" i="1"/>
  <c r="J77" i="1"/>
  <c r="I77" i="1" s="1"/>
  <c r="G74" i="1"/>
  <c r="G60" i="1"/>
  <c r="G59" i="1"/>
  <c r="G58" i="1"/>
  <c r="J71" i="1"/>
  <c r="J70" i="1"/>
  <c r="I70" i="1" s="1"/>
  <c r="G70" i="1" s="1"/>
  <c r="J69" i="1"/>
  <c r="J68" i="1"/>
  <c r="J67" i="1"/>
  <c r="J66" i="1"/>
  <c r="I66" i="1" s="1"/>
  <c r="J65" i="1"/>
  <c r="J64" i="1"/>
  <c r="J63" i="1"/>
  <c r="J54" i="1"/>
  <c r="I54" i="1" s="1"/>
  <c r="G54" i="1" s="1"/>
  <c r="G50" i="1"/>
  <c r="J57" i="1"/>
  <c r="J56" i="1"/>
  <c r="J55" i="1"/>
  <c r="J49" i="1"/>
  <c r="J48" i="1"/>
  <c r="J47" i="1"/>
  <c r="J46" i="1"/>
  <c r="J45" i="1"/>
  <c r="I45" i="1" s="1"/>
  <c r="G45" i="1" s="1"/>
  <c r="J44" i="1"/>
  <c r="I44" i="1" s="1"/>
  <c r="J43" i="1"/>
  <c r="I43" i="1" s="1"/>
  <c r="G43" i="1" s="1"/>
  <c r="J42" i="1"/>
  <c r="J41" i="1"/>
  <c r="J40" i="1"/>
  <c r="J39" i="1"/>
  <c r="J38" i="1"/>
  <c r="J37" i="1"/>
  <c r="J36" i="1"/>
  <c r="J33" i="1"/>
  <c r="J32" i="1"/>
  <c r="J31" i="1"/>
  <c r="J30" i="1"/>
  <c r="J29" i="1"/>
  <c r="I29" i="1" s="1"/>
  <c r="J28" i="1"/>
  <c r="J23" i="1"/>
  <c r="J22" i="1"/>
  <c r="I21" i="1"/>
  <c r="G21" i="1" s="1"/>
  <c r="J19" i="1"/>
  <c r="J18" i="1"/>
  <c r="J17" i="1"/>
  <c r="J16" i="1"/>
  <c r="I15" i="1"/>
  <c r="J20" i="1" l="1"/>
  <c r="I20" i="1" s="1"/>
  <c r="G20" i="1" s="1"/>
  <c r="G119" i="1"/>
  <c r="G235" i="1"/>
  <c r="G82" i="1"/>
  <c r="G120" i="1"/>
  <c r="I171" i="4"/>
  <c r="W138" i="1"/>
  <c r="W272" i="1" s="1"/>
  <c r="W271" i="1"/>
  <c r="O138" i="1"/>
  <c r="O272" i="1" s="1"/>
  <c r="O271" i="1"/>
  <c r="Q138" i="1"/>
  <c r="Q272" i="1" s="1"/>
  <c r="Q271" i="1"/>
  <c r="P138" i="1"/>
  <c r="P272" i="1" s="1"/>
  <c r="P271" i="1"/>
  <c r="R138" i="1"/>
  <c r="R272" i="1" s="1"/>
  <c r="R271" i="1"/>
  <c r="N138" i="1"/>
  <c r="N272" i="1" s="1"/>
  <c r="N271" i="1"/>
  <c r="Y152" i="1"/>
  <c r="Z271" i="1"/>
  <c r="AI271" i="1"/>
  <c r="J68" i="4"/>
  <c r="J37" i="4"/>
  <c r="J31" i="4" s="1"/>
  <c r="Y210" i="1"/>
  <c r="G210" i="1" s="1"/>
  <c r="Z138" i="1"/>
  <c r="AH182" i="1"/>
  <c r="G182" i="1" s="1"/>
  <c r="AI138" i="1"/>
  <c r="J220" i="1"/>
  <c r="J138" i="1" s="1"/>
  <c r="J121" i="4"/>
  <c r="J120" i="4" s="1"/>
  <c r="J93" i="4"/>
  <c r="J89" i="4" s="1"/>
  <c r="J58" i="4"/>
  <c r="I68" i="4"/>
  <c r="H146" i="4"/>
  <c r="H10" i="4" s="1"/>
  <c r="H185" i="4" s="1"/>
  <c r="J171" i="4"/>
  <c r="I28" i="1"/>
  <c r="G28" i="1" s="1"/>
  <c r="J27" i="1"/>
  <c r="I38" i="1"/>
  <c r="G38" i="1" s="1"/>
  <c r="I46" i="1"/>
  <c r="G46" i="1" s="1"/>
  <c r="I55" i="1"/>
  <c r="G55" i="1" s="1"/>
  <c r="I69" i="1"/>
  <c r="G69" i="1" s="1"/>
  <c r="I84" i="1"/>
  <c r="G84" i="1" s="1"/>
  <c r="I95" i="1"/>
  <c r="I106" i="1"/>
  <c r="G106" i="1" s="1"/>
  <c r="I114" i="1"/>
  <c r="G114" i="1" s="1"/>
  <c r="I118" i="1"/>
  <c r="G118" i="1" s="1"/>
  <c r="I127" i="1"/>
  <c r="G127" i="1" s="1"/>
  <c r="I140" i="1"/>
  <c r="G140" i="1" s="1"/>
  <c r="I144" i="1"/>
  <c r="G144" i="1" s="1"/>
  <c r="I185" i="1"/>
  <c r="G185" i="1" s="1"/>
  <c r="I201" i="1"/>
  <c r="G201" i="1" s="1"/>
  <c r="Y67" i="1"/>
  <c r="Y62" i="1" s="1"/>
  <c r="Z62" i="1"/>
  <c r="I16" i="1"/>
  <c r="G16" i="1" s="1"/>
  <c r="I33" i="1"/>
  <c r="G33" i="1" s="1"/>
  <c r="I39" i="1"/>
  <c r="G39" i="1" s="1"/>
  <c r="I47" i="1"/>
  <c r="G47" i="1" s="1"/>
  <c r="I56" i="1"/>
  <c r="G56" i="1" s="1"/>
  <c r="G66" i="1"/>
  <c r="J76" i="1"/>
  <c r="I81" i="1"/>
  <c r="G81" i="1" s="1"/>
  <c r="I92" i="1"/>
  <c r="G92" i="1" s="1"/>
  <c r="I97" i="1"/>
  <c r="G97" i="1" s="1"/>
  <c r="I103" i="1"/>
  <c r="G103" i="1" s="1"/>
  <c r="I111" i="1"/>
  <c r="G111" i="1" s="1"/>
  <c r="I115" i="1"/>
  <c r="G115" i="1" s="1"/>
  <c r="I123" i="1"/>
  <c r="G123" i="1" s="1"/>
  <c r="I128" i="1"/>
  <c r="G128" i="1" s="1"/>
  <c r="I141" i="1"/>
  <c r="G141" i="1" s="1"/>
  <c r="I145" i="1"/>
  <c r="I157" i="1"/>
  <c r="G157" i="1" s="1"/>
  <c r="I162" i="1"/>
  <c r="G162" i="1" s="1"/>
  <c r="I198" i="1"/>
  <c r="G198" i="1" s="1"/>
  <c r="I202" i="1"/>
  <c r="G202" i="1" s="1"/>
  <c r="I218" i="1"/>
  <c r="G218" i="1" s="1"/>
  <c r="I231" i="1"/>
  <c r="G231" i="1" s="1"/>
  <c r="J230" i="1"/>
  <c r="I236" i="1"/>
  <c r="G236" i="1" s="1"/>
  <c r="I240" i="1"/>
  <c r="G240" i="1" s="1"/>
  <c r="I244" i="1"/>
  <c r="G244" i="1" s="1"/>
  <c r="I248" i="1"/>
  <c r="G248" i="1" s="1"/>
  <c r="I252" i="1"/>
  <c r="G252" i="1" s="1"/>
  <c r="Y107" i="1"/>
  <c r="Y99" i="1" s="1"/>
  <c r="Z99" i="1"/>
  <c r="AH29" i="1"/>
  <c r="AH27" i="1" s="1"/>
  <c r="AI27" i="1"/>
  <c r="AH77" i="1"/>
  <c r="AH76" i="1" s="1"/>
  <c r="AI76" i="1"/>
  <c r="AH151" i="1"/>
  <c r="I17" i="1"/>
  <c r="G17" i="1" s="1"/>
  <c r="I22" i="1"/>
  <c r="G22" i="1" s="1"/>
  <c r="I30" i="1"/>
  <c r="G30" i="1" s="1"/>
  <c r="I36" i="1"/>
  <c r="J35" i="1"/>
  <c r="I40" i="1"/>
  <c r="G40" i="1" s="1"/>
  <c r="I48" i="1"/>
  <c r="G48" i="1" s="1"/>
  <c r="I57" i="1"/>
  <c r="G57" i="1" s="1"/>
  <c r="I63" i="1"/>
  <c r="G63" i="1" s="1"/>
  <c r="J62" i="1"/>
  <c r="I67" i="1"/>
  <c r="G67" i="1" s="1"/>
  <c r="I71" i="1"/>
  <c r="G71" i="1" s="1"/>
  <c r="I78" i="1"/>
  <c r="G78" i="1" s="1"/>
  <c r="I93" i="1"/>
  <c r="G93" i="1" s="1"/>
  <c r="I100" i="1"/>
  <c r="J99" i="1"/>
  <c r="I104" i="1"/>
  <c r="G104" i="1" s="1"/>
  <c r="I108" i="1"/>
  <c r="G108" i="1" s="1"/>
  <c r="I112" i="1"/>
  <c r="G112" i="1" s="1"/>
  <c r="I116" i="1"/>
  <c r="G116" i="1" s="1"/>
  <c r="I125" i="1"/>
  <c r="G125" i="1" s="1"/>
  <c r="G129" i="1"/>
  <c r="I142" i="1"/>
  <c r="G142" i="1" s="1"/>
  <c r="I146" i="1"/>
  <c r="G146" i="1" s="1"/>
  <c r="I158" i="1"/>
  <c r="G158" i="1" s="1"/>
  <c r="I163" i="1"/>
  <c r="G163" i="1" s="1"/>
  <c r="I183" i="1"/>
  <c r="G183" i="1" s="1"/>
  <c r="I187" i="1"/>
  <c r="G187" i="1" s="1"/>
  <c r="I191" i="1"/>
  <c r="G191" i="1" s="1"/>
  <c r="I233" i="1"/>
  <c r="G233" i="1" s="1"/>
  <c r="I237" i="1"/>
  <c r="G237" i="1" s="1"/>
  <c r="I241" i="1"/>
  <c r="G241" i="1" s="1"/>
  <c r="I245" i="1"/>
  <c r="G245" i="1" s="1"/>
  <c r="I249" i="1"/>
  <c r="G249" i="1" s="1"/>
  <c r="I253" i="1"/>
  <c r="G253" i="1" s="1"/>
  <c r="Y42" i="1"/>
  <c r="Y35" i="1" s="1"/>
  <c r="Z35" i="1"/>
  <c r="I19" i="1"/>
  <c r="G19" i="1" s="1"/>
  <c r="I32" i="1"/>
  <c r="G32" i="1" s="1"/>
  <c r="I42" i="1"/>
  <c r="G42" i="1" s="1"/>
  <c r="I65" i="1"/>
  <c r="G65" i="1" s="1"/>
  <c r="I80" i="1"/>
  <c r="G80" i="1" s="1"/>
  <c r="I91" i="1"/>
  <c r="J90" i="1"/>
  <c r="I102" i="1"/>
  <c r="G102" i="1" s="1"/>
  <c r="I110" i="1"/>
  <c r="G110" i="1" s="1"/>
  <c r="I181" i="1"/>
  <c r="G181" i="1" s="1"/>
  <c r="I189" i="1"/>
  <c r="G189" i="1" s="1"/>
  <c r="I193" i="1"/>
  <c r="G193" i="1" s="1"/>
  <c r="I239" i="1"/>
  <c r="G239" i="1" s="1"/>
  <c r="I243" i="1"/>
  <c r="G243" i="1" s="1"/>
  <c r="I247" i="1"/>
  <c r="G247" i="1" s="1"/>
  <c r="I251" i="1"/>
  <c r="G251" i="1" s="1"/>
  <c r="Y161" i="1"/>
  <c r="Y234" i="1"/>
  <c r="Y230" i="1" s="1"/>
  <c r="Z230" i="1"/>
  <c r="AH14" i="1"/>
  <c r="AI13" i="1"/>
  <c r="I18" i="1"/>
  <c r="G18" i="1" s="1"/>
  <c r="I23" i="1"/>
  <c r="G23" i="1" s="1"/>
  <c r="I31" i="1"/>
  <c r="G31" i="1" s="1"/>
  <c r="I37" i="1"/>
  <c r="G37" i="1" s="1"/>
  <c r="I41" i="1"/>
  <c r="G41" i="1" s="1"/>
  <c r="I49" i="1"/>
  <c r="G49" i="1" s="1"/>
  <c r="I64" i="1"/>
  <c r="G64" i="1" s="1"/>
  <c r="I68" i="1"/>
  <c r="G68" i="1" s="1"/>
  <c r="G72" i="1"/>
  <c r="I79" i="1"/>
  <c r="G79" i="1" s="1"/>
  <c r="I83" i="1"/>
  <c r="G83" i="1" s="1"/>
  <c r="I94" i="1"/>
  <c r="G94" i="1" s="1"/>
  <c r="I101" i="1"/>
  <c r="G101" i="1" s="1"/>
  <c r="I105" i="1"/>
  <c r="G105" i="1" s="1"/>
  <c r="I109" i="1"/>
  <c r="G109" i="1" s="1"/>
  <c r="I113" i="1"/>
  <c r="G113" i="1" s="1"/>
  <c r="I117" i="1"/>
  <c r="G117" i="1" s="1"/>
  <c r="I126" i="1"/>
  <c r="G126" i="1" s="1"/>
  <c r="I139" i="1"/>
  <c r="I147" i="1"/>
  <c r="G147" i="1" s="1"/>
  <c r="I172" i="1"/>
  <c r="G172" i="1" s="1"/>
  <c r="I196" i="1"/>
  <c r="G196" i="1" s="1"/>
  <c r="I216" i="1"/>
  <c r="G216" i="1" s="1"/>
  <c r="I238" i="1"/>
  <c r="G238" i="1" s="1"/>
  <c r="I242" i="1"/>
  <c r="G242" i="1" s="1"/>
  <c r="I246" i="1"/>
  <c r="G246" i="1" s="1"/>
  <c r="I250" i="1"/>
  <c r="G250" i="1" s="1"/>
  <c r="I254" i="1"/>
  <c r="G254" i="1" s="1"/>
  <c r="W261" i="1"/>
  <c r="W262" i="1"/>
  <c r="W273" i="1" s="1"/>
  <c r="AH44" i="1"/>
  <c r="G44" i="1" s="1"/>
  <c r="AI35" i="1"/>
  <c r="AH95" i="1"/>
  <c r="AH90" i="1" s="1"/>
  <c r="AI90" i="1"/>
  <c r="I85" i="1"/>
  <c r="G86" i="1"/>
  <c r="H220" i="1"/>
  <c r="Y219" i="1"/>
  <c r="G219" i="1" s="1"/>
  <c r="Z259" i="1"/>
  <c r="AH99" i="1"/>
  <c r="AI99" i="1"/>
  <c r="G122" i="1"/>
  <c r="G15" i="1"/>
  <c r="G217" i="1"/>
  <c r="G215" i="1"/>
  <c r="G195" i="1"/>
  <c r="G211" i="1"/>
  <c r="G180" i="1"/>
  <c r="G121" i="1"/>
  <c r="G175" i="1"/>
  <c r="G208" i="1"/>
  <c r="G212" i="1"/>
  <c r="G188" i="1"/>
  <c r="G178" i="1"/>
  <c r="G152" i="1"/>
  <c r="G197" i="1"/>
  <c r="G169" i="1"/>
  <c r="G153" i="1"/>
  <c r="G167" i="1"/>
  <c r="G171" i="1"/>
  <c r="G176" i="1"/>
  <c r="G184" i="1"/>
  <c r="G192" i="1"/>
  <c r="G199" i="1"/>
  <c r="G205" i="1"/>
  <c r="G174" i="1"/>
  <c r="G203" i="1"/>
  <c r="G179" i="1"/>
  <c r="G160" i="1"/>
  <c r="G170" i="1"/>
  <c r="G190" i="1"/>
  <c r="G154" i="1"/>
  <c r="G168" i="1"/>
  <c r="G173" i="1"/>
  <c r="G177" i="1"/>
  <c r="G186" i="1"/>
  <c r="G200" i="1"/>
  <c r="G206" i="1"/>
  <c r="G156" i="1"/>
  <c r="G207" i="1"/>
  <c r="G166" i="1"/>
  <c r="G204" i="1"/>
  <c r="G165" i="1"/>
  <c r="G209" i="1"/>
  <c r="G194" i="1"/>
  <c r="G164" i="1"/>
  <c r="G107" i="1" l="1"/>
  <c r="AH138" i="1"/>
  <c r="I90" i="1"/>
  <c r="G90" i="1" s="1"/>
  <c r="Y138" i="1"/>
  <c r="G100" i="1"/>
  <c r="I99" i="1"/>
  <c r="G99" i="1" s="1"/>
  <c r="I230" i="1"/>
  <c r="G230" i="1" s="1"/>
  <c r="I76" i="1"/>
  <c r="G76" i="1" s="1"/>
  <c r="I35" i="1"/>
  <c r="N261" i="1"/>
  <c r="G77" i="1"/>
  <c r="AH13" i="1"/>
  <c r="G14" i="1"/>
  <c r="G95" i="1"/>
  <c r="G234" i="1"/>
  <c r="N262" i="1"/>
  <c r="N273" i="1" s="1"/>
  <c r="H138" i="1"/>
  <c r="H272" i="1" s="1"/>
  <c r="H271" i="1"/>
  <c r="P261" i="1"/>
  <c r="Y271" i="1"/>
  <c r="R262" i="1"/>
  <c r="R273" i="1" s="1"/>
  <c r="R261" i="1"/>
  <c r="Q261" i="1"/>
  <c r="Q262" i="1"/>
  <c r="Q273" i="1" s="1"/>
  <c r="O261" i="1"/>
  <c r="O262" i="1"/>
  <c r="O273" i="1" s="1"/>
  <c r="P262" i="1"/>
  <c r="P273" i="1" s="1"/>
  <c r="Z272" i="1"/>
  <c r="G36" i="1"/>
  <c r="AI272" i="1"/>
  <c r="AH35" i="1"/>
  <c r="AH271" i="1"/>
  <c r="I62" i="1"/>
  <c r="G62" i="1" s="1"/>
  <c r="J118" i="4"/>
  <c r="J184" i="4" s="1"/>
  <c r="I220" i="1"/>
  <c r="I138" i="1" s="1"/>
  <c r="G145" i="1"/>
  <c r="I24" i="1"/>
  <c r="G24" i="1" s="1"/>
  <c r="G91" i="1"/>
  <c r="G161" i="1"/>
  <c r="G29" i="1"/>
  <c r="G151" i="1"/>
  <c r="H261" i="1"/>
  <c r="H262" i="1"/>
  <c r="G139" i="1"/>
  <c r="I27" i="1"/>
  <c r="G27" i="1" s="1"/>
  <c r="G85" i="1"/>
  <c r="Y259" i="1"/>
  <c r="G259" i="1" s="1"/>
  <c r="G260" i="1"/>
  <c r="Z261" i="1"/>
  <c r="Z262" i="1"/>
  <c r="AI261" i="1"/>
  <c r="AI262" i="1"/>
  <c r="G214" i="1"/>
  <c r="G143" i="1"/>
  <c r="Z273" i="1" l="1"/>
  <c r="G35" i="1"/>
  <c r="H273" i="1"/>
  <c r="Y272" i="1"/>
  <c r="G138" i="1"/>
  <c r="AH261" i="1"/>
  <c r="AH262" i="1"/>
  <c r="AI273" i="1"/>
  <c r="K13" i="1"/>
  <c r="K262" i="1" s="1"/>
  <c r="K271" i="1"/>
  <c r="Y261" i="1"/>
  <c r="J10" i="4"/>
  <c r="J185" i="4" s="1"/>
  <c r="AH272" i="1"/>
  <c r="G220" i="1"/>
  <c r="G271" i="1" s="1"/>
  <c r="Y262" i="1"/>
  <c r="I62" i="4"/>
  <c r="Y273" i="1" l="1"/>
  <c r="AH273" i="1"/>
  <c r="K261" i="1"/>
  <c r="K272" i="1"/>
  <c r="K273" i="1" s="1"/>
  <c r="J271" i="1"/>
  <c r="J13" i="1"/>
  <c r="I40" i="4"/>
  <c r="I29" i="4"/>
  <c r="J261" i="1" l="1"/>
  <c r="J272" i="1"/>
  <c r="I13" i="1"/>
  <c r="I271" i="1"/>
  <c r="J262" i="1"/>
  <c r="I65" i="4"/>
  <c r="I61" i="4" s="1"/>
  <c r="G13" i="1" l="1"/>
  <c r="G272" i="1" s="1"/>
  <c r="J273" i="1"/>
  <c r="I272" i="1"/>
  <c r="I261" i="1"/>
  <c r="G261" i="1" s="1"/>
  <c r="I262" i="1"/>
  <c r="G262" i="1" s="1"/>
  <c r="I128" i="4"/>
  <c r="I122" i="4"/>
  <c r="I86" i="4"/>
  <c r="I84" i="4" s="1"/>
  <c r="I59" i="4"/>
  <c r="I54" i="4"/>
  <c r="I53" i="4" s="1"/>
  <c r="I46" i="4"/>
  <c r="I43" i="4"/>
  <c r="I38" i="4"/>
  <c r="I37" i="4" s="1"/>
  <c r="I35" i="4"/>
  <c r="I34" i="4" s="1"/>
  <c r="I28" i="4"/>
  <c r="I26" i="4"/>
  <c r="I22" i="4"/>
  <c r="I19" i="4"/>
  <c r="I14" i="4"/>
  <c r="I273" i="1" l="1"/>
  <c r="I31" i="4"/>
  <c r="I25" i="4"/>
  <c r="I18" i="4"/>
  <c r="I100" i="4"/>
  <c r="I13" i="4"/>
  <c r="I12" i="4" s="1"/>
  <c r="I42" i="4"/>
  <c r="I58" i="4"/>
  <c r="I104" i="4"/>
  <c r="I80" i="4"/>
  <c r="I94" i="4"/>
  <c r="I121" i="4"/>
  <c r="I120" i="4" s="1"/>
  <c r="G273" i="1" l="1"/>
  <c r="I17" i="4"/>
  <c r="I93" i="4"/>
  <c r="I79" i="4"/>
  <c r="I89" i="4" l="1"/>
  <c r="I118" i="4" l="1"/>
  <c r="F270" i="1" s="1"/>
  <c r="AP263" i="1" l="1"/>
  <c r="AZ263" i="1" l="1"/>
  <c r="AZ264" i="1"/>
  <c r="AP264" i="1" l="1"/>
  <c r="AZ265" i="1"/>
  <c r="AP265" i="1" l="1"/>
  <c r="AR263" i="1" l="1"/>
  <c r="Y263" i="1" l="1"/>
  <c r="AR264" i="1"/>
  <c r="AR265" i="1" l="1"/>
  <c r="Y264" i="1"/>
  <c r="Y265" i="1" l="1"/>
  <c r="AH263" i="1" l="1"/>
  <c r="AH264" i="1" l="1"/>
  <c r="AH265" i="1" l="1"/>
  <c r="G263" i="1" l="1"/>
  <c r="I263" i="1"/>
  <c r="G264" i="1" l="1"/>
  <c r="I264" i="1"/>
  <c r="I265" i="1" l="1"/>
  <c r="G265" i="1" l="1"/>
</calcChain>
</file>

<file path=xl/comments1.xml><?xml version="1.0" encoding="utf-8"?>
<comments xmlns="http://schemas.openxmlformats.org/spreadsheetml/2006/main">
  <authors>
    <author>Sandra Dzerve</author>
    <author>Elina Markaine</author>
  </authors>
  <commentList>
    <comment ref="I60" author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zveja EUR 7380; noma EUR 21000</t>
        </r>
      </text>
    </comment>
    <comment ref="N81" authorId="1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projekts "Ar mērķi nākotnē"</t>
        </r>
      </text>
    </comment>
    <comment ref="N82" authorId="1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proj."dalība starpt.izst"</t>
        </r>
      </text>
    </comment>
    <comment ref="N113" authorId="1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proj."Lietprat.pārvlad."</t>
        </r>
      </text>
    </comment>
    <comment ref="N114" authorId="1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proj."Eurodesk", LP, D.06.1.2., SSC</t>
        </r>
      </text>
    </comment>
    <comment ref="I147" author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saist.ar privat. Ls 3496</t>
        </r>
      </text>
    </comment>
    <comment ref="K148" authorId="1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Majoru vidusskolas sporta laukuma darbības nodrošināšana</t>
        </r>
      </text>
    </comment>
    <comment ref="N148" authorId="1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LP</t>
        </r>
      </text>
    </comment>
    <comment ref="I151" author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1248 €- VK konts (interešu izglītība)</t>
        </r>
      </text>
    </comment>
    <comment ref="I164" author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zveja EUR 5355, noma EUR 20473</t>
        </r>
      </text>
    </comment>
  </commentList>
</comments>
</file>

<file path=xl/comments2.xml><?xml version="1.0" encoding="utf-8"?>
<comments xmlns="http://schemas.openxmlformats.org/spreadsheetml/2006/main">
  <authors>
    <author>Sandra Dzerve</author>
    <author>Elina Markaine</author>
  </authors>
  <commentList>
    <comment ref="I60" author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zveja EUR 7380; noma EUR 21000</t>
        </r>
      </text>
    </comment>
    <comment ref="N81" authorId="1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projekts "Ar mērķi nākotnē"</t>
        </r>
      </text>
    </comment>
    <comment ref="N82" authorId="1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proj."dalība starpt.izst"</t>
        </r>
      </text>
    </comment>
    <comment ref="N113" authorId="1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proj."Lietprat.pārvlad."</t>
        </r>
      </text>
    </comment>
    <comment ref="N114" authorId="1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proj."Eurodesk", LP, D.06.1.2., SSC</t>
        </r>
      </text>
    </comment>
    <comment ref="I147" author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saist.ar privat. Ls 3496</t>
        </r>
      </text>
    </comment>
    <comment ref="K148" authorId="1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Majoru vidusskolas sporta laukuma darbības nodrošināšana</t>
        </r>
      </text>
    </comment>
    <comment ref="N148" authorId="1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LP</t>
        </r>
      </text>
    </comment>
    <comment ref="I151" author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1248 €- VK konts (interešu izglītība)</t>
        </r>
      </text>
    </comment>
    <comment ref="I164" authorId="0">
      <text>
        <r>
          <rPr>
            <b/>
            <sz val="8"/>
            <color indexed="81"/>
            <rFont val="Tahoma"/>
            <family val="2"/>
            <charset val="186"/>
          </rPr>
          <t>Sandra Dzerve:</t>
        </r>
        <r>
          <rPr>
            <sz val="8"/>
            <color indexed="81"/>
            <rFont val="Tahoma"/>
            <family val="2"/>
            <charset val="186"/>
          </rPr>
          <t xml:space="preserve">
zveja EUR 5355, noma EUR 20473</t>
        </r>
      </text>
    </comment>
  </commentList>
</comments>
</file>

<file path=xl/sharedStrings.xml><?xml version="1.0" encoding="utf-8"?>
<sst xmlns="http://schemas.openxmlformats.org/spreadsheetml/2006/main" count="1207" uniqueCount="792">
  <si>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</si>
  <si>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</si>
  <si>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</si>
  <si>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</si>
  <si>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</si>
  <si>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</si>
  <si>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</si>
  <si>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</si>
  <si>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</si>
  <si>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</si>
  <si>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</si>
  <si>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</si>
  <si>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SIA "Jūrmalas gaisma"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</si>
  <si>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</si>
  <si>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</si>
  <si>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</si>
  <si>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</si>
  <si>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</si>
  <si>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</si>
  <si>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</si>
  <si>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</si>
  <si>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</si>
  <si>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10</t>
  </si>
  <si>
    <t>Sociālā aizsardzība</t>
  </si>
  <si>
    <t>Labklājības pārvalde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</si>
  <si>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</si>
  <si>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</si>
  <si>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</si>
  <si>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</si>
  <si>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</si>
  <si>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</si>
  <si>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</si>
  <si>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</si>
  <si>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</si>
  <si>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</si>
  <si>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</si>
  <si>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</si>
  <si>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</si>
  <si>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</si>
  <si>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</si>
  <si>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</si>
  <si>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</si>
  <si>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</si>
  <si>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</si>
  <si>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</si>
  <si>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</si>
  <si>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</si>
  <si>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</si>
  <si>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</si>
  <si>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</si>
  <si>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</si>
  <si>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</si>
  <si>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</si>
  <si>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</si>
  <si>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</si>
  <si>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</si>
  <si>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</si>
  <si>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</si>
  <si>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</si>
  <si>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</si>
  <si>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8.4.0.0.</t>
  </si>
  <si>
    <t>Procentu ieņēmumi par aizdevumiem nacionālajā valūtā</t>
  </si>
  <si>
    <t>8.4.2.0.</t>
  </si>
  <si>
    <t>Pašvaldību budžetu procentu ieņēmumi par aizdevumiem nacionālajā valūtā</t>
  </si>
  <si>
    <t>8.4.2.9.</t>
  </si>
  <si>
    <t>Pašvaldību budžetu procentu ieņēmumi par aizdevumiem nacionālajā valūtā no kapitālsabiedrībām</t>
  </si>
  <si>
    <t>8.6.0.0.</t>
  </si>
  <si>
    <t>8.6.1.0.</t>
  </si>
  <si>
    <t>8.6.1.2.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</si>
  <si>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</si>
  <si>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</si>
  <si>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</si>
  <si>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</si>
  <si>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</si>
  <si>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</si>
  <si>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</si>
  <si>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</si>
  <si>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9.5.1.3.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</si>
  <si>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</si>
  <si>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</si>
  <si>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</si>
  <si>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</si>
  <si>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</si>
  <si>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</si>
  <si>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</si>
  <si>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</si>
  <si>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</si>
  <si>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</si>
  <si>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</si>
  <si>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</si>
  <si>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</si>
  <si>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</si>
  <si>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</si>
  <si>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</si>
  <si>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</si>
  <si>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</si>
  <si>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</si>
  <si>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</si>
  <si>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</si>
  <si>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</si>
  <si>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</si>
  <si>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</si>
  <si>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</si>
  <si>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 xml:space="preserve">19.2.1.0. </t>
  </si>
  <si>
    <t>Ieņēmumi izglītības funkciju nodrošināšanai</t>
  </si>
  <si>
    <t xml:space="preserve">19.2.4.0. </t>
  </si>
  <si>
    <t>21.0.0.0.</t>
  </si>
  <si>
    <t>21.1.0.0.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</si>
  <si>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</si>
  <si>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</si>
  <si>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</si>
  <si>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</si>
  <si>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</si>
  <si>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</si>
  <si>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</si>
  <si>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</si>
  <si>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</si>
  <si>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</si>
  <si>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</si>
  <si>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</si>
  <si>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</si>
  <si>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</si>
  <si>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</si>
  <si>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</si>
  <si>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21.3.9.5.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</si>
  <si>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</si>
  <si>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</si>
  <si>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</si>
  <si>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</si>
  <si>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</si>
  <si>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</si>
  <si>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</si>
  <si>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</si>
  <si>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</si>
  <si>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</si>
  <si>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</si>
  <si>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</si>
  <si>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</si>
  <si>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</si>
  <si>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</si>
  <si>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</si>
  <si>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</si>
  <si>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</si>
  <si>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</si>
  <si>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Pašvaldības pamatbudžets, t.sk:</t>
  </si>
  <si>
    <t>PVN nomaksa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</si>
  <si>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</si>
  <si>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</si>
  <si>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</si>
  <si>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</si>
  <si>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Kredīta atmaksa - Slokas sporta kompleksa būvniecība</t>
  </si>
  <si>
    <t>Atlikums no projektu līdzekļiem</t>
  </si>
  <si>
    <t>Kredīta atmaksa - Ūdenssaimniecības attīstības projekta I kārta</t>
  </si>
  <si>
    <t>Mērķdotācija pedagogu atalgojumam</t>
  </si>
  <si>
    <t>Valsts budžeta transferti</t>
  </si>
  <si>
    <t>Kredīta atmaksa - Dzintaru mežaparka būvniecība</t>
  </si>
  <si>
    <t>Aizņēmumi</t>
  </si>
  <si>
    <t>Atlikums pārskaitītajam pamatkapitāla palielinājumam</t>
  </si>
  <si>
    <t>F40220010</t>
  </si>
  <si>
    <t>9.5.2.1.</t>
  </si>
  <si>
    <t>12.3.9.2.</t>
  </si>
  <si>
    <t>Maksājumi par konkursa vai izsoles nolikumu</t>
  </si>
  <si>
    <t>13.2.1.0.</t>
  </si>
  <si>
    <t>Ieņēmumi no zemes īpašuma pārdošanas</t>
  </si>
  <si>
    <t>13.3.3.0.</t>
  </si>
  <si>
    <t>Ieņēmumi no iedzīvotāju ienākuma nodokļa un īpašuma nodokļa pamatparāda kapitalizācijas</t>
  </si>
  <si>
    <t>21.1.9.1.</t>
  </si>
  <si>
    <t>13.5.0.0.</t>
  </si>
  <si>
    <t>13.5.1.0.</t>
  </si>
  <si>
    <t>13.5.2.0.</t>
  </si>
  <si>
    <t>13.5.3.0.</t>
  </si>
  <si>
    <t>Mērķdotācija sociālās nodrošināšanas pasākumiem</t>
  </si>
  <si>
    <t>Mērķdotācija bezmaksas interneta un datora izmantošanai</t>
  </si>
  <si>
    <t>Jūrmalas Valsts ģimnāzija</t>
  </si>
  <si>
    <t>Kredīta atmaksa - Slokas pamatskolas ēkas rekonstrukcija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</si>
  <si>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</si>
  <si>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</si>
  <si>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atpūtnieku un tūristu uzņemšanu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</si>
  <si>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</si>
  <si>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</si>
  <si>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</si>
  <si>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Pašvaldības nodeva par būvatļaujas saņemšanu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</si>
  <si>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</si>
  <si>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</si>
  <si>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</si>
  <si>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</si>
  <si>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</si>
  <si>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</si>
  <si>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</si>
  <si>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 xml:space="preserve">Procentu ieņēmumi par depozītiem </t>
  </si>
  <si>
    <t>Pašvaldību budžeta procentu ieņēmumi par noguldījumiem depozītā Valsts kasē (Latvijas Bankā) vai kredītiestādēs</t>
  </si>
  <si>
    <t>IEŅĒMUMI NO VALSTS (PAŠVALDĪBU) ĪPAŠUMA IZNOMĀŠANAS, PĀRDOŠANAS UN NO NODOKĻU PAMATPARĀDA KAPITALIZĀCIJAS</t>
  </si>
  <si>
    <t>Jūrmalas Kultūras centrs</t>
  </si>
  <si>
    <t>PSIA "Jūrmalas kapi"</t>
  </si>
  <si>
    <t>Jūrmalas Bērnu un jauniešu interešu centrs</t>
  </si>
  <si>
    <t>Jūrmalas pilsētas Lielupes vidusskola</t>
  </si>
  <si>
    <t>Jūrmalas pilsētas Mežmalas vidusskola</t>
  </si>
  <si>
    <t>Jūrmalas sākumskola "Atvase"</t>
  </si>
  <si>
    <t>Jūrmalas vakara vidusskola</t>
  </si>
  <si>
    <t>PA "Jūrmalas sociālās aprūpes centrs"</t>
  </si>
  <si>
    <t>Jūrmalas pilsētas PI "Sprīdītis"</t>
  </si>
  <si>
    <t xml:space="preserve">                                                                                        Tāmes Nr.</t>
  </si>
  <si>
    <t>Programma</t>
  </si>
  <si>
    <t>Nozares pēc valdības funkciju klasifikācijas / Budžeta finansēta institūcija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</si>
  <si>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</si>
  <si>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</si>
  <si>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</si>
  <si>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</si>
  <si>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</si>
  <si>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</si>
  <si>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</si>
  <si>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</si>
  <si>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</si>
  <si>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</si>
  <si>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</si>
  <si>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</si>
  <si>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</si>
  <si>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Pirmsskolas izglītības iestāde "Bitīte"</t>
  </si>
  <si>
    <t>Pirmsskolas izglītības iestāde "Katrīna"</t>
  </si>
  <si>
    <t>Pirmsskolas izglītības iestāde "Lācītis"</t>
  </si>
  <si>
    <t>Pirmsskolas izglītības iestāde "Madara"</t>
  </si>
  <si>
    <t>Pirmsskolas izglītības iestāde "Mārīte"</t>
  </si>
  <si>
    <t>Pirmsskolas izglītības iestāde "Namiņš"</t>
  </si>
  <si>
    <t>Pirmsskolas izglītības iestāde "Saulīte"</t>
  </si>
  <si>
    <t>Pirmsskolas izglītības iestāde "Zvaniņš"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</si>
  <si>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</si>
  <si>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</si>
  <si>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</si>
  <si>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</si>
  <si>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</si>
  <si>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</si>
  <si>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</si>
  <si>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</si>
  <si>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Ieņēmumi par projektu īstenošanu</t>
  </si>
  <si>
    <t>Citi ieņēmumi par maksas pakalpojumiem</t>
  </si>
  <si>
    <t>Pamatbudžeta līdzekļu atlikums gada sākumā</t>
  </si>
  <si>
    <t>Pašvaldības budžeta līdzekļu atlikums</t>
  </si>
  <si>
    <t>Maksas pakalpojumu atlikums</t>
  </si>
  <si>
    <t>Apropriācijas rezerve</t>
  </si>
  <si>
    <t>Iestādes uzturēšana</t>
  </si>
  <si>
    <t>Procentu maksājumi Valsts kasei</t>
  </si>
  <si>
    <t>Iemaksas pašvaldību izlīdzināšanas fondā</t>
  </si>
  <si>
    <t>Izdevumi neparedzētiem gadījumiem</t>
  </si>
  <si>
    <t>Iebraukšanas nodevas iekasēšanas nodrošinājums</t>
  </si>
  <si>
    <t>Sociālā palīdzība</t>
  </si>
  <si>
    <t>Nekustamā īpašuma iegāde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</si>
  <si>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</si>
  <si>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</si>
  <si>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</si>
  <si>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</si>
  <si>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</si>
  <si>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</si>
  <si>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</si>
  <si>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</si>
  <si>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</si>
  <si>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</si>
  <si>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PI "Lielupes ostas pārvalde"</t>
  </si>
  <si>
    <t>Jūrmalas Centrālā bibliotēka</t>
  </si>
  <si>
    <t>Jūrmalas pilsētas bāriņtiesa</t>
  </si>
  <si>
    <t>Jūrmalas Kauguru vidusskola</t>
  </si>
  <si>
    <t>Ķemeru vidusskola</t>
  </si>
  <si>
    <t>Majoru vidusskola</t>
  </si>
  <si>
    <t>Sākumskola "Ābelīte"</t>
  </si>
  <si>
    <t>Jūrmalas sākumskola "Taurenītis"</t>
  </si>
  <si>
    <t>Slokas pamatskola</t>
  </si>
  <si>
    <t>Ieņēmumi par līdzfinansējuma projektu īstenošanu</t>
  </si>
  <si>
    <t>21.4.2.9.</t>
  </si>
  <si>
    <t>Pārējie iepriekš neklasificētie maksas pakalpojumi un pašu ieņēmumi</t>
  </si>
  <si>
    <t>Ieņēmumi no ēku un būvju īpašuma pārdošanas</t>
  </si>
  <si>
    <t>13.1.0.0.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</si>
  <si>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</si>
  <si>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</si>
  <si>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</si>
  <si>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</si>
  <si>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</si>
  <si>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</si>
  <si>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</si>
  <si>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</si>
  <si>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Veselības aprūpes pieejamības palielināšana pensijas vecuma cilvēkiem un invalīdiem</t>
  </si>
  <si>
    <t>Nakts patversme</t>
  </si>
  <si>
    <t>Invalīdu pārvadāšanas nodrošināšana</t>
  </si>
  <si>
    <t>Zupas virtuves pakalpojumu nodrošināšana</t>
  </si>
  <si>
    <t>13.2.0.0.</t>
  </si>
  <si>
    <t>13.2.2.0.</t>
  </si>
  <si>
    <t>Ieņēmumi no meža īpašuma pārdošanas</t>
  </si>
  <si>
    <t>Ieņēmumi no zemes, meža īpašuma pārdošanas</t>
  </si>
  <si>
    <t>13.4.0.0.</t>
  </si>
  <si>
    <t>Sabiedriskā transporta organizēšanas pasākumi</t>
  </si>
  <si>
    <t>Vides aizsardzības veicināšanas pasākumu vadība, regulēšana, uzraudzība</t>
  </si>
  <si>
    <t>Starpskolu pasākumi, konkursi, sacensības interešu un profesionālās ievirzes izglītības jomā</t>
  </si>
  <si>
    <t>Centralizētie pasākumi vispārējās izglītības jomā</t>
  </si>
  <si>
    <t>Atpūtu un sportu veicinoši labiekārtošanas pasākumi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</si>
  <si>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</si>
  <si>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</si>
  <si>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</si>
  <si>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</si>
  <si>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</si>
  <si>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Ēkas rekonstrukcijai ar funkcijas maiņu par sociālās aprūpes ēku ar publiski pieejamām telpām 1.stāvā Skolas ielā 44</t>
  </si>
  <si>
    <t>Pilsētas svētku noformējums</t>
  </si>
  <si>
    <t>Budžeta transferti</t>
  </si>
  <si>
    <t>Mērķdotācija pašvaldību spec. skolu izdevumiem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</si>
  <si>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</si>
  <si>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</si>
  <si>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</si>
  <si>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Pamatkapitāla palielināšana</t>
  </si>
  <si>
    <t>Iestādes uzturēšana un kultūras pakalpojumu sniegšanas nodrošinājums</t>
  </si>
  <si>
    <t>Iestādes uzturēšana un bibliotēku pakalpojumu pieejamības nodrošinājums</t>
  </si>
  <si>
    <t>Iestādes uzturēšana un muzeju un izstāžu pakalpojumu sniegšanas nodrošinājums</t>
  </si>
  <si>
    <t>Iestādes uzturēšana un vispārējās izglītības nodrošināšana</t>
  </si>
  <si>
    <t>Iestādes uzturēšana un pirmsskolas izglītības nodrošināšana</t>
  </si>
  <si>
    <t>SIA "Jūrmalas ūdens"</t>
  </si>
  <si>
    <t>Mērķdotācija grāmatu iegādei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</si>
  <si>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</si>
  <si>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</si>
  <si>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</si>
  <si>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</si>
  <si>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</si>
  <si>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Citi iepriekš neklasificētie pašu ieņēmumi</t>
  </si>
  <si>
    <t>Vidēja termiņa un ilgtermiņa aizņēmumi</t>
  </si>
  <si>
    <t>9.pielikums</t>
  </si>
  <si>
    <t>16.pielikums</t>
  </si>
  <si>
    <t>Dzintaru koncertzāles slēgtās zāles rekonstrukcijai/ restaurācijai Turaidas ielā 1, Jūrmalā</t>
  </si>
  <si>
    <t>Aspazijas mājas Nr.002 restaurācijai un ēkas Nr.001 rekonstrukcijai, saglabājot funkciju muzejs Z.Meirovica prospektā 18/20, Jūrmalā</t>
  </si>
  <si>
    <t>21.4.9.9.</t>
  </si>
  <si>
    <t>Pārējie iepriekš neklasificētie pašu ieņēmumi</t>
  </si>
  <si>
    <t>21.4.0.0.</t>
  </si>
  <si>
    <t>8.3.0.0.</t>
  </si>
  <si>
    <t>8.3.9.0.</t>
  </si>
  <si>
    <t>Ieņēmumi no dividendēm (ieņēmumi no valsts (pašvaldību) kapitāla izmantošanas)</t>
  </si>
  <si>
    <t>Pārējie ieņēmumi no dividendēm (ieņēmumi no valsts (pašvaldību) kapitāla izmantosanas)</t>
  </si>
  <si>
    <t>21.3.8.9.</t>
  </si>
  <si>
    <t>Pārējie ieņēmumi par nomu un īri</t>
  </si>
  <si>
    <t>PSIA Veselības un sociālās aprūpes centrs - Sloka</t>
  </si>
  <si>
    <t>Kredīta atmaksa - Kompleksi risinājumi siltumnīcefekta gāzu emisiju samazināšanai Jūrmalas pašvaldības izglītības iestāžu ēkās</t>
  </si>
  <si>
    <t>Vidēja termiņa aizņēmumi</t>
  </si>
  <si>
    <t>Ilgtermiņa aizņēmumi</t>
  </si>
  <si>
    <t xml:space="preserve">Projekts "Jūrmalas pilsētas tranzītielas P 128 (Talsu šoseja/Kolkas iela) izbūve" </t>
  </si>
  <si>
    <t>Bērnudārza jaunbūve Tukuma ielā 9, Jūrmalā</t>
  </si>
  <si>
    <t>Jūrmalas Valsts ģimnāzijas un sākumskolas "Atvase" daudzfunkcionālās sporta halles projektēšana un celtniecība</t>
  </si>
  <si>
    <t>Pašvaldības iestādes "Sprīdītis" rekonstrukcija</t>
  </si>
  <si>
    <t>Pirmsskolas izglītības iestāžu labiekārtošanas pasākumi</t>
  </si>
  <si>
    <t>Jūrmalas sporta centrs</t>
  </si>
  <si>
    <t>Majoru vidusskolas sporta laukuma darbības nodrošināšana</t>
  </si>
  <si>
    <t>Pilsētas kultūrvēsturiskā mantojuma saglabāšana</t>
  </si>
  <si>
    <t>22.pielikums</t>
  </si>
  <si>
    <t>Budžeta finansētas institūcijas reģistrācijas  Nr.</t>
  </si>
  <si>
    <t>Pirmsskolas izglītības iestāde "Austras koks"</t>
  </si>
  <si>
    <t>Brīvpusdienu nodrošināšana</t>
  </si>
  <si>
    <t>Pilsētas stadiona uzturēšana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</si>
  <si>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</si>
  <si>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</si>
  <si>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</si>
  <si>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Sporta pasākumi, sacensības</t>
  </si>
  <si>
    <t>Projekts "Jūrmalas pilsētas tranzītielas P128 (Talsu šoseja/Kolkas iela) izbūve"</t>
  </si>
  <si>
    <t>Projekts "Songs Make Impossible Look Easy"</t>
  </si>
  <si>
    <t>Projekts "Solis ilgtspējīgā uzņēmējdarbībā"</t>
  </si>
  <si>
    <t xml:space="preserve">Vingrošana ūdenī </t>
  </si>
  <si>
    <t xml:space="preserve">Dienas centrs </t>
  </si>
  <si>
    <t>Dienas aprūpes centrs personām ar garīgās veselības traucējumiem, īpašuma Dūņu ceļš 2 apsaimniekošana</t>
  </si>
  <si>
    <t>Iestādes uzturēšana un sabiedriskās kārtības nodrošināšana</t>
  </si>
  <si>
    <t>24.pielikums</t>
  </si>
  <si>
    <t>Ar ārējo sakaru attīstību saistītās starptautiskās un institucionālās sadarbības aktivitātes</t>
  </si>
  <si>
    <t>Jūrmalas Alternatīvā skola</t>
  </si>
  <si>
    <t>Latvijas Starptautiskā skola</t>
  </si>
  <si>
    <t>Kredīta atmaksa - Mācību korpusa lit.002 rekonstrukcija bez apjoma palielināšanas Dūņu ceļš 2, Jūrmalā</t>
  </si>
  <si>
    <t>Pamatkapitāla palielināšana, projekts "Jūrmalas ūdenssaimniecības attīstība II kārta"</t>
  </si>
  <si>
    <t>Pamatkapitāla palielināšana, projekts "Jūrmalas ūdenssaimniecības attīstība III kārta"</t>
  </si>
  <si>
    <t>13.pielikums</t>
  </si>
  <si>
    <t>14.pielikums</t>
  </si>
  <si>
    <t>23.pielikums</t>
  </si>
  <si>
    <t>27.pielikums</t>
  </si>
  <si>
    <t>3.pielikums</t>
  </si>
  <si>
    <t>01.1.1.</t>
  </si>
  <si>
    <t>01.1.5.</t>
  </si>
  <si>
    <t>03.1.1.</t>
  </si>
  <si>
    <t>03.1.2.</t>
  </si>
  <si>
    <t>03.2.1.</t>
  </si>
  <si>
    <t>03.3.1.</t>
  </si>
  <si>
    <t>03.4.1.</t>
  </si>
  <si>
    <t>04.1.1.</t>
  </si>
  <si>
    <t>04.1.2.</t>
  </si>
  <si>
    <t>04.1.4.</t>
  </si>
  <si>
    <t>04.1.5.</t>
  </si>
  <si>
    <t>04.1.9.</t>
  </si>
  <si>
    <t>04.1.10.</t>
  </si>
  <si>
    <t>04.1.11.</t>
  </si>
  <si>
    <t>04.2.1.</t>
  </si>
  <si>
    <t>05.1.4.</t>
  </si>
  <si>
    <t>05.2.1.</t>
  </si>
  <si>
    <t>05.2.2.</t>
  </si>
  <si>
    <t>05.2.3.</t>
  </si>
  <si>
    <t>05.2.4.</t>
  </si>
  <si>
    <t>06.1.2.</t>
  </si>
  <si>
    <t>06.1.4.</t>
  </si>
  <si>
    <t>06.2.1.</t>
  </si>
  <si>
    <t>06.3.1.</t>
  </si>
  <si>
    <t>07.1.1.</t>
  </si>
  <si>
    <t>07.1.2.</t>
  </si>
  <si>
    <t>07.1.3.</t>
  </si>
  <si>
    <t>07.2.1.</t>
  </si>
  <si>
    <t>07.2.2.</t>
  </si>
  <si>
    <t>08.1.4.</t>
  </si>
  <si>
    <t>08.1.5.</t>
  </si>
  <si>
    <t>08.2.1.</t>
  </si>
  <si>
    <t>08.3.1.</t>
  </si>
  <si>
    <t>08.4.1.</t>
  </si>
  <si>
    <t>08.4.2.</t>
  </si>
  <si>
    <t>08.5.1.</t>
  </si>
  <si>
    <t>08.6.1.</t>
  </si>
  <si>
    <t>08.6.2.</t>
  </si>
  <si>
    <t>08.7.1.</t>
  </si>
  <si>
    <t>09.1.1.</t>
  </si>
  <si>
    <t>09.1.3.</t>
  </si>
  <si>
    <t>09.2.1.</t>
  </si>
  <si>
    <t>09.2.2.</t>
  </si>
  <si>
    <t>09.3.1.</t>
  </si>
  <si>
    <t>09.3.2.</t>
  </si>
  <si>
    <t>09.4.1.</t>
  </si>
  <si>
    <t>09.4.2.</t>
  </si>
  <si>
    <t>09.4.3.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</si>
  <si>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</si>
  <si>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</si>
  <si>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</si>
  <si>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</si>
  <si>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</si>
  <si>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</si>
  <si>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</si>
  <si>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</si>
  <si>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</si>
  <si>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</si>
  <si>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09.9.3.</t>
  </si>
  <si>
    <t>09.10.1.</t>
  </si>
  <si>
    <t>09.11.1.</t>
  </si>
  <si>
    <t>09.11.2.</t>
  </si>
  <si>
    <t>09.12.1.</t>
  </si>
  <si>
    <t>09.13.1.</t>
  </si>
  <si>
    <t>09.13.2.</t>
  </si>
  <si>
    <t>09.13.3.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</si>
  <si>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</si>
  <si>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</si>
  <si>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</si>
  <si>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</si>
  <si>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</si>
  <si>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</si>
  <si>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</si>
  <si>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</si>
  <si>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</si>
  <si>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</si>
  <si>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</si>
  <si>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</si>
  <si>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</si>
  <si>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09.20.2.</t>
  </si>
  <si>
    <t>09.21.1.</t>
  </si>
  <si>
    <t>09.22.1.</t>
  </si>
  <si>
    <t>09.22.2.</t>
  </si>
  <si>
    <t>09.23.1.</t>
  </si>
  <si>
    <t>09.23.2.</t>
  </si>
  <si>
    <t>09.24.1.</t>
  </si>
  <si>
    <t>09.24.2.</t>
  </si>
  <si>
    <t>09.24.3.</t>
  </si>
  <si>
    <t>09.25.1.</t>
  </si>
  <si>
    <t>09.25.2.</t>
  </si>
  <si>
    <t>09.26.1.</t>
  </si>
  <si>
    <t>09.26.2.</t>
  </si>
  <si>
    <t>09.27.1.</t>
  </si>
  <si>
    <t>09.27.2.</t>
  </si>
  <si>
    <t>09.28.1.</t>
  </si>
  <si>
    <t>09.28.2.</t>
  </si>
  <si>
    <t>09.29.1.</t>
  </si>
  <si>
    <t>09.30.1.</t>
  </si>
  <si>
    <t>09.30.2.</t>
  </si>
  <si>
    <t>09.31.1.</t>
  </si>
  <si>
    <t>09.31.2.</t>
  </si>
  <si>
    <t>09.32.1.</t>
  </si>
  <si>
    <t>09.32.2.</t>
  </si>
  <si>
    <t>09.33.1.</t>
  </si>
  <si>
    <t>10.2.1.</t>
  </si>
  <si>
    <t>10.2.2.</t>
  </si>
  <si>
    <t>10.2.3.</t>
  </si>
  <si>
    <t>10.2.4.</t>
  </si>
  <si>
    <t>10.2.6.</t>
  </si>
  <si>
    <t>10.2.7.</t>
  </si>
  <si>
    <t>10.2.8.</t>
  </si>
  <si>
    <t>10.3.1.</t>
  </si>
  <si>
    <t>10.3.2.</t>
  </si>
  <si>
    <t>10.3.3.</t>
  </si>
  <si>
    <t>10.3.4.</t>
  </si>
  <si>
    <t>10.3.5.</t>
  </si>
  <si>
    <t>10.3.6.</t>
  </si>
  <si>
    <t>10.3.7.</t>
  </si>
  <si>
    <t>10.3.9.</t>
  </si>
  <si>
    <t>10.4.1.</t>
  </si>
  <si>
    <t>10.4.2.</t>
  </si>
  <si>
    <t>10.5.1.</t>
  </si>
  <si>
    <t>10.6.1.</t>
  </si>
  <si>
    <r>
      <t>Jūrmalas pilsētas pašvaldības budžeta izdevumi 2015.gadam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</si>
  <si>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Asignējumu apjoms 2015.gadam</t>
  </si>
  <si>
    <t>Notekūdeņu apsaimniekošana (meliorācijas sistēmas apsaimniekošana)</t>
  </si>
  <si>
    <t>Notekūdeņu apsaimniekošana (lietus ūdens kanalizācija)</t>
  </si>
  <si>
    <t>Metadona kabinets</t>
  </si>
  <si>
    <t>Atbalstāmie pasākumi Dzintaru koncertzālē</t>
  </si>
  <si>
    <t>Iestādes uzturēšana, interešu izglītības un jaunatnes darba nodrošinājums</t>
  </si>
  <si>
    <t>Projekts "Eiropas brīvprātīgais Jūrmalas BJIC"</t>
  </si>
  <si>
    <t>Reģionālā metodiskā centra un pedagogu tālākizglītības centra darbības nodrošināšana</t>
  </si>
  <si>
    <t>Iestādes uzturēšana,interešu un profesionālās ievirzes izglītības nodrošināšana</t>
  </si>
  <si>
    <t>Dienas nodarbinātības centrs - specializētā darbnīca</t>
  </si>
  <si>
    <t>Projekts "Atcere – totalitārisms Eiropā un vēsturiskā apziņa Eiropas kontekstā"</t>
  </si>
  <si>
    <t xml:space="preserve">Projekts "Skolotāji-mācīšanās līderi" </t>
  </si>
  <si>
    <t>Projekts "Eko-mijiedarbība"</t>
  </si>
  <si>
    <t>Kapitālsabiedrības organizēto koncertu pieejamības veicināšana</t>
  </si>
  <si>
    <t>Saņemts  no Valsts kases sadales konta pārskata gadā ieskaitītais iedzīvotāju ienākuma nodoklis</t>
  </si>
  <si>
    <t>10.1.5.0.</t>
  </si>
  <si>
    <t xml:space="preserve">Naudas sodi, ko uzliek par pārkāpumiem ceļu satiksmē </t>
  </si>
  <si>
    <t>Ieņēmumi no valsts un pašvaldību kustamā īpašuma un mantas realizācijas</t>
  </si>
  <si>
    <t>21.3.9.7.</t>
  </si>
  <si>
    <t>F55 01 00 20</t>
  </si>
  <si>
    <t>Akcijas un cita līdzdalība komersantu pašu kapitālā, neskaitot kopieguldījumu fondu akcijas (pārdošana)</t>
  </si>
  <si>
    <t>Ielu asfalta seguma kapitālajam remontam</t>
  </si>
  <si>
    <t>Mācību korpusa lit.002 rekonstrukcijai bez apjoma palielināšanas Dūņu ceļā 2, Jūrmalā</t>
  </si>
  <si>
    <t>Ēkas lit.002 rekonstrukcija par mākslas skolu Strēlnieku pr.30 un Jāņa Poruka prospekta izbūve posmā no Friča Brīvzemnieka ielas līdz sporta zālei "Taurenītis"</t>
  </si>
  <si>
    <t>Nekustamā īpašuma iegāde Tukuma ielā 42, Jūrmalā iegāde</t>
  </si>
  <si>
    <t xml:space="preserve">Mērķdotācija tautas tērpu un to detaļu vai mūzikas instrumentu iegādei </t>
  </si>
  <si>
    <t>Mērķdotācija pedagogu atalgojumam profesionālās ievirzes izglītības programmu finansēšanai</t>
  </si>
  <si>
    <r>
      <t>Jūrmalas pilsētas pašvaldības 2015.gada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</si>
  <si>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Kredīta atmaksa - Bērnudārza jaunbūve Tukuma ielā 9, Jūrmalā</t>
  </si>
  <si>
    <t>Kredīta atmaksa - Bērnudārza "Katrīna" ēkas rekonstrukcija</t>
  </si>
  <si>
    <t>Kredīta atmaksa - Raiņa ielas rekonstrukcija posmā no Satiksmes ielas līdz Nometņu ielai</t>
  </si>
  <si>
    <t>Kredīta atmaksa - Ēkas rekonstrukcija ar funkcijas maiņu par sociālās aprūpes ēku ar publiski pieejamām telpām 1.stāvā Skolas ielā 44</t>
  </si>
  <si>
    <t>Kredīta atmaksa - Aspazijas mājas Nr.002 restaurācija un ēkas Nr.001 rekonstrukcija, saglabājot funkciju muzejs Z.Meierovica prospektā 18/20, Jūrmalā</t>
  </si>
  <si>
    <t>Kredīta atmaksa - Jūrmalas Valsts ģimnāzijas un sākumskolas "Atvase" daudzfunkcionālās sporta halles projektēšana un celtniecība</t>
  </si>
  <si>
    <t>Kredīta atmaksa - Ielu asfalta seguma kapitālais remonts</t>
  </si>
  <si>
    <t>Kredīta atmaksa - Jūrmalas pilsētas tranzītielas P128 (Talsu šoseja/Kolkas iela) izbūve</t>
  </si>
  <si>
    <t>Sporta skolas pasākumi</t>
  </si>
  <si>
    <t>Kredīta atmaksa - Dzintaru koncertzāles slēgtās zāles rekonstrukcija/restaurācija Turaidas ielā 1, Jūrmalā</t>
  </si>
  <si>
    <t>Kredīta atmaksa - Ēkas lit.002 rekonstrukcija par Mākslas skolu Strēlnieku prospektā 30 un Jāņa Poruka prospekta izbūve posmā no Friča Brīvzemnieka ielas līdz sporta zālei "Taurenītis" Jūrmalā</t>
  </si>
  <si>
    <t>Kredīta atmaksa - Kompleksi risinājumi siltumnīcefekta gāzu emisiju samazināšanai Jūrmalas pilsētas Mežmalas vidusskolā</t>
  </si>
  <si>
    <t>Aizņēmumu atmaksa F40020020</t>
  </si>
  <si>
    <t>Jūrmalas ūdenssaimniecības projekts III kārta</t>
  </si>
  <si>
    <t>Jūrmalas ūdenssaimniecības projekts II kārta</t>
  </si>
  <si>
    <t>5.5.3.1.</t>
  </si>
  <si>
    <t>Dabas resursu nodoklis par dabas resursu ieguvi un vides piesārņošanu</t>
  </si>
  <si>
    <t>Procentu ieņēmumi par kontu atlikumiem</t>
  </si>
  <si>
    <t>8.6.2.0.</t>
  </si>
  <si>
    <t>8.6.2.2.</t>
  </si>
  <si>
    <t>Pašvaldību budžeta procentu ieņēmumi par kontu atlikumiem Valsts kasē (Latvijas Bankā) vai kredītiestādēs</t>
  </si>
  <si>
    <t>10.3.0.0.</t>
  </si>
  <si>
    <t>Soda sankcijas par vispārējiem nodokļu maksāšanas pārkāpumiem</t>
  </si>
  <si>
    <t>15.pielikums</t>
  </si>
  <si>
    <t>Pilsētas ekonomiskās attīstības pasākumi</t>
  </si>
  <si>
    <t>4.pielikums</t>
  </si>
  <si>
    <t>12.pielikums</t>
  </si>
  <si>
    <t>Jūrmalas pilsētas pašvaldības 2015.-2017.gada Ceļu fonda izlietojuma programma</t>
  </si>
  <si>
    <t>8.pielikums</t>
  </si>
  <si>
    <t>Projekts "Jūrmalas kūrortpilsētas dalība ārvalstu starptautiskajās tūrisma izstādēs, gadatirgos un konferencēs-2014"</t>
  </si>
  <si>
    <t>Projekts "Jūrmalas kūrortpilsētas dalība ārvalstu starptautiskajās tūrisma izstādēs, gadatirgos un konferencēs - 2015"</t>
  </si>
  <si>
    <t>Projekts "Jūrmalas kūrortpilsētas dalība ārvalstu starptautiskajās tūrisma izstādēs, gadatirgos un konferencēs - 2015/2"</t>
  </si>
  <si>
    <t>Pašvaldības autobusa uzturēšanas izdevumi</t>
  </si>
  <si>
    <t>Centralizēti pasākumi</t>
  </si>
  <si>
    <t>Administratīvo ēku būvniecība, atjaunošana un uzlabošana</t>
  </si>
  <si>
    <t>Glābšanas staciju būvniecība, atjaunošana un uzlabošana</t>
  </si>
  <si>
    <t>Publisku teritoriju, ēku un mājokļu būvniecība, atjaunošana un uzlabošana</t>
  </si>
  <si>
    <t>Bibliotēku ēku būvniecība, atjaunošana un uzlabošana</t>
  </si>
  <si>
    <t>Kultūras centru un namu būvniecība, atjaunošana un uzlabošana</t>
  </si>
  <si>
    <t>Teātru, koncertzāļu, estrāžu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</si>
  <si>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</si>
  <si>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</si>
  <si>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</si>
  <si>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</si>
  <si>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Pirmsskolas izglītības nodrošināšana</t>
  </si>
  <si>
    <t>Pilsētas mežu un publiskās teritorijās esošo koku kopšanas pasākumi</t>
  </si>
  <si>
    <t>Kulturas pasākumi</t>
  </si>
  <si>
    <t>Sabiedrisko attiecību veidošanas pasākumi</t>
  </si>
  <si>
    <t>Zivju resursu atjaunošana</t>
  </si>
  <si>
    <t>Vides piesārņojuma novēršana un samazināšana</t>
  </si>
  <si>
    <t>05.1.1.</t>
  </si>
  <si>
    <t>Vides aizsardzības pasākumi bioloģiskās daudzveidības un ainavas aizsardzības jomā</t>
  </si>
  <si>
    <t>05.1.2.</t>
  </si>
  <si>
    <t>05.1.3.</t>
  </si>
  <si>
    <t>01.1.4.</t>
  </si>
  <si>
    <t>Ar tiesvedības procesiem saistīti izdevumi</t>
  </si>
  <si>
    <t>Juridiskie pakalpojumi ar pašvaldības darbu saistītos jautājumos</t>
  </si>
  <si>
    <t>21.pielikums</t>
  </si>
  <si>
    <t>11., 12.pielikums</t>
  </si>
  <si>
    <t>10., 13.pielikums</t>
  </si>
  <si>
    <t>10.pielikums</t>
  </si>
  <si>
    <t>6.pielikums</t>
  </si>
  <si>
    <t>18.pielikums</t>
  </si>
  <si>
    <t>17.pielikums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</si>
  <si>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</si>
  <si>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</si>
  <si>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</si>
  <si>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</si>
  <si>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</si>
  <si>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</si>
  <si>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>28.pielikums</t>
  </si>
  <si>
    <t xml:space="preserve">Pārējais citur neklasificēts atbalsts sociāli atstumtām personām </t>
  </si>
  <si>
    <t>Pārējie citur neklasificētie sociālās aizsardzības pasākumi</t>
  </si>
  <si>
    <t xml:space="preserve">Projekts "Kompleksi risinājumi siltumnīcefekta gāzu emisijas samazināšanai Jūrmalas pilsētas Mežmalas vidusskolā" </t>
  </si>
  <si>
    <t>Projekts "Inovatīvi risinājumi pieejama – sociāli iekļaujoša tūrisma produkta attīstībai Latvijas pašvaldībās"</t>
  </si>
  <si>
    <t>5., 7.,8.pielikums</t>
  </si>
  <si>
    <t>Bilance</t>
  </si>
  <si>
    <t>9.5.1.9.</t>
  </si>
  <si>
    <t>Pašvaldības nodeva par pašvaldības simbolikas izmantošanu</t>
  </si>
  <si>
    <t>12.3.1.0.</t>
  </si>
  <si>
    <t>12.3.1.2.</t>
  </si>
  <si>
    <t>12.3.1.3.</t>
  </si>
  <si>
    <t>Ieņēmumi no privatizācijs</t>
  </si>
  <si>
    <t>Ieņēmumi no dzīvojamo māju privatizācijas</t>
  </si>
  <si>
    <t>Ieņēmumi no neapbūvēta zemesgabala privatizācijas</t>
  </si>
  <si>
    <t>19.1.0.0.</t>
  </si>
  <si>
    <t>Pašvaldības budžeta iekšējie transferti starp vienas pašvaldības budžeta veidiem</t>
  </si>
  <si>
    <t>01.1.3.</t>
  </si>
  <si>
    <t>03.1.3.</t>
  </si>
  <si>
    <t>04.1.6.
04.1.8.</t>
  </si>
  <si>
    <t>04.1.7.</t>
  </si>
  <si>
    <t>04.1.12.</t>
  </si>
  <si>
    <t>04.1.14.</t>
  </si>
  <si>
    <t>04.1.15.</t>
  </si>
  <si>
    <t>04.1.16.</t>
  </si>
  <si>
    <t>05.1.5.</t>
  </si>
  <si>
    <t>01.1.2. 01.1.6</t>
  </si>
  <si>
    <t>06.1.5.</t>
  </si>
  <si>
    <t>06.1.1. 06.1.6.</t>
  </si>
  <si>
    <t>06.1.7.</t>
  </si>
  <si>
    <t>06.3.2.</t>
  </si>
  <si>
    <t>08.1.3.</t>
  </si>
  <si>
    <t>08.1.2.</t>
  </si>
  <si>
    <t>08.1.7.</t>
  </si>
  <si>
    <t>08.1.8.
08.1.9.</t>
  </si>
  <si>
    <t>08.1.10.</t>
  </si>
  <si>
    <t>08.1.11.</t>
  </si>
  <si>
    <t>08.2.2.</t>
  </si>
  <si>
    <t>08.2.3.</t>
  </si>
  <si>
    <t>08.2.4.</t>
  </si>
  <si>
    <t>08.2.5.</t>
  </si>
  <si>
    <t>08.2.6.</t>
  </si>
  <si>
    <t>08.2.7.</t>
  </si>
  <si>
    <t>08.7.2.</t>
  </si>
  <si>
    <t>08.7.3.</t>
  </si>
  <si>
    <t>08.7.4.</t>
  </si>
  <si>
    <t>09.1.9.</t>
  </si>
  <si>
    <t>09.1.2.</t>
  </si>
  <si>
    <t>09.1.8.</t>
  </si>
  <si>
    <t>09.1.7.</t>
  </si>
  <si>
    <t>09.1.10.</t>
  </si>
  <si>
    <t>09.5.3.</t>
  </si>
  <si>
    <t>09.5.4.</t>
  </si>
  <si>
    <t>09.24.4.</t>
  </si>
  <si>
    <t>10.1.1.</t>
  </si>
  <si>
    <t>Jūrmalas pilsētas muzeja filiāles, Aspazijas mājas digitālās ekspozīcijas ieviešana</t>
  </si>
  <si>
    <t>08.6.3.</t>
  </si>
  <si>
    <t>Mājas aprūpes un pavadoņu pakalpojuma nodrošināšana</t>
  </si>
  <si>
    <t>Projekta "Dienas aprūpe bērniem ar funkcionāliem traucējumiem" ilgtspējas nodrošināšana</t>
  </si>
  <si>
    <t>Iepriekšējo gadu pamatkapitāla palielināšana</t>
  </si>
  <si>
    <t>Pilsētas teritoriju labiekārtošanas pasākumi</t>
  </si>
  <si>
    <t>01.2.1.</t>
  </si>
  <si>
    <t>01.2.2.</t>
  </si>
  <si>
    <t>01.2.3.</t>
  </si>
  <si>
    <t>01.2.4.</t>
  </si>
  <si>
    <t>04.3.1.</t>
  </si>
  <si>
    <t>04.3.2.</t>
  </si>
  <si>
    <t>04.3.3.</t>
  </si>
  <si>
    <t>10.2.9.</t>
  </si>
  <si>
    <t>Pilsētas ielu apgaismojuma nodrošināšana</t>
  </si>
  <si>
    <t>10.3.8.</t>
  </si>
  <si>
    <t>10.3.10.</t>
  </si>
  <si>
    <t>Pilsētas kultūras un atpūtas pasākumi</t>
  </si>
  <si>
    <t>Pirmsskolas izglītības iestāde "Podziņa"</t>
  </si>
  <si>
    <t>01.1.7.</t>
  </si>
  <si>
    <t>08.1.1.
08.1.12</t>
  </si>
  <si>
    <t>09.1.5.</t>
  </si>
  <si>
    <t>Projekta "Grupu dzīvokļa pakalpojuma izveide un nodrošināšana Jūrmalā" ilgtspējas nodrošināšana</t>
  </si>
  <si>
    <t>Projekta "Sociālās rehabilitācijas programmas izstrāde un ieviešana dienas centrā Jūrmalas pilsētā dzīvojošo Romu tautības iedzīvotājiem" ilgtspējas nodrošināšana</t>
  </si>
  <si>
    <t>31.pielikums</t>
  </si>
  <si>
    <t>04.1.13.</t>
  </si>
  <si>
    <t>Dienas aprūpe bērniem ar funkcionāliem traucējumiem</t>
  </si>
  <si>
    <t>SIA "Jūrmalas slimnīca"</t>
  </si>
  <si>
    <t>Mēķdotācijamāksliniecisko kolektīvu vadītājiem (Mūz.sk.)</t>
  </si>
  <si>
    <t>30.pielikums</t>
  </si>
  <si>
    <t>29.pielikums</t>
  </si>
  <si>
    <t>Mūzikas skolas būvniecība</t>
  </si>
  <si>
    <t>Lielupes vidusskolas rekonstrukcija 2 kārtās (t.sk. sporta zāles būvniecība), (2.kārtas projektēšana, skolas ēkas būvniecība)</t>
  </si>
  <si>
    <t>Pamatkapitāla palielināšana - Ķemeru kapličas kapitālais remonts un atkritumu konteineru iegāde</t>
  </si>
  <si>
    <t>Jūrmalas pilsētas Pašvaldības policija</t>
  </si>
  <si>
    <t>Jūrmalas pilsētas Jaundubultu vidusskola</t>
  </si>
  <si>
    <t>Jūrmalas Mākslas skola</t>
  </si>
  <si>
    <t>Jūrmalas Mūzikas vidusskola</t>
  </si>
  <si>
    <t>Jūrmalas Sporta skola</t>
  </si>
  <si>
    <t>08.1.6. 08.1.14.</t>
  </si>
  <si>
    <t>04.1.3. 04.1.18.</t>
  </si>
  <si>
    <t>07.3.1.</t>
  </si>
  <si>
    <t>09.1.4. 09.1.6. 09.1.11.</t>
  </si>
  <si>
    <t>10.2.5.</t>
  </si>
  <si>
    <t>F40320010</t>
  </si>
  <si>
    <t>Mērķdotācija asistentu pakalpojumu nodrošināšanai skolās</t>
  </si>
  <si>
    <t>Projekts "Kompleksi risinājumi siltumnīcefekta gāzu emisiju samazināšanai Jūrmalas pilsētas Mežmalas vidusskolā"</t>
  </si>
  <si>
    <t>F40020010</t>
  </si>
  <si>
    <t>20.pielikums</t>
  </si>
  <si>
    <t>13., 19., 20.pielikums</t>
  </si>
  <si>
    <t>10., 20.pielikums</t>
  </si>
  <si>
    <t>26.pielikums</t>
  </si>
  <si>
    <t>21., 24.pielikums</t>
  </si>
  <si>
    <t>24., 25.pielikums</t>
  </si>
  <si>
    <t>21., 24., 25.pielikums</t>
  </si>
  <si>
    <t>2015.gada budžets</t>
  </si>
  <si>
    <t>Procentu ieņēmumi par depozītiem, kontu atlikumiem, valsts parāda vērtspapīriem un atlikto maksājumu</t>
  </si>
  <si>
    <t>Valsts nodevas par laulības reģistrāciju, civilstāvokļa aktu reģistra ieraksta aktualizēšanu vai atjaunošanu un atkārtotas civilstāvokļa aktu reģistrācijas apliecības izsniegšanu</t>
  </si>
  <si>
    <t>IESTĀDES IEŅĒMUMI</t>
  </si>
  <si>
    <t>Iestādes ieņēmumi no ārvalstu finanšu palīdzības</t>
  </si>
  <si>
    <t>Ieņēmumi no citu Eiropas Savienības politiku instrumentu līdzfinansēto projektu un pasākumu īstenošanas un saņemtās ārvalstu finanšu palīdzības, kas nav Eiropas Savienības struktūrfondi</t>
  </si>
  <si>
    <t>Ieņēmumi no iestāžu sniegtajiem maksas pakalpojumiem un citi pašu ieņēmumi</t>
  </si>
  <si>
    <t>Ieņēmumi par pārējiem sniegtajiem maksas pakalpojumiem</t>
  </si>
  <si>
    <t>Iestādes saņemtā atlīdzība no apdrošināšanas sabiedrības par bojātu nekustamo īpašumu un kustamo mantu, tai skaitā autoavārijā cietušu automašīnu</t>
  </si>
  <si>
    <t>Pārējie 21.3.0.0.grupā neklasificētie iestāžu ieņēmumi par iestāžu sniegtajiem maksas pakalpojumiem un citi pašu ieņēmumi</t>
  </si>
  <si>
    <t>1.pielikums Jūrmalas pilsētas domes</t>
  </si>
  <si>
    <t xml:space="preserve">ERASMUS+ Projekts "Dažādu metožu izmantošana dabaszinātņu mācīšanā, lai veicinātu skolēnu motivāciju un uzlabotu viņu izglītības līmeni" </t>
  </si>
  <si>
    <t>09.31.3.</t>
  </si>
  <si>
    <t>PB grozījumi, kopā</t>
  </si>
  <si>
    <t>Privatizājamā SIA "Jūrmalas namsaimnieks"</t>
  </si>
  <si>
    <t>Pašvaldības nekustamo īpasūmu (dzīvojamā, nedzīvojamā un vasarnīcu fondu) apsaimniekošana</t>
  </si>
  <si>
    <t>Pašvaldības izglītības iestāžu ēku un teritoriju apsaimniekošana, t.sk:</t>
  </si>
  <si>
    <t>Pirmsskolas izglītības iestāžu un teritoriju apsaimniekošana</t>
  </si>
  <si>
    <t>Interešu un profesionālās izglītības iestāžu un teritoriju apsaimniekošana</t>
  </si>
  <si>
    <t>Vispārējās izglītības iestāžu un teritoriju apsaimniekošana</t>
  </si>
  <si>
    <t>VB grozījumi, kopā</t>
  </si>
  <si>
    <t>MP grozījumi, kopā</t>
  </si>
  <si>
    <t>Izmaiņas, kopā</t>
  </si>
  <si>
    <t>Projekts "Jūrmalas jauniešu mēnesis 2014"</t>
  </si>
  <si>
    <t>09.1.12.</t>
  </si>
  <si>
    <t>Projekts "Siltumnīcefekta gāzu emisiju samazināšana transporta sektora Jūrmalas pilsētā"</t>
  </si>
  <si>
    <t>SN 03.02.2015., Nr.3</t>
  </si>
  <si>
    <t>Pašvaldības budžeta norēķini ar valsts budžetu</t>
  </si>
  <si>
    <t>08.6.4.</t>
  </si>
  <si>
    <t>Projekts "Dream Do Decide"</t>
  </si>
  <si>
    <t>Atlikums gada beigās, t.sk. ieņēmumu pārsniegums pār izdevumiem</t>
  </si>
  <si>
    <t>Atlikums pamatkapitāla palielinājumam</t>
  </si>
  <si>
    <t>08.1.13. 08.1.15.</t>
  </si>
  <si>
    <t xml:space="preserve"> </t>
  </si>
  <si>
    <t>Projekts "Algoti pagaidu sabiedriskie darbi"</t>
  </si>
  <si>
    <t>Aspazijas mājā skan radio;  Aspazijas māja Jūrmalā; Dalība Starptautiskā Literatūras muzeju komitejā Krievijā; Koka zvejas kuģa "Marts" pieejamības nodrošināšana Jūrmalas Brīvdabas muzejā</t>
  </si>
  <si>
    <t>Pamatbudžets apstiprināts</t>
  </si>
  <si>
    <t>SN 19.02.2015., Nr.5</t>
  </si>
  <si>
    <t>Valsts budžeta transferti, aptiprināti</t>
  </si>
  <si>
    <t>Maksas pakalpojumi, apstiprināti</t>
  </si>
  <si>
    <t>Ziedojumi, apstiprināti</t>
  </si>
  <si>
    <t>9</t>
  </si>
  <si>
    <t>Ziedojumi, grozījumi, kopā</t>
  </si>
  <si>
    <t>Kopā, apstiprināts</t>
  </si>
  <si>
    <t>2015.gada budžets, apstiprināts</t>
  </si>
  <si>
    <t>Rīkojums 22.01.2015., Nr.1.1-14/30</t>
  </si>
  <si>
    <t>Rīkojums 27.01.2015., Nr.1.1-14/35</t>
  </si>
  <si>
    <t>06.1.3.
06.1.8. 06.1.9.
06.1.10.</t>
  </si>
  <si>
    <t>Jūrmalas sporta servisa centrs</t>
  </si>
  <si>
    <t>08.8.1.</t>
  </si>
  <si>
    <t>08.8.2.</t>
  </si>
  <si>
    <t>nav reģistrēts</t>
  </si>
  <si>
    <t>08.8.3.</t>
  </si>
  <si>
    <t>Majoru sporta laukuma uzturēšana</t>
  </si>
  <si>
    <t>Jūrmalas pilsētas stadiona "Sloka" uzturēšana</t>
  </si>
  <si>
    <t>PSIA "Kauguru veselības centrs"</t>
  </si>
  <si>
    <t>Pamatkapitāla palielināšana, Ūdensvada un kanalizācijas izbūve</t>
  </si>
  <si>
    <t>(Protokols Nr.6, ___.punkts)</t>
  </si>
  <si>
    <t>07.4.1.</t>
  </si>
  <si>
    <t>Ūdensapgādes un kanalizācijas tīklu attīstība Jūrmalas pašvaldībā (pamatkapitāla palielināšana)</t>
  </si>
  <si>
    <t>05.2.5.</t>
  </si>
  <si>
    <t>05.2.6.</t>
  </si>
  <si>
    <t>R 24.02.2015., Nr.1.1-14/70, 25.02.2015., Nr.1.1-14/72</t>
  </si>
  <si>
    <t>SN 05.03.2015., Nr.13</t>
  </si>
  <si>
    <t>SN 05.03.2015. Nr.13</t>
  </si>
  <si>
    <t>01.2.5.</t>
  </si>
  <si>
    <t>04.1.17.</t>
  </si>
  <si>
    <t>04.1.19.</t>
  </si>
  <si>
    <t>Projekts "Pašvaldību dalība starptautiskās izstādēs"</t>
  </si>
  <si>
    <t>04.1.20.</t>
  </si>
  <si>
    <t>Projekts "Eurodesk reģionālā koordinatora pakalpojumi 2015.gadā"</t>
  </si>
  <si>
    <t>09.4.4.</t>
  </si>
  <si>
    <t>SN nākamie</t>
  </si>
  <si>
    <t>Projekts "Ar mērķi nākotnē"</t>
  </si>
  <si>
    <t>09.1.13.</t>
  </si>
  <si>
    <t>Projekts "Lietpratīga pārvaldība un Latvijas pašvaldību veiktspējas uzlabošana"</t>
  </si>
  <si>
    <t>09.1.14.</t>
  </si>
  <si>
    <t>R 16.03.2015., Nr.1.1-14/100, 02.04.2015., Nr.1.1-14/122, 09.04.2015., Nr.1.1-14/131, 20.04.2015., Nr.1.1-14/140, 28.04.2015., Nr.1.1-14/151</t>
  </si>
  <si>
    <t>2015.gada ________ saistošajiem noteikumiem Nr.___</t>
  </si>
  <si>
    <t>Pašvaldības nekustamo īpašumu, kuros tiek nodrošināta ilgstoša sociālā aprūpe būvniecība, atjaunošana un uzlabošana</t>
  </si>
  <si>
    <t>10.1.2.</t>
  </si>
  <si>
    <t>SN 07.05.2015., Nr.21</t>
  </si>
  <si>
    <t>Sabiedrība ar ierobežotu atbildību "Dzintaru koncertzāle"</t>
  </si>
  <si>
    <t>R 28.05.2015., Nr.1.1-14/178</t>
  </si>
  <si>
    <t>SN nakamie</t>
  </si>
  <si>
    <t>2015.gada 11.jūnija saistošajiem noteikumiem Nr.23</t>
  </si>
  <si>
    <t>(Protokols Nr.11, 15.punkts)</t>
  </si>
  <si>
    <t>2014.gada 11.jūnija saistošajiem noteikumiem Nr.23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</si>
</sst>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b/>
      <i/>
      <sz val="14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u/>
      <sz val="9"/>
      <color indexed="12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3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5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</fills>
  <borders count="1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06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0" fontId="7" fillId="0" borderId="28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right" vertical="center" wrapText="1"/>
    </xf>
    <xf numFmtId="0" fontId="8" fillId="3" borderId="29" xfId="2" applyFont="1" applyFill="1" applyBorder="1" applyAlignment="1">
      <alignment horizontal="left" vertical="center" wrapText="1"/>
    </xf>
    <xf numFmtId="3" fontId="8" fillId="3" borderId="29" xfId="2" applyNumberFormat="1" applyFont="1" applyFill="1" applyBorder="1" applyAlignment="1">
      <alignment horizontal="right" vertical="center" wrapText="1"/>
    </xf>
    <xf numFmtId="0" fontId="5" fillId="0" borderId="28" xfId="2" applyFont="1" applyFill="1" applyBorder="1" applyAlignment="1">
      <alignment vertical="center"/>
    </xf>
    <xf numFmtId="0" fontId="5" fillId="0" borderId="29" xfId="2" applyFont="1" applyFill="1" applyBorder="1" applyAlignment="1">
      <alignment vertical="center" wrapText="1"/>
    </xf>
    <xf numFmtId="3" fontId="5" fillId="0" borderId="29" xfId="2" applyNumberFormat="1" applyFont="1" applyFill="1" applyBorder="1" applyAlignment="1">
      <alignment horizontal="right" vertical="center" wrapText="1"/>
    </xf>
    <xf numFmtId="0" fontId="4" fillId="0" borderId="30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 wrapText="1"/>
    </xf>
    <xf numFmtId="3" fontId="4" fillId="0" borderId="31" xfId="2" applyNumberFormat="1" applyFont="1" applyFill="1" applyBorder="1" applyAlignment="1">
      <alignment vertical="center"/>
    </xf>
    <xf numFmtId="0" fontId="4" fillId="0" borderId="32" xfId="2" applyFont="1" applyFill="1" applyBorder="1" applyAlignment="1">
      <alignment vertical="center"/>
    </xf>
    <xf numFmtId="0" fontId="4" fillId="0" borderId="33" xfId="2" applyFont="1" applyFill="1" applyBorder="1" applyAlignment="1">
      <alignment vertical="center" wrapText="1"/>
    </xf>
    <xf numFmtId="3" fontId="4" fillId="0" borderId="33" xfId="2" applyNumberFormat="1" applyFont="1" applyFill="1" applyBorder="1" applyAlignment="1">
      <alignment vertical="center"/>
    </xf>
    <xf numFmtId="0" fontId="4" fillId="0" borderId="34" xfId="2" applyFont="1" applyFill="1" applyBorder="1" applyAlignment="1">
      <alignment vertical="center"/>
    </xf>
    <xf numFmtId="0" fontId="4" fillId="0" borderId="35" xfId="2" applyFont="1" applyFill="1" applyBorder="1" applyAlignment="1">
      <alignment vertical="center" wrapText="1"/>
    </xf>
    <xf numFmtId="3" fontId="4" fillId="0" borderId="35" xfId="2" applyNumberFormat="1" applyFont="1" applyFill="1" applyBorder="1" applyAlignment="1">
      <alignment vertical="center"/>
    </xf>
    <xf numFmtId="3" fontId="8" fillId="3" borderId="29" xfId="2" applyNumberFormat="1" applyFont="1" applyFill="1" applyBorder="1" applyAlignment="1">
      <alignment vertical="center"/>
    </xf>
    <xf numFmtId="3" fontId="5" fillId="0" borderId="29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 wrapText="1"/>
    </xf>
    <xf numFmtId="3" fontId="4" fillId="0" borderId="29" xfId="2" applyNumberFormat="1" applyFont="1" applyFill="1" applyBorder="1" applyAlignment="1">
      <alignment vertical="center"/>
    </xf>
    <xf numFmtId="0" fontId="5" fillId="0" borderId="29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3" fontId="4" fillId="0" borderId="3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wrapText="1"/>
    </xf>
    <xf numFmtId="0" fontId="4" fillId="0" borderId="28" xfId="2" applyFont="1" applyFill="1" applyBorder="1"/>
    <xf numFmtId="0" fontId="4" fillId="0" borderId="29" xfId="2" applyFont="1" applyFill="1" applyBorder="1" applyAlignment="1">
      <alignment wrapText="1"/>
    </xf>
    <xf numFmtId="0" fontId="8" fillId="3" borderId="29" xfId="2" applyFont="1" applyFill="1" applyBorder="1" applyAlignment="1">
      <alignment vertical="center" wrapText="1"/>
    </xf>
    <xf numFmtId="0" fontId="4" fillId="0" borderId="13" xfId="2" applyFont="1" applyFill="1" applyBorder="1" applyAlignment="1">
      <alignment vertical="center"/>
    </xf>
    <xf numFmtId="0" fontId="4" fillId="0" borderId="15" xfId="2" applyFont="1" applyFill="1" applyBorder="1" applyAlignment="1">
      <alignment vertical="center" wrapText="1"/>
    </xf>
    <xf numFmtId="3" fontId="4" fillId="0" borderId="15" xfId="2" applyNumberFormat="1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0" fontId="4" fillId="0" borderId="38" xfId="2" applyFont="1" applyFill="1" applyBorder="1" applyAlignment="1">
      <alignment vertical="center" wrapText="1"/>
    </xf>
    <xf numFmtId="3" fontId="4" fillId="0" borderId="38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vertical="top" wrapText="1"/>
    </xf>
    <xf numFmtId="0" fontId="4" fillId="0" borderId="29" xfId="2" applyFont="1" applyFill="1" applyBorder="1" applyAlignment="1">
      <alignment vertical="top" wrapText="1"/>
    </xf>
    <xf numFmtId="0" fontId="5" fillId="0" borderId="28" xfId="2" applyFont="1" applyFill="1" applyBorder="1" applyAlignment="1">
      <alignment horizontal="left" vertical="center"/>
    </xf>
    <xf numFmtId="0" fontId="5" fillId="0" borderId="28" xfId="2" applyFont="1" applyFill="1" applyBorder="1"/>
    <xf numFmtId="0" fontId="5" fillId="0" borderId="29" xfId="2" applyFont="1" applyFill="1" applyBorder="1" applyAlignment="1">
      <alignment wrapText="1"/>
    </xf>
    <xf numFmtId="0" fontId="4" fillId="0" borderId="40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5" xfId="2" applyFont="1" applyFill="1" applyBorder="1"/>
    <xf numFmtId="0" fontId="4" fillId="0" borderId="26" xfId="2" applyFont="1" applyFill="1" applyBorder="1"/>
    <xf numFmtId="0" fontId="5" fillId="0" borderId="25" xfId="2" applyFont="1" applyFill="1" applyBorder="1"/>
    <xf numFmtId="0" fontId="5" fillId="0" borderId="26" xfId="2" applyFont="1" applyFill="1" applyBorder="1"/>
    <xf numFmtId="0" fontId="4" fillId="0" borderId="29" xfId="2" applyFont="1" applyFill="1" applyBorder="1" applyAlignment="1">
      <alignment horizontal="left" wrapText="1"/>
    </xf>
    <xf numFmtId="0" fontId="4" fillId="0" borderId="13" xfId="2" applyFont="1" applyFill="1" applyBorder="1"/>
    <xf numFmtId="0" fontId="4" fillId="0" borderId="14" xfId="2" applyFont="1" applyFill="1" applyBorder="1"/>
    <xf numFmtId="0" fontId="4" fillId="0" borderId="42" xfId="2" applyFont="1" applyFill="1" applyBorder="1"/>
    <xf numFmtId="3" fontId="5" fillId="0" borderId="43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3" fontId="4" fillId="0" borderId="15" xfId="2" applyNumberFormat="1" applyFont="1" applyFill="1" applyBorder="1" applyAlignment="1">
      <alignment horizontal="right" vertical="center"/>
    </xf>
    <xf numFmtId="0" fontId="9" fillId="0" borderId="45" xfId="2" applyFont="1" applyFill="1" applyBorder="1" applyAlignment="1">
      <alignment horizontal="center" vertical="center"/>
    </xf>
    <xf numFmtId="0" fontId="8" fillId="4" borderId="29" xfId="2" applyFont="1" applyFill="1" applyBorder="1" applyAlignment="1">
      <alignment wrapText="1"/>
    </xf>
    <xf numFmtId="3" fontId="4" fillId="5" borderId="15" xfId="2" applyNumberFormat="1" applyFont="1" applyFill="1" applyBorder="1" applyAlignment="1">
      <alignment horizontal="right" vertical="center"/>
    </xf>
    <xf numFmtId="3" fontId="8" fillId="4" borderId="15" xfId="2" applyNumberFormat="1" applyFont="1" applyFill="1" applyBorder="1" applyAlignment="1">
      <alignment horizontal="right" vertical="center"/>
    </xf>
    <xf numFmtId="0" fontId="4" fillId="0" borderId="29" xfId="2" applyFont="1" applyFill="1" applyBorder="1" applyAlignment="1">
      <alignment horizontal="right" wrapText="1"/>
    </xf>
    <xf numFmtId="0" fontId="4" fillId="0" borderId="46" xfId="2" applyFont="1" applyFill="1" applyBorder="1" applyAlignment="1">
      <alignment vertical="center" wrapText="1"/>
    </xf>
    <xf numFmtId="3" fontId="4" fillId="0" borderId="46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horizontal="right" vertical="center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3" fontId="4" fillId="0" borderId="38" xfId="0" applyNumberFormat="1" applyFont="1" applyFill="1" applyBorder="1" applyAlignment="1">
      <alignment horizontal="right" vertical="center" wrapText="1"/>
    </xf>
    <xf numFmtId="49" fontId="4" fillId="0" borderId="50" xfId="0" applyNumberFormat="1" applyFont="1" applyFill="1" applyBorder="1" applyAlignment="1">
      <alignment horizontal="left" vertical="center" wrapText="1"/>
    </xf>
    <xf numFmtId="3" fontId="4" fillId="0" borderId="51" xfId="0" applyNumberFormat="1" applyFont="1" applyFill="1" applyBorder="1" applyAlignment="1">
      <alignment horizontal="righ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3" fontId="4" fillId="6" borderId="31" xfId="2" applyNumberFormat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31" xfId="2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4" fillId="0" borderId="29" xfId="2" applyNumberFormat="1" applyFont="1" applyFill="1" applyBorder="1" applyAlignment="1">
      <alignment horizontal="right" vertical="center"/>
    </xf>
    <xf numFmtId="0" fontId="11" fillId="0" borderId="28" xfId="2" applyFont="1" applyFill="1" applyBorder="1" applyAlignment="1">
      <alignment vertical="center"/>
    </xf>
    <xf numFmtId="0" fontId="11" fillId="0" borderId="25" xfId="2" applyFont="1" applyFill="1" applyBorder="1" applyAlignment="1">
      <alignment horizontal="left" vertical="center"/>
    </xf>
    <xf numFmtId="0" fontId="11" fillId="0" borderId="29" xfId="2" applyFont="1" applyFill="1" applyBorder="1" applyAlignment="1">
      <alignment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59" xfId="2" applyNumberFormat="1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59" xfId="2" applyFont="1" applyFill="1" applyBorder="1" applyAlignment="1">
      <alignment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4" fillId="0" borderId="65" xfId="0" applyNumberFormat="1" applyFont="1" applyFill="1" applyBorder="1" applyAlignment="1">
      <alignment horizontal="right" vertical="center" wrapText="1"/>
    </xf>
    <xf numFmtId="3" fontId="4" fillId="0" borderId="68" xfId="0" applyNumberFormat="1" applyFont="1" applyFill="1" applyBorder="1" applyAlignment="1">
      <alignment horizontal="right" vertical="center" wrapText="1"/>
    </xf>
    <xf numFmtId="3" fontId="4" fillId="0" borderId="69" xfId="0" applyNumberFormat="1" applyFont="1" applyFill="1" applyBorder="1" applyAlignment="1">
      <alignment horizontal="right" vertical="center" wrapText="1"/>
    </xf>
    <xf numFmtId="3" fontId="4" fillId="0" borderId="68" xfId="0" applyNumberFormat="1" applyFont="1" applyFill="1" applyBorder="1" applyAlignment="1">
      <alignment horizontal="left" vertical="center" wrapText="1"/>
    </xf>
    <xf numFmtId="3" fontId="4" fillId="0" borderId="70" xfId="0" applyNumberFormat="1" applyFont="1" applyFill="1" applyBorder="1" applyAlignment="1">
      <alignment horizontal="right" vertical="center" wrapText="1"/>
    </xf>
    <xf numFmtId="3" fontId="4" fillId="0" borderId="71" xfId="0" applyNumberFormat="1" applyFont="1" applyFill="1" applyBorder="1" applyAlignment="1">
      <alignment horizontal="right"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68" xfId="0" applyNumberFormat="1" applyFont="1" applyFill="1" applyBorder="1" applyAlignment="1">
      <alignment horizontal="right" vertical="center" wrapText="1"/>
    </xf>
    <xf numFmtId="0" fontId="8" fillId="0" borderId="28" xfId="2" applyFont="1" applyFill="1" applyBorder="1" applyAlignment="1">
      <alignment horizontal="left" vertical="center"/>
    </xf>
    <xf numFmtId="0" fontId="4" fillId="0" borderId="74" xfId="2" applyFont="1" applyFill="1" applyBorder="1" applyAlignment="1">
      <alignment horizontal="right" vertical="center"/>
    </xf>
    <xf numFmtId="0" fontId="4" fillId="0" borderId="30" xfId="2" applyFont="1" applyFill="1" applyBorder="1"/>
    <xf numFmtId="0" fontId="4" fillId="0" borderId="40" xfId="2" applyFont="1" applyFill="1" applyBorder="1"/>
    <xf numFmtId="0" fontId="5" fillId="0" borderId="40" xfId="0" applyFont="1" applyBorder="1" applyAlignment="1">
      <alignment horizontal="center"/>
    </xf>
    <xf numFmtId="0" fontId="4" fillId="0" borderId="31" xfId="2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0" borderId="6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6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48" xfId="2" applyFont="1" applyFill="1" applyBorder="1" applyAlignment="1">
      <alignment horizontal="right" vertical="center"/>
    </xf>
    <xf numFmtId="0" fontId="4" fillId="0" borderId="63" xfId="2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/>
    </xf>
    <xf numFmtId="0" fontId="5" fillId="0" borderId="25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right" vertical="center"/>
    </xf>
    <xf numFmtId="0" fontId="4" fillId="0" borderId="97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11" xfId="2" applyFont="1" applyFill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0" fontId="4" fillId="0" borderId="112" xfId="2" applyFont="1" applyFill="1" applyBorder="1" applyAlignment="1">
      <alignment horizontal="left" vertical="center"/>
    </xf>
    <xf numFmtId="0" fontId="4" fillId="0" borderId="111" xfId="2" applyFont="1" applyFill="1" applyBorder="1" applyAlignment="1">
      <alignment horizontal="left" vertical="center"/>
    </xf>
    <xf numFmtId="0" fontId="5" fillId="0" borderId="30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74" xfId="2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right" vertical="center"/>
    </xf>
    <xf numFmtId="0" fontId="5" fillId="8" borderId="30" xfId="2" applyFont="1" applyFill="1" applyBorder="1"/>
    <xf numFmtId="0" fontId="5" fillId="8" borderId="25" xfId="0" applyFont="1" applyFill="1" applyBorder="1"/>
    <xf numFmtId="0" fontId="5" fillId="8" borderId="26" xfId="2" applyFont="1" applyFill="1" applyBorder="1" applyAlignment="1">
      <alignment horizontal="center"/>
    </xf>
    <xf numFmtId="0" fontId="5" fillId="8" borderId="25" xfId="0" applyFont="1" applyFill="1" applyBorder="1" applyAlignment="1">
      <alignment wrapText="1"/>
    </xf>
    <xf numFmtId="3" fontId="5" fillId="8" borderId="29" xfId="2" applyNumberFormat="1" applyFont="1" applyFill="1" applyBorder="1" applyAlignment="1">
      <alignment horizontal="right" vertical="center"/>
    </xf>
    <xf numFmtId="3" fontId="11" fillId="0" borderId="29" xfId="2" applyNumberFormat="1" applyFont="1" applyFill="1" applyBorder="1" applyAlignment="1">
      <alignment vertical="center"/>
    </xf>
    <xf numFmtId="0" fontId="11" fillId="0" borderId="0" xfId="2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53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74" xfId="0" applyFont="1" applyFill="1" applyBorder="1" applyAlignment="1">
      <alignment horizontal="left" vertical="center" wrapText="1"/>
    </xf>
    <xf numFmtId="1" fontId="10" fillId="0" borderId="58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5" fillId="0" borderId="30" xfId="2" applyFont="1" applyFill="1" applyBorder="1" applyAlignment="1">
      <alignment vertical="center"/>
    </xf>
    <xf numFmtId="0" fontId="4" fillId="0" borderId="69" xfId="0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4" fontId="4" fillId="0" borderId="38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/>
    </xf>
    <xf numFmtId="0" fontId="4" fillId="0" borderId="48" xfId="2" applyFont="1" applyFill="1" applyBorder="1" applyAlignment="1">
      <alignment horizontal="right" vertical="center"/>
    </xf>
    <xf numFmtId="0" fontId="4" fillId="0" borderId="63" xfId="2" applyFont="1" applyFill="1" applyBorder="1" applyAlignment="1">
      <alignment horizontal="right" vertical="center"/>
    </xf>
    <xf numFmtId="0" fontId="21" fillId="0" borderId="48" xfId="0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right" vertical="center" wrapText="1"/>
    </xf>
    <xf numFmtId="3" fontId="21" fillId="0" borderId="68" xfId="0" applyNumberFormat="1" applyFont="1" applyFill="1" applyBorder="1" applyAlignment="1">
      <alignment horizontal="right" vertical="center" wrapText="1"/>
    </xf>
    <xf numFmtId="49" fontId="21" fillId="0" borderId="50" xfId="0" applyNumberFormat="1" applyFont="1" applyFill="1" applyBorder="1" applyAlignment="1">
      <alignment horizontal="left" vertical="center" wrapText="1"/>
    </xf>
    <xf numFmtId="0" fontId="21" fillId="0" borderId="50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22" fillId="0" borderId="63" xfId="0" applyFont="1" applyFill="1" applyBorder="1" applyAlignment="1">
      <alignment horizontal="left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23" fillId="0" borderId="0" xfId="5" applyFont="1"/>
    <xf numFmtId="0" fontId="23" fillId="0" borderId="0" xfId="5" applyFont="1" applyAlignment="1">
      <alignment horizontal="right"/>
    </xf>
    <xf numFmtId="0" fontId="4" fillId="0" borderId="116" xfId="0" applyFont="1" applyFill="1" applyBorder="1" applyAlignment="1">
      <alignment horizontal="center" vertical="center" textRotation="90" wrapText="1"/>
    </xf>
    <xf numFmtId="0" fontId="4" fillId="0" borderId="117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45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98" xfId="0" applyFont="1" applyFill="1" applyBorder="1" applyAlignment="1">
      <alignment horizontal="center" vertical="center" textRotation="90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118" xfId="2" applyNumberFormat="1" applyFont="1" applyFill="1" applyBorder="1"/>
    <xf numFmtId="3" fontId="4" fillId="0" borderId="118" xfId="2" applyNumberFormat="1" applyFont="1" applyFill="1" applyBorder="1" applyAlignment="1"/>
    <xf numFmtId="0" fontId="4" fillId="0" borderId="45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45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3" fontId="5" fillId="0" borderId="120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4" fillId="0" borderId="74" xfId="0" applyNumberFormat="1" applyFont="1" applyFill="1" applyBorder="1" applyAlignment="1">
      <alignment horizontal="right" vertical="center" wrapText="1"/>
    </xf>
    <xf numFmtId="3" fontId="5" fillId="0" borderId="44" xfId="0" applyNumberFormat="1" applyFont="1" applyFill="1" applyBorder="1" applyAlignment="1">
      <alignment horizontal="right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3" fontId="4" fillId="0" borderId="81" xfId="0" applyNumberFormat="1" applyFont="1" applyFill="1" applyBorder="1" applyAlignment="1">
      <alignment horizontal="right" vertical="center" wrapText="1"/>
    </xf>
    <xf numFmtId="3" fontId="21" fillId="0" borderId="63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91" xfId="0" applyNumberFormat="1" applyFont="1" applyFill="1" applyBorder="1" applyAlignment="1">
      <alignment horizontal="right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0" fontId="4" fillId="0" borderId="95" xfId="0" applyFont="1" applyFill="1" applyBorder="1"/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0" fontId="4" fillId="0" borderId="95" xfId="0" applyFont="1" applyFill="1" applyBorder="1" applyAlignment="1">
      <alignment horizontal="center" vertical="center" textRotation="90" wrapText="1"/>
    </xf>
    <xf numFmtId="3" fontId="13" fillId="0" borderId="48" xfId="0" applyNumberFormat="1" applyFont="1" applyFill="1" applyBorder="1" applyAlignment="1">
      <alignment horizontal="right" vertical="center" wrapText="1"/>
    </xf>
    <xf numFmtId="3" fontId="4" fillId="0" borderId="48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60" xfId="0" applyNumberFormat="1" applyFont="1" applyFill="1" applyBorder="1" applyAlignment="1">
      <alignment horizontal="right" vertical="center" wrapText="1"/>
    </xf>
    <xf numFmtId="3" fontId="4" fillId="0" borderId="73" xfId="0" applyNumberFormat="1" applyFont="1" applyFill="1" applyBorder="1" applyAlignment="1">
      <alignment horizontal="right" vertical="center" wrapText="1"/>
    </xf>
    <xf numFmtId="3" fontId="21" fillId="0" borderId="48" xfId="0" applyNumberFormat="1" applyFont="1" applyFill="1" applyBorder="1" applyAlignment="1">
      <alignment horizontal="right" vertical="center" wrapText="1"/>
    </xf>
    <xf numFmtId="0" fontId="4" fillId="0" borderId="121" xfId="0" applyFont="1" applyFill="1" applyBorder="1" applyAlignment="1">
      <alignment horizontal="center" vertical="center" textRotation="90" wrapText="1"/>
    </xf>
    <xf numFmtId="3" fontId="4" fillId="0" borderId="44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91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3" fontId="20" fillId="0" borderId="118" xfId="3" applyNumberFormat="1" applyFont="1" applyFill="1" applyBorder="1" applyAlignment="1" applyProtection="1"/>
    <xf numFmtId="3" fontId="8" fillId="3" borderId="123" xfId="2" applyNumberFormat="1" applyFont="1" applyFill="1" applyBorder="1" applyAlignment="1">
      <alignment horizontal="right" vertical="center" wrapText="1"/>
    </xf>
    <xf numFmtId="3" fontId="8" fillId="3" borderId="124" xfId="2" applyNumberFormat="1" applyFont="1" applyFill="1" applyBorder="1" applyAlignment="1">
      <alignment horizontal="right" vertical="center" wrapText="1"/>
    </xf>
    <xf numFmtId="3" fontId="8" fillId="3" borderId="125" xfId="2" applyNumberFormat="1" applyFont="1" applyFill="1" applyBorder="1" applyAlignment="1">
      <alignment horizontal="right" vertical="center" wrapText="1"/>
    </xf>
    <xf numFmtId="3" fontId="5" fillId="0" borderId="123" xfId="2" applyNumberFormat="1" applyFont="1" applyFill="1" applyBorder="1" applyAlignment="1">
      <alignment horizontal="right" vertical="center" wrapText="1"/>
    </xf>
    <xf numFmtId="3" fontId="5" fillId="0" borderId="124" xfId="2" applyNumberFormat="1" applyFont="1" applyFill="1" applyBorder="1" applyAlignment="1">
      <alignment horizontal="right" vertical="center" wrapText="1"/>
    </xf>
    <xf numFmtId="3" fontId="5" fillId="0" borderId="125" xfId="2" applyNumberFormat="1" applyFont="1" applyFill="1" applyBorder="1" applyAlignment="1">
      <alignment horizontal="right" vertical="center" wrapText="1"/>
    </xf>
    <xf numFmtId="3" fontId="4" fillId="0" borderId="126" xfId="2" applyNumberFormat="1" applyFont="1" applyFill="1" applyBorder="1" applyAlignment="1">
      <alignment vertical="center"/>
    </xf>
    <xf numFmtId="3" fontId="4" fillId="0" borderId="127" xfId="2" applyNumberFormat="1" applyFont="1" applyFill="1" applyBorder="1" applyAlignment="1">
      <alignment vertical="center"/>
    </xf>
    <xf numFmtId="3" fontId="4" fillId="0" borderId="128" xfId="2" applyNumberFormat="1" applyFont="1" applyFill="1" applyBorder="1" applyAlignment="1">
      <alignment vertical="center"/>
    </xf>
    <xf numFmtId="3" fontId="8" fillId="3" borderId="123" xfId="2" applyNumberFormat="1" applyFont="1" applyFill="1" applyBorder="1" applyAlignment="1">
      <alignment vertical="center"/>
    </xf>
    <xf numFmtId="3" fontId="8" fillId="3" borderId="124" xfId="2" applyNumberFormat="1" applyFont="1" applyFill="1" applyBorder="1" applyAlignment="1">
      <alignment vertical="center"/>
    </xf>
    <xf numFmtId="3" fontId="8" fillId="3" borderId="125" xfId="2" applyNumberFormat="1" applyFont="1" applyFill="1" applyBorder="1" applyAlignment="1">
      <alignment vertical="center"/>
    </xf>
    <xf numFmtId="3" fontId="5" fillId="0" borderId="123" xfId="2" applyNumberFormat="1" applyFont="1" applyFill="1" applyBorder="1" applyAlignment="1">
      <alignment vertical="center"/>
    </xf>
    <xf numFmtId="3" fontId="5" fillId="0" borderId="124" xfId="2" applyNumberFormat="1" applyFont="1" applyFill="1" applyBorder="1" applyAlignment="1">
      <alignment vertical="center"/>
    </xf>
    <xf numFmtId="3" fontId="5" fillId="0" borderId="125" xfId="2" applyNumberFormat="1" applyFont="1" applyFill="1" applyBorder="1" applyAlignment="1">
      <alignment vertical="center"/>
    </xf>
    <xf numFmtId="3" fontId="4" fillId="0" borderId="123" xfId="2" applyNumberFormat="1" applyFont="1" applyFill="1" applyBorder="1" applyAlignment="1">
      <alignment vertical="center"/>
    </xf>
    <xf numFmtId="3" fontId="4" fillId="0" borderId="124" xfId="2" applyNumberFormat="1" applyFont="1" applyFill="1" applyBorder="1" applyAlignment="1">
      <alignment vertical="center"/>
    </xf>
    <xf numFmtId="3" fontId="4" fillId="0" borderId="125" xfId="2" applyNumberFormat="1" applyFont="1" applyFill="1" applyBorder="1" applyAlignment="1">
      <alignment vertical="center"/>
    </xf>
    <xf numFmtId="3" fontId="4" fillId="0" borderId="122" xfId="2" applyNumberFormat="1" applyFont="1" applyFill="1" applyBorder="1"/>
    <xf numFmtId="3" fontId="4" fillId="0" borderId="122" xfId="3" applyNumberFormat="1" applyFont="1" applyFill="1" applyBorder="1" applyAlignment="1" applyProtection="1"/>
    <xf numFmtId="3" fontId="4" fillId="0" borderId="123" xfId="2" applyNumberFormat="1" applyFont="1" applyFill="1" applyBorder="1" applyAlignment="1">
      <alignment horizontal="right" vertical="center"/>
    </xf>
    <xf numFmtId="3" fontId="4" fillId="0" borderId="124" xfId="2" applyNumberFormat="1" applyFont="1" applyFill="1" applyBorder="1" applyAlignment="1">
      <alignment horizontal="right" vertical="center"/>
    </xf>
    <xf numFmtId="3" fontId="4" fillId="0" borderId="125" xfId="2" applyNumberFormat="1" applyFont="1" applyFill="1" applyBorder="1" applyAlignment="1">
      <alignment horizontal="right" vertical="center"/>
    </xf>
    <xf numFmtId="3" fontId="4" fillId="0" borderId="122" xfId="2" applyNumberFormat="1" applyFont="1" applyFill="1" applyBorder="1" applyAlignment="1"/>
    <xf numFmtId="3" fontId="4" fillId="5" borderId="129" xfId="2" applyNumberFormat="1" applyFont="1" applyFill="1" applyBorder="1" applyAlignment="1">
      <alignment horizontal="right" vertical="center"/>
    </xf>
    <xf numFmtId="3" fontId="4" fillId="5" borderId="130" xfId="2" applyNumberFormat="1" applyFont="1" applyFill="1" applyBorder="1" applyAlignment="1">
      <alignment horizontal="right" vertical="center"/>
    </xf>
    <xf numFmtId="3" fontId="4" fillId="5" borderId="131" xfId="2" applyNumberFormat="1" applyFont="1" applyFill="1" applyBorder="1" applyAlignment="1">
      <alignment horizontal="right" vertical="center"/>
    </xf>
    <xf numFmtId="3" fontId="8" fillId="4" borderId="129" xfId="2" applyNumberFormat="1" applyFont="1" applyFill="1" applyBorder="1" applyAlignment="1">
      <alignment horizontal="right" vertical="center"/>
    </xf>
    <xf numFmtId="3" fontId="8" fillId="4" borderId="130" xfId="2" applyNumberFormat="1" applyFont="1" applyFill="1" applyBorder="1" applyAlignment="1">
      <alignment horizontal="right" vertical="center"/>
    </xf>
    <xf numFmtId="3" fontId="8" fillId="4" borderId="131" xfId="2" applyNumberFormat="1" applyFont="1" applyFill="1" applyBorder="1" applyAlignment="1">
      <alignment horizontal="right" vertical="center"/>
    </xf>
    <xf numFmtId="3" fontId="5" fillId="0" borderId="129" xfId="2" applyNumberFormat="1" applyFont="1" applyFill="1" applyBorder="1" applyAlignment="1">
      <alignment horizontal="right" vertical="center"/>
    </xf>
    <xf numFmtId="3" fontId="5" fillId="0" borderId="130" xfId="2" applyNumberFormat="1" applyFont="1" applyFill="1" applyBorder="1" applyAlignment="1">
      <alignment horizontal="right" vertical="center"/>
    </xf>
    <xf numFmtId="3" fontId="5" fillId="0" borderId="131" xfId="2" applyNumberFormat="1" applyFont="1" applyFill="1" applyBorder="1" applyAlignment="1">
      <alignment horizontal="right" vertical="center"/>
    </xf>
    <xf numFmtId="3" fontId="4" fillId="0" borderId="129" xfId="2" applyNumberFormat="1" applyFont="1" applyFill="1" applyBorder="1" applyAlignment="1">
      <alignment vertical="center"/>
    </xf>
    <xf numFmtId="3" fontId="4" fillId="0" borderId="130" xfId="2" applyNumberFormat="1" applyFont="1" applyFill="1" applyBorder="1" applyAlignment="1">
      <alignment vertical="center"/>
    </xf>
    <xf numFmtId="3" fontId="4" fillId="0" borderId="131" xfId="2" applyNumberFormat="1" applyFont="1" applyFill="1" applyBorder="1" applyAlignment="1">
      <alignment vertical="center"/>
    </xf>
    <xf numFmtId="3" fontId="5" fillId="0" borderId="132" xfId="2" applyNumberFormat="1" applyFont="1" applyFill="1" applyBorder="1" applyAlignment="1">
      <alignment vertical="center"/>
    </xf>
    <xf numFmtId="3" fontId="5" fillId="0" borderId="133" xfId="2" applyNumberFormat="1" applyFont="1" applyFill="1" applyBorder="1" applyAlignment="1">
      <alignment vertical="center"/>
    </xf>
    <xf numFmtId="3" fontId="5" fillId="0" borderId="134" xfId="2" applyNumberFormat="1" applyFont="1" applyFill="1" applyBorder="1" applyAlignment="1">
      <alignment vertical="center"/>
    </xf>
    <xf numFmtId="0" fontId="9" fillId="0" borderId="15" xfId="2" applyFont="1" applyFill="1" applyBorder="1" applyAlignment="1">
      <alignment horizontal="center" vertical="center" wrapText="1"/>
    </xf>
    <xf numFmtId="3" fontId="7" fillId="2" borderId="135" xfId="2" applyNumberFormat="1" applyFont="1" applyFill="1" applyBorder="1" applyAlignment="1">
      <alignment horizontal="right" vertical="center" wrapText="1"/>
    </xf>
    <xf numFmtId="3" fontId="7" fillId="2" borderId="138" xfId="2" applyNumberFormat="1" applyFont="1" applyFill="1" applyBorder="1" applyAlignment="1">
      <alignment horizontal="right" vertical="center" wrapText="1"/>
    </xf>
    <xf numFmtId="3" fontId="7" fillId="2" borderId="139" xfId="2" applyNumberFormat="1" applyFont="1" applyFill="1" applyBorder="1" applyAlignment="1">
      <alignment horizontal="right" vertical="center" wrapText="1"/>
    </xf>
    <xf numFmtId="3" fontId="7" fillId="2" borderId="140" xfId="2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/>
    <xf numFmtId="3" fontId="4" fillId="0" borderId="0" xfId="2" applyNumberFormat="1" applyFont="1" applyFill="1" applyBorder="1"/>
    <xf numFmtId="3" fontId="4" fillId="0" borderId="29" xfId="2" applyNumberFormat="1" applyFont="1" applyFill="1" applyBorder="1" applyAlignment="1">
      <alignment horizontal="center" vertical="center" wrapText="1"/>
    </xf>
    <xf numFmtId="3" fontId="4" fillId="0" borderId="29" xfId="2" applyNumberFormat="1" applyFont="1" applyFill="1" applyBorder="1"/>
    <xf numFmtId="3" fontId="4" fillId="0" borderId="136" xfId="2" applyNumberFormat="1" applyFont="1" applyFill="1" applyBorder="1"/>
    <xf numFmtId="3" fontId="4" fillId="0" borderId="137" xfId="2" applyNumberFormat="1" applyFont="1" applyFill="1" applyBorder="1"/>
    <xf numFmtId="3" fontId="5" fillId="0" borderId="122" xfId="2" applyNumberFormat="1" applyFont="1" applyFill="1" applyBorder="1"/>
    <xf numFmtId="3" fontId="5" fillId="0" borderId="118" xfId="2" applyNumberFormat="1" applyFont="1" applyFill="1" applyBorder="1"/>
    <xf numFmtId="3" fontId="8" fillId="0" borderId="122" xfId="2" applyNumberFormat="1" applyFont="1" applyFill="1" applyBorder="1"/>
    <xf numFmtId="3" fontId="8" fillId="0" borderId="118" xfId="2" applyNumberFormat="1" applyFont="1" applyFill="1" applyBorder="1"/>
    <xf numFmtId="3" fontId="11" fillId="0" borderId="122" xfId="2" applyNumberFormat="1" applyFont="1" applyFill="1" applyBorder="1"/>
    <xf numFmtId="3" fontId="11" fillId="0" borderId="118" xfId="2" applyNumberFormat="1" applyFont="1" applyFill="1" applyBorder="1"/>
    <xf numFmtId="3" fontId="5" fillId="8" borderId="123" xfId="2" applyNumberFormat="1" applyFont="1" applyFill="1" applyBorder="1" applyAlignment="1">
      <alignment horizontal="right" vertical="center"/>
    </xf>
    <xf numFmtId="3" fontId="5" fillId="8" borderId="124" xfId="2" applyNumberFormat="1" applyFont="1" applyFill="1" applyBorder="1" applyAlignment="1">
      <alignment horizontal="right" vertical="center"/>
    </xf>
    <xf numFmtId="3" fontId="5" fillId="8" borderId="125" xfId="2" applyNumberFormat="1" applyFont="1" applyFill="1" applyBorder="1" applyAlignment="1">
      <alignment horizontal="right" vertical="center"/>
    </xf>
    <xf numFmtId="3" fontId="9" fillId="0" borderId="15" xfId="2" applyNumberFormat="1" applyFont="1" applyFill="1" applyBorder="1" applyAlignment="1">
      <alignment horizontal="right" vertical="center"/>
    </xf>
    <xf numFmtId="3" fontId="7" fillId="2" borderId="141" xfId="2" applyNumberFormat="1" applyFont="1" applyFill="1" applyBorder="1" applyAlignment="1">
      <alignment horizontal="right" vertical="center" wrapText="1"/>
    </xf>
    <xf numFmtId="3" fontId="4" fillId="0" borderId="31" xfId="2" applyNumberFormat="1" applyFont="1" applyFill="1" applyBorder="1" applyAlignment="1">
      <alignment horizontal="right" vertical="center" wrapText="1"/>
    </xf>
    <xf numFmtId="3" fontId="4" fillId="0" borderId="33" xfId="2" applyNumberFormat="1" applyFont="1" applyFill="1" applyBorder="1" applyAlignment="1">
      <alignment horizontal="right" vertical="center" wrapText="1"/>
    </xf>
    <xf numFmtId="3" fontId="4" fillId="0" borderId="35" xfId="2" applyNumberFormat="1" applyFont="1" applyFill="1" applyBorder="1" applyAlignment="1">
      <alignment horizontal="right" vertical="center" wrapText="1"/>
    </xf>
    <xf numFmtId="3" fontId="4" fillId="0" borderId="29" xfId="2" applyNumberFormat="1" applyFont="1" applyFill="1" applyBorder="1" applyAlignment="1">
      <alignment horizontal="right" vertical="center" wrapText="1"/>
    </xf>
    <xf numFmtId="3" fontId="4" fillId="0" borderId="3" xfId="2" applyNumberFormat="1" applyFont="1" applyFill="1" applyBorder="1" applyAlignment="1">
      <alignment horizontal="right" vertical="center" wrapText="1"/>
    </xf>
    <xf numFmtId="3" fontId="5" fillId="0" borderId="15" xfId="2" applyNumberFormat="1" applyFont="1" applyFill="1" applyBorder="1" applyAlignment="1">
      <alignment horizontal="right" wrapText="1"/>
    </xf>
    <xf numFmtId="3" fontId="4" fillId="0" borderId="29" xfId="2" applyNumberFormat="1" applyFont="1" applyFill="1" applyBorder="1" applyAlignment="1">
      <alignment horizontal="right" wrapText="1"/>
    </xf>
    <xf numFmtId="3" fontId="4" fillId="0" borderId="3" xfId="2" applyNumberFormat="1" applyFont="1" applyFill="1" applyBorder="1" applyAlignment="1">
      <alignment horizontal="right" wrapText="1"/>
    </xf>
    <xf numFmtId="3" fontId="4" fillId="0" borderId="15" xfId="2" applyNumberFormat="1" applyFont="1" applyFill="1" applyBorder="1" applyAlignment="1">
      <alignment horizontal="right" vertical="center" wrapText="1"/>
    </xf>
    <xf numFmtId="3" fontId="4" fillId="0" borderId="38" xfId="2" applyNumberFormat="1" applyFont="1" applyFill="1" applyBorder="1" applyAlignment="1">
      <alignment horizontal="right" vertical="center" wrapText="1"/>
    </xf>
    <xf numFmtId="3" fontId="4" fillId="0" borderId="31" xfId="2" applyNumberFormat="1" applyFont="1" applyFill="1" applyBorder="1" applyAlignment="1">
      <alignment horizontal="right" vertical="top" wrapText="1"/>
    </xf>
    <xf numFmtId="3" fontId="4" fillId="0" borderId="46" xfId="2" applyNumberFormat="1" applyFont="1" applyFill="1" applyBorder="1" applyAlignment="1">
      <alignment horizontal="right" vertical="center" wrapText="1"/>
    </xf>
    <xf numFmtId="3" fontId="4" fillId="0" borderId="59" xfId="2" applyNumberFormat="1" applyFont="1" applyFill="1" applyBorder="1" applyAlignment="1">
      <alignment horizontal="right" vertical="center" wrapText="1"/>
    </xf>
    <xf numFmtId="3" fontId="11" fillId="0" borderId="29" xfId="2" applyNumberFormat="1" applyFont="1" applyFill="1" applyBorder="1" applyAlignment="1">
      <alignment horizontal="right" vertical="center" wrapText="1"/>
    </xf>
    <xf numFmtId="3" fontId="5" fillId="0" borderId="31" xfId="2" applyNumberFormat="1" applyFont="1" applyFill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wrapText="1"/>
    </xf>
    <xf numFmtId="3" fontId="5" fillId="8" borderId="25" xfId="0" applyNumberFormat="1" applyFont="1" applyFill="1" applyBorder="1" applyAlignment="1">
      <alignment horizontal="right" wrapText="1"/>
    </xf>
    <xf numFmtId="3" fontId="11" fillId="0" borderId="26" xfId="2" applyNumberFormat="1" applyFont="1" applyFill="1" applyBorder="1" applyAlignment="1">
      <alignment horizontal="right" vertical="center" wrapText="1"/>
    </xf>
    <xf numFmtId="3" fontId="5" fillId="0" borderId="3" xfId="2" applyNumberFormat="1" applyFont="1" applyFill="1" applyBorder="1" applyAlignment="1">
      <alignment horizontal="right" vertical="center" wrapText="1"/>
    </xf>
    <xf numFmtId="3" fontId="5" fillId="0" borderId="29" xfId="2" applyNumberFormat="1" applyFont="1" applyFill="1" applyBorder="1" applyAlignment="1">
      <alignment horizontal="right" wrapText="1"/>
    </xf>
    <xf numFmtId="3" fontId="4" fillId="0" borderId="31" xfId="2" applyNumberFormat="1" applyFont="1" applyFill="1" applyBorder="1" applyAlignment="1">
      <alignment horizontal="right" wrapText="1"/>
    </xf>
    <xf numFmtId="3" fontId="4" fillId="0" borderId="15" xfId="2" applyNumberFormat="1" applyFont="1" applyFill="1" applyBorder="1" applyAlignment="1">
      <alignment horizontal="right" wrapText="1"/>
    </xf>
    <xf numFmtId="3" fontId="4" fillId="5" borderId="42" xfId="2" applyNumberFormat="1" applyFont="1" applyFill="1" applyBorder="1" applyAlignment="1">
      <alignment horizontal="right"/>
    </xf>
    <xf numFmtId="3" fontId="8" fillId="4" borderId="15" xfId="2" applyNumberFormat="1" applyFont="1" applyFill="1" applyBorder="1" applyAlignment="1">
      <alignment horizontal="right" wrapText="1"/>
    </xf>
    <xf numFmtId="3" fontId="5" fillId="0" borderId="110" xfId="2" applyNumberFormat="1" applyFont="1" applyFill="1" applyBorder="1" applyAlignment="1">
      <alignment horizontal="right" vertical="center" wrapText="1"/>
    </xf>
    <xf numFmtId="3" fontId="5" fillId="0" borderId="77" xfId="2" applyNumberFormat="1" applyFont="1" applyFill="1" applyBorder="1" applyAlignment="1">
      <alignment horizontal="right"/>
    </xf>
    <xf numFmtId="3" fontId="5" fillId="0" borderId="29" xfId="2" applyNumberFormat="1" applyFont="1" applyFill="1" applyBorder="1" applyAlignment="1">
      <alignment horizontal="right" vertical="top" wrapText="1"/>
    </xf>
    <xf numFmtId="0" fontId="4" fillId="0" borderId="29" xfId="0" applyFont="1" applyFill="1" applyBorder="1" applyAlignment="1">
      <alignment horizontal="center" vertical="center" wrapText="1"/>
    </xf>
    <xf numFmtId="3" fontId="4" fillId="0" borderId="97" xfId="2" applyNumberFormat="1" applyFont="1" applyFill="1" applyBorder="1" applyAlignment="1">
      <alignment horizontal="center" vertical="center" wrapText="1"/>
    </xf>
    <xf numFmtId="0" fontId="10" fillId="0" borderId="13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5" fillId="0" borderId="98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0" fontId="10" fillId="0" borderId="142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right" vertical="center" wrapText="1"/>
    </xf>
    <xf numFmtId="0" fontId="5" fillId="0" borderId="7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3" fontId="4" fillId="0" borderId="143" xfId="2" applyNumberFormat="1" applyFont="1" applyFill="1" applyBorder="1"/>
    <xf numFmtId="3" fontId="4" fillId="0" borderId="144" xfId="2" applyNumberFormat="1" applyFont="1" applyFill="1" applyBorder="1"/>
    <xf numFmtId="3" fontId="4" fillId="0" borderId="145" xfId="2" applyNumberFormat="1" applyFont="1" applyFill="1" applyBorder="1"/>
    <xf numFmtId="3" fontId="4" fillId="0" borderId="146" xfId="2" applyNumberFormat="1" applyFont="1" applyFill="1" applyBorder="1"/>
    <xf numFmtId="0" fontId="4" fillId="0" borderId="45" xfId="0" applyFont="1" applyFill="1" applyBorder="1" applyAlignment="1">
      <alignment horizontal="center" vertical="center" textRotation="90" wrapText="1"/>
    </xf>
    <xf numFmtId="3" fontId="4" fillId="9" borderId="38" xfId="0" applyNumberFormat="1" applyFont="1" applyFill="1" applyBorder="1" applyAlignment="1">
      <alignment horizontal="right" vertical="center" wrapText="1"/>
    </xf>
    <xf numFmtId="3" fontId="4" fillId="9" borderId="69" xfId="0" applyNumberFormat="1" applyFont="1" applyFill="1" applyBorder="1" applyAlignment="1">
      <alignment horizontal="right" vertical="center" wrapText="1"/>
    </xf>
    <xf numFmtId="3" fontId="4" fillId="9" borderId="68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left" vertical="center" wrapText="1"/>
    </xf>
    <xf numFmtId="3" fontId="5" fillId="8" borderId="0" xfId="0" applyNumberFormat="1" applyFont="1" applyFill="1" applyBorder="1" applyAlignment="1">
      <alignment horizontal="right" vertical="center" wrapText="1"/>
    </xf>
    <xf numFmtId="0" fontId="15" fillId="0" borderId="45" xfId="0" applyFont="1" applyFill="1" applyBorder="1" applyAlignment="1">
      <alignment horizontal="center" vertical="center" textRotation="90" wrapText="1"/>
    </xf>
    <xf numFmtId="0" fontId="15" fillId="10" borderId="29" xfId="0" applyFont="1" applyFill="1" applyBorder="1" applyAlignment="1">
      <alignment horizontal="center" vertical="center" wrapText="1"/>
    </xf>
    <xf numFmtId="0" fontId="15" fillId="10" borderId="45" xfId="0" applyFont="1" applyFill="1" applyBorder="1" applyAlignment="1">
      <alignment horizontal="center" vertical="center" textRotation="90" wrapText="1"/>
    </xf>
    <xf numFmtId="0" fontId="4" fillId="0" borderId="11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textRotation="90" wrapText="1"/>
    </xf>
    <xf numFmtId="0" fontId="4" fillId="0" borderId="11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textRotation="90" wrapText="1"/>
    </xf>
    <xf numFmtId="0" fontId="5" fillId="0" borderId="25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center"/>
    </xf>
    <xf numFmtId="0" fontId="4" fillId="0" borderId="48" xfId="2" applyFont="1" applyFill="1" applyBorder="1" applyAlignment="1">
      <alignment horizontal="right" vertical="center"/>
    </xf>
    <xf numFmtId="0" fontId="4" fillId="0" borderId="63" xfId="2" applyFont="1" applyFill="1" applyBorder="1" applyAlignment="1">
      <alignment horizontal="right" vertical="center"/>
    </xf>
    <xf numFmtId="0" fontId="4" fillId="0" borderId="29" xfId="1" applyFont="1" applyFill="1" applyBorder="1" applyAlignment="1">
      <alignment horizontal="center" vertical="center" wrapText="1"/>
    </xf>
    <xf numFmtId="3" fontId="15" fillId="10" borderId="29" xfId="2" applyNumberFormat="1" applyFont="1" applyFill="1" applyBorder="1"/>
    <xf numFmtId="0" fontId="4" fillId="0" borderId="29" xfId="1" applyFont="1" applyBorder="1" applyAlignment="1">
      <alignment wrapText="1"/>
    </xf>
    <xf numFmtId="3" fontId="4" fillId="0" borderId="29" xfId="1" applyNumberFormat="1" applyFont="1" applyBorder="1" applyAlignment="1">
      <alignment horizontal="right" wrapText="1"/>
    </xf>
    <xf numFmtId="0" fontId="5" fillId="8" borderId="25" xfId="1" applyFont="1" applyFill="1" applyBorder="1"/>
    <xf numFmtId="0" fontId="5" fillId="8" borderId="25" xfId="1" applyFont="1" applyFill="1" applyBorder="1" applyAlignment="1">
      <alignment wrapText="1"/>
    </xf>
    <xf numFmtId="3" fontId="5" fillId="8" borderId="25" xfId="1" applyNumberFormat="1" applyFont="1" applyFill="1" applyBorder="1" applyAlignment="1">
      <alignment horizontal="right" wrapText="1"/>
    </xf>
    <xf numFmtId="0" fontId="5" fillId="0" borderId="25" xfId="1" applyFont="1" applyBorder="1" applyAlignment="1">
      <alignment horizontal="center"/>
    </xf>
    <xf numFmtId="0" fontId="5" fillId="0" borderId="40" xfId="1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5" applyFont="1" applyProtection="1">
      <protection locked="0"/>
    </xf>
    <xf numFmtId="0" fontId="23" fillId="0" borderId="0" xfId="5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3" fontId="4" fillId="0" borderId="0" xfId="2" applyNumberFormat="1" applyFont="1" applyFill="1" applyProtection="1">
      <protection locked="0"/>
    </xf>
    <xf numFmtId="3" fontId="4" fillId="0" borderId="0" xfId="2" applyNumberFormat="1" applyFont="1" applyFill="1" applyBorder="1" applyProtection="1">
      <protection locked="0"/>
    </xf>
    <xf numFmtId="0" fontId="4" fillId="0" borderId="0" xfId="2" applyFont="1" applyFill="1" applyBorder="1" applyProtection="1">
      <protection locked="0"/>
    </xf>
    <xf numFmtId="0" fontId="4" fillId="0" borderId="0" xfId="2" applyFont="1" applyFill="1" applyProtection="1">
      <protection locked="0"/>
    </xf>
    <xf numFmtId="0" fontId="12" fillId="0" borderId="48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0" fontId="23" fillId="0" borderId="0" xfId="5" applyFont="1" applyAlignment="1" applyProtection="1">
      <alignment horizontal="right" wrapText="1"/>
      <protection locked="0"/>
    </xf>
    <xf numFmtId="0" fontId="4" fillId="0" borderId="8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45" xfId="0" applyFont="1" applyFill="1" applyBorder="1" applyAlignment="1">
      <alignment horizontal="center" vertical="center" textRotation="90" wrapText="1"/>
    </xf>
    <xf numFmtId="49" fontId="4" fillId="0" borderId="78" xfId="0" applyNumberFormat="1" applyFont="1" applyFill="1" applyBorder="1" applyAlignment="1">
      <alignment horizontal="center" vertical="center" textRotation="90" wrapText="1"/>
    </xf>
    <xf numFmtId="49" fontId="4" fillId="0" borderId="79" xfId="0" applyNumberFormat="1" applyFont="1" applyFill="1" applyBorder="1" applyAlignment="1">
      <alignment horizontal="center" vertical="center" textRotation="90" wrapText="1"/>
    </xf>
    <xf numFmtId="49" fontId="4" fillId="0" borderId="80" xfId="0" applyNumberFormat="1" applyFont="1" applyFill="1" applyBorder="1" applyAlignment="1">
      <alignment horizontal="center" vertical="center" textRotation="90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98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center" vertical="center" textRotation="90" wrapText="1"/>
    </xf>
    <xf numFmtId="0" fontId="4" fillId="0" borderId="93" xfId="0" applyFont="1" applyFill="1" applyBorder="1" applyAlignment="1">
      <alignment horizontal="center" vertical="center" textRotation="90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textRotation="90" wrapText="1"/>
    </xf>
    <xf numFmtId="0" fontId="4" fillId="0" borderId="120" xfId="0" applyFont="1" applyFill="1" applyBorder="1" applyAlignment="1">
      <alignment horizontal="center" vertical="center" textRotation="90" wrapText="1"/>
    </xf>
    <xf numFmtId="0" fontId="5" fillId="0" borderId="119" xfId="0" applyFont="1" applyFill="1" applyBorder="1" applyAlignment="1">
      <alignment horizontal="center" vertical="center" textRotation="90" wrapText="1"/>
    </xf>
    <xf numFmtId="0" fontId="5" fillId="0" borderId="106" xfId="0" applyFont="1" applyFill="1" applyBorder="1" applyAlignment="1">
      <alignment horizontal="center" vertical="center" textRotation="90" wrapText="1"/>
    </xf>
    <xf numFmtId="0" fontId="4" fillId="0" borderId="89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left" vertical="center" wrapText="1"/>
    </xf>
    <xf numFmtId="0" fontId="12" fillId="0" borderId="81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22" fillId="0" borderId="63" xfId="0" applyFont="1" applyFill="1" applyBorder="1" applyAlignment="1">
      <alignment horizontal="left" vertical="center" wrapText="1"/>
    </xf>
    <xf numFmtId="49" fontId="4" fillId="0" borderId="76" xfId="0" applyNumberFormat="1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9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12" fillId="0" borderId="76" xfId="0" applyNumberFormat="1" applyFont="1" applyFill="1" applyBorder="1" applyAlignment="1">
      <alignment horizontal="left" vertical="center" wrapText="1"/>
    </xf>
    <xf numFmtId="49" fontId="12" fillId="0" borderId="77" xfId="0" applyNumberFormat="1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49" fontId="5" fillId="0" borderId="75" xfId="0" applyNumberFormat="1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49" fontId="4" fillId="0" borderId="76" xfId="0" applyNumberFormat="1" applyFont="1" applyFill="1" applyBorder="1" applyAlignment="1">
      <alignment horizontal="center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49" fontId="4" fillId="0" borderId="0" xfId="2" applyNumberFormat="1" applyFont="1" applyFill="1" applyAlignment="1">
      <alignment horizontal="left"/>
    </xf>
    <xf numFmtId="0" fontId="8" fillId="4" borderId="28" xfId="2" applyFont="1" applyFill="1" applyBorder="1" applyAlignment="1">
      <alignment horizontal="center"/>
    </xf>
    <xf numFmtId="0" fontId="8" fillId="4" borderId="25" xfId="2" applyFont="1" applyFill="1" applyBorder="1" applyAlignment="1">
      <alignment horizontal="center"/>
    </xf>
    <xf numFmtId="0" fontId="8" fillId="4" borderId="26" xfId="2" applyFont="1" applyFill="1" applyBorder="1" applyAlignment="1">
      <alignment horizontal="center"/>
    </xf>
    <xf numFmtId="0" fontId="4" fillId="0" borderId="25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/>
    </xf>
    <xf numFmtId="0" fontId="5" fillId="0" borderId="108" xfId="2" applyFont="1" applyFill="1" applyBorder="1" applyAlignment="1">
      <alignment horizontal="center" vertical="center" wrapText="1"/>
    </xf>
    <xf numFmtId="0" fontId="5" fillId="0" borderId="109" xfId="2" applyFont="1" applyFill="1" applyBorder="1" applyAlignment="1">
      <alignment horizontal="center" vertical="center" wrapText="1"/>
    </xf>
    <xf numFmtId="0" fontId="5" fillId="0" borderId="110" xfId="2" applyFont="1" applyFill="1" applyBorder="1" applyAlignment="1">
      <alignment horizontal="center" vertical="center" wrapText="1"/>
    </xf>
    <xf numFmtId="0" fontId="5" fillId="0" borderId="88" xfId="2" applyFont="1" applyFill="1" applyBorder="1" applyAlignment="1">
      <alignment horizontal="center"/>
    </xf>
    <xf numFmtId="0" fontId="5" fillId="0" borderId="89" xfId="2" applyFont="1" applyFill="1" applyBorder="1" applyAlignment="1">
      <alignment horizontal="center"/>
    </xf>
    <xf numFmtId="0" fontId="5" fillId="0" borderId="107" xfId="2" applyFont="1" applyFill="1" applyBorder="1" applyAlignment="1">
      <alignment horizontal="center"/>
    </xf>
    <xf numFmtId="0" fontId="4" fillId="0" borderId="48" xfId="2" applyFont="1" applyFill="1" applyBorder="1" applyAlignment="1">
      <alignment horizontal="right" vertical="center"/>
    </xf>
    <xf numFmtId="0" fontId="4" fillId="0" borderId="63" xfId="2" applyFont="1" applyFill="1" applyBorder="1" applyAlignment="1">
      <alignment horizontal="right" vertical="center"/>
    </xf>
    <xf numFmtId="0" fontId="4" fillId="5" borderId="28" xfId="2" applyFont="1" applyFill="1" applyBorder="1" applyAlignment="1">
      <alignment horizontal="center"/>
    </xf>
    <xf numFmtId="0" fontId="4" fillId="5" borderId="25" xfId="2" applyFont="1" applyFill="1" applyBorder="1" applyAlignment="1">
      <alignment horizontal="center"/>
    </xf>
    <xf numFmtId="0" fontId="4" fillId="5" borderId="26" xfId="2" applyFont="1" applyFill="1" applyBorder="1" applyAlignment="1">
      <alignment horizontal="center"/>
    </xf>
    <xf numFmtId="0" fontId="11" fillId="0" borderId="28" xfId="2" applyFont="1" applyFill="1" applyBorder="1" applyAlignment="1">
      <alignment horizontal="center" vertical="center" wrapText="1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4" fillId="0" borderId="62" xfId="2" applyFont="1" applyFill="1" applyBorder="1" applyAlignment="1">
      <alignment horizontal="right" vertical="center"/>
    </xf>
    <xf numFmtId="0" fontId="4" fillId="0" borderId="101" xfId="2" applyFont="1" applyFill="1" applyBorder="1" applyAlignment="1">
      <alignment horizontal="right" vertical="center"/>
    </xf>
    <xf numFmtId="0" fontId="4" fillId="0" borderId="102" xfId="2" applyFont="1" applyFill="1" applyBorder="1" applyAlignment="1">
      <alignment horizontal="right" vertical="center"/>
    </xf>
    <xf numFmtId="0" fontId="4" fillId="0" borderId="103" xfId="2" applyFont="1" applyFill="1" applyBorder="1" applyAlignment="1">
      <alignment horizontal="right" vertical="center"/>
    </xf>
    <xf numFmtId="0" fontId="5" fillId="0" borderId="25" xfId="2" applyFont="1" applyFill="1" applyBorder="1" applyAlignment="1">
      <alignment horizontal="left" vertical="center"/>
    </xf>
    <xf numFmtId="0" fontId="5" fillId="0" borderId="26" xfId="2" applyFont="1" applyFill="1" applyBorder="1" applyAlignment="1">
      <alignment horizontal="left" vertical="center"/>
    </xf>
    <xf numFmtId="0" fontId="4" fillId="0" borderId="25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99" xfId="2" applyFont="1" applyFill="1" applyBorder="1" applyAlignment="1">
      <alignment horizontal="right" vertical="center"/>
    </xf>
    <xf numFmtId="0" fontId="4" fillId="0" borderId="100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right" vertical="center"/>
    </xf>
    <xf numFmtId="0" fontId="8" fillId="3" borderId="28" xfId="2" applyFont="1" applyFill="1" applyBorder="1" applyAlignment="1">
      <alignment horizontal="left" vertical="center"/>
    </xf>
    <xf numFmtId="0" fontId="8" fillId="3" borderId="25" xfId="2" applyFont="1" applyFill="1" applyBorder="1" applyAlignment="1">
      <alignment horizontal="left" vertical="center"/>
    </xf>
    <xf numFmtId="0" fontId="8" fillId="3" borderId="26" xfId="2" applyFont="1" applyFill="1" applyBorder="1" applyAlignment="1">
      <alignment horizontal="left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40" xfId="2" applyFont="1" applyFill="1" applyBorder="1" applyAlignment="1">
      <alignment horizontal="center" vertical="center"/>
    </xf>
    <xf numFmtId="0" fontId="4" fillId="0" borderId="25" xfId="2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left" vertical="top"/>
    </xf>
    <xf numFmtId="0" fontId="5" fillId="0" borderId="42" xfId="2" applyFont="1" applyFill="1" applyBorder="1" applyAlignment="1">
      <alignment horizontal="left" vertical="top"/>
    </xf>
    <xf numFmtId="0" fontId="4" fillId="0" borderId="25" xfId="2" applyFont="1" applyFill="1" applyBorder="1" applyAlignment="1">
      <alignment horizontal="center" vertical="top"/>
    </xf>
    <xf numFmtId="0" fontId="4" fillId="0" borderId="26" xfId="2" applyFont="1" applyFill="1" applyBorder="1" applyAlignment="1">
      <alignment horizontal="center" vertical="top"/>
    </xf>
    <xf numFmtId="0" fontId="4" fillId="0" borderId="99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0" fontId="5" fillId="0" borderId="14" xfId="2" applyFont="1" applyFill="1" applyBorder="1" applyAlignment="1">
      <alignment horizontal="left"/>
    </xf>
    <xf numFmtId="0" fontId="5" fillId="0" borderId="42" xfId="2" applyFont="1" applyFill="1" applyBorder="1" applyAlignment="1">
      <alignment horizontal="left"/>
    </xf>
    <xf numFmtId="0" fontId="4" fillId="0" borderId="60" xfId="2" applyFont="1" applyFill="1" applyBorder="1" applyAlignment="1">
      <alignment horizontal="right" vertical="center" wrapText="1"/>
    </xf>
    <xf numFmtId="0" fontId="4" fillId="0" borderId="60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 wrapText="1"/>
    </xf>
    <xf numFmtId="0" fontId="3" fillId="0" borderId="0" xfId="2" applyFont="1" applyFill="1" applyAlignment="1">
      <alignment horizontal="center"/>
    </xf>
    <xf numFmtId="0" fontId="4" fillId="0" borderId="82" xfId="2" applyFont="1" applyFill="1" applyBorder="1" applyAlignment="1">
      <alignment horizontal="center" vertical="center" wrapText="1"/>
    </xf>
    <xf numFmtId="0" fontId="4" fillId="0" borderId="97" xfId="2" applyFont="1" applyFill="1" applyBorder="1" applyAlignment="1">
      <alignment horizontal="center" vertical="center" wrapText="1"/>
    </xf>
    <xf numFmtId="0" fontId="9" fillId="0" borderId="104" xfId="2" applyFont="1" applyFill="1" applyBorder="1" applyAlignment="1">
      <alignment horizontal="center" vertical="center" wrapText="1"/>
    </xf>
    <xf numFmtId="0" fontId="9" fillId="0" borderId="105" xfId="2" applyFont="1" applyFill="1" applyBorder="1" applyAlignment="1">
      <alignment horizontal="center" vertical="center" wrapText="1"/>
    </xf>
    <xf numFmtId="0" fontId="9" fillId="0" borderId="106" xfId="2" applyFont="1" applyFill="1" applyBorder="1" applyAlignment="1">
      <alignment horizontal="center" vertical="center" wrapText="1"/>
    </xf>
    <xf numFmtId="0" fontId="7" fillId="2" borderId="113" xfId="2" applyFont="1" applyFill="1" applyBorder="1" applyAlignment="1">
      <alignment horizontal="center" vertical="center" wrapText="1"/>
    </xf>
    <xf numFmtId="0" fontId="7" fillId="2" borderId="114" xfId="2" applyFont="1" applyFill="1" applyBorder="1" applyAlignment="1">
      <alignment horizontal="center" vertical="center" wrapText="1"/>
    </xf>
    <xf numFmtId="0" fontId="7" fillId="2" borderId="115" xfId="2" applyFont="1" applyFill="1" applyBorder="1" applyAlignment="1">
      <alignment horizontal="center" vertical="center" wrapText="1"/>
    </xf>
    <xf numFmtId="0" fontId="23" fillId="0" borderId="0" xfId="5" applyFont="1" applyAlignment="1">
      <alignment horizontal="right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6">
    <cellStyle name="Hyperlink" xfId="3" builtinId="8"/>
    <cellStyle name="Normal" xfId="0" builtinId="0"/>
    <cellStyle name="Normal 2" xfId="1"/>
    <cellStyle name="Normal 2 3" xfId="4"/>
    <cellStyle name="Normal 3 2 2 2" xfId="5"/>
    <cellStyle name="Normal_2007_budz ienem" xfId="2"/>
  </cellStyles>
  <dxfs count="0"/>
  <tableStyles count="0" defaultTableStyle="TableStyleMedium9" defaultPivotStyle="PivotStyleLight16"/>
  <colors>
    <mruColors>
      <color rgb="FFCCFF66"/>
      <color rgb="FFFFFF5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5"/>
  </sheetPr>
  <dimension ref="A1:BA1399"/>
  <sheetViews>
    <sheetView view="pageLayout" zoomScaleNormal="75" workbookViewId="0">
      <selection activeCell="I5" sqref="I5"/>
    </sheetView>
  </sheetViews>
  <sheetFormatPr defaultColWidth="8.42578125" defaultRowHeight="12" outlineLevelRow="1" outlineLevelCol="1" x14ac:dyDescent="0.2"/>
  <cols>
    <col min="1" max="1" width="12.28515625" style="139" customWidth="1"/>
    <col min="2" max="2" width="4.140625" style="1" customWidth="1"/>
    <col min="3" max="3" width="2.140625" style="2" customWidth="1"/>
    <col min="4" max="4" width="22.85546875" style="1" customWidth="1"/>
    <col min="5" max="5" width="24.85546875" style="1" customWidth="1"/>
    <col min="6" max="6" width="12.42578125" style="295" hidden="1" customWidth="1" outlineLevel="1"/>
    <col min="7" max="7" width="12.42578125" style="1" customWidth="1" collapsed="1"/>
    <col min="8" max="8" width="10" style="295" hidden="1" customWidth="1" outlineLevel="1"/>
    <col min="9" max="9" width="9.5703125" style="3" customWidth="1" collapsed="1"/>
    <col min="10" max="10" width="9.5703125" style="3" hidden="1" customWidth="1" outlineLevel="1"/>
    <col min="11" max="13" width="8" style="3" hidden="1" customWidth="1" outlineLevel="1"/>
    <col min="14" max="14" width="9.140625" style="3" hidden="1" customWidth="1" outlineLevel="1"/>
    <col min="15" max="15" width="10.28515625" style="3" hidden="1" customWidth="1" outlineLevel="1"/>
    <col min="16" max="16" width="8" style="3" hidden="1" customWidth="1" outlineLevel="1"/>
    <col min="17" max="17" width="24" style="3" hidden="1" customWidth="1" outlineLevel="1"/>
    <col min="18" max="20" width="8" style="3" hidden="1" customWidth="1" outlineLevel="1"/>
    <col min="21" max="22" width="7" style="3" hidden="1" customWidth="1" outlineLevel="1"/>
    <col min="23" max="24" width="9.5703125" style="3" hidden="1" customWidth="1" outlineLevel="1"/>
    <col min="25" max="25" width="9.85546875" style="1" customWidth="1" collapsed="1"/>
    <col min="26" max="26" width="9.85546875" style="269" hidden="1" customWidth="1" outlineLevel="1"/>
    <col min="27" max="28" width="8" style="269" hidden="1" customWidth="1" outlineLevel="1"/>
    <col min="29" max="29" width="5.7109375" style="269" hidden="1" customWidth="1" outlineLevel="1"/>
    <col min="30" max="32" width="9.85546875" style="269" hidden="1" customWidth="1" outlineLevel="1"/>
    <col min="33" max="33" width="8.85546875" style="295" hidden="1" customWidth="1" outlineLevel="1"/>
    <col min="34" max="34" width="8.42578125" style="1" customWidth="1" collapsed="1"/>
    <col min="35" max="35" width="8.42578125" style="274" hidden="1" customWidth="1" outlineLevel="1"/>
    <col min="36" max="38" width="8" style="269" hidden="1" customWidth="1" outlineLevel="1"/>
    <col min="39" max="39" width="6.42578125" style="269" hidden="1" customWidth="1" outlineLevel="1"/>
    <col min="40" max="40" width="8.42578125" style="269" hidden="1" customWidth="1" outlineLevel="1"/>
    <col min="41" max="41" width="8.42578125" style="262" hidden="1" customWidth="1" outlineLevel="1"/>
    <col min="42" max="42" width="8.42578125" style="1" customWidth="1" collapsed="1"/>
    <col min="43" max="43" width="8.42578125" style="295" hidden="1" customWidth="1" outlineLevel="1"/>
    <col min="44" max="44" width="10.28515625" style="3" customWidth="1" collapsed="1"/>
    <col min="45" max="45" width="10.28515625" style="3" hidden="1" customWidth="1" outlineLevel="1"/>
    <col min="46" max="47" width="8" style="3" hidden="1" customWidth="1" outlineLevel="1"/>
    <col min="48" max="51" width="10.28515625" style="3" hidden="1" customWidth="1" outlineLevel="1"/>
    <col min="52" max="52" width="10" style="1" customWidth="1" collapsed="1"/>
    <col min="53" max="53" width="11.28515625" style="1" customWidth="1"/>
    <col min="54" max="16384" width="8.42578125" style="1"/>
  </cols>
  <sheetData>
    <row r="1" spans="1:53" s="258" customFormat="1" ht="16.5" x14ac:dyDescent="0.25">
      <c r="C1" s="2"/>
      <c r="D1" s="477"/>
      <c r="E1" s="477"/>
      <c r="F1" s="477"/>
      <c r="G1" s="477"/>
      <c r="H1" s="477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7"/>
      <c r="Z1" s="477"/>
      <c r="AA1" s="477"/>
      <c r="AB1" s="477"/>
      <c r="AC1" s="477"/>
      <c r="AD1" s="477"/>
      <c r="AE1" s="477"/>
      <c r="AF1" s="477"/>
      <c r="AG1" s="477"/>
      <c r="AH1" s="488" t="s">
        <v>714</v>
      </c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488"/>
      <c r="AW1" s="488"/>
      <c r="AX1" s="488"/>
      <c r="AY1" s="488"/>
      <c r="AZ1" s="488"/>
      <c r="BA1" s="488"/>
    </row>
    <row r="2" spans="1:53" s="258" customFormat="1" ht="16.5" x14ac:dyDescent="0.25">
      <c r="C2" s="2"/>
      <c r="D2" s="477"/>
      <c r="E2" s="477"/>
      <c r="F2" s="477"/>
      <c r="G2" s="477"/>
      <c r="H2" s="477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7"/>
      <c r="Z2" s="477"/>
      <c r="AA2" s="477"/>
      <c r="AB2" s="477"/>
      <c r="AC2" s="477"/>
      <c r="AD2" s="477"/>
      <c r="AE2" s="477"/>
      <c r="AF2" s="477"/>
      <c r="AG2" s="477"/>
      <c r="AH2" s="479"/>
      <c r="AI2" s="479"/>
      <c r="AJ2" s="479"/>
      <c r="AK2" s="479"/>
      <c r="AL2" s="479"/>
      <c r="AM2" s="479"/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80" t="s">
        <v>791</v>
      </c>
    </row>
    <row r="3" spans="1:53" s="258" customFormat="1" ht="16.5" x14ac:dyDescent="0.25">
      <c r="C3" s="2"/>
      <c r="D3" s="477"/>
      <c r="E3" s="477"/>
      <c r="F3" s="477"/>
      <c r="G3" s="477"/>
      <c r="H3" s="477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7"/>
      <c r="Z3" s="477"/>
      <c r="AA3" s="477"/>
      <c r="AB3" s="477"/>
      <c r="AC3" s="477"/>
      <c r="AD3" s="477"/>
      <c r="AE3" s="477"/>
      <c r="AF3" s="477"/>
      <c r="AG3" s="477"/>
      <c r="AH3" s="479"/>
      <c r="AI3" s="479"/>
      <c r="AJ3" s="479"/>
      <c r="AK3" s="479"/>
      <c r="AL3" s="479"/>
      <c r="AM3" s="479"/>
      <c r="AN3" s="479"/>
      <c r="AO3" s="479"/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81" t="s">
        <v>790</v>
      </c>
    </row>
    <row r="4" spans="1:53" s="258" customFormat="1" x14ac:dyDescent="0.2">
      <c r="C4" s="2"/>
      <c r="D4" s="477"/>
      <c r="E4" s="477"/>
      <c r="F4" s="477"/>
      <c r="G4" s="477"/>
      <c r="H4" s="477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8"/>
      <c r="AS4" s="478"/>
      <c r="AT4" s="478"/>
      <c r="AU4" s="478"/>
      <c r="AV4" s="478"/>
      <c r="AW4" s="478"/>
      <c r="AX4" s="478"/>
      <c r="AY4" s="478"/>
      <c r="AZ4" s="477"/>
      <c r="BA4" s="477"/>
    </row>
    <row r="5" spans="1:53" s="258" customFormat="1" x14ac:dyDescent="0.2">
      <c r="C5" s="2"/>
      <c r="D5" s="477"/>
      <c r="E5" s="477"/>
      <c r="F5" s="477"/>
      <c r="G5" s="477"/>
      <c r="H5" s="477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8"/>
      <c r="AS5" s="478"/>
      <c r="AT5" s="478"/>
      <c r="AU5" s="478"/>
      <c r="AV5" s="478"/>
      <c r="AW5" s="478"/>
      <c r="AX5" s="478"/>
      <c r="AY5" s="478"/>
      <c r="AZ5" s="477"/>
      <c r="BA5" s="477"/>
    </row>
    <row r="6" spans="1:53" ht="18.75" customHeight="1" x14ac:dyDescent="0.2">
      <c r="B6" s="491" t="s">
        <v>495</v>
      </c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1"/>
      <c r="AG6" s="491"/>
      <c r="AH6" s="491"/>
      <c r="AI6" s="491"/>
      <c r="AJ6" s="491"/>
      <c r="AK6" s="491"/>
      <c r="AL6" s="491"/>
      <c r="AM6" s="491"/>
      <c r="AN6" s="491"/>
      <c r="AO6" s="491"/>
      <c r="AP6" s="491"/>
      <c r="AQ6" s="491"/>
      <c r="AR6" s="491"/>
      <c r="AS6" s="491"/>
      <c r="AT6" s="491"/>
      <c r="AU6" s="491"/>
      <c r="AV6" s="491"/>
      <c r="AW6" s="491"/>
      <c r="AX6" s="491"/>
      <c r="AY6" s="491"/>
      <c r="AZ6" s="491"/>
      <c r="BA6" s="491"/>
    </row>
    <row r="7" spans="1:53" ht="12.75" thickBot="1" x14ac:dyDescent="0.25"/>
    <row r="8" spans="1:53" ht="13.5" customHeight="1" thickBot="1" x14ac:dyDescent="0.25">
      <c r="A8" s="489" t="s">
        <v>345</v>
      </c>
      <c r="B8" s="501" t="s">
        <v>203</v>
      </c>
      <c r="C8" s="502"/>
      <c r="D8" s="503"/>
      <c r="E8" s="507" t="s">
        <v>202</v>
      </c>
      <c r="F8" s="514" t="s">
        <v>496</v>
      </c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514"/>
      <c r="X8" s="514"/>
      <c r="Y8" s="514"/>
      <c r="Z8" s="514"/>
      <c r="AA8" s="514"/>
      <c r="AB8" s="514"/>
      <c r="AC8" s="514"/>
      <c r="AD8" s="514"/>
      <c r="AE8" s="514"/>
      <c r="AF8" s="514"/>
      <c r="AG8" s="514"/>
      <c r="AH8" s="514"/>
      <c r="AI8" s="514"/>
      <c r="AJ8" s="514"/>
      <c r="AK8" s="514"/>
      <c r="AL8" s="514"/>
      <c r="AM8" s="514"/>
      <c r="AN8" s="514"/>
      <c r="AO8" s="514"/>
      <c r="AP8" s="514"/>
      <c r="AQ8" s="514"/>
      <c r="AR8" s="514"/>
      <c r="AS8" s="310"/>
      <c r="AT8" s="310"/>
      <c r="AU8" s="310"/>
      <c r="AV8" s="310"/>
      <c r="AW8" s="310"/>
      <c r="AX8" s="310"/>
      <c r="AY8" s="310"/>
      <c r="AZ8" s="494" t="s">
        <v>201</v>
      </c>
      <c r="BA8" s="494" t="s">
        <v>252</v>
      </c>
    </row>
    <row r="9" spans="1:53" ht="13.5" customHeight="1" x14ac:dyDescent="0.2">
      <c r="A9" s="490"/>
      <c r="B9" s="504"/>
      <c r="C9" s="505"/>
      <c r="D9" s="506"/>
      <c r="E9" s="508"/>
      <c r="F9" s="512" t="s">
        <v>747</v>
      </c>
      <c r="G9" s="512" t="s">
        <v>0</v>
      </c>
      <c r="H9" s="492" t="s">
        <v>740</v>
      </c>
      <c r="I9" s="492" t="s">
        <v>1</v>
      </c>
      <c r="J9" s="497" t="s">
        <v>717</v>
      </c>
      <c r="K9" s="261"/>
      <c r="L9" s="292"/>
      <c r="M9" s="292"/>
      <c r="N9" s="267"/>
      <c r="O9" s="532" t="s">
        <v>768</v>
      </c>
      <c r="P9" s="503"/>
      <c r="Q9" s="530" t="s">
        <v>776</v>
      </c>
      <c r="R9" s="531"/>
      <c r="S9" s="460"/>
      <c r="T9" s="454"/>
      <c r="U9" s="454"/>
      <c r="V9" s="454"/>
      <c r="W9" s="267"/>
      <c r="X9" s="492" t="s">
        <v>742</v>
      </c>
      <c r="Y9" s="492" t="s">
        <v>154</v>
      </c>
      <c r="Z9" s="497" t="s">
        <v>724</v>
      </c>
      <c r="AA9" s="270"/>
      <c r="AB9" s="270"/>
      <c r="AC9" s="270"/>
      <c r="AD9" s="270"/>
      <c r="AE9" s="270"/>
      <c r="AF9" s="270"/>
      <c r="AG9" s="497" t="s">
        <v>743</v>
      </c>
      <c r="AH9" s="497" t="s">
        <v>2</v>
      </c>
      <c r="AI9" s="497" t="s">
        <v>725</v>
      </c>
      <c r="AJ9" s="265"/>
      <c r="AK9" s="265"/>
      <c r="AL9" s="265"/>
      <c r="AM9" s="294"/>
      <c r="AN9" s="294"/>
      <c r="AO9" s="292"/>
      <c r="AP9" s="499" t="s">
        <v>536</v>
      </c>
      <c r="AQ9" s="497" t="s">
        <v>744</v>
      </c>
      <c r="AR9" s="497" t="s">
        <v>3</v>
      </c>
      <c r="AS9" s="510" t="s">
        <v>746</v>
      </c>
      <c r="AT9" s="313"/>
      <c r="AU9" s="265"/>
      <c r="AV9" s="265"/>
      <c r="AW9" s="294"/>
      <c r="AX9" s="294"/>
      <c r="AY9" s="320"/>
      <c r="AZ9" s="495"/>
      <c r="BA9" s="495"/>
    </row>
    <row r="10" spans="1:53" ht="78" customHeight="1" thickBot="1" x14ac:dyDescent="0.25">
      <c r="A10" s="490"/>
      <c r="B10" s="504"/>
      <c r="C10" s="505"/>
      <c r="D10" s="506"/>
      <c r="E10" s="509"/>
      <c r="F10" s="513"/>
      <c r="G10" s="513"/>
      <c r="H10" s="493"/>
      <c r="I10" s="493"/>
      <c r="J10" s="498"/>
      <c r="K10" s="280" t="s">
        <v>749</v>
      </c>
      <c r="L10" s="293" t="s">
        <v>750</v>
      </c>
      <c r="M10" s="293" t="s">
        <v>730</v>
      </c>
      <c r="N10" s="293" t="s">
        <v>741</v>
      </c>
      <c r="O10" s="444" t="s">
        <v>766</v>
      </c>
      <c r="P10" s="444" t="s">
        <v>767</v>
      </c>
      <c r="Q10" s="459" t="s">
        <v>781</v>
      </c>
      <c r="R10" s="459" t="s">
        <v>785</v>
      </c>
      <c r="S10" s="462" t="s">
        <v>787</v>
      </c>
      <c r="T10" s="453" t="s">
        <v>776</v>
      </c>
      <c r="U10" s="451"/>
      <c r="V10" s="451"/>
      <c r="W10" s="268"/>
      <c r="X10" s="493"/>
      <c r="Y10" s="493"/>
      <c r="Z10" s="498"/>
      <c r="AA10" s="293" t="s">
        <v>741</v>
      </c>
      <c r="AB10" s="444" t="s">
        <v>767</v>
      </c>
      <c r="AC10" s="459" t="s">
        <v>785</v>
      </c>
      <c r="AD10" s="271"/>
      <c r="AE10" s="271"/>
      <c r="AF10" s="271"/>
      <c r="AG10" s="498"/>
      <c r="AH10" s="498"/>
      <c r="AI10" s="498"/>
      <c r="AJ10" s="280" t="s">
        <v>730</v>
      </c>
      <c r="AK10" s="293" t="s">
        <v>741</v>
      </c>
      <c r="AL10" s="444" t="s">
        <v>767</v>
      </c>
      <c r="AM10" s="459" t="s">
        <v>785</v>
      </c>
      <c r="AN10" s="266"/>
      <c r="AO10" s="266"/>
      <c r="AP10" s="500"/>
      <c r="AQ10" s="498"/>
      <c r="AR10" s="498"/>
      <c r="AS10" s="511"/>
      <c r="AT10" s="293" t="s">
        <v>741</v>
      </c>
      <c r="AU10" s="444" t="s">
        <v>767</v>
      </c>
      <c r="AV10" s="293"/>
      <c r="AW10" s="266"/>
      <c r="AX10" s="266"/>
      <c r="AY10" s="266"/>
      <c r="AZ10" s="496"/>
      <c r="BA10" s="496"/>
    </row>
    <row r="11" spans="1:53" s="140" customFormat="1" ht="12.75" thickTop="1" thickBot="1" x14ac:dyDescent="0.25">
      <c r="A11" s="144">
        <v>1</v>
      </c>
      <c r="B11" s="537">
        <v>2</v>
      </c>
      <c r="C11" s="538"/>
      <c r="D11" s="539"/>
      <c r="E11" s="421">
        <v>3</v>
      </c>
      <c r="F11" s="298"/>
      <c r="G11" s="416">
        <v>4</v>
      </c>
      <c r="H11" s="298"/>
      <c r="I11" s="141">
        <v>5</v>
      </c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>
        <v>6</v>
      </c>
      <c r="Z11" s="141"/>
      <c r="AA11" s="141"/>
      <c r="AB11" s="141"/>
      <c r="AC11" s="141"/>
      <c r="AD11" s="141"/>
      <c r="AE11" s="141"/>
      <c r="AF11" s="141"/>
      <c r="AG11" s="141"/>
      <c r="AH11" s="141">
        <v>7</v>
      </c>
      <c r="AI11" s="142"/>
      <c r="AJ11" s="142"/>
      <c r="AK11" s="142"/>
      <c r="AL11" s="142"/>
      <c r="AM11" s="142"/>
      <c r="AN11" s="142"/>
      <c r="AO11" s="142"/>
      <c r="AP11" s="142">
        <v>8</v>
      </c>
      <c r="AQ11" s="142"/>
      <c r="AR11" s="141">
        <v>9</v>
      </c>
      <c r="AT11" s="142"/>
      <c r="AU11" s="142"/>
      <c r="AV11" s="142"/>
      <c r="AW11" s="142"/>
      <c r="AX11" s="142"/>
      <c r="AY11" s="142"/>
      <c r="AZ11" s="143" t="s">
        <v>745</v>
      </c>
      <c r="BA11" s="144">
        <v>10</v>
      </c>
    </row>
    <row r="12" spans="1:53" ht="13.5" thickTop="1" thickBot="1" x14ac:dyDescent="0.25">
      <c r="A12" s="112"/>
      <c r="B12" s="533"/>
      <c r="C12" s="534"/>
      <c r="D12" s="535"/>
      <c r="E12" s="5"/>
      <c r="F12" s="299"/>
      <c r="G12" s="417"/>
      <c r="H12" s="29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22"/>
      <c r="AJ12" s="122"/>
      <c r="AK12" s="122"/>
      <c r="AL12" s="122"/>
      <c r="AM12" s="122"/>
      <c r="AN12" s="122"/>
      <c r="AO12" s="122"/>
      <c r="AP12" s="122"/>
      <c r="AQ12" s="122"/>
      <c r="AR12" s="4"/>
      <c r="AS12" s="297"/>
      <c r="AT12" s="122"/>
      <c r="AU12" s="122"/>
      <c r="AV12" s="122"/>
      <c r="AW12" s="122"/>
      <c r="AX12" s="122"/>
      <c r="AY12" s="122"/>
      <c r="AZ12" s="6"/>
      <c r="BA12" s="103"/>
    </row>
    <row r="13" spans="1:53" ht="13.5" customHeight="1" thickBot="1" x14ac:dyDescent="0.25">
      <c r="A13" s="104"/>
      <c r="B13" s="536" t="s">
        <v>4</v>
      </c>
      <c r="C13" s="527"/>
      <c r="D13" s="223" t="s">
        <v>211</v>
      </c>
      <c r="E13" s="422"/>
      <c r="F13" s="300">
        <v>14524436.82</v>
      </c>
      <c r="G13" s="418">
        <f t="shared" ref="G13:G18" si="0">SUM(I13,Y13,AH13,AP13,AR13)</f>
        <v>14277448</v>
      </c>
      <c r="H13" s="300">
        <f>SUM(H14:H20)</f>
        <v>14491075.82</v>
      </c>
      <c r="I13" s="7">
        <f>SUM(I14:I20)</f>
        <v>14244538</v>
      </c>
      <c r="J13" s="7">
        <f t="shared" ref="J13:AR13" si="1">SUM(J14:J20)</f>
        <v>-246538</v>
      </c>
      <c r="K13" s="7">
        <f t="shared" si="1"/>
        <v>-21200</v>
      </c>
      <c r="L13" s="7">
        <f>SUM(L14:L20)</f>
        <v>-230</v>
      </c>
      <c r="M13" s="7">
        <f>SUM(M14:M20)</f>
        <v>-1449</v>
      </c>
      <c r="N13" s="7">
        <f t="shared" si="1"/>
        <v>-295653</v>
      </c>
      <c r="O13" s="7">
        <f t="shared" si="1"/>
        <v>0</v>
      </c>
      <c r="P13" s="7">
        <f t="shared" si="1"/>
        <v>301085</v>
      </c>
      <c r="Q13" s="7">
        <f t="shared" si="1"/>
        <v>-35547</v>
      </c>
      <c r="R13" s="7">
        <f t="shared" si="1"/>
        <v>-16009</v>
      </c>
      <c r="S13" s="7">
        <f t="shared" si="1"/>
        <v>-8000</v>
      </c>
      <c r="T13" s="7">
        <f>SUM(T14:T20)</f>
        <v>-169535</v>
      </c>
      <c r="U13" s="7">
        <f>SUM(U14:U20)</f>
        <v>0</v>
      </c>
      <c r="V13" s="7">
        <f>SUM(V14:V20)</f>
        <v>0</v>
      </c>
      <c r="W13" s="7">
        <f t="shared" si="1"/>
        <v>0</v>
      </c>
      <c r="X13" s="7">
        <f>SUM(X14:X20)</f>
        <v>0</v>
      </c>
      <c r="Y13" s="7">
        <f t="shared" si="1"/>
        <v>0</v>
      </c>
      <c r="Z13" s="7">
        <f t="shared" si="1"/>
        <v>0</v>
      </c>
      <c r="AA13" s="7">
        <f t="shared" si="1"/>
        <v>0</v>
      </c>
      <c r="AB13" s="7">
        <f t="shared" si="1"/>
        <v>0</v>
      </c>
      <c r="AC13" s="7">
        <f t="shared" si="1"/>
        <v>0</v>
      </c>
      <c r="AD13" s="7">
        <f t="shared" si="1"/>
        <v>0</v>
      </c>
      <c r="AE13" s="7">
        <f t="shared" si="1"/>
        <v>0</v>
      </c>
      <c r="AF13" s="7">
        <f t="shared" si="1"/>
        <v>0</v>
      </c>
      <c r="AG13" s="7">
        <f>SUM(AG14:AG20)</f>
        <v>33361</v>
      </c>
      <c r="AH13" s="7">
        <f t="shared" si="1"/>
        <v>32910</v>
      </c>
      <c r="AI13" s="7">
        <f t="shared" si="1"/>
        <v>-451</v>
      </c>
      <c r="AJ13" s="7">
        <f t="shared" si="1"/>
        <v>0</v>
      </c>
      <c r="AK13" s="7">
        <f t="shared" si="1"/>
        <v>0</v>
      </c>
      <c r="AL13" s="7">
        <f t="shared" si="1"/>
        <v>-451</v>
      </c>
      <c r="AM13" s="7">
        <f t="shared" si="1"/>
        <v>0</v>
      </c>
      <c r="AN13" s="7">
        <f t="shared" si="1"/>
        <v>0</v>
      </c>
      <c r="AO13" s="7">
        <f t="shared" si="1"/>
        <v>0</v>
      </c>
      <c r="AP13" s="7">
        <f t="shared" si="1"/>
        <v>0</v>
      </c>
      <c r="AQ13" s="7">
        <f>SUM(AQ14:AQ20)</f>
        <v>0</v>
      </c>
      <c r="AR13" s="7">
        <f t="shared" si="1"/>
        <v>0</v>
      </c>
      <c r="AS13" s="321">
        <f>SUM(AS14:AS20)</f>
        <v>0</v>
      </c>
      <c r="AT13" s="7">
        <f t="shared" ref="AT13:AY13" si="2">SUM(AT14:AT20)</f>
        <v>0</v>
      </c>
      <c r="AU13" s="7">
        <f t="shared" si="2"/>
        <v>0</v>
      </c>
      <c r="AV13" s="7">
        <f t="shared" si="2"/>
        <v>0</v>
      </c>
      <c r="AW13" s="7">
        <f t="shared" si="2"/>
        <v>0</v>
      </c>
      <c r="AX13" s="7">
        <f t="shared" si="2"/>
        <v>0</v>
      </c>
      <c r="AY13" s="7">
        <f t="shared" si="2"/>
        <v>0</v>
      </c>
      <c r="AZ13" s="8"/>
      <c r="BA13" s="104"/>
    </row>
    <row r="14" spans="1:53" ht="13.5" thickTop="1" x14ac:dyDescent="0.2">
      <c r="A14" s="217">
        <v>90000056357</v>
      </c>
      <c r="B14" s="235"/>
      <c r="C14" s="515" t="s">
        <v>5</v>
      </c>
      <c r="D14" s="516"/>
      <c r="E14" s="227" t="s">
        <v>239</v>
      </c>
      <c r="F14" s="301">
        <v>500151.82</v>
      </c>
      <c r="G14" s="97">
        <f t="shared" si="0"/>
        <v>501686</v>
      </c>
      <c r="H14" s="301">
        <f>466790.82</f>
        <v>466790.82</v>
      </c>
      <c r="I14" s="97">
        <f>H14+0.18+J14</f>
        <v>468776</v>
      </c>
      <c r="J14" s="97">
        <f>SUM(K14:W14)</f>
        <v>1985</v>
      </c>
      <c r="K14" s="97"/>
      <c r="L14" s="97"/>
      <c r="M14" s="97"/>
      <c r="N14" s="97"/>
      <c r="O14" s="97"/>
      <c r="P14" s="97">
        <v>1085</v>
      </c>
      <c r="Q14" s="97">
        <v>900</v>
      </c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>
        <f>33361</f>
        <v>33361</v>
      </c>
      <c r="AH14" s="97">
        <f t="shared" ref="AH14:AH19" si="3">AI14+AG14</f>
        <v>32910</v>
      </c>
      <c r="AI14" s="125">
        <f t="shared" ref="AI14:AI19" si="4">SUM(AJ14:AO14)</f>
        <v>-451</v>
      </c>
      <c r="AJ14" s="125"/>
      <c r="AK14" s="125"/>
      <c r="AL14" s="125">
        <f>-451</f>
        <v>-451</v>
      </c>
      <c r="AM14" s="125"/>
      <c r="AN14" s="125"/>
      <c r="AO14" s="125"/>
      <c r="AP14" s="125"/>
      <c r="AQ14" s="125"/>
      <c r="AR14" s="97"/>
      <c r="AS14" s="315"/>
      <c r="AT14" s="125"/>
      <c r="AU14" s="125"/>
      <c r="AV14" s="125"/>
      <c r="AW14" s="125"/>
      <c r="AX14" s="125"/>
      <c r="AY14" s="125"/>
      <c r="AZ14" s="98" t="s">
        <v>372</v>
      </c>
      <c r="BA14" s="105"/>
    </row>
    <row r="15" spans="1:53" s="216" customFormat="1" ht="24" x14ac:dyDescent="0.2">
      <c r="A15" s="222"/>
      <c r="C15" s="220"/>
      <c r="D15" s="221"/>
      <c r="E15" s="227" t="s">
        <v>557</v>
      </c>
      <c r="F15" s="301">
        <v>156625</v>
      </c>
      <c r="G15" s="97">
        <f t="shared" si="0"/>
        <v>168845</v>
      </c>
      <c r="H15" s="301">
        <f>156625</f>
        <v>156625</v>
      </c>
      <c r="I15" s="97">
        <f t="shared" ref="I15:I25" si="5">H15+J15</f>
        <v>168845</v>
      </c>
      <c r="J15" s="97">
        <f t="shared" ref="J15:J25" si="6">SUM(K15:W15)</f>
        <v>12220</v>
      </c>
      <c r="K15" s="97">
        <v>8000</v>
      </c>
      <c r="L15" s="97"/>
      <c r="M15" s="97"/>
      <c r="N15" s="97">
        <f>4220</f>
        <v>4220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>
        <f t="shared" si="3"/>
        <v>0</v>
      </c>
      <c r="AI15" s="125">
        <f t="shared" si="4"/>
        <v>0</v>
      </c>
      <c r="AJ15" s="125"/>
      <c r="AK15" s="125"/>
      <c r="AL15" s="125"/>
      <c r="AM15" s="125"/>
      <c r="AN15" s="125"/>
      <c r="AO15" s="125"/>
      <c r="AP15" s="125"/>
      <c r="AQ15" s="125"/>
      <c r="AR15" s="97"/>
      <c r="AS15" s="315"/>
      <c r="AT15" s="125"/>
      <c r="AU15" s="125"/>
      <c r="AV15" s="125"/>
      <c r="AW15" s="125"/>
      <c r="AX15" s="125"/>
      <c r="AY15" s="125"/>
      <c r="AZ15" s="98" t="s">
        <v>620</v>
      </c>
      <c r="BA15" s="105"/>
    </row>
    <row r="16" spans="1:53" ht="24" x14ac:dyDescent="0.2">
      <c r="A16" s="167"/>
      <c r="B16" s="119"/>
      <c r="C16" s="161"/>
      <c r="D16" s="162"/>
      <c r="E16" s="227" t="s">
        <v>558</v>
      </c>
      <c r="F16" s="301">
        <v>499100</v>
      </c>
      <c r="G16" s="97">
        <f t="shared" si="0"/>
        <v>492627</v>
      </c>
      <c r="H16" s="301">
        <f>499100</f>
        <v>499100</v>
      </c>
      <c r="I16" s="97">
        <f t="shared" si="5"/>
        <v>492627</v>
      </c>
      <c r="J16" s="97">
        <f t="shared" si="6"/>
        <v>-6473</v>
      </c>
      <c r="K16" s="97"/>
      <c r="L16" s="97"/>
      <c r="M16" s="97"/>
      <c r="N16" s="97"/>
      <c r="O16" s="97"/>
      <c r="P16" s="97"/>
      <c r="Q16" s="97"/>
      <c r="R16" s="97">
        <v>-6473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>
        <f t="shared" si="3"/>
        <v>0</v>
      </c>
      <c r="AI16" s="125">
        <f t="shared" si="4"/>
        <v>0</v>
      </c>
      <c r="AJ16" s="125"/>
      <c r="AK16" s="125"/>
      <c r="AL16" s="125"/>
      <c r="AM16" s="125"/>
      <c r="AN16" s="125"/>
      <c r="AO16" s="125"/>
      <c r="AP16" s="125"/>
      <c r="AQ16" s="125"/>
      <c r="AR16" s="97"/>
      <c r="AS16" s="315"/>
      <c r="AT16" s="125"/>
      <c r="AU16" s="125"/>
      <c r="AV16" s="125"/>
      <c r="AW16" s="125"/>
      <c r="AX16" s="125"/>
      <c r="AY16" s="125"/>
      <c r="AZ16" s="98" t="s">
        <v>611</v>
      </c>
      <c r="BA16" s="105" t="s">
        <v>584</v>
      </c>
    </row>
    <row r="17" spans="1:53" ht="36" x14ac:dyDescent="0.2">
      <c r="A17" s="167"/>
      <c r="B17" s="119"/>
      <c r="C17" s="161"/>
      <c r="D17" s="162"/>
      <c r="E17" s="227" t="s">
        <v>301</v>
      </c>
      <c r="F17" s="301">
        <v>572194</v>
      </c>
      <c r="G17" s="97">
        <f t="shared" si="0"/>
        <v>572194</v>
      </c>
      <c r="H17" s="301">
        <f>572194</f>
        <v>572194</v>
      </c>
      <c r="I17" s="97">
        <f t="shared" si="5"/>
        <v>572194</v>
      </c>
      <c r="J17" s="97">
        <f t="shared" si="6"/>
        <v>0</v>
      </c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>
        <f t="shared" si="3"/>
        <v>0</v>
      </c>
      <c r="AI17" s="125">
        <f t="shared" si="4"/>
        <v>0</v>
      </c>
      <c r="AJ17" s="125"/>
      <c r="AK17" s="125"/>
      <c r="AL17" s="125"/>
      <c r="AM17" s="125"/>
      <c r="AN17" s="125"/>
      <c r="AO17" s="125"/>
      <c r="AP17" s="125"/>
      <c r="AQ17" s="125"/>
      <c r="AR17" s="97"/>
      <c r="AS17" s="315"/>
      <c r="AT17" s="125"/>
      <c r="AU17" s="125"/>
      <c r="AV17" s="125"/>
      <c r="AW17" s="125"/>
      <c r="AX17" s="125"/>
      <c r="AY17" s="125"/>
      <c r="AZ17" s="98" t="s">
        <v>668</v>
      </c>
      <c r="BA17" s="105"/>
    </row>
    <row r="18" spans="1:53" s="216" customFormat="1" ht="24" x14ac:dyDescent="0.2">
      <c r="A18" s="167"/>
      <c r="B18" s="119"/>
      <c r="C18" s="214"/>
      <c r="D18" s="215"/>
      <c r="E18" s="227" t="s">
        <v>579</v>
      </c>
      <c r="F18" s="301">
        <v>2288602</v>
      </c>
      <c r="G18" s="97">
        <f t="shared" si="0"/>
        <v>2288602</v>
      </c>
      <c r="H18" s="301">
        <f>2288602</f>
        <v>2288602</v>
      </c>
      <c r="I18" s="97">
        <f t="shared" si="5"/>
        <v>2288602</v>
      </c>
      <c r="J18" s="97">
        <f t="shared" si="6"/>
        <v>0</v>
      </c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>
        <f t="shared" si="3"/>
        <v>0</v>
      </c>
      <c r="AI18" s="125">
        <f t="shared" si="4"/>
        <v>0</v>
      </c>
      <c r="AJ18" s="125"/>
      <c r="AK18" s="125"/>
      <c r="AL18" s="125"/>
      <c r="AM18" s="125"/>
      <c r="AN18" s="125"/>
      <c r="AO18" s="125"/>
      <c r="AP18" s="125"/>
      <c r="AQ18" s="125"/>
      <c r="AR18" s="97"/>
      <c r="AS18" s="315"/>
      <c r="AT18" s="125"/>
      <c r="AU18" s="125"/>
      <c r="AV18" s="125"/>
      <c r="AW18" s="125"/>
      <c r="AX18" s="125"/>
      <c r="AY18" s="125"/>
      <c r="AZ18" s="98" t="s">
        <v>578</v>
      </c>
      <c r="BA18" s="105" t="s">
        <v>368</v>
      </c>
    </row>
    <row r="19" spans="1:53" s="216" customFormat="1" ht="36" x14ac:dyDescent="0.2">
      <c r="A19" s="167"/>
      <c r="B19" s="119"/>
      <c r="C19" s="214"/>
      <c r="D19" s="215"/>
      <c r="E19" s="227" t="s">
        <v>580</v>
      </c>
      <c r="F19" s="302">
        <v>4000</v>
      </c>
      <c r="G19" s="84">
        <f t="shared" ref="G19:G25" si="7">SUM(I19,Y19,AH19,AP19,AR19)</f>
        <v>4000</v>
      </c>
      <c r="H19" s="302">
        <f>4000</f>
        <v>4000</v>
      </c>
      <c r="I19" s="84">
        <f t="shared" si="5"/>
        <v>4000</v>
      </c>
      <c r="J19" s="84">
        <f t="shared" si="6"/>
        <v>0</v>
      </c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97">
        <f t="shared" si="3"/>
        <v>0</v>
      </c>
      <c r="AI19" s="125">
        <f t="shared" si="4"/>
        <v>0</v>
      </c>
      <c r="AJ19" s="124"/>
      <c r="AK19" s="124"/>
      <c r="AL19" s="124"/>
      <c r="AM19" s="124"/>
      <c r="AN19" s="124"/>
      <c r="AO19" s="124"/>
      <c r="AP19" s="124"/>
      <c r="AQ19" s="124"/>
      <c r="AR19" s="84"/>
      <c r="AS19" s="316"/>
      <c r="AT19" s="124"/>
      <c r="AU19" s="124"/>
      <c r="AV19" s="124"/>
      <c r="AW19" s="124"/>
      <c r="AX19" s="124"/>
      <c r="AY19" s="124"/>
      <c r="AZ19" s="85" t="s">
        <v>373</v>
      </c>
      <c r="BA19" s="106" t="s">
        <v>368</v>
      </c>
    </row>
    <row r="20" spans="1:53" ht="12.75" x14ac:dyDescent="0.2">
      <c r="A20" s="167"/>
      <c r="B20" s="119"/>
      <c r="C20" s="486" t="s">
        <v>144</v>
      </c>
      <c r="D20" s="487"/>
      <c r="E20" s="227"/>
      <c r="F20" s="301">
        <v>10503764</v>
      </c>
      <c r="G20" s="97">
        <f t="shared" si="7"/>
        <v>10249494</v>
      </c>
      <c r="H20" s="301">
        <f>SUM(H21:H25)</f>
        <v>10503764</v>
      </c>
      <c r="I20" s="97">
        <f>H20+J20</f>
        <v>10249494</v>
      </c>
      <c r="J20" s="97">
        <f>SUM(J21:J25)</f>
        <v>-254270</v>
      </c>
      <c r="K20" s="97">
        <f>SUM(K21:K25)</f>
        <v>-29200</v>
      </c>
      <c r="L20" s="97">
        <f>SUM(L21:L25)</f>
        <v>-230</v>
      </c>
      <c r="M20" s="97">
        <f>SUM(M21:M25)</f>
        <v>-1449</v>
      </c>
      <c r="N20" s="97">
        <f>SUM(N21:N25)</f>
        <v>-299873</v>
      </c>
      <c r="O20" s="97">
        <f t="shared" ref="O20:AR20" si="8">SUM(O21:O25)</f>
        <v>0</v>
      </c>
      <c r="P20" s="97">
        <f t="shared" si="8"/>
        <v>300000</v>
      </c>
      <c r="Q20" s="97">
        <f t="shared" si="8"/>
        <v>-36447</v>
      </c>
      <c r="R20" s="97">
        <f t="shared" si="8"/>
        <v>-9536</v>
      </c>
      <c r="S20" s="97">
        <f t="shared" si="8"/>
        <v>-8000</v>
      </c>
      <c r="T20" s="97">
        <f>SUM(T21:T25)</f>
        <v>-169535</v>
      </c>
      <c r="U20" s="97">
        <f>SUM(U21:U25)</f>
        <v>0</v>
      </c>
      <c r="V20" s="97">
        <f>SUM(V21:V25)</f>
        <v>0</v>
      </c>
      <c r="W20" s="97">
        <f t="shared" si="8"/>
        <v>0</v>
      </c>
      <c r="X20" s="97">
        <f>SUM(X21:X25)</f>
        <v>0</v>
      </c>
      <c r="Y20" s="97">
        <f t="shared" si="8"/>
        <v>0</v>
      </c>
      <c r="Z20" s="97">
        <f t="shared" si="8"/>
        <v>0</v>
      </c>
      <c r="AA20" s="97">
        <f t="shared" si="8"/>
        <v>0</v>
      </c>
      <c r="AB20" s="97">
        <f t="shared" si="8"/>
        <v>0</v>
      </c>
      <c r="AC20" s="97">
        <f t="shared" si="8"/>
        <v>0</v>
      </c>
      <c r="AD20" s="97">
        <f t="shared" si="8"/>
        <v>0</v>
      </c>
      <c r="AE20" s="97">
        <f t="shared" si="8"/>
        <v>0</v>
      </c>
      <c r="AF20" s="97">
        <f t="shared" si="8"/>
        <v>0</v>
      </c>
      <c r="AG20" s="97">
        <f>SUM(AG21:AG25)</f>
        <v>0</v>
      </c>
      <c r="AH20" s="97">
        <f t="shared" si="8"/>
        <v>0</v>
      </c>
      <c r="AI20" s="125">
        <f t="shared" si="8"/>
        <v>0</v>
      </c>
      <c r="AJ20" s="125">
        <f t="shared" si="8"/>
        <v>0</v>
      </c>
      <c r="AK20" s="125">
        <f t="shared" si="8"/>
        <v>0</v>
      </c>
      <c r="AL20" s="125">
        <f t="shared" si="8"/>
        <v>0</v>
      </c>
      <c r="AM20" s="125">
        <f t="shared" si="8"/>
        <v>0</v>
      </c>
      <c r="AN20" s="125">
        <f t="shared" si="8"/>
        <v>0</v>
      </c>
      <c r="AO20" s="125">
        <f t="shared" si="8"/>
        <v>0</v>
      </c>
      <c r="AP20" s="125">
        <f t="shared" si="8"/>
        <v>0</v>
      </c>
      <c r="AQ20" s="125">
        <f>SUM(AQ21:AQ25)</f>
        <v>0</v>
      </c>
      <c r="AR20" s="97">
        <f t="shared" si="8"/>
        <v>0</v>
      </c>
      <c r="AS20" s="315">
        <f>SUM(AS21:AS25)</f>
        <v>0</v>
      </c>
      <c r="AT20" s="125">
        <f t="shared" ref="AT20:AY20" si="9">SUM(AT21:AT25)</f>
        <v>0</v>
      </c>
      <c r="AU20" s="125">
        <f t="shared" si="9"/>
        <v>0</v>
      </c>
      <c r="AV20" s="125">
        <f t="shared" si="9"/>
        <v>0</v>
      </c>
      <c r="AW20" s="125">
        <f t="shared" si="9"/>
        <v>0</v>
      </c>
      <c r="AX20" s="125">
        <f t="shared" si="9"/>
        <v>0</v>
      </c>
      <c r="AY20" s="125">
        <f t="shared" si="9"/>
        <v>0</v>
      </c>
      <c r="AZ20" s="98"/>
      <c r="BA20" s="105"/>
    </row>
    <row r="21" spans="1:53" ht="12.75" x14ac:dyDescent="0.2">
      <c r="A21" s="167"/>
      <c r="B21" s="119"/>
      <c r="C21" s="228"/>
      <c r="D21" s="230"/>
      <c r="E21" s="227" t="s">
        <v>145</v>
      </c>
      <c r="F21" s="301">
        <v>341490</v>
      </c>
      <c r="G21" s="97">
        <f t="shared" si="7"/>
        <v>341490</v>
      </c>
      <c r="H21" s="301">
        <f>341490</f>
        <v>341490</v>
      </c>
      <c r="I21" s="130">
        <f t="shared" si="5"/>
        <v>341490</v>
      </c>
      <c r="J21" s="130">
        <f>SUM(K21:W21)</f>
        <v>0</v>
      </c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97"/>
      <c r="AI21" s="125"/>
      <c r="AJ21" s="131"/>
      <c r="AK21" s="131"/>
      <c r="AL21" s="131"/>
      <c r="AM21" s="131"/>
      <c r="AN21" s="131"/>
      <c r="AO21" s="131"/>
      <c r="AP21" s="131"/>
      <c r="AQ21" s="131"/>
      <c r="AR21" s="130"/>
      <c r="AS21" s="314"/>
      <c r="AT21" s="131"/>
      <c r="AU21" s="131"/>
      <c r="AV21" s="131"/>
      <c r="AW21" s="131"/>
      <c r="AX21" s="131"/>
      <c r="AY21" s="131"/>
      <c r="AZ21" s="98" t="s">
        <v>655</v>
      </c>
      <c r="BA21" s="105"/>
    </row>
    <row r="22" spans="1:53" ht="12.75" x14ac:dyDescent="0.2">
      <c r="A22" s="167"/>
      <c r="B22" s="119"/>
      <c r="C22" s="228"/>
      <c r="D22" s="230"/>
      <c r="E22" s="227" t="s">
        <v>240</v>
      </c>
      <c r="F22" s="301">
        <v>735764</v>
      </c>
      <c r="G22" s="97">
        <f t="shared" si="7"/>
        <v>735764</v>
      </c>
      <c r="H22" s="301">
        <f>735764</f>
        <v>735764</v>
      </c>
      <c r="I22" s="130">
        <f t="shared" si="5"/>
        <v>735764</v>
      </c>
      <c r="J22" s="130">
        <f t="shared" si="6"/>
        <v>0</v>
      </c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97"/>
      <c r="AI22" s="125"/>
      <c r="AJ22" s="131"/>
      <c r="AK22" s="131"/>
      <c r="AL22" s="131"/>
      <c r="AM22" s="131"/>
      <c r="AN22" s="131"/>
      <c r="AO22" s="131"/>
      <c r="AP22" s="131"/>
      <c r="AQ22" s="131"/>
      <c r="AR22" s="130"/>
      <c r="AS22" s="314"/>
      <c r="AT22" s="131"/>
      <c r="AU22" s="131"/>
      <c r="AV22" s="131"/>
      <c r="AW22" s="131"/>
      <c r="AX22" s="131"/>
      <c r="AY22" s="131"/>
      <c r="AZ22" s="98" t="s">
        <v>656</v>
      </c>
      <c r="BA22" s="105"/>
    </row>
    <row r="23" spans="1:53" ht="24" x14ac:dyDescent="0.2">
      <c r="A23" s="167"/>
      <c r="B23" s="119"/>
      <c r="C23" s="228"/>
      <c r="D23" s="230"/>
      <c r="E23" s="227" t="s">
        <v>241</v>
      </c>
      <c r="F23" s="301">
        <v>8926510</v>
      </c>
      <c r="G23" s="97">
        <f t="shared" si="7"/>
        <v>8926510</v>
      </c>
      <c r="H23" s="301">
        <f>8926510</f>
        <v>8926510</v>
      </c>
      <c r="I23" s="130">
        <f t="shared" si="5"/>
        <v>8926510</v>
      </c>
      <c r="J23" s="130">
        <f t="shared" si="6"/>
        <v>0</v>
      </c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97"/>
      <c r="AI23" s="125"/>
      <c r="AJ23" s="131"/>
      <c r="AK23" s="131"/>
      <c r="AL23" s="131"/>
      <c r="AM23" s="131"/>
      <c r="AN23" s="131"/>
      <c r="AO23" s="131"/>
      <c r="AP23" s="131"/>
      <c r="AQ23" s="131"/>
      <c r="AR23" s="130"/>
      <c r="AS23" s="314"/>
      <c r="AT23" s="131"/>
      <c r="AU23" s="131"/>
      <c r="AV23" s="131"/>
      <c r="AW23" s="131"/>
      <c r="AX23" s="131"/>
      <c r="AY23" s="131"/>
      <c r="AZ23" s="98" t="s">
        <v>657</v>
      </c>
      <c r="BA23" s="105"/>
    </row>
    <row r="24" spans="1:53" s="295" customFormat="1" ht="24" x14ac:dyDescent="0.2">
      <c r="A24" s="167"/>
      <c r="B24" s="119"/>
      <c r="C24" s="296"/>
      <c r="D24" s="230"/>
      <c r="E24" s="227" t="s">
        <v>242</v>
      </c>
      <c r="F24" s="301">
        <v>500000</v>
      </c>
      <c r="G24" s="97">
        <f t="shared" si="7"/>
        <v>242806</v>
      </c>
      <c r="H24" s="301">
        <f>500000</f>
        <v>500000</v>
      </c>
      <c r="I24" s="97">
        <f t="shared" si="5"/>
        <v>242806</v>
      </c>
      <c r="J24" s="97">
        <f>SUM(K24:W24)</f>
        <v>-257194</v>
      </c>
      <c r="K24" s="97">
        <v>-29200</v>
      </c>
      <c r="L24" s="97">
        <v>-230</v>
      </c>
      <c r="M24" s="97">
        <f>23051-24500</f>
        <v>-1449</v>
      </c>
      <c r="N24" s="97">
        <f>-302797</f>
        <v>-302797</v>
      </c>
      <c r="O24" s="97"/>
      <c r="P24" s="97">
        <f>300000</f>
        <v>300000</v>
      </c>
      <c r="Q24" s="97">
        <f>-4750-4795-5000-15946-5956</f>
        <v>-36447</v>
      </c>
      <c r="R24" s="97">
        <f>-1814-2570-493-4659</f>
        <v>-9536</v>
      </c>
      <c r="S24" s="97">
        <v>-8000</v>
      </c>
      <c r="T24" s="97">
        <f>-150000-10627-9000+92</f>
        <v>-169535</v>
      </c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125"/>
      <c r="AJ24" s="125"/>
      <c r="AK24" s="125"/>
      <c r="AL24" s="125"/>
      <c r="AM24" s="125"/>
      <c r="AN24" s="125"/>
      <c r="AO24" s="125"/>
      <c r="AP24" s="125"/>
      <c r="AQ24" s="125"/>
      <c r="AR24" s="97"/>
      <c r="AS24" s="315"/>
      <c r="AT24" s="125"/>
      <c r="AU24" s="125"/>
      <c r="AV24" s="125"/>
      <c r="AW24" s="125"/>
      <c r="AX24" s="125"/>
      <c r="AY24" s="125"/>
      <c r="AZ24" s="98" t="s">
        <v>658</v>
      </c>
      <c r="BA24" s="105"/>
    </row>
    <row r="25" spans="1:53" s="295" customFormat="1" ht="24" x14ac:dyDescent="0.2">
      <c r="A25" s="147"/>
      <c r="B25" s="206"/>
      <c r="C25" s="461"/>
      <c r="D25" s="230"/>
      <c r="E25" s="227" t="s">
        <v>731</v>
      </c>
      <c r="F25" s="301"/>
      <c r="G25" s="97">
        <f t="shared" si="7"/>
        <v>2924</v>
      </c>
      <c r="H25" s="301"/>
      <c r="I25" s="97">
        <f t="shared" si="5"/>
        <v>2924</v>
      </c>
      <c r="J25" s="97">
        <f t="shared" si="6"/>
        <v>2924</v>
      </c>
      <c r="K25" s="97"/>
      <c r="L25" s="97"/>
      <c r="M25" s="97"/>
      <c r="N25" s="97">
        <v>2924</v>
      </c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125"/>
      <c r="AJ25" s="125"/>
      <c r="AK25" s="125"/>
      <c r="AL25" s="125"/>
      <c r="AM25" s="125"/>
      <c r="AN25" s="125"/>
      <c r="AO25" s="125"/>
      <c r="AP25" s="125"/>
      <c r="AQ25" s="125"/>
      <c r="AR25" s="97"/>
      <c r="AS25" s="315"/>
      <c r="AT25" s="125"/>
      <c r="AU25" s="125"/>
      <c r="AV25" s="125"/>
      <c r="AW25" s="125"/>
      <c r="AX25" s="125"/>
      <c r="AY25" s="125"/>
      <c r="AZ25" s="98" t="s">
        <v>769</v>
      </c>
      <c r="BA25" s="105"/>
    </row>
    <row r="26" spans="1:53" ht="12.75" thickBot="1" x14ac:dyDescent="0.25">
      <c r="A26" s="147"/>
      <c r="B26" s="145"/>
      <c r="C26" s="540"/>
      <c r="D26" s="541"/>
      <c r="E26" s="424"/>
      <c r="F26" s="302"/>
      <c r="G26" s="84"/>
      <c r="H26" s="302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124"/>
      <c r="AJ26" s="124"/>
      <c r="AK26" s="124"/>
      <c r="AL26" s="124"/>
      <c r="AM26" s="124"/>
      <c r="AN26" s="124"/>
      <c r="AO26" s="124"/>
      <c r="AP26" s="124"/>
      <c r="AQ26" s="124"/>
      <c r="AR26" s="84"/>
      <c r="AS26" s="316"/>
      <c r="AT26" s="124"/>
      <c r="AU26" s="124"/>
      <c r="AV26" s="124"/>
      <c r="AW26" s="124"/>
      <c r="AX26" s="124"/>
      <c r="AY26" s="124"/>
      <c r="AZ26" s="95"/>
      <c r="BA26" s="106"/>
    </row>
    <row r="27" spans="1:53" ht="24.75" thickBot="1" x14ac:dyDescent="0.25">
      <c r="A27" s="226"/>
      <c r="B27" s="527" t="s">
        <v>6</v>
      </c>
      <c r="C27" s="527"/>
      <c r="D27" s="223" t="s">
        <v>212</v>
      </c>
      <c r="E27" s="425"/>
      <c r="F27" s="303">
        <v>1963264.0055555555</v>
      </c>
      <c r="G27" s="419">
        <f t="shared" ref="G27:G33" si="10">SUM(I27,Y27,AH27,AP27,AR27)</f>
        <v>1965068</v>
      </c>
      <c r="H27" s="303">
        <f>SUM(H28:H34)</f>
        <v>1819395</v>
      </c>
      <c r="I27" s="7">
        <f>SUM(I28:I34)</f>
        <v>1821117</v>
      </c>
      <c r="J27" s="7">
        <f t="shared" ref="J27:AP27" si="11">SUM(J28:J34)</f>
        <v>1722</v>
      </c>
      <c r="K27" s="7">
        <f t="shared" si="11"/>
        <v>0</v>
      </c>
      <c r="L27" s="7">
        <f>SUM(L28:L34)</f>
        <v>0</v>
      </c>
      <c r="M27" s="7">
        <f>SUM(M28:M34)</f>
        <v>0</v>
      </c>
      <c r="N27" s="7">
        <f t="shared" si="11"/>
        <v>0</v>
      </c>
      <c r="O27" s="7">
        <f t="shared" si="11"/>
        <v>0</v>
      </c>
      <c r="P27" s="7">
        <f t="shared" si="11"/>
        <v>0</v>
      </c>
      <c r="Q27" s="7">
        <f t="shared" si="11"/>
        <v>1722</v>
      </c>
      <c r="R27" s="7">
        <f t="shared" si="11"/>
        <v>0</v>
      </c>
      <c r="S27" s="7">
        <f t="shared" si="11"/>
        <v>0</v>
      </c>
      <c r="T27" s="7">
        <f>SUM(T28:T34)</f>
        <v>0</v>
      </c>
      <c r="U27" s="7">
        <f>SUM(U28:U34)</f>
        <v>0</v>
      </c>
      <c r="V27" s="7">
        <f>SUM(V28:V34)</f>
        <v>0</v>
      </c>
      <c r="W27" s="7">
        <f t="shared" si="11"/>
        <v>0</v>
      </c>
      <c r="X27" s="7">
        <f>SUM(X28:X34)</f>
        <v>0</v>
      </c>
      <c r="Y27" s="7">
        <f t="shared" si="11"/>
        <v>0</v>
      </c>
      <c r="Z27" s="7">
        <f t="shared" si="11"/>
        <v>0</v>
      </c>
      <c r="AA27" s="7">
        <f t="shared" si="11"/>
        <v>0</v>
      </c>
      <c r="AB27" s="7">
        <f t="shared" si="11"/>
        <v>0</v>
      </c>
      <c r="AC27" s="7">
        <f t="shared" si="11"/>
        <v>0</v>
      </c>
      <c r="AD27" s="7">
        <f t="shared" si="11"/>
        <v>0</v>
      </c>
      <c r="AE27" s="7">
        <f t="shared" si="11"/>
        <v>0</v>
      </c>
      <c r="AF27" s="7">
        <f t="shared" si="11"/>
        <v>0</v>
      </c>
      <c r="AG27" s="7">
        <f>SUM(AG28:AG34)</f>
        <v>142843</v>
      </c>
      <c r="AH27" s="7">
        <f t="shared" si="11"/>
        <v>142925</v>
      </c>
      <c r="AI27" s="7">
        <f t="shared" si="11"/>
        <v>82</v>
      </c>
      <c r="AJ27" s="7">
        <f t="shared" si="11"/>
        <v>0</v>
      </c>
      <c r="AK27" s="7">
        <f t="shared" si="11"/>
        <v>2</v>
      </c>
      <c r="AL27" s="7">
        <f t="shared" si="11"/>
        <v>80</v>
      </c>
      <c r="AM27" s="7">
        <f t="shared" si="11"/>
        <v>0</v>
      </c>
      <c r="AN27" s="7">
        <f t="shared" si="11"/>
        <v>0</v>
      </c>
      <c r="AO27" s="7">
        <f t="shared" si="11"/>
        <v>0</v>
      </c>
      <c r="AP27" s="7">
        <f t="shared" si="11"/>
        <v>0</v>
      </c>
      <c r="AQ27" s="123">
        <f>SUM(AQ28:AQ34)</f>
        <v>1026</v>
      </c>
      <c r="AR27" s="7">
        <f>SUM(AR28:AR34)</f>
        <v>1026</v>
      </c>
      <c r="AS27" s="311">
        <f>SUM(AS28:AS34)</f>
        <v>0</v>
      </c>
      <c r="AT27" s="7">
        <f t="shared" ref="AT27:AY27" si="12">SUM(AT28:AT34)</f>
        <v>0</v>
      </c>
      <c r="AU27" s="7">
        <f t="shared" si="12"/>
        <v>0</v>
      </c>
      <c r="AV27" s="7">
        <f t="shared" si="12"/>
        <v>0</v>
      </c>
      <c r="AW27" s="7">
        <f t="shared" si="12"/>
        <v>0</v>
      </c>
      <c r="AX27" s="7">
        <f t="shared" si="12"/>
        <v>0</v>
      </c>
      <c r="AY27" s="7">
        <f t="shared" si="12"/>
        <v>0</v>
      </c>
      <c r="AZ27" s="11"/>
      <c r="BA27" s="107"/>
    </row>
    <row r="28" spans="1:53" ht="13.5" thickTop="1" x14ac:dyDescent="0.2">
      <c r="A28" s="238">
        <v>90000056357</v>
      </c>
      <c r="B28" s="225"/>
      <c r="C28" s="515" t="s">
        <v>5</v>
      </c>
      <c r="D28" s="516"/>
      <c r="E28" s="227" t="s">
        <v>239</v>
      </c>
      <c r="F28" s="301">
        <v>194860.00555555554</v>
      </c>
      <c r="G28" s="97">
        <f>SUM(I28,Y28,AH28,AP28,AR28)</f>
        <v>194860</v>
      </c>
      <c r="H28" s="301">
        <f>194860</f>
        <v>194860</v>
      </c>
      <c r="I28" s="97">
        <f t="shared" ref="I28:I33" si="13">H28+J28</f>
        <v>194860</v>
      </c>
      <c r="J28" s="97">
        <f t="shared" ref="J28:J33" si="14">SUM(K28:W28)</f>
        <v>0</v>
      </c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>
        <f t="shared" ref="AH28:AH33" si="15">AI28+AG28</f>
        <v>0</v>
      </c>
      <c r="AI28" s="125">
        <f t="shared" ref="AI28:AI33" si="16">SUM(AJ28:AO28)</f>
        <v>0</v>
      </c>
      <c r="AJ28" s="125"/>
      <c r="AK28" s="125"/>
      <c r="AL28" s="125"/>
      <c r="AM28" s="125"/>
      <c r="AN28" s="125"/>
      <c r="AO28" s="125"/>
      <c r="AP28" s="125"/>
      <c r="AQ28" s="125"/>
      <c r="AR28" s="97"/>
      <c r="AS28" s="315"/>
      <c r="AT28" s="125"/>
      <c r="AU28" s="125"/>
      <c r="AV28" s="125"/>
      <c r="AW28" s="125"/>
      <c r="AX28" s="125"/>
      <c r="AY28" s="125"/>
      <c r="AZ28" s="98" t="s">
        <v>374</v>
      </c>
      <c r="BA28" s="105"/>
    </row>
    <row r="29" spans="1:53" s="216" customFormat="1" ht="24" x14ac:dyDescent="0.2">
      <c r="A29" s="224"/>
      <c r="C29" s="220"/>
      <c r="D29" s="221"/>
      <c r="E29" s="227" t="s">
        <v>243</v>
      </c>
      <c r="F29" s="301">
        <v>92985</v>
      </c>
      <c r="G29" s="97">
        <f t="shared" si="10"/>
        <v>93065</v>
      </c>
      <c r="H29" s="301">
        <v>0</v>
      </c>
      <c r="I29" s="97">
        <f t="shared" si="13"/>
        <v>0</v>
      </c>
      <c r="J29" s="97">
        <f t="shared" si="14"/>
        <v>0</v>
      </c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>
        <f>92789</f>
        <v>92789</v>
      </c>
      <c r="AH29" s="97">
        <f t="shared" si="15"/>
        <v>92869</v>
      </c>
      <c r="AI29" s="125">
        <f t="shared" si="16"/>
        <v>80</v>
      </c>
      <c r="AJ29" s="125"/>
      <c r="AK29" s="125"/>
      <c r="AL29" s="125">
        <f>80</f>
        <v>80</v>
      </c>
      <c r="AM29" s="125"/>
      <c r="AN29" s="125"/>
      <c r="AO29" s="125"/>
      <c r="AP29" s="125"/>
      <c r="AQ29" s="125">
        <v>196</v>
      </c>
      <c r="AR29" s="97">
        <f>AQ29+AS29</f>
        <v>196</v>
      </c>
      <c r="AS29" s="315">
        <f>SUM(AT29:AY29)</f>
        <v>0</v>
      </c>
      <c r="AT29" s="125"/>
      <c r="AU29" s="125"/>
      <c r="AV29" s="125"/>
      <c r="AW29" s="125"/>
      <c r="AX29" s="125"/>
      <c r="AY29" s="125"/>
      <c r="AZ29" s="98" t="s">
        <v>375</v>
      </c>
      <c r="BA29" s="105"/>
    </row>
    <row r="30" spans="1:53" ht="24" x14ac:dyDescent="0.2">
      <c r="A30" s="167"/>
      <c r="B30" s="119"/>
      <c r="C30" s="212"/>
      <c r="D30" s="213"/>
      <c r="E30" s="227" t="s">
        <v>559</v>
      </c>
      <c r="F30" s="302">
        <v>37150</v>
      </c>
      <c r="G30" s="84">
        <f t="shared" si="10"/>
        <v>37150</v>
      </c>
      <c r="H30" s="302">
        <f>37150</f>
        <v>37150</v>
      </c>
      <c r="I30" s="97">
        <f t="shared" si="13"/>
        <v>37150</v>
      </c>
      <c r="J30" s="84">
        <f t="shared" si="14"/>
        <v>0</v>
      </c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>
        <f t="shared" si="15"/>
        <v>0</v>
      </c>
      <c r="AI30" s="124">
        <f t="shared" si="16"/>
        <v>0</v>
      </c>
      <c r="AJ30" s="124"/>
      <c r="AK30" s="124"/>
      <c r="AL30" s="124"/>
      <c r="AM30" s="124"/>
      <c r="AN30" s="124"/>
      <c r="AO30" s="124"/>
      <c r="AP30" s="124"/>
      <c r="AQ30" s="124"/>
      <c r="AR30" s="84"/>
      <c r="AS30" s="316"/>
      <c r="AT30" s="124"/>
      <c r="AU30" s="124"/>
      <c r="AV30" s="124"/>
      <c r="AW30" s="124"/>
      <c r="AX30" s="124"/>
      <c r="AY30" s="124"/>
      <c r="AZ30" s="85" t="s">
        <v>612</v>
      </c>
      <c r="BA30" s="105" t="s">
        <v>584</v>
      </c>
    </row>
    <row r="31" spans="1:53" ht="12.75" x14ac:dyDescent="0.2">
      <c r="A31" s="167">
        <v>90000594245</v>
      </c>
      <c r="B31" s="119"/>
      <c r="C31" s="486" t="s">
        <v>24</v>
      </c>
      <c r="D31" s="487"/>
      <c r="E31" s="227" t="s">
        <v>244</v>
      </c>
      <c r="F31" s="301">
        <v>143</v>
      </c>
      <c r="G31" s="97">
        <f t="shared" si="10"/>
        <v>143</v>
      </c>
      <c r="H31" s="301">
        <f>143</f>
        <v>143</v>
      </c>
      <c r="I31" s="97">
        <f t="shared" si="13"/>
        <v>143</v>
      </c>
      <c r="J31" s="97">
        <f t="shared" si="14"/>
        <v>0</v>
      </c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>
        <f t="shared" si="15"/>
        <v>0</v>
      </c>
      <c r="AI31" s="125">
        <f t="shared" si="16"/>
        <v>0</v>
      </c>
      <c r="AJ31" s="125"/>
      <c r="AK31" s="125"/>
      <c r="AL31" s="125"/>
      <c r="AM31" s="125"/>
      <c r="AN31" s="125"/>
      <c r="AO31" s="125"/>
      <c r="AP31" s="125"/>
      <c r="AQ31" s="125"/>
      <c r="AR31" s="97"/>
      <c r="AS31" s="315"/>
      <c r="AT31" s="125"/>
      <c r="AU31" s="125"/>
      <c r="AV31" s="125"/>
      <c r="AW31" s="125"/>
      <c r="AX31" s="125"/>
      <c r="AY31" s="125"/>
      <c r="AZ31" s="98" t="s">
        <v>376</v>
      </c>
      <c r="BA31" s="105" t="s">
        <v>581</v>
      </c>
    </row>
    <row r="32" spans="1:53" ht="36" x14ac:dyDescent="0.2">
      <c r="A32" s="167">
        <v>90000056554</v>
      </c>
      <c r="B32" s="119"/>
      <c r="C32" s="486" t="s">
        <v>683</v>
      </c>
      <c r="D32" s="487"/>
      <c r="E32" s="227" t="s">
        <v>359</v>
      </c>
      <c r="F32" s="301">
        <v>1608126</v>
      </c>
      <c r="G32" s="97">
        <f>SUM(I32,Y32,AH32,AP32,AR32)</f>
        <v>1609850</v>
      </c>
      <c r="H32" s="301">
        <f>1557242</f>
        <v>1557242</v>
      </c>
      <c r="I32" s="97">
        <f t="shared" si="13"/>
        <v>1558964</v>
      </c>
      <c r="J32" s="97">
        <f t="shared" si="14"/>
        <v>1722</v>
      </c>
      <c r="K32" s="97"/>
      <c r="L32" s="97"/>
      <c r="M32" s="97"/>
      <c r="N32" s="97"/>
      <c r="O32" s="97"/>
      <c r="P32" s="97"/>
      <c r="Q32" s="97">
        <v>1722</v>
      </c>
      <c r="R32" s="97"/>
      <c r="S32" s="97"/>
      <c r="T32" s="97"/>
      <c r="U32" s="97"/>
      <c r="V32" s="97"/>
      <c r="W32" s="97"/>
      <c r="X32" s="97">
        <v>0</v>
      </c>
      <c r="Y32" s="97">
        <v>0</v>
      </c>
      <c r="Z32" s="97"/>
      <c r="AA32" s="97"/>
      <c r="AB32" s="97"/>
      <c r="AC32" s="97"/>
      <c r="AD32" s="97"/>
      <c r="AE32" s="97"/>
      <c r="AF32" s="97"/>
      <c r="AG32" s="97">
        <f>50054</f>
        <v>50054</v>
      </c>
      <c r="AH32" s="97">
        <f t="shared" si="15"/>
        <v>50056</v>
      </c>
      <c r="AI32" s="125">
        <f t="shared" si="16"/>
        <v>2</v>
      </c>
      <c r="AJ32" s="125"/>
      <c r="AK32" s="125">
        <v>2</v>
      </c>
      <c r="AL32" s="125"/>
      <c r="AM32" s="125"/>
      <c r="AN32" s="125"/>
      <c r="AO32" s="125"/>
      <c r="AP32" s="125"/>
      <c r="AQ32" s="125">
        <v>830</v>
      </c>
      <c r="AR32" s="97">
        <f>AQ32+AS32</f>
        <v>830</v>
      </c>
      <c r="AS32" s="315">
        <f>SUM(AT32:AY32)</f>
        <v>0</v>
      </c>
      <c r="AT32" s="125"/>
      <c r="AU32" s="125"/>
      <c r="AV32" s="125"/>
      <c r="AW32" s="125"/>
      <c r="AX32" s="125"/>
      <c r="AY32" s="125"/>
      <c r="AZ32" s="98" t="s">
        <v>377</v>
      </c>
      <c r="BA32" s="105"/>
    </row>
    <row r="33" spans="1:53" ht="48" x14ac:dyDescent="0.2">
      <c r="A33" s="167"/>
      <c r="B33" s="119"/>
      <c r="C33" s="486" t="s">
        <v>214</v>
      </c>
      <c r="D33" s="487"/>
      <c r="E33" s="426" t="s">
        <v>302</v>
      </c>
      <c r="F33" s="301">
        <v>30000</v>
      </c>
      <c r="G33" s="97">
        <f t="shared" si="10"/>
        <v>30000</v>
      </c>
      <c r="H33" s="301">
        <f>30000</f>
        <v>30000</v>
      </c>
      <c r="I33" s="97">
        <f t="shared" si="13"/>
        <v>30000</v>
      </c>
      <c r="J33" s="97">
        <f t="shared" si="14"/>
        <v>0</v>
      </c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>
        <f t="shared" si="15"/>
        <v>0</v>
      </c>
      <c r="AI33" s="125">
        <f t="shared" si="16"/>
        <v>0</v>
      </c>
      <c r="AJ33" s="125"/>
      <c r="AK33" s="125"/>
      <c r="AL33" s="125"/>
      <c r="AM33" s="125"/>
      <c r="AN33" s="125"/>
      <c r="AO33" s="125"/>
      <c r="AP33" s="125"/>
      <c r="AQ33" s="125"/>
      <c r="AR33" s="97"/>
      <c r="AS33" s="315"/>
      <c r="AT33" s="125"/>
      <c r="AU33" s="125"/>
      <c r="AV33" s="125"/>
      <c r="AW33" s="125"/>
      <c r="AX33" s="125"/>
      <c r="AY33" s="125"/>
      <c r="AZ33" s="98" t="s">
        <v>378</v>
      </c>
      <c r="BA33" s="105"/>
    </row>
    <row r="34" spans="1:53" ht="12.75" thickBot="1" x14ac:dyDescent="0.25">
      <c r="A34" s="167"/>
      <c r="B34" s="145"/>
      <c r="C34" s="519"/>
      <c r="D34" s="520"/>
      <c r="E34" s="427"/>
      <c r="F34" s="302"/>
      <c r="G34" s="84"/>
      <c r="H34" s="302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124"/>
      <c r="AJ34" s="124"/>
      <c r="AK34" s="124"/>
      <c r="AL34" s="124"/>
      <c r="AM34" s="124"/>
      <c r="AN34" s="124"/>
      <c r="AO34" s="124"/>
      <c r="AP34" s="124"/>
      <c r="AQ34" s="124"/>
      <c r="AR34" s="84"/>
      <c r="AS34" s="316"/>
      <c r="AT34" s="124"/>
      <c r="AU34" s="124"/>
      <c r="AV34" s="124"/>
      <c r="AW34" s="124"/>
      <c r="AX34" s="124"/>
      <c r="AY34" s="124"/>
      <c r="AZ34" s="85"/>
      <c r="BA34" s="106"/>
    </row>
    <row r="35" spans="1:53" ht="12.75" thickBot="1" x14ac:dyDescent="0.25">
      <c r="A35" s="226"/>
      <c r="B35" s="527" t="s">
        <v>7</v>
      </c>
      <c r="C35" s="527"/>
      <c r="D35" s="223" t="s">
        <v>8</v>
      </c>
      <c r="E35" s="425"/>
      <c r="F35" s="303">
        <v>19545420</v>
      </c>
      <c r="G35" s="419">
        <f>SUM(I35,Y35,AH35,AP35,AR35)</f>
        <v>20101344</v>
      </c>
      <c r="H35" s="303">
        <f>SUM(H36:H61)</f>
        <v>17452900</v>
      </c>
      <c r="I35" s="7">
        <f>SUM(I36:I61)</f>
        <v>17804777</v>
      </c>
      <c r="J35" s="7">
        <f t="shared" ref="J35:AR35" si="17">SUM(J36:J61)</f>
        <v>351877</v>
      </c>
      <c r="K35" s="7">
        <f t="shared" si="17"/>
        <v>0</v>
      </c>
      <c r="L35" s="7">
        <f>SUM(L36:L61)</f>
        <v>0</v>
      </c>
      <c r="M35" s="7">
        <f>SUM(M36:M61)</f>
        <v>24500</v>
      </c>
      <c r="N35" s="7">
        <f t="shared" si="17"/>
        <v>72869</v>
      </c>
      <c r="O35" s="7">
        <f t="shared" si="17"/>
        <v>0</v>
      </c>
      <c r="P35" s="7">
        <f t="shared" si="17"/>
        <v>99479</v>
      </c>
      <c r="Q35" s="7">
        <f t="shared" si="17"/>
        <v>4731</v>
      </c>
      <c r="R35" s="7">
        <f t="shared" si="17"/>
        <v>298</v>
      </c>
      <c r="S35" s="7">
        <f t="shared" si="17"/>
        <v>0</v>
      </c>
      <c r="T35" s="7">
        <f>SUM(T36:T61)</f>
        <v>150000</v>
      </c>
      <c r="U35" s="7">
        <f>SUM(U36:U61)</f>
        <v>0</v>
      </c>
      <c r="V35" s="7">
        <f>SUM(V36:V61)</f>
        <v>0</v>
      </c>
      <c r="W35" s="7">
        <f t="shared" si="17"/>
        <v>0</v>
      </c>
      <c r="X35" s="7">
        <f>SUM(X36:X61)</f>
        <v>851700</v>
      </c>
      <c r="Y35" s="7">
        <f t="shared" si="17"/>
        <v>851700</v>
      </c>
      <c r="Z35" s="7">
        <f t="shared" si="17"/>
        <v>0</v>
      </c>
      <c r="AA35" s="7">
        <f t="shared" si="17"/>
        <v>0</v>
      </c>
      <c r="AB35" s="7">
        <f t="shared" si="17"/>
        <v>0</v>
      </c>
      <c r="AC35" s="7">
        <f t="shared" si="17"/>
        <v>0</v>
      </c>
      <c r="AD35" s="7">
        <f t="shared" si="17"/>
        <v>0</v>
      </c>
      <c r="AE35" s="7">
        <f t="shared" si="17"/>
        <v>0</v>
      </c>
      <c r="AF35" s="7">
        <f t="shared" si="17"/>
        <v>0</v>
      </c>
      <c r="AG35" s="7">
        <f>SUM(AG36:AG61)</f>
        <v>16178</v>
      </c>
      <c r="AH35" s="7">
        <f t="shared" si="17"/>
        <v>16178</v>
      </c>
      <c r="AI35" s="7">
        <f t="shared" si="17"/>
        <v>0</v>
      </c>
      <c r="AJ35" s="7">
        <f t="shared" si="17"/>
        <v>0</v>
      </c>
      <c r="AK35" s="7">
        <f t="shared" si="17"/>
        <v>0</v>
      </c>
      <c r="AL35" s="7">
        <f t="shared" si="17"/>
        <v>0</v>
      </c>
      <c r="AM35" s="7">
        <f t="shared" si="17"/>
        <v>0</v>
      </c>
      <c r="AN35" s="7">
        <f t="shared" si="17"/>
        <v>0</v>
      </c>
      <c r="AO35" s="7">
        <f t="shared" si="17"/>
        <v>0</v>
      </c>
      <c r="AP35" s="7">
        <f t="shared" si="17"/>
        <v>1428689</v>
      </c>
      <c r="AQ35" s="7">
        <f>SUM(AQ36:AQ61)</f>
        <v>0</v>
      </c>
      <c r="AR35" s="7">
        <f t="shared" si="17"/>
        <v>0</v>
      </c>
      <c r="AS35" s="321">
        <f>SUM(AS36:AS61)</f>
        <v>0</v>
      </c>
      <c r="AT35" s="7">
        <f t="shared" ref="AT35:AY35" si="18">SUM(AT36:AT61)</f>
        <v>0</v>
      </c>
      <c r="AU35" s="7">
        <f t="shared" si="18"/>
        <v>0</v>
      </c>
      <c r="AV35" s="7">
        <f t="shared" si="18"/>
        <v>0</v>
      </c>
      <c r="AW35" s="7">
        <f t="shared" si="18"/>
        <v>0</v>
      </c>
      <c r="AX35" s="7">
        <f t="shared" si="18"/>
        <v>0</v>
      </c>
      <c r="AY35" s="7">
        <f t="shared" si="18"/>
        <v>0</v>
      </c>
      <c r="AZ35" s="11"/>
      <c r="BA35" s="107"/>
    </row>
    <row r="36" spans="1:53" ht="24.75" thickTop="1" x14ac:dyDescent="0.2">
      <c r="A36" s="167">
        <v>90000056357</v>
      </c>
      <c r="B36" s="225"/>
      <c r="C36" s="515" t="s">
        <v>5</v>
      </c>
      <c r="D36" s="516"/>
      <c r="E36" s="227" t="s">
        <v>239</v>
      </c>
      <c r="F36" s="301">
        <v>3324186</v>
      </c>
      <c r="G36" s="97">
        <f t="shared" ref="G36:G60" si="19">SUM(I36,Y36,AH36,AP36,AR36)</f>
        <v>3323101</v>
      </c>
      <c r="H36" s="301">
        <f>3324186</f>
        <v>3324186</v>
      </c>
      <c r="I36" s="97">
        <f t="shared" ref="I36:I57" si="20">H36+J36</f>
        <v>3323101</v>
      </c>
      <c r="J36" s="97">
        <f t="shared" ref="J36:J57" si="21">SUM(K36:W36)</f>
        <v>-1085</v>
      </c>
      <c r="K36" s="97"/>
      <c r="L36" s="97"/>
      <c r="M36" s="97"/>
      <c r="N36" s="97"/>
      <c r="O36" s="97"/>
      <c r="P36" s="97">
        <v>-1085</v>
      </c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>
        <f t="shared" ref="AH36:AH43" si="22">AI36+AG36</f>
        <v>0</v>
      </c>
      <c r="AI36" s="125">
        <f t="shared" ref="AI36:AI43" si="23">SUM(AJ36:AO36)</f>
        <v>0</v>
      </c>
      <c r="AJ36" s="125"/>
      <c r="AK36" s="125"/>
      <c r="AL36" s="125"/>
      <c r="AM36" s="125"/>
      <c r="AN36" s="125"/>
      <c r="AO36" s="125"/>
      <c r="AP36" s="125"/>
      <c r="AQ36" s="125"/>
      <c r="AR36" s="97"/>
      <c r="AS36" s="315"/>
      <c r="AT36" s="125"/>
      <c r="AU36" s="125"/>
      <c r="AV36" s="125"/>
      <c r="AW36" s="125"/>
      <c r="AX36" s="125"/>
      <c r="AY36" s="125"/>
      <c r="AZ36" s="98" t="s">
        <v>613</v>
      </c>
      <c r="BA36" s="105"/>
    </row>
    <row r="37" spans="1:53" s="216" customFormat="1" ht="12.75" x14ac:dyDescent="0.2">
      <c r="A37" s="167"/>
      <c r="B37" s="121"/>
      <c r="C37" s="156"/>
      <c r="D37" s="157"/>
      <c r="E37" s="227" t="s">
        <v>557</v>
      </c>
      <c r="F37" s="301">
        <v>595124</v>
      </c>
      <c r="G37" s="97">
        <f t="shared" si="19"/>
        <v>595124</v>
      </c>
      <c r="H37" s="301">
        <f>595124</f>
        <v>595124</v>
      </c>
      <c r="I37" s="97">
        <f t="shared" si="20"/>
        <v>595124</v>
      </c>
      <c r="J37" s="97">
        <f t="shared" si="21"/>
        <v>0</v>
      </c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>
        <f t="shared" si="22"/>
        <v>0</v>
      </c>
      <c r="AI37" s="125">
        <f t="shared" si="23"/>
        <v>0</v>
      </c>
      <c r="AJ37" s="125"/>
      <c r="AK37" s="125"/>
      <c r="AL37" s="125"/>
      <c r="AM37" s="125"/>
      <c r="AN37" s="125"/>
      <c r="AO37" s="125"/>
      <c r="AP37" s="125"/>
      <c r="AQ37" s="125"/>
      <c r="AR37" s="97"/>
      <c r="AS37" s="315"/>
      <c r="AT37" s="125"/>
      <c r="AU37" s="125"/>
      <c r="AV37" s="125"/>
      <c r="AW37" s="125"/>
      <c r="AX37" s="125"/>
      <c r="AY37" s="125"/>
      <c r="AZ37" s="236" t="s">
        <v>383</v>
      </c>
      <c r="BA37" s="105"/>
    </row>
    <row r="38" spans="1:53" s="216" customFormat="1" ht="12.75" x14ac:dyDescent="0.2">
      <c r="A38" s="167"/>
      <c r="B38" s="121"/>
      <c r="C38" s="156"/>
      <c r="D38" s="157"/>
      <c r="E38" s="227" t="s">
        <v>572</v>
      </c>
      <c r="F38" s="304">
        <v>6000</v>
      </c>
      <c r="G38" s="117">
        <f t="shared" si="19"/>
        <v>6000</v>
      </c>
      <c r="H38" s="304">
        <f>6000</f>
        <v>6000</v>
      </c>
      <c r="I38" s="97">
        <f t="shared" si="20"/>
        <v>6000</v>
      </c>
      <c r="J38" s="117">
        <f t="shared" si="21"/>
        <v>0</v>
      </c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>
        <f t="shared" si="22"/>
        <v>0</v>
      </c>
      <c r="AI38" s="128">
        <f t="shared" si="23"/>
        <v>0</v>
      </c>
      <c r="AJ38" s="128"/>
      <c r="AK38" s="128"/>
      <c r="AL38" s="128"/>
      <c r="AM38" s="128"/>
      <c r="AN38" s="128"/>
      <c r="AO38" s="128"/>
      <c r="AP38" s="128"/>
      <c r="AQ38" s="128"/>
      <c r="AR38" s="117"/>
      <c r="AS38" s="317"/>
      <c r="AT38" s="128"/>
      <c r="AU38" s="128"/>
      <c r="AV38" s="128"/>
      <c r="AW38" s="128"/>
      <c r="AX38" s="128"/>
      <c r="AY38" s="128"/>
      <c r="AZ38" s="236" t="s">
        <v>380</v>
      </c>
      <c r="BA38" s="105" t="s">
        <v>319</v>
      </c>
    </row>
    <row r="39" spans="1:53" s="216" customFormat="1" ht="40.5" customHeight="1" x14ac:dyDescent="0.2">
      <c r="A39" s="167"/>
      <c r="B39" s="121"/>
      <c r="C39" s="156"/>
      <c r="D39" s="157"/>
      <c r="E39" s="227" t="s">
        <v>569</v>
      </c>
      <c r="F39" s="304">
        <v>101300</v>
      </c>
      <c r="G39" s="117">
        <f t="shared" si="19"/>
        <v>101300</v>
      </c>
      <c r="H39" s="304">
        <f>101300</f>
        <v>101300</v>
      </c>
      <c r="I39" s="97">
        <f t="shared" si="20"/>
        <v>101300</v>
      </c>
      <c r="J39" s="117">
        <f t="shared" si="21"/>
        <v>0</v>
      </c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>
        <f t="shared" si="22"/>
        <v>0</v>
      </c>
      <c r="AI39" s="128">
        <f t="shared" si="23"/>
        <v>0</v>
      </c>
      <c r="AJ39" s="128"/>
      <c r="AK39" s="128"/>
      <c r="AL39" s="128"/>
      <c r="AM39" s="128"/>
      <c r="AN39" s="128"/>
      <c r="AO39" s="128"/>
      <c r="AP39" s="128"/>
      <c r="AQ39" s="128"/>
      <c r="AR39" s="117"/>
      <c r="AS39" s="317"/>
      <c r="AT39" s="128"/>
      <c r="AU39" s="128"/>
      <c r="AV39" s="128"/>
      <c r="AW39" s="128"/>
      <c r="AX39" s="128"/>
      <c r="AY39" s="128"/>
      <c r="AZ39" s="236" t="s">
        <v>379</v>
      </c>
      <c r="BA39" s="106" t="s">
        <v>367</v>
      </c>
    </row>
    <row r="40" spans="1:53" s="158" customFormat="1" ht="48" customHeight="1" x14ac:dyDescent="0.2">
      <c r="A40" s="167"/>
      <c r="B40" s="121"/>
      <c r="C40" s="156"/>
      <c r="D40" s="157"/>
      <c r="E40" s="227" t="s">
        <v>361</v>
      </c>
      <c r="F40" s="301">
        <v>89600</v>
      </c>
      <c r="G40" s="97">
        <f t="shared" si="19"/>
        <v>89600</v>
      </c>
      <c r="H40" s="304">
        <f>89600</f>
        <v>89600</v>
      </c>
      <c r="I40" s="97">
        <f t="shared" si="20"/>
        <v>89600</v>
      </c>
      <c r="J40" s="117">
        <f t="shared" si="21"/>
        <v>0</v>
      </c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>
        <f t="shared" si="22"/>
        <v>0</v>
      </c>
      <c r="AI40" s="128">
        <f t="shared" si="23"/>
        <v>0</v>
      </c>
      <c r="AJ40" s="128"/>
      <c r="AK40" s="128"/>
      <c r="AL40" s="128"/>
      <c r="AM40" s="128"/>
      <c r="AN40" s="128"/>
      <c r="AO40" s="128"/>
      <c r="AP40" s="128"/>
      <c r="AQ40" s="128"/>
      <c r="AR40" s="117"/>
      <c r="AS40" s="317"/>
      <c r="AT40" s="128"/>
      <c r="AU40" s="128"/>
      <c r="AV40" s="128"/>
      <c r="AW40" s="128"/>
      <c r="AX40" s="128"/>
      <c r="AY40" s="128"/>
      <c r="AZ40" s="236" t="s">
        <v>384</v>
      </c>
      <c r="BA40" s="105" t="s">
        <v>549</v>
      </c>
    </row>
    <row r="41" spans="1:53" ht="12.75" x14ac:dyDescent="0.2">
      <c r="A41" s="167"/>
      <c r="B41" s="119"/>
      <c r="C41" s="161"/>
      <c r="D41" s="162"/>
      <c r="E41" s="227" t="s">
        <v>245</v>
      </c>
      <c r="F41" s="301">
        <v>99789</v>
      </c>
      <c r="G41" s="97">
        <f t="shared" si="19"/>
        <v>124289</v>
      </c>
      <c r="H41" s="301">
        <f>99789</f>
        <v>99789</v>
      </c>
      <c r="I41" s="97">
        <f t="shared" si="20"/>
        <v>124289</v>
      </c>
      <c r="J41" s="97">
        <f t="shared" si="21"/>
        <v>24500</v>
      </c>
      <c r="K41" s="97"/>
      <c r="L41" s="97"/>
      <c r="M41" s="97">
        <v>24500</v>
      </c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>
        <f t="shared" si="22"/>
        <v>0</v>
      </c>
      <c r="AI41" s="125">
        <f t="shared" si="23"/>
        <v>0</v>
      </c>
      <c r="AJ41" s="125"/>
      <c r="AK41" s="125"/>
      <c r="AL41" s="125"/>
      <c r="AM41" s="125"/>
      <c r="AN41" s="125"/>
      <c r="AO41" s="125"/>
      <c r="AP41" s="125"/>
      <c r="AQ41" s="125"/>
      <c r="AR41" s="97"/>
      <c r="AS41" s="315"/>
      <c r="AT41" s="125"/>
      <c r="AU41" s="125"/>
      <c r="AV41" s="125"/>
      <c r="AW41" s="125"/>
      <c r="AX41" s="125"/>
      <c r="AY41" s="125"/>
      <c r="AZ41" s="98" t="s">
        <v>385</v>
      </c>
      <c r="BA41" s="105" t="s">
        <v>550</v>
      </c>
    </row>
    <row r="42" spans="1:53" ht="36" x14ac:dyDescent="0.2">
      <c r="A42" s="167"/>
      <c r="B42" s="119"/>
      <c r="C42" s="161"/>
      <c r="D42" s="162"/>
      <c r="E42" s="227" t="s">
        <v>551</v>
      </c>
      <c r="F42" s="301">
        <v>4664266</v>
      </c>
      <c r="G42" s="97">
        <f>SUM(I42,Y42,AH42,AP42,AR42)</f>
        <v>4664266</v>
      </c>
      <c r="H42" s="301">
        <f>3907566</f>
        <v>3907566</v>
      </c>
      <c r="I42" s="97">
        <f t="shared" si="20"/>
        <v>3907566</v>
      </c>
      <c r="J42" s="97">
        <f t="shared" si="21"/>
        <v>0</v>
      </c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>
        <f>756700</f>
        <v>756700</v>
      </c>
      <c r="Y42" s="97">
        <f>X42+Z42</f>
        <v>756700</v>
      </c>
      <c r="Z42" s="97">
        <f>SUM(AA42:AF42)</f>
        <v>0</v>
      </c>
      <c r="AA42" s="97"/>
      <c r="AB42" s="97"/>
      <c r="AC42" s="97"/>
      <c r="AD42" s="97"/>
      <c r="AE42" s="97"/>
      <c r="AF42" s="97"/>
      <c r="AG42" s="97"/>
      <c r="AH42" s="97">
        <f t="shared" si="22"/>
        <v>0</v>
      </c>
      <c r="AI42" s="125">
        <f t="shared" si="23"/>
        <v>0</v>
      </c>
      <c r="AJ42" s="125"/>
      <c r="AK42" s="125"/>
      <c r="AL42" s="125"/>
      <c r="AM42" s="125"/>
      <c r="AN42" s="125"/>
      <c r="AO42" s="125"/>
      <c r="AP42" s="125"/>
      <c r="AQ42" s="125"/>
      <c r="AR42" s="97"/>
      <c r="AS42" s="315"/>
      <c r="AT42" s="125"/>
      <c r="AU42" s="125"/>
      <c r="AV42" s="125"/>
      <c r="AW42" s="125"/>
      <c r="AX42" s="125"/>
      <c r="AY42" s="125"/>
      <c r="AZ42" s="98" t="s">
        <v>689</v>
      </c>
      <c r="BA42" s="105" t="s">
        <v>371</v>
      </c>
    </row>
    <row r="43" spans="1:53" ht="28.5" customHeight="1" x14ac:dyDescent="0.2">
      <c r="A43" s="167"/>
      <c r="B43" s="119"/>
      <c r="C43" s="161"/>
      <c r="D43" s="162"/>
      <c r="E43" s="227" t="s">
        <v>287</v>
      </c>
      <c r="F43" s="301">
        <v>1410435</v>
      </c>
      <c r="G43" s="97">
        <f>SUM(I43,Y43,AH43,AP43,AR43)</f>
        <v>1410928</v>
      </c>
      <c r="H43" s="301">
        <f>1315435</f>
        <v>1315435</v>
      </c>
      <c r="I43" s="97">
        <f t="shared" si="20"/>
        <v>1315928</v>
      </c>
      <c r="J43" s="97">
        <f t="shared" si="21"/>
        <v>493</v>
      </c>
      <c r="K43" s="97"/>
      <c r="L43" s="97"/>
      <c r="M43" s="97"/>
      <c r="N43" s="97"/>
      <c r="O43" s="97"/>
      <c r="P43" s="97"/>
      <c r="Q43" s="97"/>
      <c r="R43" s="97">
        <v>493</v>
      </c>
      <c r="S43" s="97"/>
      <c r="T43" s="97"/>
      <c r="U43" s="97"/>
      <c r="V43" s="97"/>
      <c r="W43" s="97"/>
      <c r="X43" s="97">
        <f>95000</f>
        <v>95000</v>
      </c>
      <c r="Y43" s="97">
        <f>X43+Z43</f>
        <v>95000</v>
      </c>
      <c r="Z43" s="97">
        <f>SUM(AA43:AF43)</f>
        <v>0</v>
      </c>
      <c r="AA43" s="97"/>
      <c r="AB43" s="97"/>
      <c r="AC43" s="97"/>
      <c r="AD43" s="97"/>
      <c r="AE43" s="97"/>
      <c r="AF43" s="97"/>
      <c r="AG43" s="97"/>
      <c r="AH43" s="97">
        <f t="shared" si="22"/>
        <v>0</v>
      </c>
      <c r="AI43" s="125">
        <f t="shared" si="23"/>
        <v>0</v>
      </c>
      <c r="AJ43" s="125"/>
      <c r="AK43" s="125"/>
      <c r="AL43" s="125"/>
      <c r="AM43" s="125"/>
      <c r="AN43" s="125"/>
      <c r="AO43" s="125"/>
      <c r="AP43" s="125"/>
      <c r="AQ43" s="125"/>
      <c r="AR43" s="97"/>
      <c r="AS43" s="315"/>
      <c r="AT43" s="125"/>
      <c r="AU43" s="125"/>
      <c r="AV43" s="125"/>
      <c r="AW43" s="125"/>
      <c r="AX43" s="125"/>
      <c r="AY43" s="125"/>
      <c r="AZ43" s="98" t="s">
        <v>381</v>
      </c>
      <c r="BA43" s="105" t="s">
        <v>552</v>
      </c>
    </row>
    <row r="44" spans="1:53" s="216" customFormat="1" ht="28.5" customHeight="1" x14ac:dyDescent="0.2">
      <c r="A44" s="167"/>
      <c r="B44" s="119"/>
      <c r="C44" s="214"/>
      <c r="D44" s="215"/>
      <c r="E44" s="227" t="s">
        <v>556</v>
      </c>
      <c r="F44" s="301">
        <v>34052</v>
      </c>
      <c r="G44" s="97">
        <f>SUM(I44,Y44,AH44,AP44,AR44)</f>
        <v>34052</v>
      </c>
      <c r="H44" s="301">
        <f>25514</f>
        <v>25514</v>
      </c>
      <c r="I44" s="97">
        <f t="shared" si="20"/>
        <v>25514</v>
      </c>
      <c r="J44" s="97">
        <f t="shared" si="21"/>
        <v>0</v>
      </c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>
        <f>8538</f>
        <v>8538</v>
      </c>
      <c r="AH44" s="97">
        <f>AI44+AG44</f>
        <v>8538</v>
      </c>
      <c r="AI44" s="125">
        <f>SUM(AJ44:AO44)</f>
        <v>0</v>
      </c>
      <c r="AJ44" s="125"/>
      <c r="AK44" s="125"/>
      <c r="AL44" s="125"/>
      <c r="AM44" s="125"/>
      <c r="AN44" s="125"/>
      <c r="AO44" s="125"/>
      <c r="AP44" s="125"/>
      <c r="AQ44" s="125"/>
      <c r="AR44" s="97"/>
      <c r="AS44" s="315"/>
      <c r="AT44" s="125"/>
      <c r="AU44" s="125"/>
      <c r="AV44" s="125"/>
      <c r="AW44" s="125"/>
      <c r="AX44" s="125"/>
      <c r="AY44" s="125"/>
      <c r="AZ44" s="98" t="s">
        <v>382</v>
      </c>
      <c r="BA44" s="105"/>
    </row>
    <row r="45" spans="1:53" ht="29.25" customHeight="1" x14ac:dyDescent="0.2">
      <c r="A45" s="167"/>
      <c r="B45" s="119"/>
      <c r="C45" s="161"/>
      <c r="D45" s="162"/>
      <c r="E45" s="227" t="s">
        <v>294</v>
      </c>
      <c r="F45" s="301">
        <v>147927</v>
      </c>
      <c r="G45" s="97">
        <f>SUM(I45,Y45,AH45,AP45,AR45)</f>
        <v>147927</v>
      </c>
      <c r="H45" s="301">
        <f>140287</f>
        <v>140287</v>
      </c>
      <c r="I45" s="97">
        <f t="shared" si="20"/>
        <v>140287</v>
      </c>
      <c r="J45" s="97">
        <f t="shared" si="21"/>
        <v>0</v>
      </c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>
        <f>7640</f>
        <v>7640</v>
      </c>
      <c r="AH45" s="97">
        <f>AI45+AG45</f>
        <v>7640</v>
      </c>
      <c r="AI45" s="125">
        <f>SUM(AJ45:AO45)</f>
        <v>0</v>
      </c>
      <c r="AJ45" s="125"/>
      <c r="AK45" s="125"/>
      <c r="AL45" s="125"/>
      <c r="AM45" s="125"/>
      <c r="AN45" s="125"/>
      <c r="AO45" s="125"/>
      <c r="AP45" s="125"/>
      <c r="AQ45" s="125"/>
      <c r="AR45" s="97"/>
      <c r="AS45" s="315"/>
      <c r="AT45" s="125"/>
      <c r="AU45" s="125"/>
      <c r="AV45" s="125"/>
      <c r="AW45" s="125"/>
      <c r="AX45" s="125"/>
      <c r="AY45" s="125"/>
      <c r="AZ45" s="98" t="s">
        <v>614</v>
      </c>
      <c r="BA45" s="105" t="s">
        <v>547</v>
      </c>
    </row>
    <row r="46" spans="1:53" s="211" customFormat="1" ht="27" customHeight="1" x14ac:dyDescent="0.2">
      <c r="A46" s="167"/>
      <c r="B46" s="119"/>
      <c r="C46" s="212"/>
      <c r="D46" s="213"/>
      <c r="E46" s="227" t="s">
        <v>548</v>
      </c>
      <c r="F46" s="301">
        <v>991344</v>
      </c>
      <c r="G46" s="97">
        <f t="shared" si="19"/>
        <v>1146875</v>
      </c>
      <c r="H46" s="301">
        <f>991344</f>
        <v>991344</v>
      </c>
      <c r="I46" s="97">
        <f t="shared" si="20"/>
        <v>1146875</v>
      </c>
      <c r="J46" s="97">
        <f t="shared" si="21"/>
        <v>155531</v>
      </c>
      <c r="K46" s="97"/>
      <c r="L46" s="97"/>
      <c r="M46" s="97"/>
      <c r="N46" s="97"/>
      <c r="O46" s="97"/>
      <c r="P46" s="97"/>
      <c r="Q46" s="97">
        <f>4750+781</f>
        <v>5531</v>
      </c>
      <c r="R46" s="97"/>
      <c r="S46" s="97"/>
      <c r="T46" s="97">
        <v>150000</v>
      </c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>
        <f t="shared" ref="AH46:AH54" si="24">AI46+AG46</f>
        <v>0</v>
      </c>
      <c r="AI46" s="125">
        <f t="shared" ref="AI46:AI54" si="25">SUM(AJ46:AO46)</f>
        <v>0</v>
      </c>
      <c r="AJ46" s="125"/>
      <c r="AK46" s="125"/>
      <c r="AL46" s="125"/>
      <c r="AM46" s="125"/>
      <c r="AN46" s="125"/>
      <c r="AO46" s="125"/>
      <c r="AP46" s="125"/>
      <c r="AQ46" s="125"/>
      <c r="AR46" s="97"/>
      <c r="AS46" s="315"/>
      <c r="AT46" s="125"/>
      <c r="AU46" s="125"/>
      <c r="AV46" s="125"/>
      <c r="AW46" s="125"/>
      <c r="AX46" s="125"/>
      <c r="AY46" s="125"/>
      <c r="AZ46" s="98" t="s">
        <v>615</v>
      </c>
      <c r="BA46" s="105" t="s">
        <v>599</v>
      </c>
    </row>
    <row r="47" spans="1:53" ht="36" x14ac:dyDescent="0.2">
      <c r="A47" s="167"/>
      <c r="B47" s="119"/>
      <c r="C47" s="161"/>
      <c r="D47" s="162"/>
      <c r="E47" s="227" t="s">
        <v>353</v>
      </c>
      <c r="F47" s="301">
        <v>5660558</v>
      </c>
      <c r="G47" s="97">
        <f t="shared" si="19"/>
        <v>5761122</v>
      </c>
      <c r="H47" s="301">
        <f>5660558</f>
        <v>5660558</v>
      </c>
      <c r="I47" s="97">
        <f t="shared" si="20"/>
        <v>5761122</v>
      </c>
      <c r="J47" s="97">
        <f t="shared" si="21"/>
        <v>100564</v>
      </c>
      <c r="K47" s="97"/>
      <c r="L47" s="97"/>
      <c r="M47" s="97"/>
      <c r="N47" s="97"/>
      <c r="O47" s="97"/>
      <c r="P47" s="97">
        <f>100564</f>
        <v>100564</v>
      </c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f t="shared" si="24"/>
        <v>0</v>
      </c>
      <c r="AI47" s="125">
        <f t="shared" si="25"/>
        <v>0</v>
      </c>
      <c r="AJ47" s="125"/>
      <c r="AK47" s="125"/>
      <c r="AL47" s="125"/>
      <c r="AM47" s="125"/>
      <c r="AN47" s="125"/>
      <c r="AO47" s="125"/>
      <c r="AP47" s="125"/>
      <c r="AQ47" s="125"/>
      <c r="AR47" s="97"/>
      <c r="AS47" s="315"/>
      <c r="AT47" s="125"/>
      <c r="AU47" s="125"/>
      <c r="AV47" s="125"/>
      <c r="AW47" s="125"/>
      <c r="AX47" s="125"/>
      <c r="AY47" s="125"/>
      <c r="AZ47" s="98" t="s">
        <v>674</v>
      </c>
      <c r="BA47" s="105" t="s">
        <v>679</v>
      </c>
    </row>
    <row r="48" spans="1:53" ht="48" x14ac:dyDescent="0.2">
      <c r="A48" s="167"/>
      <c r="B48" s="119"/>
      <c r="C48" s="161"/>
      <c r="D48" s="162"/>
      <c r="E48" s="227" t="s">
        <v>553</v>
      </c>
      <c r="F48" s="301">
        <v>2741</v>
      </c>
      <c r="G48" s="97">
        <f t="shared" si="19"/>
        <v>2741</v>
      </c>
      <c r="H48" s="301">
        <f>2741</f>
        <v>2741</v>
      </c>
      <c r="I48" s="97">
        <f t="shared" si="20"/>
        <v>2741</v>
      </c>
      <c r="J48" s="97">
        <f t="shared" si="21"/>
        <v>0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f t="shared" si="24"/>
        <v>0</v>
      </c>
      <c r="AI48" s="125">
        <f t="shared" si="25"/>
        <v>0</v>
      </c>
      <c r="AJ48" s="125"/>
      <c r="AK48" s="125"/>
      <c r="AL48" s="125"/>
      <c r="AM48" s="125"/>
      <c r="AN48" s="125"/>
      <c r="AO48" s="125"/>
      <c r="AP48" s="125"/>
      <c r="AQ48" s="125"/>
      <c r="AR48" s="97"/>
      <c r="AS48" s="315"/>
      <c r="AT48" s="125"/>
      <c r="AU48" s="125"/>
      <c r="AV48" s="125"/>
      <c r="AW48" s="125"/>
      <c r="AX48" s="125"/>
      <c r="AY48" s="125"/>
      <c r="AZ48" s="98" t="s">
        <v>616</v>
      </c>
      <c r="BA48" s="105"/>
    </row>
    <row r="49" spans="1:53" s="211" customFormat="1" ht="48" x14ac:dyDescent="0.2">
      <c r="A49" s="167"/>
      <c r="B49" s="119"/>
      <c r="C49" s="212"/>
      <c r="D49" s="213"/>
      <c r="E49" s="227" t="s">
        <v>554</v>
      </c>
      <c r="F49" s="301">
        <v>24500</v>
      </c>
      <c r="G49" s="97">
        <f t="shared" si="19"/>
        <v>28296</v>
      </c>
      <c r="H49" s="301">
        <f>24500</f>
        <v>24500</v>
      </c>
      <c r="I49" s="97">
        <f t="shared" si="20"/>
        <v>28296</v>
      </c>
      <c r="J49" s="97">
        <f t="shared" si="21"/>
        <v>3796</v>
      </c>
      <c r="K49" s="97"/>
      <c r="L49" s="97"/>
      <c r="M49" s="97"/>
      <c r="N49" s="97">
        <v>3796</v>
      </c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>
        <f t="shared" si="24"/>
        <v>0</v>
      </c>
      <c r="AI49" s="125">
        <f t="shared" si="25"/>
        <v>0</v>
      </c>
      <c r="AJ49" s="125"/>
      <c r="AK49" s="125"/>
      <c r="AL49" s="125"/>
      <c r="AM49" s="125"/>
      <c r="AN49" s="125"/>
      <c r="AO49" s="125"/>
      <c r="AP49" s="125"/>
      <c r="AQ49" s="125"/>
      <c r="AR49" s="97"/>
      <c r="AS49" s="315"/>
      <c r="AT49" s="125"/>
      <c r="AU49" s="125"/>
      <c r="AV49" s="125"/>
      <c r="AW49" s="125"/>
      <c r="AX49" s="125"/>
      <c r="AY49" s="125"/>
      <c r="AZ49" s="98" t="s">
        <v>617</v>
      </c>
      <c r="BA49" s="105"/>
    </row>
    <row r="50" spans="1:53" ht="52.5" customHeight="1" x14ac:dyDescent="0.2">
      <c r="A50" s="167"/>
      <c r="B50" s="119"/>
      <c r="C50" s="161"/>
      <c r="D50" s="162"/>
      <c r="E50" s="227" t="s">
        <v>555</v>
      </c>
      <c r="F50" s="301">
        <v>51569</v>
      </c>
      <c r="G50" s="97">
        <f t="shared" si="19"/>
        <v>51569</v>
      </c>
      <c r="H50" s="301">
        <f>51569</f>
        <v>51569</v>
      </c>
      <c r="I50" s="97">
        <f t="shared" si="20"/>
        <v>51569</v>
      </c>
      <c r="J50" s="97">
        <f>SUM(K50:W50)</f>
        <v>0</v>
      </c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>
        <f t="shared" si="24"/>
        <v>0</v>
      </c>
      <c r="AI50" s="125">
        <f t="shared" si="25"/>
        <v>0</v>
      </c>
      <c r="AJ50" s="125"/>
      <c r="AK50" s="125"/>
      <c r="AL50" s="125"/>
      <c r="AM50" s="125"/>
      <c r="AN50" s="125"/>
      <c r="AO50" s="125"/>
      <c r="AP50" s="125"/>
      <c r="AQ50" s="125"/>
      <c r="AR50" s="97"/>
      <c r="AS50" s="315"/>
      <c r="AT50" s="125"/>
      <c r="AU50" s="125"/>
      <c r="AV50" s="125"/>
      <c r="AW50" s="125"/>
      <c r="AX50" s="125"/>
      <c r="AY50" s="125"/>
      <c r="AZ50" s="98" t="s">
        <v>618</v>
      </c>
      <c r="BA50" s="105"/>
    </row>
    <row r="51" spans="1:53" s="287" customFormat="1" ht="24" x14ac:dyDescent="0.2">
      <c r="A51" s="167"/>
      <c r="B51" s="119"/>
      <c r="C51" s="288"/>
      <c r="D51" s="289"/>
      <c r="E51" s="227" t="s">
        <v>738</v>
      </c>
      <c r="F51" s="301"/>
      <c r="G51" s="97">
        <f t="shared" si="19"/>
        <v>50573</v>
      </c>
      <c r="H51" s="301">
        <f>0</f>
        <v>0</v>
      </c>
      <c r="I51" s="97">
        <f t="shared" si="20"/>
        <v>50573</v>
      </c>
      <c r="J51" s="97">
        <f>SUM(K51:W51)</f>
        <v>50573</v>
      </c>
      <c r="K51" s="97"/>
      <c r="L51" s="97"/>
      <c r="M51" s="97"/>
      <c r="N51" s="97">
        <v>50573</v>
      </c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>
        <f t="shared" si="24"/>
        <v>0</v>
      </c>
      <c r="AI51" s="125">
        <f t="shared" si="25"/>
        <v>0</v>
      </c>
      <c r="AJ51" s="125"/>
      <c r="AK51" s="125"/>
      <c r="AL51" s="125"/>
      <c r="AM51" s="125"/>
      <c r="AN51" s="125"/>
      <c r="AO51" s="125"/>
      <c r="AP51" s="125"/>
      <c r="AQ51" s="125"/>
      <c r="AR51" s="97"/>
      <c r="AS51" s="315"/>
      <c r="AT51" s="125"/>
      <c r="AU51" s="125"/>
      <c r="AV51" s="125"/>
      <c r="AW51" s="125"/>
      <c r="AX51" s="125"/>
      <c r="AY51" s="125"/>
      <c r="AZ51" s="98" t="s">
        <v>771</v>
      </c>
      <c r="BA51" s="105"/>
    </row>
    <row r="52" spans="1:53" s="281" customFormat="1" ht="36" x14ac:dyDescent="0.2">
      <c r="A52" s="167"/>
      <c r="B52" s="119"/>
      <c r="C52" s="282"/>
      <c r="D52" s="283"/>
      <c r="E52" s="227" t="s">
        <v>729</v>
      </c>
      <c r="F52" s="301"/>
      <c r="G52" s="97">
        <f>SUM(I52,Y52,AH52,AP52,AR52)</f>
        <v>18500</v>
      </c>
      <c r="H52" s="301"/>
      <c r="I52" s="97">
        <f t="shared" si="20"/>
        <v>18500</v>
      </c>
      <c r="J52" s="97">
        <f>SUM(K52:W52)</f>
        <v>18500</v>
      </c>
      <c r="K52" s="97"/>
      <c r="L52" s="97"/>
      <c r="M52" s="97"/>
      <c r="N52" s="97">
        <v>18500</v>
      </c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>
        <f t="shared" si="24"/>
        <v>0</v>
      </c>
      <c r="AI52" s="125">
        <f t="shared" si="25"/>
        <v>0</v>
      </c>
      <c r="AJ52" s="125"/>
      <c r="AK52" s="125"/>
      <c r="AL52" s="125"/>
      <c r="AM52" s="125"/>
      <c r="AN52" s="125"/>
      <c r="AO52" s="125"/>
      <c r="AP52" s="125"/>
      <c r="AQ52" s="125"/>
      <c r="AR52" s="97"/>
      <c r="AS52" s="315"/>
      <c r="AT52" s="125"/>
      <c r="AU52" s="125"/>
      <c r="AV52" s="125"/>
      <c r="AW52" s="125"/>
      <c r="AX52" s="125"/>
      <c r="AY52" s="125"/>
      <c r="AZ52" s="98" t="s">
        <v>770</v>
      </c>
      <c r="BA52" s="105"/>
    </row>
    <row r="53" spans="1:53" s="457" customFormat="1" ht="24" x14ac:dyDescent="0.2">
      <c r="A53" s="167"/>
      <c r="B53" s="119"/>
      <c r="C53" s="455"/>
      <c r="D53" s="456"/>
      <c r="E53" s="227" t="s">
        <v>772</v>
      </c>
      <c r="F53" s="301"/>
      <c r="G53" s="97">
        <f>SUM(I53,Y53,AH53,AP53,AR53)</f>
        <v>18984</v>
      </c>
      <c r="H53" s="301"/>
      <c r="I53" s="97">
        <f>H53+J53</f>
        <v>18984</v>
      </c>
      <c r="J53" s="97">
        <f>SUM(K53:W53)</f>
        <v>18984</v>
      </c>
      <c r="K53" s="97"/>
      <c r="L53" s="97"/>
      <c r="M53" s="97"/>
      <c r="N53" s="97"/>
      <c r="O53" s="97"/>
      <c r="P53" s="97"/>
      <c r="Q53" s="97"/>
      <c r="R53" s="97">
        <v>18984</v>
      </c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>
        <f>AI53+AG53</f>
        <v>0</v>
      </c>
      <c r="AI53" s="125">
        <f>SUM(AJ53:AO53)</f>
        <v>0</v>
      </c>
      <c r="AJ53" s="125"/>
      <c r="AK53" s="125"/>
      <c r="AL53" s="125"/>
      <c r="AM53" s="125"/>
      <c r="AN53" s="125"/>
      <c r="AO53" s="125"/>
      <c r="AP53" s="125"/>
      <c r="AQ53" s="125"/>
      <c r="AR53" s="97"/>
      <c r="AS53" s="315"/>
      <c r="AT53" s="125"/>
      <c r="AU53" s="125"/>
      <c r="AV53" s="125"/>
      <c r="AW53" s="125"/>
      <c r="AX53" s="125"/>
      <c r="AY53" s="125"/>
      <c r="AZ53" s="98" t="s">
        <v>773</v>
      </c>
      <c r="BA53" s="105"/>
    </row>
    <row r="54" spans="1:53" ht="33.75" customHeight="1" x14ac:dyDescent="0.2">
      <c r="A54" s="167">
        <v>90000518538</v>
      </c>
      <c r="B54" s="119"/>
      <c r="C54" s="486" t="s">
        <v>256</v>
      </c>
      <c r="D54" s="487"/>
      <c r="E54" s="227" t="s">
        <v>246</v>
      </c>
      <c r="F54" s="301">
        <v>336696</v>
      </c>
      <c r="G54" s="97">
        <f t="shared" si="19"/>
        <v>336696</v>
      </c>
      <c r="H54" s="301">
        <f>336696</f>
        <v>336696</v>
      </c>
      <c r="I54" s="97">
        <f t="shared" si="20"/>
        <v>336696</v>
      </c>
      <c r="J54" s="97">
        <f>SUM(K54:W54)</f>
        <v>0</v>
      </c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>
        <f t="shared" si="24"/>
        <v>0</v>
      </c>
      <c r="AI54" s="125">
        <f t="shared" si="25"/>
        <v>0</v>
      </c>
      <c r="AJ54" s="125"/>
      <c r="AK54" s="125"/>
      <c r="AL54" s="125"/>
      <c r="AM54" s="125"/>
      <c r="AN54" s="125"/>
      <c r="AO54" s="125"/>
      <c r="AP54" s="125"/>
      <c r="AQ54" s="125"/>
      <c r="AR54" s="97"/>
      <c r="AS54" s="315"/>
      <c r="AT54" s="125"/>
      <c r="AU54" s="125"/>
      <c r="AV54" s="125"/>
      <c r="AW54" s="125"/>
      <c r="AX54" s="125"/>
      <c r="AY54" s="125"/>
      <c r="AZ54" s="98" t="s">
        <v>386</v>
      </c>
      <c r="BA54" s="105"/>
    </row>
    <row r="55" spans="1:53" ht="68.25" customHeight="1" x14ac:dyDescent="0.2">
      <c r="A55" s="167"/>
      <c r="B55" s="119"/>
      <c r="C55" s="486" t="s">
        <v>214</v>
      </c>
      <c r="D55" s="487"/>
      <c r="E55" s="426" t="s">
        <v>215</v>
      </c>
      <c r="F55" s="301">
        <v>534375</v>
      </c>
      <c r="G55" s="97">
        <f t="shared" si="19"/>
        <v>514396</v>
      </c>
      <c r="H55" s="301">
        <f>534375</f>
        <v>534375</v>
      </c>
      <c r="I55" s="97">
        <f t="shared" si="20"/>
        <v>514396</v>
      </c>
      <c r="J55" s="97">
        <f t="shared" si="21"/>
        <v>-19979</v>
      </c>
      <c r="K55" s="97"/>
      <c r="L55" s="97"/>
      <c r="M55" s="97"/>
      <c r="N55" s="97"/>
      <c r="O55" s="97"/>
      <c r="P55" s="97"/>
      <c r="Q55" s="97">
        <v>-800</v>
      </c>
      <c r="R55" s="97">
        <v>-19179</v>
      </c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125"/>
      <c r="AJ55" s="125"/>
      <c r="AK55" s="125"/>
      <c r="AL55" s="125"/>
      <c r="AM55" s="125"/>
      <c r="AN55" s="125"/>
      <c r="AO55" s="125"/>
      <c r="AP55" s="125"/>
      <c r="AQ55" s="125"/>
      <c r="AR55" s="97"/>
      <c r="AS55" s="315"/>
      <c r="AT55" s="125"/>
      <c r="AU55" s="125"/>
      <c r="AV55" s="125"/>
      <c r="AW55" s="125"/>
      <c r="AX55" s="125"/>
      <c r="AY55" s="125"/>
      <c r="AZ55" s="98" t="s">
        <v>659</v>
      </c>
      <c r="BA55" s="105"/>
    </row>
    <row r="56" spans="1:53" ht="25.5" customHeight="1" x14ac:dyDescent="0.2">
      <c r="A56" s="167"/>
      <c r="B56" s="119"/>
      <c r="C56" s="228"/>
      <c r="D56" s="229"/>
      <c r="E56" s="426" t="s">
        <v>255</v>
      </c>
      <c r="F56" s="301">
        <v>14100</v>
      </c>
      <c r="G56" s="97">
        <f t="shared" si="19"/>
        <v>14100</v>
      </c>
      <c r="H56" s="301">
        <f>14100</f>
        <v>14100</v>
      </c>
      <c r="I56" s="97">
        <f t="shared" si="20"/>
        <v>14100</v>
      </c>
      <c r="J56" s="97">
        <f t="shared" si="21"/>
        <v>0</v>
      </c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125"/>
      <c r="AJ56" s="125"/>
      <c r="AK56" s="125"/>
      <c r="AL56" s="125"/>
      <c r="AM56" s="125"/>
      <c r="AN56" s="125"/>
      <c r="AO56" s="125"/>
      <c r="AP56" s="125"/>
      <c r="AQ56" s="125"/>
      <c r="AR56" s="97"/>
      <c r="AS56" s="315"/>
      <c r="AT56" s="125"/>
      <c r="AU56" s="125"/>
      <c r="AV56" s="125"/>
      <c r="AW56" s="125"/>
      <c r="AX56" s="125"/>
      <c r="AY56" s="125"/>
      <c r="AZ56" s="98" t="s">
        <v>660</v>
      </c>
      <c r="BA56" s="105"/>
    </row>
    <row r="57" spans="1:53" ht="12.75" x14ac:dyDescent="0.2">
      <c r="A57" s="167"/>
      <c r="B57" s="119"/>
      <c r="C57" s="228"/>
      <c r="D57" s="229"/>
      <c r="E57" s="426" t="s">
        <v>238</v>
      </c>
      <c r="F57" s="301">
        <v>232216</v>
      </c>
      <c r="G57" s="97">
        <f t="shared" si="19"/>
        <v>232216</v>
      </c>
      <c r="H57" s="301">
        <f>232216</f>
        <v>232216</v>
      </c>
      <c r="I57" s="97">
        <f t="shared" si="20"/>
        <v>232216</v>
      </c>
      <c r="J57" s="97">
        <f t="shared" si="21"/>
        <v>0</v>
      </c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125"/>
      <c r="AJ57" s="125"/>
      <c r="AK57" s="125"/>
      <c r="AL57" s="125"/>
      <c r="AM57" s="125"/>
      <c r="AN57" s="125"/>
      <c r="AO57" s="125"/>
      <c r="AP57" s="125"/>
      <c r="AQ57" s="125"/>
      <c r="AR57" s="97"/>
      <c r="AS57" s="315"/>
      <c r="AT57" s="125"/>
      <c r="AU57" s="125"/>
      <c r="AV57" s="125"/>
      <c r="AW57" s="125"/>
      <c r="AX57" s="125"/>
      <c r="AY57" s="125"/>
      <c r="AZ57" s="98" t="s">
        <v>661</v>
      </c>
      <c r="BA57" s="105"/>
    </row>
    <row r="58" spans="1:53" ht="29.25" customHeight="1" x14ac:dyDescent="0.2">
      <c r="A58" s="167"/>
      <c r="B58" s="119"/>
      <c r="C58" s="163"/>
      <c r="D58" s="164"/>
      <c r="E58" s="426" t="s">
        <v>530</v>
      </c>
      <c r="F58" s="301">
        <v>239470</v>
      </c>
      <c r="G58" s="97">
        <f t="shared" si="19"/>
        <v>239470</v>
      </c>
      <c r="H58" s="301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>
        <v>239470</v>
      </c>
      <c r="AQ58" s="125"/>
      <c r="AR58" s="97"/>
      <c r="AS58" s="315"/>
      <c r="AT58" s="97"/>
      <c r="AU58" s="97"/>
      <c r="AV58" s="97"/>
      <c r="AW58" s="97"/>
      <c r="AX58" s="97"/>
      <c r="AY58" s="97"/>
      <c r="AZ58" s="98"/>
      <c r="BA58" s="105"/>
    </row>
    <row r="59" spans="1:53" ht="48" customHeight="1" x14ac:dyDescent="0.2">
      <c r="A59" s="167"/>
      <c r="B59" s="119"/>
      <c r="C59" s="163"/>
      <c r="D59" s="164"/>
      <c r="E59" s="426" t="s">
        <v>526</v>
      </c>
      <c r="F59" s="301">
        <v>256117</v>
      </c>
      <c r="G59" s="97">
        <f t="shared" si="19"/>
        <v>256117</v>
      </c>
      <c r="H59" s="301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>
        <v>256117</v>
      </c>
      <c r="AQ59" s="125"/>
      <c r="AR59" s="97"/>
      <c r="AS59" s="315"/>
      <c r="AT59" s="97"/>
      <c r="AU59" s="97"/>
      <c r="AV59" s="97"/>
      <c r="AW59" s="97"/>
      <c r="AX59" s="97"/>
      <c r="AY59" s="97"/>
      <c r="AZ59" s="98"/>
      <c r="BA59" s="105"/>
    </row>
    <row r="60" spans="1:53" ht="36" x14ac:dyDescent="0.2">
      <c r="A60" s="167"/>
      <c r="B60" s="119"/>
      <c r="C60" s="163"/>
      <c r="D60" s="164"/>
      <c r="E60" s="426" t="s">
        <v>531</v>
      </c>
      <c r="F60" s="301">
        <v>729055</v>
      </c>
      <c r="G60" s="97">
        <f t="shared" si="19"/>
        <v>933102</v>
      </c>
      <c r="H60" s="301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>
        <f>729055+204047</f>
        <v>933102</v>
      </c>
      <c r="AQ60" s="125"/>
      <c r="AR60" s="97"/>
      <c r="AS60" s="315"/>
      <c r="AT60" s="97"/>
      <c r="AU60" s="97"/>
      <c r="AV60" s="97"/>
      <c r="AW60" s="97"/>
      <c r="AX60" s="97"/>
      <c r="AY60" s="97"/>
      <c r="AZ60" s="98"/>
      <c r="BA60" s="105"/>
    </row>
    <row r="61" spans="1:53" ht="13.5" thickBot="1" x14ac:dyDescent="0.25">
      <c r="A61" s="167"/>
      <c r="B61" s="145"/>
      <c r="C61" s="528"/>
      <c r="D61" s="529"/>
      <c r="E61" s="427"/>
      <c r="F61" s="302"/>
      <c r="G61" s="84"/>
      <c r="H61" s="302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124"/>
      <c r="AJ61" s="124"/>
      <c r="AK61" s="124"/>
      <c r="AL61" s="124"/>
      <c r="AM61" s="124"/>
      <c r="AN61" s="124"/>
      <c r="AO61" s="124"/>
      <c r="AP61" s="124"/>
      <c r="AQ61" s="124"/>
      <c r="AR61" s="84"/>
      <c r="AS61" s="316"/>
      <c r="AT61" s="124"/>
      <c r="AU61" s="124"/>
      <c r="AV61" s="124"/>
      <c r="AW61" s="124"/>
      <c r="AX61" s="124"/>
      <c r="AY61" s="124"/>
      <c r="AZ61" s="85"/>
      <c r="BA61" s="106"/>
    </row>
    <row r="62" spans="1:53" ht="12.75" thickBot="1" x14ac:dyDescent="0.25">
      <c r="A62" s="226"/>
      <c r="B62" s="527" t="s">
        <v>9</v>
      </c>
      <c r="C62" s="527"/>
      <c r="D62" s="223" t="s">
        <v>10</v>
      </c>
      <c r="E62" s="425"/>
      <c r="F62" s="303">
        <v>13280401</v>
      </c>
      <c r="G62" s="419">
        <f>SUM(I62,Y62,AH62,AP62,AR62)</f>
        <v>13906992</v>
      </c>
      <c r="H62" s="303">
        <f>SUM(H63:H75)</f>
        <v>12419268</v>
      </c>
      <c r="I62" s="7">
        <f>SUM(I63:I75)</f>
        <v>13045859</v>
      </c>
      <c r="J62" s="7">
        <f t="shared" ref="J62:AR62" si="26">SUM(J63:J75)</f>
        <v>626591</v>
      </c>
      <c r="K62" s="7">
        <f t="shared" si="26"/>
        <v>0</v>
      </c>
      <c r="L62" s="7">
        <f>SUM(L63:L75)</f>
        <v>0</v>
      </c>
      <c r="M62" s="7">
        <f>SUM(M63:M75)</f>
        <v>263877</v>
      </c>
      <c r="N62" s="7">
        <f t="shared" si="26"/>
        <v>235000</v>
      </c>
      <c r="O62" s="7">
        <f t="shared" si="26"/>
        <v>35051</v>
      </c>
      <c r="P62" s="7">
        <f t="shared" si="26"/>
        <v>76178</v>
      </c>
      <c r="Q62" s="7">
        <f t="shared" si="26"/>
        <v>8485</v>
      </c>
      <c r="R62" s="7">
        <f t="shared" si="26"/>
        <v>0</v>
      </c>
      <c r="S62" s="7">
        <f t="shared" si="26"/>
        <v>8000</v>
      </c>
      <c r="T62" s="7">
        <f>SUM(T63:T75)</f>
        <v>0</v>
      </c>
      <c r="U62" s="7">
        <f>SUM(U63:U75)</f>
        <v>0</v>
      </c>
      <c r="V62" s="7">
        <f>SUM(V63:V75)</f>
        <v>0</v>
      </c>
      <c r="W62" s="7">
        <f t="shared" si="26"/>
        <v>0</v>
      </c>
      <c r="X62" s="7">
        <f>SUM(X63:X75)</f>
        <v>647702</v>
      </c>
      <c r="Y62" s="7">
        <f t="shared" si="26"/>
        <v>647702</v>
      </c>
      <c r="Z62" s="7">
        <f t="shared" si="26"/>
        <v>0</v>
      </c>
      <c r="AA62" s="7">
        <f t="shared" si="26"/>
        <v>0</v>
      </c>
      <c r="AB62" s="7">
        <f t="shared" si="26"/>
        <v>0</v>
      </c>
      <c r="AC62" s="7">
        <f t="shared" si="26"/>
        <v>0</v>
      </c>
      <c r="AD62" s="7">
        <f t="shared" si="26"/>
        <v>0</v>
      </c>
      <c r="AE62" s="7">
        <f t="shared" si="26"/>
        <v>0</v>
      </c>
      <c r="AF62" s="7">
        <f t="shared" si="26"/>
        <v>0</v>
      </c>
      <c r="AG62" s="7">
        <f>SUM(AG63:AG75)</f>
        <v>0</v>
      </c>
      <c r="AH62" s="7">
        <f t="shared" si="26"/>
        <v>0</v>
      </c>
      <c r="AI62" s="7">
        <f t="shared" si="26"/>
        <v>0</v>
      </c>
      <c r="AJ62" s="7">
        <f t="shared" si="26"/>
        <v>0</v>
      </c>
      <c r="AK62" s="7">
        <f t="shared" si="26"/>
        <v>0</v>
      </c>
      <c r="AL62" s="7">
        <f t="shared" si="26"/>
        <v>0</v>
      </c>
      <c r="AM62" s="7">
        <f t="shared" si="26"/>
        <v>0</v>
      </c>
      <c r="AN62" s="7">
        <f t="shared" si="26"/>
        <v>0</v>
      </c>
      <c r="AO62" s="7">
        <f t="shared" si="26"/>
        <v>0</v>
      </c>
      <c r="AP62" s="7">
        <f t="shared" si="26"/>
        <v>213431</v>
      </c>
      <c r="AQ62" s="7">
        <f>SUM(AQ63:AQ75)</f>
        <v>0</v>
      </c>
      <c r="AR62" s="7">
        <f t="shared" si="26"/>
        <v>0</v>
      </c>
      <c r="AS62" s="321">
        <f>SUM(AS63:AS75)</f>
        <v>0</v>
      </c>
      <c r="AT62" s="7">
        <f t="shared" ref="AT62:AY62" si="27">SUM(AT63:AT75)</f>
        <v>0</v>
      </c>
      <c r="AU62" s="7">
        <f t="shared" si="27"/>
        <v>0</v>
      </c>
      <c r="AV62" s="7">
        <f t="shared" si="27"/>
        <v>0</v>
      </c>
      <c r="AW62" s="7">
        <f t="shared" si="27"/>
        <v>0</v>
      </c>
      <c r="AX62" s="7">
        <f t="shared" si="27"/>
        <v>0</v>
      </c>
      <c r="AY62" s="7">
        <f t="shared" si="27"/>
        <v>0</v>
      </c>
      <c r="AZ62" s="11"/>
      <c r="BA62" s="107"/>
    </row>
    <row r="63" spans="1:53" ht="24.75" thickTop="1" x14ac:dyDescent="0.2">
      <c r="A63" s="167">
        <v>90000056357</v>
      </c>
      <c r="B63" s="235"/>
      <c r="C63" s="515" t="s">
        <v>5</v>
      </c>
      <c r="D63" s="516"/>
      <c r="E63" s="428" t="s">
        <v>573</v>
      </c>
      <c r="F63" s="305">
        <v>20408</v>
      </c>
      <c r="G63" s="100">
        <f t="shared" ref="G63:G74" si="28">SUM(I63,Y63,AH63,AP63,AR63)</f>
        <v>20408</v>
      </c>
      <c r="H63" s="305">
        <f>20408</f>
        <v>20408</v>
      </c>
      <c r="I63" s="97">
        <f t="shared" ref="I63:I71" si="29">H63+J63</f>
        <v>20408</v>
      </c>
      <c r="J63" s="100">
        <f t="shared" ref="J63:J71" si="30">SUM(K63:W63)</f>
        <v>0</v>
      </c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>
        <f t="shared" ref="AH63:AH72" si="31">AI63+AG63</f>
        <v>0</v>
      </c>
      <c r="AI63" s="126">
        <f t="shared" ref="AI63:AI72" si="32">SUM(AJ63:AO63)</f>
        <v>0</v>
      </c>
      <c r="AJ63" s="126"/>
      <c r="AK63" s="126"/>
      <c r="AL63" s="126"/>
      <c r="AM63" s="126"/>
      <c r="AN63" s="126"/>
      <c r="AO63" s="126"/>
      <c r="AP63" s="126"/>
      <c r="AQ63" s="126"/>
      <c r="AR63" s="100"/>
      <c r="AS63" s="318"/>
      <c r="AT63" s="126"/>
      <c r="AU63" s="126"/>
      <c r="AV63" s="126"/>
      <c r="AW63" s="126"/>
      <c r="AX63" s="126"/>
      <c r="AY63" s="126"/>
      <c r="AZ63" s="237" t="s">
        <v>577</v>
      </c>
      <c r="BA63" s="218" t="s">
        <v>319</v>
      </c>
    </row>
    <row r="64" spans="1:53" s="216" customFormat="1" ht="36" x14ac:dyDescent="0.2">
      <c r="A64" s="167"/>
      <c r="B64" s="206"/>
      <c r="C64" s="242"/>
      <c r="D64" s="243"/>
      <c r="E64" s="227" t="s">
        <v>575</v>
      </c>
      <c r="F64" s="301">
        <v>30885</v>
      </c>
      <c r="G64" s="97">
        <f t="shared" si="28"/>
        <v>30885</v>
      </c>
      <c r="H64" s="301">
        <f>30885</f>
        <v>30885</v>
      </c>
      <c r="I64" s="97">
        <f t="shared" si="29"/>
        <v>30885</v>
      </c>
      <c r="J64" s="97">
        <f t="shared" si="30"/>
        <v>0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>
        <f t="shared" si="31"/>
        <v>0</v>
      </c>
      <c r="AI64" s="125">
        <f t="shared" si="32"/>
        <v>0</v>
      </c>
      <c r="AJ64" s="125"/>
      <c r="AK64" s="125"/>
      <c r="AL64" s="125"/>
      <c r="AM64" s="125"/>
      <c r="AN64" s="125"/>
      <c r="AO64" s="125"/>
      <c r="AP64" s="125"/>
      <c r="AQ64" s="125"/>
      <c r="AR64" s="97"/>
      <c r="AS64" s="315"/>
      <c r="AT64" s="125"/>
      <c r="AU64" s="125"/>
      <c r="AV64" s="125"/>
      <c r="AW64" s="125"/>
      <c r="AX64" s="125"/>
      <c r="AY64" s="125"/>
      <c r="AZ64" s="98" t="s">
        <v>387</v>
      </c>
      <c r="BA64" s="105" t="s">
        <v>319</v>
      </c>
    </row>
    <row r="65" spans="1:53" s="216" customFormat="1" ht="42" customHeight="1" x14ac:dyDescent="0.2">
      <c r="A65" s="167"/>
      <c r="C65" s="220"/>
      <c r="D65" s="221"/>
      <c r="E65" s="429" t="s">
        <v>288</v>
      </c>
      <c r="F65" s="302">
        <v>27341</v>
      </c>
      <c r="G65" s="84">
        <f t="shared" si="28"/>
        <v>27341</v>
      </c>
      <c r="H65" s="302">
        <f>27341</f>
        <v>27341</v>
      </c>
      <c r="I65" s="97">
        <f t="shared" si="29"/>
        <v>27341</v>
      </c>
      <c r="J65" s="84">
        <f t="shared" si="30"/>
        <v>0</v>
      </c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>
        <f t="shared" si="31"/>
        <v>0</v>
      </c>
      <c r="AI65" s="124">
        <f t="shared" si="32"/>
        <v>0</v>
      </c>
      <c r="AJ65" s="124"/>
      <c r="AK65" s="124"/>
      <c r="AL65" s="124"/>
      <c r="AM65" s="124"/>
      <c r="AN65" s="124"/>
      <c r="AO65" s="124"/>
      <c r="AP65" s="124"/>
      <c r="AQ65" s="124"/>
      <c r="AR65" s="84"/>
      <c r="AS65" s="316"/>
      <c r="AT65" s="124"/>
      <c r="AU65" s="124"/>
      <c r="AV65" s="124"/>
      <c r="AW65" s="124"/>
      <c r="AX65" s="124"/>
      <c r="AY65" s="124"/>
      <c r="AZ65" s="85" t="s">
        <v>619</v>
      </c>
      <c r="BA65" s="106" t="s">
        <v>319</v>
      </c>
    </row>
    <row r="66" spans="1:53" ht="39.75" customHeight="1" x14ac:dyDescent="0.2">
      <c r="A66" s="167"/>
      <c r="B66" s="119"/>
      <c r="C66" s="161"/>
      <c r="D66" s="162"/>
      <c r="E66" s="227" t="s">
        <v>303</v>
      </c>
      <c r="F66" s="301">
        <v>1759079</v>
      </c>
      <c r="G66" s="97">
        <f t="shared" si="28"/>
        <v>2266441</v>
      </c>
      <c r="H66" s="301">
        <f>1759079</f>
        <v>1759079</v>
      </c>
      <c r="I66" s="97">
        <f>H66+J66</f>
        <v>2266441</v>
      </c>
      <c r="J66" s="97">
        <f t="shared" si="30"/>
        <v>507362</v>
      </c>
      <c r="K66" s="97"/>
      <c r="L66" s="97"/>
      <c r="M66" s="97"/>
      <c r="N66" s="445">
        <f>60000+175000+263877</f>
        <v>498877</v>
      </c>
      <c r="O66" s="97"/>
      <c r="P66" s="97"/>
      <c r="Q66" s="97">
        <v>8485</v>
      </c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>
        <f t="shared" si="31"/>
        <v>0</v>
      </c>
      <c r="AI66" s="125">
        <f t="shared" si="32"/>
        <v>0</v>
      </c>
      <c r="AJ66" s="125"/>
      <c r="AK66" s="125"/>
      <c r="AL66" s="125"/>
      <c r="AM66" s="125"/>
      <c r="AN66" s="125"/>
      <c r="AO66" s="125"/>
      <c r="AP66" s="125"/>
      <c r="AQ66" s="125"/>
      <c r="AR66" s="97"/>
      <c r="AS66" s="315"/>
      <c r="AT66" s="125"/>
      <c r="AU66" s="125"/>
      <c r="AV66" s="125"/>
      <c r="AW66" s="125"/>
      <c r="AX66" s="125"/>
      <c r="AY66" s="125"/>
      <c r="AZ66" s="98" t="s">
        <v>574</v>
      </c>
      <c r="BA66" s="105" t="s">
        <v>367</v>
      </c>
    </row>
    <row r="67" spans="1:53" ht="36" x14ac:dyDescent="0.2">
      <c r="A67" s="167"/>
      <c r="B67" s="119"/>
      <c r="C67" s="161"/>
      <c r="D67" s="162"/>
      <c r="E67" s="227" t="s">
        <v>551</v>
      </c>
      <c r="F67" s="301">
        <v>1705494</v>
      </c>
      <c r="G67" s="97">
        <f>SUM(I67,Y67,AH67,AP67,AR67)</f>
        <v>1705494</v>
      </c>
      <c r="H67" s="301">
        <f>1057792</f>
        <v>1057792</v>
      </c>
      <c r="I67" s="97">
        <f t="shared" si="29"/>
        <v>1057792</v>
      </c>
      <c r="J67" s="97">
        <f t="shared" si="30"/>
        <v>0</v>
      </c>
      <c r="K67" s="97"/>
      <c r="L67" s="97"/>
      <c r="M67" s="97">
        <v>263877</v>
      </c>
      <c r="N67" s="445">
        <v>-263877</v>
      </c>
      <c r="O67" s="97"/>
      <c r="P67" s="97"/>
      <c r="Q67" s="97"/>
      <c r="R67" s="97"/>
      <c r="S67" s="97"/>
      <c r="T67" s="97"/>
      <c r="U67" s="97"/>
      <c r="V67" s="97"/>
      <c r="W67" s="97"/>
      <c r="X67" s="97">
        <f>647702</f>
        <v>647702</v>
      </c>
      <c r="Y67" s="97">
        <f>X67+Z67</f>
        <v>647702</v>
      </c>
      <c r="Z67" s="97">
        <f>SUM(AA67:AF67)</f>
        <v>0</v>
      </c>
      <c r="AA67" s="97"/>
      <c r="AB67" s="97"/>
      <c r="AC67" s="97"/>
      <c r="AD67" s="97"/>
      <c r="AE67" s="97"/>
      <c r="AF67" s="97"/>
      <c r="AG67" s="97"/>
      <c r="AH67" s="97">
        <f t="shared" si="31"/>
        <v>0</v>
      </c>
      <c r="AI67" s="125">
        <f t="shared" si="32"/>
        <v>0</v>
      </c>
      <c r="AJ67" s="125"/>
      <c r="AK67" s="125"/>
      <c r="AL67" s="125"/>
      <c r="AM67" s="125"/>
      <c r="AN67" s="125"/>
      <c r="AO67" s="125"/>
      <c r="AP67" s="125"/>
      <c r="AQ67" s="125"/>
      <c r="AR67" s="97"/>
      <c r="AS67" s="315"/>
      <c r="AT67" s="125"/>
      <c r="AU67" s="125"/>
      <c r="AV67" s="125"/>
      <c r="AW67" s="125"/>
      <c r="AX67" s="125"/>
      <c r="AY67" s="125"/>
      <c r="AZ67" s="98" t="s">
        <v>576</v>
      </c>
      <c r="BA67" s="105" t="s">
        <v>371</v>
      </c>
    </row>
    <row r="68" spans="1:53" ht="36" x14ac:dyDescent="0.2">
      <c r="A68" s="167">
        <v>40003275333</v>
      </c>
      <c r="B68" s="119"/>
      <c r="C68" s="486" t="s">
        <v>310</v>
      </c>
      <c r="D68" s="487"/>
      <c r="E68" s="227" t="s">
        <v>497</v>
      </c>
      <c r="F68" s="301">
        <v>466360</v>
      </c>
      <c r="G68" s="97">
        <f t="shared" si="28"/>
        <v>466360</v>
      </c>
      <c r="H68" s="301">
        <f>466360</f>
        <v>466360</v>
      </c>
      <c r="I68" s="97">
        <f t="shared" si="29"/>
        <v>466360</v>
      </c>
      <c r="J68" s="97">
        <f t="shared" si="30"/>
        <v>0</v>
      </c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>
        <f t="shared" si="31"/>
        <v>0</v>
      </c>
      <c r="AI68" s="125">
        <f t="shared" si="32"/>
        <v>0</v>
      </c>
      <c r="AJ68" s="125"/>
      <c r="AK68" s="125"/>
      <c r="AL68" s="125"/>
      <c r="AM68" s="125"/>
      <c r="AN68" s="125"/>
      <c r="AO68" s="125"/>
      <c r="AP68" s="125"/>
      <c r="AQ68" s="125"/>
      <c r="AR68" s="97"/>
      <c r="AS68" s="315"/>
      <c r="AT68" s="125"/>
      <c r="AU68" s="125"/>
      <c r="AV68" s="125"/>
      <c r="AW68" s="125"/>
      <c r="AX68" s="125"/>
      <c r="AY68" s="125"/>
      <c r="AZ68" s="98" t="s">
        <v>388</v>
      </c>
      <c r="BA68" s="105"/>
    </row>
    <row r="69" spans="1:53" ht="30" customHeight="1" x14ac:dyDescent="0.2">
      <c r="A69" s="167"/>
      <c r="B69" s="119"/>
      <c r="C69" s="161"/>
      <c r="D69" s="162"/>
      <c r="E69" s="227" t="s">
        <v>498</v>
      </c>
      <c r="F69" s="301">
        <v>326635</v>
      </c>
      <c r="G69" s="97">
        <f t="shared" si="28"/>
        <v>334635</v>
      </c>
      <c r="H69" s="301">
        <f>326635</f>
        <v>326635</v>
      </c>
      <c r="I69" s="97">
        <f t="shared" si="29"/>
        <v>334635</v>
      </c>
      <c r="J69" s="97">
        <f t="shared" si="30"/>
        <v>8000</v>
      </c>
      <c r="K69" s="97"/>
      <c r="L69" s="97"/>
      <c r="M69" s="97"/>
      <c r="N69" s="97"/>
      <c r="O69" s="97"/>
      <c r="P69" s="97"/>
      <c r="Q69" s="97"/>
      <c r="R69" s="97"/>
      <c r="S69" s="97">
        <v>8000</v>
      </c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>
        <f t="shared" si="31"/>
        <v>0</v>
      </c>
      <c r="AI69" s="125">
        <f t="shared" si="32"/>
        <v>0</v>
      </c>
      <c r="AJ69" s="125"/>
      <c r="AK69" s="125"/>
      <c r="AL69" s="125"/>
      <c r="AM69" s="125"/>
      <c r="AN69" s="125"/>
      <c r="AO69" s="125"/>
      <c r="AP69" s="125"/>
      <c r="AQ69" s="125"/>
      <c r="AR69" s="97"/>
      <c r="AS69" s="315"/>
      <c r="AT69" s="125"/>
      <c r="AU69" s="125"/>
      <c r="AV69" s="125"/>
      <c r="AW69" s="125"/>
      <c r="AX69" s="125"/>
      <c r="AY69" s="125"/>
      <c r="AZ69" s="98" t="s">
        <v>389</v>
      </c>
      <c r="BA69" s="105"/>
    </row>
    <row r="70" spans="1:53" s="165" customFormat="1" ht="36" x14ac:dyDescent="0.2">
      <c r="A70" s="167"/>
      <c r="B70" s="119"/>
      <c r="C70" s="161"/>
      <c r="D70" s="162"/>
      <c r="E70" s="227" t="s">
        <v>760</v>
      </c>
      <c r="F70" s="301">
        <v>0</v>
      </c>
      <c r="G70" s="97">
        <f t="shared" si="28"/>
        <v>35051</v>
      </c>
      <c r="H70" s="301">
        <v>0</v>
      </c>
      <c r="I70" s="97">
        <f t="shared" si="29"/>
        <v>35051</v>
      </c>
      <c r="J70" s="97">
        <f t="shared" si="30"/>
        <v>35051</v>
      </c>
      <c r="K70" s="97"/>
      <c r="L70" s="97"/>
      <c r="M70" s="97"/>
      <c r="N70" s="97"/>
      <c r="O70" s="97">
        <v>35051</v>
      </c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>
        <f t="shared" si="31"/>
        <v>0</v>
      </c>
      <c r="AI70" s="125">
        <f t="shared" si="32"/>
        <v>0</v>
      </c>
      <c r="AJ70" s="125"/>
      <c r="AK70" s="125"/>
      <c r="AL70" s="125"/>
      <c r="AM70" s="125"/>
      <c r="AN70" s="125"/>
      <c r="AO70" s="125"/>
      <c r="AP70" s="125"/>
      <c r="AQ70" s="125"/>
      <c r="AR70" s="97"/>
      <c r="AS70" s="315"/>
      <c r="AT70" s="125"/>
      <c r="AU70" s="125"/>
      <c r="AV70" s="125"/>
      <c r="AW70" s="125"/>
      <c r="AX70" s="125"/>
      <c r="AY70" s="125"/>
      <c r="AZ70" s="98" t="s">
        <v>764</v>
      </c>
      <c r="BA70" s="105"/>
    </row>
    <row r="71" spans="1:53" s="154" customFormat="1" ht="51" customHeight="1" x14ac:dyDescent="0.2">
      <c r="A71" s="167"/>
      <c r="B71" s="119"/>
      <c r="C71" s="161"/>
      <c r="D71" s="162"/>
      <c r="E71" s="227" t="s">
        <v>365</v>
      </c>
      <c r="F71" s="301">
        <v>2320876</v>
      </c>
      <c r="G71" s="97">
        <f t="shared" si="28"/>
        <v>2320876</v>
      </c>
      <c r="H71" s="301">
        <f>2320876</f>
        <v>2320876</v>
      </c>
      <c r="I71" s="97">
        <f t="shared" si="29"/>
        <v>2320876</v>
      </c>
      <c r="J71" s="97">
        <f t="shared" si="30"/>
        <v>0</v>
      </c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>
        <f t="shared" si="31"/>
        <v>0</v>
      </c>
      <c r="AI71" s="125">
        <f t="shared" si="32"/>
        <v>0</v>
      </c>
      <c r="AJ71" s="125"/>
      <c r="AK71" s="125"/>
      <c r="AL71" s="125"/>
      <c r="AM71" s="125"/>
      <c r="AN71" s="125"/>
      <c r="AO71" s="125"/>
      <c r="AP71" s="125"/>
      <c r="AQ71" s="125"/>
      <c r="AR71" s="97"/>
      <c r="AS71" s="315"/>
      <c r="AT71" s="125"/>
      <c r="AU71" s="125"/>
      <c r="AV71" s="125"/>
      <c r="AW71" s="125"/>
      <c r="AX71" s="125"/>
      <c r="AY71" s="125"/>
      <c r="AZ71" s="98" t="s">
        <v>390</v>
      </c>
      <c r="BA71" s="105"/>
    </row>
    <row r="72" spans="1:53" s="154" customFormat="1" ht="48" customHeight="1" x14ac:dyDescent="0.2">
      <c r="A72" s="167"/>
      <c r="B72" s="119"/>
      <c r="C72" s="161"/>
      <c r="D72" s="162"/>
      <c r="E72" s="227" t="s">
        <v>366</v>
      </c>
      <c r="F72" s="301">
        <v>6409892</v>
      </c>
      <c r="G72" s="97">
        <f t="shared" si="28"/>
        <v>6409892</v>
      </c>
      <c r="H72" s="301">
        <f>6409892</f>
        <v>6409892</v>
      </c>
      <c r="I72" s="97">
        <f>H72+J72</f>
        <v>6409892</v>
      </c>
      <c r="J72" s="97">
        <f>SUM(K72:W72)</f>
        <v>0</v>
      </c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>
        <f t="shared" si="31"/>
        <v>0</v>
      </c>
      <c r="AI72" s="125">
        <f t="shared" si="32"/>
        <v>0</v>
      </c>
      <c r="AJ72" s="125"/>
      <c r="AK72" s="125"/>
      <c r="AL72" s="125"/>
      <c r="AM72" s="125"/>
      <c r="AN72" s="125"/>
      <c r="AO72" s="125"/>
      <c r="AP72" s="125"/>
      <c r="AQ72" s="125"/>
      <c r="AR72" s="97"/>
      <c r="AS72" s="315"/>
      <c r="AT72" s="125"/>
      <c r="AU72" s="125"/>
      <c r="AV72" s="125"/>
      <c r="AW72" s="125"/>
      <c r="AX72" s="125"/>
      <c r="AY72" s="125"/>
      <c r="AZ72" s="98" t="s">
        <v>391</v>
      </c>
      <c r="BA72" s="105"/>
    </row>
    <row r="73" spans="1:53" s="437" customFormat="1" ht="48" customHeight="1" x14ac:dyDescent="0.2">
      <c r="A73" s="167"/>
      <c r="B73" s="119"/>
      <c r="C73" s="438"/>
      <c r="D73" s="439"/>
      <c r="E73" s="227" t="s">
        <v>763</v>
      </c>
      <c r="F73" s="301"/>
      <c r="G73" s="97">
        <f t="shared" si="28"/>
        <v>76178</v>
      </c>
      <c r="H73" s="301"/>
      <c r="I73" s="97">
        <f>H73+J73</f>
        <v>76178</v>
      </c>
      <c r="J73" s="97">
        <f>SUM(K73:W73)</f>
        <v>76178</v>
      </c>
      <c r="K73" s="97"/>
      <c r="L73" s="97"/>
      <c r="M73" s="97"/>
      <c r="N73" s="97"/>
      <c r="O73" s="97"/>
      <c r="P73" s="97">
        <v>76178</v>
      </c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125"/>
      <c r="AJ73" s="125"/>
      <c r="AK73" s="125"/>
      <c r="AL73" s="125"/>
      <c r="AM73" s="125"/>
      <c r="AN73" s="125"/>
      <c r="AO73" s="125"/>
      <c r="AP73" s="125"/>
      <c r="AQ73" s="125"/>
      <c r="AR73" s="97"/>
      <c r="AS73" s="315"/>
      <c r="AT73" s="125"/>
      <c r="AU73" s="125"/>
      <c r="AV73" s="125"/>
      <c r="AW73" s="125"/>
      <c r="AX73" s="125"/>
      <c r="AY73" s="125"/>
      <c r="AZ73" s="98" t="s">
        <v>765</v>
      </c>
      <c r="BA73" s="105"/>
    </row>
    <row r="74" spans="1:53" ht="65.25" customHeight="1" x14ac:dyDescent="0.2">
      <c r="A74" s="167"/>
      <c r="B74" s="119"/>
      <c r="C74" s="486" t="s">
        <v>214</v>
      </c>
      <c r="D74" s="487"/>
      <c r="E74" s="227" t="s">
        <v>333</v>
      </c>
      <c r="F74" s="301">
        <v>213431</v>
      </c>
      <c r="G74" s="97">
        <f t="shared" si="28"/>
        <v>213431</v>
      </c>
      <c r="H74" s="301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125"/>
      <c r="AJ74" s="125"/>
      <c r="AK74" s="125"/>
      <c r="AL74" s="125"/>
      <c r="AM74" s="125"/>
      <c r="AN74" s="125"/>
      <c r="AO74" s="125"/>
      <c r="AP74" s="125">
        <v>213431</v>
      </c>
      <c r="AQ74" s="125"/>
      <c r="AR74" s="97"/>
      <c r="AS74" s="315"/>
      <c r="AT74" s="125"/>
      <c r="AU74" s="125"/>
      <c r="AV74" s="125"/>
      <c r="AW74" s="125"/>
      <c r="AX74" s="125"/>
      <c r="AY74" s="125"/>
      <c r="AZ74" s="98"/>
      <c r="BA74" s="105"/>
    </row>
    <row r="75" spans="1:53" ht="12.75" thickBot="1" x14ac:dyDescent="0.25">
      <c r="A75" s="167"/>
      <c r="B75" s="145"/>
      <c r="C75" s="519"/>
      <c r="D75" s="520"/>
      <c r="E75" s="427"/>
      <c r="F75" s="302"/>
      <c r="G75" s="84"/>
      <c r="H75" s="302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124"/>
      <c r="AJ75" s="124"/>
      <c r="AK75" s="124"/>
      <c r="AL75" s="124"/>
      <c r="AM75" s="124"/>
      <c r="AN75" s="124"/>
      <c r="AO75" s="124"/>
      <c r="AP75" s="124"/>
      <c r="AQ75" s="124"/>
      <c r="AR75" s="84"/>
      <c r="AS75" s="316"/>
      <c r="AT75" s="124"/>
      <c r="AU75" s="124"/>
      <c r="AV75" s="124"/>
      <c r="AW75" s="124"/>
      <c r="AX75" s="124"/>
      <c r="AY75" s="124"/>
      <c r="AZ75" s="85"/>
      <c r="BA75" s="106"/>
    </row>
    <row r="76" spans="1:53" ht="27.75" customHeight="1" thickBot="1" x14ac:dyDescent="0.25">
      <c r="A76" s="226"/>
      <c r="B76" s="527" t="s">
        <v>11</v>
      </c>
      <c r="C76" s="527"/>
      <c r="D76" s="223" t="s">
        <v>213</v>
      </c>
      <c r="E76" s="425"/>
      <c r="F76" s="303">
        <v>10729231.548024692</v>
      </c>
      <c r="G76" s="419">
        <f>SUM(I76,Y76,AH76,AP76,AR76)</f>
        <v>10632022</v>
      </c>
      <c r="H76" s="303">
        <f>SUM(H77:H86,H87:H89)</f>
        <v>10192680.550000001</v>
      </c>
      <c r="I76" s="7">
        <f>SUM(I77:I86,I87:I89)</f>
        <v>10083364</v>
      </c>
      <c r="J76" s="7">
        <f t="shared" ref="J76:W76" si="33">SUM(J77:J86,J87:J89)</f>
        <v>-109317</v>
      </c>
      <c r="K76" s="7">
        <f t="shared" si="33"/>
        <v>0</v>
      </c>
      <c r="L76" s="7">
        <f t="shared" si="33"/>
        <v>0</v>
      </c>
      <c r="M76" s="7">
        <f t="shared" si="33"/>
        <v>-263877</v>
      </c>
      <c r="N76" s="7">
        <f t="shared" si="33"/>
        <v>4386</v>
      </c>
      <c r="O76" s="7">
        <f t="shared" si="33"/>
        <v>36143</v>
      </c>
      <c r="P76" s="7">
        <f t="shared" si="33"/>
        <v>-7118</v>
      </c>
      <c r="Q76" s="7">
        <f t="shared" si="33"/>
        <v>4117</v>
      </c>
      <c r="R76" s="7">
        <f t="shared" si="33"/>
        <v>117032</v>
      </c>
      <c r="S76" s="7">
        <f t="shared" si="33"/>
        <v>0</v>
      </c>
      <c r="T76" s="7">
        <f>SUM(T77:T86,T87:T89)</f>
        <v>0</v>
      </c>
      <c r="U76" s="7">
        <f>SUM(U77:U86,U87:U89)</f>
        <v>0</v>
      </c>
      <c r="V76" s="7">
        <f>SUM(V77:V86,V87:V89)</f>
        <v>0</v>
      </c>
      <c r="W76" s="7">
        <f t="shared" si="33"/>
        <v>0</v>
      </c>
      <c r="X76" s="7">
        <f>SUM(X77:X85,X87:X89)</f>
        <v>0</v>
      </c>
      <c r="Y76" s="7">
        <f t="shared" ref="Y76:AR76" si="34">SUM(Y77:Y85,Y87:Y89)</f>
        <v>0</v>
      </c>
      <c r="Z76" s="7">
        <f t="shared" si="34"/>
        <v>0</v>
      </c>
      <c r="AA76" s="7">
        <f t="shared" si="34"/>
        <v>0</v>
      </c>
      <c r="AB76" s="7">
        <f t="shared" si="34"/>
        <v>0</v>
      </c>
      <c r="AC76" s="7">
        <f t="shared" si="34"/>
        <v>0</v>
      </c>
      <c r="AD76" s="7">
        <f t="shared" si="34"/>
        <v>0</v>
      </c>
      <c r="AE76" s="7">
        <f t="shared" si="34"/>
        <v>0</v>
      </c>
      <c r="AF76" s="7">
        <f t="shared" si="34"/>
        <v>0</v>
      </c>
      <c r="AG76" s="7">
        <f>SUM(AG77:AG85,AG87:AG89)</f>
        <v>180831</v>
      </c>
      <c r="AH76" s="7">
        <f t="shared" si="34"/>
        <v>192938</v>
      </c>
      <c r="AI76" s="7">
        <f t="shared" si="34"/>
        <v>12107</v>
      </c>
      <c r="AJ76" s="7">
        <f t="shared" si="34"/>
        <v>0</v>
      </c>
      <c r="AK76" s="7">
        <f t="shared" si="34"/>
        <v>0</v>
      </c>
      <c r="AL76" s="7">
        <f t="shared" si="34"/>
        <v>7082</v>
      </c>
      <c r="AM76" s="7">
        <f t="shared" si="34"/>
        <v>5025</v>
      </c>
      <c r="AN76" s="7">
        <f t="shared" si="34"/>
        <v>0</v>
      </c>
      <c r="AO76" s="7">
        <f t="shared" si="34"/>
        <v>0</v>
      </c>
      <c r="AP76" s="7">
        <f t="shared" si="34"/>
        <v>355720</v>
      </c>
      <c r="AQ76" s="7">
        <f>SUM(AQ77:AQ85,AQ87:AQ89)</f>
        <v>0</v>
      </c>
      <c r="AR76" s="7">
        <f t="shared" si="34"/>
        <v>0</v>
      </c>
      <c r="AS76" s="321">
        <f>SUM(AS77:AS85,AS87:AS89)</f>
        <v>0</v>
      </c>
      <c r="AT76" s="7">
        <f t="shared" ref="AT76:AY76" si="35">SUM(AT77:AT85,AT87:AT89)</f>
        <v>0</v>
      </c>
      <c r="AU76" s="7">
        <f t="shared" si="35"/>
        <v>0</v>
      </c>
      <c r="AV76" s="7">
        <f t="shared" si="35"/>
        <v>0</v>
      </c>
      <c r="AW76" s="7">
        <f t="shared" si="35"/>
        <v>0</v>
      </c>
      <c r="AX76" s="7">
        <f t="shared" si="35"/>
        <v>0</v>
      </c>
      <c r="AY76" s="7">
        <f t="shared" si="35"/>
        <v>0</v>
      </c>
      <c r="AZ76" s="11"/>
      <c r="BA76" s="107"/>
    </row>
    <row r="77" spans="1:53" s="121" customFormat="1" ht="13.5" thickTop="1" x14ac:dyDescent="0.2">
      <c r="A77" s="167">
        <v>90000056357</v>
      </c>
      <c r="B77" s="225"/>
      <c r="C77" s="515" t="s">
        <v>5</v>
      </c>
      <c r="D77" s="516"/>
      <c r="E77" s="428" t="s">
        <v>239</v>
      </c>
      <c r="F77" s="305">
        <v>2407283.5480246916</v>
      </c>
      <c r="G77" s="100">
        <f>SUM(I77,Y77,AH77,AP77,AR77)</f>
        <v>2419391</v>
      </c>
      <c r="H77" s="305">
        <f>2264781.55</f>
        <v>2264781.5499999998</v>
      </c>
      <c r="I77" s="97">
        <f>H77+0.45+J77</f>
        <v>2264782</v>
      </c>
      <c r="J77" s="100">
        <f t="shared" ref="J77:J86" si="36">SUM(K77:W77)</f>
        <v>0</v>
      </c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>
        <f>142502</f>
        <v>142502</v>
      </c>
      <c r="AH77" s="100">
        <f t="shared" ref="AH77:AH85" si="37">AI77+AG77</f>
        <v>154609</v>
      </c>
      <c r="AI77" s="126">
        <f t="shared" ref="AI77:AI85" si="38">SUM(AJ77:AO77)</f>
        <v>12107</v>
      </c>
      <c r="AJ77" s="126"/>
      <c r="AK77" s="126"/>
      <c r="AL77" s="446">
        <v>7082</v>
      </c>
      <c r="AM77" s="126">
        <v>5025</v>
      </c>
      <c r="AN77" s="126"/>
      <c r="AO77" s="126"/>
      <c r="AP77" s="126"/>
      <c r="AQ77" s="126"/>
      <c r="AR77" s="100"/>
      <c r="AS77" s="318">
        <f>SUM(AT77:AY77)</f>
        <v>0</v>
      </c>
      <c r="AT77" s="126"/>
      <c r="AU77" s="126"/>
      <c r="AV77" s="126"/>
      <c r="AW77" s="126"/>
      <c r="AX77" s="126"/>
      <c r="AY77" s="126"/>
      <c r="AZ77" s="237" t="s">
        <v>392</v>
      </c>
      <c r="BA77" s="218"/>
    </row>
    <row r="78" spans="1:53" s="121" customFormat="1" ht="12.75" x14ac:dyDescent="0.2">
      <c r="A78" s="167"/>
      <c r="C78" s="156"/>
      <c r="D78" s="157"/>
      <c r="E78" s="429" t="s">
        <v>557</v>
      </c>
      <c r="F78" s="304">
        <v>4500</v>
      </c>
      <c r="G78" s="117">
        <f t="shared" ref="G78:G88" si="39">SUM(I78,Y78,AH78,AP78,AR78)</f>
        <v>4500</v>
      </c>
      <c r="H78" s="304">
        <f>4500</f>
        <v>4500</v>
      </c>
      <c r="I78" s="97">
        <f t="shared" ref="I78:I86" si="40">H78+J78</f>
        <v>4500</v>
      </c>
      <c r="J78" s="117">
        <f t="shared" si="36"/>
        <v>0</v>
      </c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>
        <f t="shared" si="37"/>
        <v>0</v>
      </c>
      <c r="AI78" s="128">
        <f t="shared" si="38"/>
        <v>0</v>
      </c>
      <c r="AJ78" s="128"/>
      <c r="AK78" s="128"/>
      <c r="AL78" s="128"/>
      <c r="AM78" s="128"/>
      <c r="AN78" s="128"/>
      <c r="AO78" s="128"/>
      <c r="AP78" s="128"/>
      <c r="AQ78" s="128"/>
      <c r="AR78" s="117"/>
      <c r="AS78" s="317"/>
      <c r="AT78" s="128"/>
      <c r="AU78" s="128"/>
      <c r="AV78" s="128"/>
      <c r="AW78" s="128"/>
      <c r="AX78" s="128"/>
      <c r="AY78" s="128"/>
      <c r="AZ78" s="236" t="s">
        <v>393</v>
      </c>
      <c r="BA78" s="219"/>
    </row>
    <row r="79" spans="1:53" s="121" customFormat="1" ht="48" x14ac:dyDescent="0.2">
      <c r="A79" s="167"/>
      <c r="C79" s="156"/>
      <c r="D79" s="157"/>
      <c r="E79" s="429" t="s">
        <v>560</v>
      </c>
      <c r="F79" s="301">
        <v>5027122</v>
      </c>
      <c r="G79" s="97">
        <f t="shared" si="39"/>
        <v>5086078</v>
      </c>
      <c r="H79" s="304">
        <f>5027122</f>
        <v>5027122</v>
      </c>
      <c r="I79" s="97">
        <f t="shared" si="40"/>
        <v>5086078</v>
      </c>
      <c r="J79" s="117">
        <f t="shared" si="36"/>
        <v>58956</v>
      </c>
      <c r="K79" s="117"/>
      <c r="L79" s="117"/>
      <c r="M79" s="117"/>
      <c r="N79" s="117"/>
      <c r="O79" s="117">
        <f>36143</f>
        <v>36143</v>
      </c>
      <c r="P79" s="117">
        <f>7156-14274</f>
        <v>-7118</v>
      </c>
      <c r="Q79" s="117">
        <v>-883</v>
      </c>
      <c r="R79" s="117">
        <f>29000+1814</f>
        <v>30814</v>
      </c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>
        <f t="shared" si="37"/>
        <v>0</v>
      </c>
      <c r="AI79" s="128">
        <f t="shared" si="38"/>
        <v>0</v>
      </c>
      <c r="AJ79" s="128"/>
      <c r="AK79" s="128"/>
      <c r="AL79" s="128"/>
      <c r="AM79" s="128"/>
      <c r="AN79" s="128"/>
      <c r="AO79" s="128"/>
      <c r="AP79" s="128"/>
      <c r="AQ79" s="128"/>
      <c r="AR79" s="117"/>
      <c r="AS79" s="317"/>
      <c r="AT79" s="128"/>
      <c r="AU79" s="128"/>
      <c r="AV79" s="128"/>
      <c r="AW79" s="128"/>
      <c r="AX79" s="128"/>
      <c r="AY79" s="128"/>
      <c r="AZ79" s="236" t="s">
        <v>751</v>
      </c>
      <c r="BA79" s="219" t="s">
        <v>584</v>
      </c>
    </row>
    <row r="80" spans="1:53" s="119" customFormat="1" ht="12.75" x14ac:dyDescent="0.2">
      <c r="A80" s="167"/>
      <c r="C80" s="214"/>
      <c r="D80" s="215"/>
      <c r="E80" s="227" t="s">
        <v>298</v>
      </c>
      <c r="F80" s="301">
        <v>121000</v>
      </c>
      <c r="G80" s="97">
        <f t="shared" si="39"/>
        <v>121000</v>
      </c>
      <c r="H80" s="301">
        <f>121000</f>
        <v>121000</v>
      </c>
      <c r="I80" s="97">
        <f t="shared" si="40"/>
        <v>121000</v>
      </c>
      <c r="J80" s="97">
        <f t="shared" si="36"/>
        <v>0</v>
      </c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>
        <f t="shared" si="37"/>
        <v>0</v>
      </c>
      <c r="AI80" s="125">
        <f t="shared" si="38"/>
        <v>0</v>
      </c>
      <c r="AJ80" s="125"/>
      <c r="AK80" s="125"/>
      <c r="AL80" s="125"/>
      <c r="AM80" s="125"/>
      <c r="AN80" s="125"/>
      <c r="AO80" s="125"/>
      <c r="AP80" s="125"/>
      <c r="AQ80" s="125">
        <v>0</v>
      </c>
      <c r="AR80" s="97">
        <v>0</v>
      </c>
      <c r="AS80" s="315"/>
      <c r="AT80" s="125"/>
      <c r="AU80" s="125"/>
      <c r="AV80" s="125"/>
      <c r="AW80" s="125"/>
      <c r="AX80" s="125"/>
      <c r="AY80" s="125"/>
      <c r="AZ80" s="98" t="s">
        <v>621</v>
      </c>
      <c r="BA80" s="105" t="s">
        <v>697</v>
      </c>
    </row>
    <row r="81" spans="1:53" s="119" customFormat="1" ht="24" x14ac:dyDescent="0.2">
      <c r="A81" s="167"/>
      <c r="C81" s="214"/>
      <c r="D81" s="215"/>
      <c r="E81" s="227" t="s">
        <v>654</v>
      </c>
      <c r="F81" s="301">
        <v>354621</v>
      </c>
      <c r="G81" s="97">
        <f t="shared" si="39"/>
        <v>359621</v>
      </c>
      <c r="H81" s="301">
        <f>354621</f>
        <v>354621</v>
      </c>
      <c r="I81" s="97">
        <f t="shared" si="40"/>
        <v>359621</v>
      </c>
      <c r="J81" s="97">
        <f t="shared" si="36"/>
        <v>5000</v>
      </c>
      <c r="K81" s="97"/>
      <c r="L81" s="97"/>
      <c r="M81" s="97"/>
      <c r="N81" s="97"/>
      <c r="O81" s="97"/>
      <c r="P81" s="97"/>
      <c r="Q81" s="97">
        <v>5000</v>
      </c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>
        <f t="shared" si="37"/>
        <v>0</v>
      </c>
      <c r="AI81" s="125">
        <f t="shared" si="38"/>
        <v>0</v>
      </c>
      <c r="AJ81" s="125"/>
      <c r="AK81" s="125"/>
      <c r="AL81" s="125"/>
      <c r="AM81" s="125"/>
      <c r="AN81" s="125"/>
      <c r="AO81" s="125"/>
      <c r="AP81" s="125"/>
      <c r="AQ81" s="125"/>
      <c r="AR81" s="97"/>
      <c r="AS81" s="315"/>
      <c r="AT81" s="125"/>
      <c r="AU81" s="125"/>
      <c r="AV81" s="125"/>
      <c r="AW81" s="125"/>
      <c r="AX81" s="125"/>
      <c r="AY81" s="125"/>
      <c r="AZ81" s="98" t="s">
        <v>622</v>
      </c>
      <c r="BA81" s="105" t="s">
        <v>698</v>
      </c>
    </row>
    <row r="82" spans="1:53" s="119" customFormat="1" ht="24" x14ac:dyDescent="0.2">
      <c r="A82" s="167"/>
      <c r="C82" s="214"/>
      <c r="D82" s="215"/>
      <c r="E82" s="227" t="s">
        <v>292</v>
      </c>
      <c r="F82" s="301">
        <v>633951</v>
      </c>
      <c r="G82" s="97">
        <f>SUM(I82,Y82,AH82,AP82,AR82)</f>
        <v>755985</v>
      </c>
      <c r="H82" s="301">
        <f>595622</f>
        <v>595622</v>
      </c>
      <c r="I82" s="97">
        <f t="shared" si="40"/>
        <v>717656</v>
      </c>
      <c r="J82" s="97">
        <f t="shared" si="36"/>
        <v>122034</v>
      </c>
      <c r="K82" s="97"/>
      <c r="L82" s="97"/>
      <c r="M82" s="97">
        <v>31430</v>
      </c>
      <c r="N82" s="445">
        <v>4386</v>
      </c>
      <c r="O82" s="97"/>
      <c r="P82" s="97"/>
      <c r="Q82" s="97"/>
      <c r="R82" s="97">
        <f>51807+34411</f>
        <v>86218</v>
      </c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>
        <f>38329</f>
        <v>38329</v>
      </c>
      <c r="AH82" s="97">
        <f t="shared" si="37"/>
        <v>38329</v>
      </c>
      <c r="AI82" s="125">
        <f t="shared" si="38"/>
        <v>0</v>
      </c>
      <c r="AJ82" s="125"/>
      <c r="AK82" s="125"/>
      <c r="AL82" s="447"/>
      <c r="AM82" s="125"/>
      <c r="AN82" s="125"/>
      <c r="AO82" s="125"/>
      <c r="AP82" s="125"/>
      <c r="AQ82" s="125"/>
      <c r="AR82" s="97"/>
      <c r="AS82" s="315">
        <f>SUM(AT82:AY82)</f>
        <v>0</v>
      </c>
      <c r="AT82" s="125"/>
      <c r="AU82" s="125"/>
      <c r="AV82" s="125"/>
      <c r="AW82" s="125"/>
      <c r="AX82" s="125"/>
      <c r="AY82" s="125"/>
      <c r="AZ82" s="98" t="s">
        <v>623</v>
      </c>
      <c r="BA82" s="105" t="s">
        <v>582</v>
      </c>
    </row>
    <row r="83" spans="1:53" ht="24" x14ac:dyDescent="0.2">
      <c r="A83" s="167">
        <v>42803002568</v>
      </c>
      <c r="B83" s="119"/>
      <c r="C83" s="486" t="s">
        <v>12</v>
      </c>
      <c r="D83" s="487"/>
      <c r="E83" s="227" t="s">
        <v>663</v>
      </c>
      <c r="F83" s="301">
        <v>1328934</v>
      </c>
      <c r="G83" s="97">
        <f t="shared" si="39"/>
        <v>1328934</v>
      </c>
      <c r="H83" s="301">
        <f>1328934</f>
        <v>1328934</v>
      </c>
      <c r="I83" s="97">
        <f t="shared" si="40"/>
        <v>1328934</v>
      </c>
      <c r="J83" s="97">
        <f t="shared" si="36"/>
        <v>0</v>
      </c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>
        <f t="shared" si="37"/>
        <v>0</v>
      </c>
      <c r="AI83" s="125">
        <f t="shared" si="38"/>
        <v>0</v>
      </c>
      <c r="AJ83" s="125"/>
      <c r="AK83" s="125"/>
      <c r="AL83" s="125"/>
      <c r="AM83" s="125"/>
      <c r="AN83" s="125"/>
      <c r="AO83" s="125"/>
      <c r="AP83" s="125"/>
      <c r="AQ83" s="125">
        <v>0</v>
      </c>
      <c r="AR83" s="97">
        <v>0</v>
      </c>
      <c r="AS83" s="315"/>
      <c r="AT83" s="125"/>
      <c r="AU83" s="125"/>
      <c r="AV83" s="125"/>
      <c r="AW83" s="125"/>
      <c r="AX83" s="125"/>
      <c r="AY83" s="125"/>
      <c r="AZ83" s="98" t="s">
        <v>394</v>
      </c>
      <c r="BA83" s="105"/>
    </row>
    <row r="84" spans="1:53" ht="24" x14ac:dyDescent="0.2">
      <c r="A84" s="167">
        <v>40003316576</v>
      </c>
      <c r="B84" s="250"/>
      <c r="C84" s="517" t="s">
        <v>193</v>
      </c>
      <c r="D84" s="518"/>
      <c r="E84" s="430" t="s">
        <v>247</v>
      </c>
      <c r="F84" s="306">
        <v>175393</v>
      </c>
      <c r="G84" s="251">
        <f t="shared" si="39"/>
        <v>175393</v>
      </c>
      <c r="H84" s="306">
        <f>175393</f>
        <v>175393</v>
      </c>
      <c r="I84" s="97">
        <f t="shared" si="40"/>
        <v>175393</v>
      </c>
      <c r="J84" s="251">
        <f t="shared" si="36"/>
        <v>0</v>
      </c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>
        <f t="shared" si="37"/>
        <v>0</v>
      </c>
      <c r="AI84" s="252">
        <f t="shared" si="38"/>
        <v>0</v>
      </c>
      <c r="AJ84" s="252"/>
      <c r="AK84" s="252"/>
      <c r="AL84" s="252"/>
      <c r="AM84" s="252"/>
      <c r="AN84" s="252"/>
      <c r="AO84" s="252"/>
      <c r="AP84" s="252"/>
      <c r="AQ84" s="252">
        <v>0</v>
      </c>
      <c r="AR84" s="251">
        <v>0</v>
      </c>
      <c r="AS84" s="319"/>
      <c r="AT84" s="125"/>
      <c r="AU84" s="252"/>
      <c r="AV84" s="252"/>
      <c r="AW84" s="252"/>
      <c r="AX84" s="252"/>
      <c r="AY84" s="252"/>
      <c r="AZ84" s="253" t="s">
        <v>395</v>
      </c>
      <c r="BA84" s="254"/>
    </row>
    <row r="85" spans="1:53" s="207" customFormat="1" ht="48" x14ac:dyDescent="0.2">
      <c r="A85" s="167"/>
      <c r="B85" s="250"/>
      <c r="C85" s="255"/>
      <c r="D85" s="256"/>
      <c r="E85" s="430" t="s">
        <v>682</v>
      </c>
      <c r="F85" s="306">
        <v>25400</v>
      </c>
      <c r="G85" s="251">
        <f t="shared" si="39"/>
        <v>25400</v>
      </c>
      <c r="H85" s="306">
        <f>25400</f>
        <v>25400</v>
      </c>
      <c r="I85" s="97">
        <f t="shared" si="40"/>
        <v>25400</v>
      </c>
      <c r="J85" s="251">
        <f t="shared" si="36"/>
        <v>0</v>
      </c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>
        <f t="shared" si="37"/>
        <v>0</v>
      </c>
      <c r="AI85" s="252">
        <f t="shared" si="38"/>
        <v>0</v>
      </c>
      <c r="AJ85" s="252"/>
      <c r="AK85" s="252"/>
      <c r="AL85" s="252"/>
      <c r="AM85" s="252"/>
      <c r="AN85" s="252"/>
      <c r="AO85" s="252"/>
      <c r="AP85" s="252"/>
      <c r="AQ85" s="252"/>
      <c r="AR85" s="251"/>
      <c r="AS85" s="319"/>
      <c r="AT85" s="125"/>
      <c r="AU85" s="252"/>
      <c r="AV85" s="252"/>
      <c r="AW85" s="252"/>
      <c r="AX85" s="252"/>
      <c r="AY85" s="252"/>
      <c r="AZ85" s="253" t="s">
        <v>624</v>
      </c>
      <c r="BA85" s="254"/>
    </row>
    <row r="86" spans="1:53" s="274" customFormat="1" ht="36" x14ac:dyDescent="0.2">
      <c r="A86" s="167">
        <v>40003426429</v>
      </c>
      <c r="B86" s="250"/>
      <c r="C86" s="517" t="s">
        <v>718</v>
      </c>
      <c r="D86" s="518"/>
      <c r="E86" s="430" t="s">
        <v>719</v>
      </c>
      <c r="F86" s="306">
        <v>295307</v>
      </c>
      <c r="G86" s="251">
        <f t="shared" si="39"/>
        <v>0</v>
      </c>
      <c r="H86" s="306">
        <f>295307</f>
        <v>295307</v>
      </c>
      <c r="I86" s="251">
        <f t="shared" si="40"/>
        <v>0</v>
      </c>
      <c r="J86" s="251">
        <f t="shared" si="36"/>
        <v>-295307</v>
      </c>
      <c r="K86" s="251"/>
      <c r="L86" s="251"/>
      <c r="M86" s="251">
        <v>-295307</v>
      </c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2"/>
      <c r="AJ86" s="252"/>
      <c r="AK86" s="252"/>
      <c r="AL86" s="252"/>
      <c r="AM86" s="252"/>
      <c r="AN86" s="252"/>
      <c r="AO86" s="252"/>
      <c r="AP86" s="252"/>
      <c r="AQ86" s="252"/>
      <c r="AR86" s="251"/>
      <c r="AS86" s="319"/>
      <c r="AT86" s="125"/>
      <c r="AU86" s="252"/>
      <c r="AV86" s="252"/>
      <c r="AW86" s="252"/>
      <c r="AX86" s="252"/>
      <c r="AY86" s="252"/>
      <c r="AZ86" s="253"/>
      <c r="BA86" s="254"/>
    </row>
    <row r="87" spans="1:53" ht="36" x14ac:dyDescent="0.2">
      <c r="A87" s="167"/>
      <c r="B87" s="119"/>
      <c r="C87" s="486" t="s">
        <v>214</v>
      </c>
      <c r="D87" s="487"/>
      <c r="E87" s="426" t="s">
        <v>152</v>
      </c>
      <c r="F87" s="301">
        <v>142289</v>
      </c>
      <c r="G87" s="97">
        <f t="shared" si="39"/>
        <v>142289</v>
      </c>
      <c r="H87" s="301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125"/>
      <c r="AJ87" s="125"/>
      <c r="AK87" s="125"/>
      <c r="AL87" s="125"/>
      <c r="AM87" s="125"/>
      <c r="AN87" s="125"/>
      <c r="AO87" s="125"/>
      <c r="AP87" s="125">
        <v>142289</v>
      </c>
      <c r="AQ87" s="125"/>
      <c r="AR87" s="97"/>
      <c r="AS87" s="315"/>
      <c r="AT87" s="125"/>
      <c r="AU87" s="125"/>
      <c r="AV87" s="125"/>
      <c r="AW87" s="125"/>
      <c r="AX87" s="125"/>
      <c r="AY87" s="125"/>
      <c r="AZ87" s="98"/>
      <c r="BA87" s="105"/>
    </row>
    <row r="88" spans="1:53" s="203" customFormat="1" ht="87" customHeight="1" x14ac:dyDescent="0.2">
      <c r="A88" s="167"/>
      <c r="B88" s="206"/>
      <c r="C88" s="204"/>
      <c r="D88" s="205"/>
      <c r="E88" s="426" t="s">
        <v>534</v>
      </c>
      <c r="F88" s="301">
        <v>213431</v>
      </c>
      <c r="G88" s="97">
        <f t="shared" si="39"/>
        <v>213431</v>
      </c>
      <c r="H88" s="301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125"/>
      <c r="AJ88" s="125"/>
      <c r="AK88" s="125"/>
      <c r="AL88" s="125"/>
      <c r="AM88" s="125"/>
      <c r="AN88" s="125"/>
      <c r="AO88" s="125"/>
      <c r="AP88" s="125">
        <v>213431</v>
      </c>
      <c r="AQ88" s="125"/>
      <c r="AR88" s="97"/>
      <c r="AS88" s="315"/>
      <c r="AT88" s="125"/>
      <c r="AU88" s="125"/>
      <c r="AV88" s="125"/>
      <c r="AW88" s="125"/>
      <c r="AX88" s="125"/>
      <c r="AY88" s="125"/>
      <c r="AZ88" s="98"/>
      <c r="BA88" s="105"/>
    </row>
    <row r="89" spans="1:53" ht="12.75" thickBot="1" x14ac:dyDescent="0.25">
      <c r="A89" s="167"/>
      <c r="B89" s="145"/>
      <c r="C89" s="519"/>
      <c r="D89" s="520"/>
      <c r="E89" s="427"/>
      <c r="F89" s="302"/>
      <c r="G89" s="84"/>
      <c r="H89" s="302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124"/>
      <c r="AJ89" s="124"/>
      <c r="AK89" s="124"/>
      <c r="AL89" s="124"/>
      <c r="AM89" s="124"/>
      <c r="AN89" s="124"/>
      <c r="AO89" s="124"/>
      <c r="AP89" s="124"/>
      <c r="AQ89" s="124"/>
      <c r="AR89" s="84"/>
      <c r="AS89" s="316"/>
      <c r="AT89" s="124"/>
      <c r="AU89" s="124"/>
      <c r="AV89" s="124"/>
      <c r="AW89" s="124"/>
      <c r="AX89" s="124"/>
      <c r="AY89" s="124"/>
      <c r="AZ89" s="85"/>
      <c r="BA89" s="106"/>
    </row>
    <row r="90" spans="1:53" ht="12.75" thickBot="1" x14ac:dyDescent="0.25">
      <c r="A90" s="226"/>
      <c r="B90" s="527" t="s">
        <v>13</v>
      </c>
      <c r="C90" s="527"/>
      <c r="D90" s="223" t="s">
        <v>14</v>
      </c>
      <c r="E90" s="425"/>
      <c r="F90" s="303">
        <v>280824</v>
      </c>
      <c r="G90" s="419">
        <f>SUM(I90,Y90,AH90,AP90,AR90)</f>
        <v>359598</v>
      </c>
      <c r="H90" s="307">
        <f>SUM(H91:H98)</f>
        <v>279478</v>
      </c>
      <c r="I90" s="123">
        <f>SUM(I91:I98)</f>
        <v>358252</v>
      </c>
      <c r="J90" s="123">
        <f t="shared" ref="J90:AR90" si="41">SUM(J91:J98)</f>
        <v>78774</v>
      </c>
      <c r="K90" s="123">
        <f t="shared" si="41"/>
        <v>0</v>
      </c>
      <c r="L90" s="123">
        <f>SUM(L91:L98)</f>
        <v>0</v>
      </c>
      <c r="M90" s="123">
        <f>SUM(M91:M98)</f>
        <v>0</v>
      </c>
      <c r="N90" s="123">
        <f t="shared" si="41"/>
        <v>0</v>
      </c>
      <c r="O90" s="123">
        <f t="shared" si="41"/>
        <v>78774</v>
      </c>
      <c r="P90" s="123">
        <f t="shared" si="41"/>
        <v>0</v>
      </c>
      <c r="Q90" s="123">
        <f t="shared" si="41"/>
        <v>0</v>
      </c>
      <c r="R90" s="123">
        <f t="shared" si="41"/>
        <v>0</v>
      </c>
      <c r="S90" s="123">
        <f t="shared" si="41"/>
        <v>0</v>
      </c>
      <c r="T90" s="123">
        <f>SUM(T91:T98)</f>
        <v>0</v>
      </c>
      <c r="U90" s="123">
        <f>SUM(U91:U98)</f>
        <v>0</v>
      </c>
      <c r="V90" s="123">
        <f>SUM(V91:V98)</f>
        <v>0</v>
      </c>
      <c r="W90" s="123">
        <f t="shared" si="41"/>
        <v>0</v>
      </c>
      <c r="X90" s="123">
        <f>SUM(X91:X98)</f>
        <v>0</v>
      </c>
      <c r="Y90" s="123">
        <f t="shared" si="41"/>
        <v>0</v>
      </c>
      <c r="Z90" s="123">
        <f t="shared" si="41"/>
        <v>0</v>
      </c>
      <c r="AA90" s="123">
        <f t="shared" si="41"/>
        <v>0</v>
      </c>
      <c r="AB90" s="123">
        <f t="shared" si="41"/>
        <v>0</v>
      </c>
      <c r="AC90" s="123">
        <f t="shared" si="41"/>
        <v>0</v>
      </c>
      <c r="AD90" s="123">
        <f t="shared" si="41"/>
        <v>0</v>
      </c>
      <c r="AE90" s="123">
        <f t="shared" si="41"/>
        <v>0</v>
      </c>
      <c r="AF90" s="123">
        <f t="shared" si="41"/>
        <v>0</v>
      </c>
      <c r="AG90" s="123">
        <f>SUM(AG91:AG98)</f>
        <v>1346</v>
      </c>
      <c r="AH90" s="123">
        <f t="shared" si="41"/>
        <v>1346</v>
      </c>
      <c r="AI90" s="123">
        <f t="shared" si="41"/>
        <v>0</v>
      </c>
      <c r="AJ90" s="123">
        <f t="shared" si="41"/>
        <v>0</v>
      </c>
      <c r="AK90" s="123">
        <f t="shared" si="41"/>
        <v>0</v>
      </c>
      <c r="AL90" s="123">
        <f t="shared" si="41"/>
        <v>0</v>
      </c>
      <c r="AM90" s="123">
        <f t="shared" si="41"/>
        <v>0</v>
      </c>
      <c r="AN90" s="123">
        <f t="shared" si="41"/>
        <v>0</v>
      </c>
      <c r="AO90" s="123">
        <f t="shared" si="41"/>
        <v>0</v>
      </c>
      <c r="AP90" s="123">
        <f t="shared" si="41"/>
        <v>0</v>
      </c>
      <c r="AQ90" s="123">
        <f>SUM(AQ91:AQ98)</f>
        <v>0</v>
      </c>
      <c r="AR90" s="7">
        <f t="shared" si="41"/>
        <v>0</v>
      </c>
      <c r="AS90" s="311">
        <f>SUM(AS91:AS98)</f>
        <v>0</v>
      </c>
      <c r="AT90" s="123">
        <f t="shared" ref="AT90:AY90" si="42">SUM(AT91:AT98)</f>
        <v>0</v>
      </c>
      <c r="AU90" s="123">
        <f t="shared" si="42"/>
        <v>0</v>
      </c>
      <c r="AV90" s="123">
        <f t="shared" si="42"/>
        <v>0</v>
      </c>
      <c r="AW90" s="123">
        <f t="shared" si="42"/>
        <v>0</v>
      </c>
      <c r="AX90" s="123">
        <f t="shared" si="42"/>
        <v>0</v>
      </c>
      <c r="AY90" s="123">
        <f t="shared" si="42"/>
        <v>0</v>
      </c>
      <c r="AZ90" s="11"/>
      <c r="BA90" s="107"/>
    </row>
    <row r="91" spans="1:53" ht="24.75" thickTop="1" x14ac:dyDescent="0.2">
      <c r="A91" s="167">
        <v>90000594245</v>
      </c>
      <c r="B91" s="119"/>
      <c r="C91" s="486" t="s">
        <v>24</v>
      </c>
      <c r="D91" s="487"/>
      <c r="E91" s="227" t="s">
        <v>248</v>
      </c>
      <c r="F91" s="301">
        <v>40712</v>
      </c>
      <c r="G91" s="97">
        <f t="shared" ref="G91:G97" si="43">SUM(I91,Y91,AH91,AP91,AR91)</f>
        <v>40712</v>
      </c>
      <c r="H91" s="301">
        <f>40712</f>
        <v>40712</v>
      </c>
      <c r="I91" s="97">
        <f t="shared" ref="I91:I97" si="44">H91+J91</f>
        <v>40712</v>
      </c>
      <c r="J91" s="97">
        <f t="shared" ref="J91:J97" si="45">SUM(K91:W91)</f>
        <v>0</v>
      </c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>
        <f t="shared" ref="AH91:AH97" si="46">AI91+AG91</f>
        <v>0</v>
      </c>
      <c r="AI91" s="125">
        <f t="shared" ref="AI91:AI97" si="47">SUM(AJ91:AO91)</f>
        <v>0</v>
      </c>
      <c r="AJ91" s="125"/>
      <c r="AK91" s="125"/>
      <c r="AL91" s="125"/>
      <c r="AM91" s="125"/>
      <c r="AN91" s="125"/>
      <c r="AO91" s="125"/>
      <c r="AP91" s="125"/>
      <c r="AQ91" s="125"/>
      <c r="AR91" s="97"/>
      <c r="AS91" s="315"/>
      <c r="AT91" s="125"/>
      <c r="AU91" s="125"/>
      <c r="AV91" s="125"/>
      <c r="AW91" s="125"/>
      <c r="AX91" s="125"/>
      <c r="AY91" s="125"/>
      <c r="AZ91" s="98" t="s">
        <v>396</v>
      </c>
      <c r="BA91" s="105" t="s">
        <v>344</v>
      </c>
    </row>
    <row r="92" spans="1:53" ht="24" x14ac:dyDescent="0.2">
      <c r="A92" s="167"/>
      <c r="B92" s="119"/>
      <c r="C92" s="214"/>
      <c r="D92" s="215"/>
      <c r="E92" s="227" t="s">
        <v>276</v>
      </c>
      <c r="F92" s="301">
        <v>28227</v>
      </c>
      <c r="G92" s="97">
        <f t="shared" si="43"/>
        <v>28227</v>
      </c>
      <c r="H92" s="301">
        <f>28227</f>
        <v>28227</v>
      </c>
      <c r="I92" s="97">
        <f t="shared" si="44"/>
        <v>28227</v>
      </c>
      <c r="J92" s="97">
        <f t="shared" si="45"/>
        <v>0</v>
      </c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>
        <f t="shared" si="46"/>
        <v>0</v>
      </c>
      <c r="AI92" s="125">
        <f t="shared" si="47"/>
        <v>0</v>
      </c>
      <c r="AJ92" s="125"/>
      <c r="AK92" s="125"/>
      <c r="AL92" s="125"/>
      <c r="AM92" s="125"/>
      <c r="AN92" s="125"/>
      <c r="AO92" s="125"/>
      <c r="AP92" s="125"/>
      <c r="AQ92" s="125"/>
      <c r="AR92" s="97"/>
      <c r="AS92" s="315"/>
      <c r="AT92" s="125"/>
      <c r="AU92" s="125"/>
      <c r="AV92" s="125"/>
      <c r="AW92" s="125"/>
      <c r="AX92" s="125"/>
      <c r="AY92" s="125"/>
      <c r="AZ92" s="98" t="s">
        <v>397</v>
      </c>
      <c r="BA92" s="105" t="s">
        <v>344</v>
      </c>
    </row>
    <row r="93" spans="1:53" ht="24" x14ac:dyDescent="0.2">
      <c r="A93" s="167"/>
      <c r="B93" s="119"/>
      <c r="C93" s="214"/>
      <c r="D93" s="215"/>
      <c r="E93" s="227" t="s">
        <v>270</v>
      </c>
      <c r="F93" s="301">
        <v>99694</v>
      </c>
      <c r="G93" s="97">
        <f t="shared" si="43"/>
        <v>99694</v>
      </c>
      <c r="H93" s="301">
        <f>99694</f>
        <v>99694</v>
      </c>
      <c r="I93" s="97">
        <f t="shared" si="44"/>
        <v>99694</v>
      </c>
      <c r="J93" s="97">
        <f t="shared" si="45"/>
        <v>0</v>
      </c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>
        <f t="shared" si="46"/>
        <v>0</v>
      </c>
      <c r="AI93" s="125">
        <f t="shared" si="47"/>
        <v>0</v>
      </c>
      <c r="AJ93" s="125"/>
      <c r="AK93" s="125"/>
      <c r="AL93" s="125"/>
      <c r="AM93" s="125"/>
      <c r="AN93" s="125"/>
      <c r="AO93" s="125"/>
      <c r="AP93" s="125"/>
      <c r="AQ93" s="125"/>
      <c r="AR93" s="97"/>
      <c r="AS93" s="315"/>
      <c r="AT93" s="125"/>
      <c r="AU93" s="125"/>
      <c r="AV93" s="125"/>
      <c r="AW93" s="125"/>
      <c r="AX93" s="125"/>
      <c r="AY93" s="125"/>
      <c r="AZ93" s="98" t="s">
        <v>398</v>
      </c>
      <c r="BA93" s="105" t="s">
        <v>344</v>
      </c>
    </row>
    <row r="94" spans="1:53" ht="12.75" x14ac:dyDescent="0.2">
      <c r="A94" s="167">
        <v>90001876536</v>
      </c>
      <c r="B94" s="119"/>
      <c r="C94" s="486" t="s">
        <v>199</v>
      </c>
      <c r="D94" s="487"/>
      <c r="E94" s="227" t="s">
        <v>499</v>
      </c>
      <c r="F94" s="301">
        <v>7412</v>
      </c>
      <c r="G94" s="97">
        <f t="shared" si="43"/>
        <v>7412</v>
      </c>
      <c r="H94" s="301">
        <f>7412</f>
        <v>7412</v>
      </c>
      <c r="I94" s="97">
        <f t="shared" si="44"/>
        <v>7412</v>
      </c>
      <c r="J94" s="97">
        <f t="shared" si="45"/>
        <v>0</v>
      </c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>
        <f t="shared" si="46"/>
        <v>0</v>
      </c>
      <c r="AI94" s="125">
        <f t="shared" si="47"/>
        <v>0</v>
      </c>
      <c r="AJ94" s="125"/>
      <c r="AK94" s="125"/>
      <c r="AL94" s="125"/>
      <c r="AM94" s="125"/>
      <c r="AN94" s="125"/>
      <c r="AO94" s="125"/>
      <c r="AP94" s="125"/>
      <c r="AQ94" s="125">
        <v>0</v>
      </c>
      <c r="AR94" s="97">
        <v>0</v>
      </c>
      <c r="AS94" s="315"/>
      <c r="AT94" s="125"/>
      <c r="AU94" s="125"/>
      <c r="AV94" s="125"/>
      <c r="AW94" s="125"/>
      <c r="AX94" s="125"/>
      <c r="AY94" s="125"/>
      <c r="AZ94" s="98" t="s">
        <v>399</v>
      </c>
      <c r="BA94" s="105"/>
    </row>
    <row r="95" spans="1:53" s="155" customFormat="1" ht="12.75" x14ac:dyDescent="0.2">
      <c r="A95" s="167"/>
      <c r="B95" s="119"/>
      <c r="C95" s="161"/>
      <c r="D95" s="162"/>
      <c r="E95" s="227" t="s">
        <v>356</v>
      </c>
      <c r="F95" s="301">
        <v>10779</v>
      </c>
      <c r="G95" s="97">
        <f>SUM(I95,Y95,AH95,AP95,AR95)</f>
        <v>10779</v>
      </c>
      <c r="H95" s="301">
        <f>9433</f>
        <v>9433</v>
      </c>
      <c r="I95" s="97">
        <f t="shared" si="44"/>
        <v>9433</v>
      </c>
      <c r="J95" s="97">
        <f t="shared" si="45"/>
        <v>0</v>
      </c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>
        <f>1346</f>
        <v>1346</v>
      </c>
      <c r="AH95" s="97">
        <f t="shared" si="46"/>
        <v>1346</v>
      </c>
      <c r="AI95" s="125">
        <f t="shared" si="47"/>
        <v>0</v>
      </c>
      <c r="AJ95" s="125"/>
      <c r="AK95" s="125"/>
      <c r="AL95" s="125"/>
      <c r="AM95" s="125"/>
      <c r="AN95" s="125"/>
      <c r="AO95" s="125"/>
      <c r="AP95" s="125"/>
      <c r="AQ95" s="125">
        <v>0</v>
      </c>
      <c r="AR95" s="97">
        <v>0</v>
      </c>
      <c r="AS95" s="315">
        <f>SUM(AT95:AY95)</f>
        <v>0</v>
      </c>
      <c r="AT95" s="125"/>
      <c r="AU95" s="125"/>
      <c r="AV95" s="125"/>
      <c r="AW95" s="125"/>
      <c r="AX95" s="125"/>
      <c r="AY95" s="125"/>
      <c r="AZ95" s="98" t="s">
        <v>400</v>
      </c>
      <c r="BA95" s="105"/>
    </row>
    <row r="96" spans="1:53" s="434" customFormat="1" ht="27" customHeight="1" x14ac:dyDescent="0.2">
      <c r="A96" s="167">
        <v>40003219995</v>
      </c>
      <c r="B96" s="119"/>
      <c r="C96" s="486" t="s">
        <v>759</v>
      </c>
      <c r="D96" s="487"/>
      <c r="E96" s="227" t="s">
        <v>304</v>
      </c>
      <c r="F96" s="301"/>
      <c r="G96" s="97">
        <f t="shared" si="43"/>
        <v>78774</v>
      </c>
      <c r="H96" s="301"/>
      <c r="I96" s="97">
        <f t="shared" si="44"/>
        <v>78774</v>
      </c>
      <c r="J96" s="97">
        <f t="shared" si="45"/>
        <v>78774</v>
      </c>
      <c r="K96" s="97"/>
      <c r="L96" s="97"/>
      <c r="M96" s="97"/>
      <c r="N96" s="97"/>
      <c r="O96" s="97">
        <v>78774</v>
      </c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>
        <f t="shared" si="46"/>
        <v>0</v>
      </c>
      <c r="AI96" s="125">
        <f t="shared" si="47"/>
        <v>0</v>
      </c>
      <c r="AJ96" s="125"/>
      <c r="AK96" s="125"/>
      <c r="AL96" s="125"/>
      <c r="AM96" s="125"/>
      <c r="AN96" s="125"/>
      <c r="AO96" s="125"/>
      <c r="AP96" s="125"/>
      <c r="AQ96" s="125"/>
      <c r="AR96" s="97"/>
      <c r="AS96" s="315"/>
      <c r="AT96" s="125"/>
      <c r="AU96" s="125"/>
      <c r="AV96" s="125"/>
      <c r="AW96" s="125"/>
      <c r="AX96" s="125"/>
      <c r="AY96" s="125"/>
      <c r="AZ96" s="98" t="s">
        <v>762</v>
      </c>
      <c r="BA96" s="105"/>
    </row>
    <row r="97" spans="1:53" s="245" customFormat="1" ht="12.75" x14ac:dyDescent="0.2">
      <c r="A97" s="167">
        <v>40003220000</v>
      </c>
      <c r="B97" s="119"/>
      <c r="C97" s="247" t="s">
        <v>676</v>
      </c>
      <c r="D97" s="246"/>
      <c r="E97" s="227" t="s">
        <v>304</v>
      </c>
      <c r="F97" s="301">
        <v>94000</v>
      </c>
      <c r="G97" s="97">
        <f t="shared" si="43"/>
        <v>94000</v>
      </c>
      <c r="H97" s="301">
        <f>94000</f>
        <v>94000</v>
      </c>
      <c r="I97" s="97">
        <f t="shared" si="44"/>
        <v>94000</v>
      </c>
      <c r="J97" s="97">
        <f t="shared" si="45"/>
        <v>0</v>
      </c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>
        <f t="shared" si="46"/>
        <v>0</v>
      </c>
      <c r="AI97" s="125">
        <f t="shared" si="47"/>
        <v>0</v>
      </c>
      <c r="AJ97" s="125"/>
      <c r="AK97" s="125"/>
      <c r="AL97" s="125"/>
      <c r="AM97" s="125"/>
      <c r="AN97" s="125"/>
      <c r="AO97" s="125"/>
      <c r="AP97" s="125"/>
      <c r="AQ97" s="125"/>
      <c r="AR97" s="97"/>
      <c r="AS97" s="315"/>
      <c r="AT97" s="125"/>
      <c r="AU97" s="125"/>
      <c r="AV97" s="125"/>
      <c r="AW97" s="125"/>
      <c r="AX97" s="125"/>
      <c r="AY97" s="125"/>
      <c r="AZ97" s="98" t="s">
        <v>690</v>
      </c>
      <c r="BA97" s="105"/>
    </row>
    <row r="98" spans="1:53" ht="12.75" thickBot="1" x14ac:dyDescent="0.25">
      <c r="A98" s="167"/>
      <c r="B98" s="145"/>
      <c r="C98" s="519"/>
      <c r="D98" s="520"/>
      <c r="E98" s="427"/>
      <c r="F98" s="302"/>
      <c r="G98" s="84"/>
      <c r="H98" s="302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124"/>
      <c r="AJ98" s="124"/>
      <c r="AK98" s="124"/>
      <c r="AL98" s="124"/>
      <c r="AM98" s="124"/>
      <c r="AN98" s="124"/>
      <c r="AO98" s="124"/>
      <c r="AP98" s="124"/>
      <c r="AQ98" s="124"/>
      <c r="AR98" s="84"/>
      <c r="AS98" s="316"/>
      <c r="AT98" s="124"/>
      <c r="AU98" s="124"/>
      <c r="AV98" s="124"/>
      <c r="AW98" s="124"/>
      <c r="AX98" s="124"/>
      <c r="AY98" s="124"/>
      <c r="AZ98" s="85"/>
      <c r="BA98" s="106"/>
    </row>
    <row r="99" spans="1:53" ht="25.5" customHeight="1" thickBot="1" x14ac:dyDescent="0.25">
      <c r="A99" s="226"/>
      <c r="B99" s="527" t="s">
        <v>15</v>
      </c>
      <c r="C99" s="527"/>
      <c r="D99" s="223" t="s">
        <v>16</v>
      </c>
      <c r="E99" s="425"/>
      <c r="F99" s="303">
        <v>13343804.947264958</v>
      </c>
      <c r="G99" s="419">
        <f>SUM(I99,Y99,AH99,AP99,AR99)</f>
        <v>13836328</v>
      </c>
      <c r="H99" s="303">
        <f>SUM(H100:H137)</f>
        <v>12203777</v>
      </c>
      <c r="I99" s="7">
        <f>SUM(I100:I137)</f>
        <v>12596238</v>
      </c>
      <c r="J99" s="7">
        <f t="shared" ref="J99:AP99" si="48">SUM(J100:J137)</f>
        <v>392461</v>
      </c>
      <c r="K99" s="7">
        <f t="shared" si="48"/>
        <v>0</v>
      </c>
      <c r="L99" s="7">
        <f>SUM(L100:L137)</f>
        <v>0</v>
      </c>
      <c r="M99" s="7">
        <f>SUM(M100:M137)</f>
        <v>0</v>
      </c>
      <c r="N99" s="7">
        <f t="shared" si="48"/>
        <v>15290</v>
      </c>
      <c r="O99" s="7">
        <f t="shared" si="48"/>
        <v>0</v>
      </c>
      <c r="P99" s="7">
        <f>SUM(P100:P137)</f>
        <v>266744</v>
      </c>
      <c r="Q99" s="7">
        <f t="shared" si="48"/>
        <v>14809</v>
      </c>
      <c r="R99" s="7">
        <f t="shared" si="48"/>
        <v>86710</v>
      </c>
      <c r="S99" s="7">
        <f t="shared" si="48"/>
        <v>0</v>
      </c>
      <c r="T99" s="7">
        <f>SUM(T100:T137)</f>
        <v>8908</v>
      </c>
      <c r="U99" s="7">
        <f>SUM(U100:U137)</f>
        <v>0</v>
      </c>
      <c r="V99" s="7">
        <f>SUM(V100:V137)</f>
        <v>0</v>
      </c>
      <c r="W99" s="7">
        <f t="shared" si="48"/>
        <v>0</v>
      </c>
      <c r="X99" s="7">
        <f>SUM(X100:X137)</f>
        <v>7000</v>
      </c>
      <c r="Y99" s="7">
        <f t="shared" si="48"/>
        <v>16939</v>
      </c>
      <c r="Z99" s="7">
        <f t="shared" si="48"/>
        <v>9939</v>
      </c>
      <c r="AA99" s="7">
        <f>SUM(AA100:AA137)</f>
        <v>2660</v>
      </c>
      <c r="AB99" s="7">
        <f t="shared" si="48"/>
        <v>7279</v>
      </c>
      <c r="AC99" s="7">
        <f t="shared" si="48"/>
        <v>0</v>
      </c>
      <c r="AD99" s="7">
        <f t="shared" si="48"/>
        <v>0</v>
      </c>
      <c r="AE99" s="7">
        <f t="shared" si="48"/>
        <v>0</v>
      </c>
      <c r="AF99" s="7">
        <f t="shared" si="48"/>
        <v>0</v>
      </c>
      <c r="AG99" s="7">
        <f>SUM(AG100:AG137)</f>
        <v>95926</v>
      </c>
      <c r="AH99" s="7">
        <f t="shared" si="48"/>
        <v>185965</v>
      </c>
      <c r="AI99" s="7">
        <f t="shared" si="48"/>
        <v>90039</v>
      </c>
      <c r="AJ99" s="7">
        <f t="shared" si="48"/>
        <v>0</v>
      </c>
      <c r="AK99" s="7">
        <f t="shared" si="48"/>
        <v>10249</v>
      </c>
      <c r="AL99" s="7">
        <f t="shared" si="48"/>
        <v>59647</v>
      </c>
      <c r="AM99" s="7">
        <f t="shared" si="48"/>
        <v>20143</v>
      </c>
      <c r="AN99" s="7">
        <f t="shared" si="48"/>
        <v>0</v>
      </c>
      <c r="AO99" s="7">
        <f t="shared" si="48"/>
        <v>0</v>
      </c>
      <c r="AP99" s="7">
        <f t="shared" si="48"/>
        <v>1036810</v>
      </c>
      <c r="AQ99" s="7">
        <f>SUM(AQ100:AQ137)</f>
        <v>292</v>
      </c>
      <c r="AR99" s="7">
        <f>SUM(AR100:AR137)</f>
        <v>376</v>
      </c>
      <c r="AS99" s="321">
        <f>SUM(AS100:AS137)</f>
        <v>84</v>
      </c>
      <c r="AT99" s="7">
        <f t="shared" ref="AT99:AY99" si="49">SUM(AT100:AT137)</f>
        <v>84</v>
      </c>
      <c r="AU99" s="7">
        <f t="shared" si="49"/>
        <v>0</v>
      </c>
      <c r="AV99" s="7">
        <f t="shared" si="49"/>
        <v>0</v>
      </c>
      <c r="AW99" s="7">
        <f t="shared" si="49"/>
        <v>0</v>
      </c>
      <c r="AX99" s="7">
        <f t="shared" si="49"/>
        <v>0</v>
      </c>
      <c r="AY99" s="7">
        <f t="shared" si="49"/>
        <v>0</v>
      </c>
      <c r="AZ99" s="11"/>
      <c r="BA99" s="107"/>
    </row>
    <row r="100" spans="1:53" ht="24.75" thickTop="1" x14ac:dyDescent="0.2">
      <c r="A100" s="238">
        <v>90000056357</v>
      </c>
      <c r="B100" s="225"/>
      <c r="C100" s="515" t="s">
        <v>5</v>
      </c>
      <c r="D100" s="516"/>
      <c r="E100" s="227" t="s">
        <v>239</v>
      </c>
      <c r="F100" s="305">
        <v>796047.94726495701</v>
      </c>
      <c r="G100" s="100">
        <f>SUM(I100,Y100,AH100,AP100,AR100)</f>
        <v>796048</v>
      </c>
      <c r="H100" s="305">
        <f>796048</f>
        <v>796048</v>
      </c>
      <c r="I100" s="97">
        <f t="shared" ref="I100:I128" si="50">H100+J100</f>
        <v>796048</v>
      </c>
      <c r="J100" s="100">
        <f t="shared" ref="J100:J128" si="51">SUM(K100:W100)</f>
        <v>0</v>
      </c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>
        <f t="shared" ref="AH100:AH117" si="52">AI100+AG100</f>
        <v>0</v>
      </c>
      <c r="AI100" s="126">
        <f t="shared" ref="AI100:AI117" si="53">SUM(AJ100:AO100)</f>
        <v>0</v>
      </c>
      <c r="AJ100" s="126"/>
      <c r="AK100" s="126"/>
      <c r="AL100" s="126"/>
      <c r="AM100" s="126"/>
      <c r="AN100" s="126"/>
      <c r="AO100" s="126"/>
      <c r="AP100" s="126"/>
      <c r="AQ100" s="126"/>
      <c r="AR100" s="100"/>
      <c r="AS100" s="318"/>
      <c r="AT100" s="126"/>
      <c r="AU100" s="126"/>
      <c r="AV100" s="126"/>
      <c r="AW100" s="126"/>
      <c r="AX100" s="126"/>
      <c r="AY100" s="126"/>
      <c r="AZ100" s="98" t="s">
        <v>669</v>
      </c>
      <c r="BA100" s="105"/>
    </row>
    <row r="101" spans="1:53" s="216" customFormat="1" ht="12.75" x14ac:dyDescent="0.2">
      <c r="A101" s="224"/>
      <c r="C101" s="220"/>
      <c r="D101" s="221"/>
      <c r="E101" s="227" t="s">
        <v>557</v>
      </c>
      <c r="F101" s="304">
        <v>14700</v>
      </c>
      <c r="G101" s="117">
        <f t="shared" ref="G101:G136" si="54">SUM(I101,Y101,AH101,AP101,AR101)</f>
        <v>14700</v>
      </c>
      <c r="H101" s="302">
        <f>14700</f>
        <v>14700</v>
      </c>
      <c r="I101" s="97">
        <f t="shared" si="50"/>
        <v>14700</v>
      </c>
      <c r="J101" s="84">
        <f t="shared" si="51"/>
        <v>0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>
        <f t="shared" si="52"/>
        <v>0</v>
      </c>
      <c r="AI101" s="124">
        <f t="shared" si="53"/>
        <v>0</v>
      </c>
      <c r="AJ101" s="124"/>
      <c r="AK101" s="124"/>
      <c r="AL101" s="124"/>
      <c r="AM101" s="124"/>
      <c r="AN101" s="124"/>
      <c r="AO101" s="124"/>
      <c r="AP101" s="124"/>
      <c r="AQ101" s="124"/>
      <c r="AR101" s="84"/>
      <c r="AS101" s="316"/>
      <c r="AT101" s="124"/>
      <c r="AU101" s="124"/>
      <c r="AV101" s="124"/>
      <c r="AW101" s="124"/>
      <c r="AX101" s="124"/>
      <c r="AY101" s="124"/>
      <c r="AZ101" s="98" t="s">
        <v>625</v>
      </c>
      <c r="BA101" s="106"/>
    </row>
    <row r="102" spans="1:53" ht="29.25" customHeight="1" x14ac:dyDescent="0.2">
      <c r="A102" s="167"/>
      <c r="B102" s="119"/>
      <c r="C102" s="214"/>
      <c r="D102" s="215"/>
      <c r="E102" s="227" t="s">
        <v>291</v>
      </c>
      <c r="F102" s="301">
        <v>274473</v>
      </c>
      <c r="G102" s="97">
        <f t="shared" si="54"/>
        <v>283927</v>
      </c>
      <c r="H102" s="301">
        <f>274473</f>
        <v>274473</v>
      </c>
      <c r="I102" s="97">
        <f t="shared" si="50"/>
        <v>283927</v>
      </c>
      <c r="J102" s="97">
        <f t="shared" si="51"/>
        <v>9454</v>
      </c>
      <c r="K102" s="97"/>
      <c r="L102" s="97"/>
      <c r="M102" s="97"/>
      <c r="N102" s="97"/>
      <c r="O102" s="97"/>
      <c r="P102" s="97"/>
      <c r="Q102" s="97">
        <v>4795</v>
      </c>
      <c r="R102" s="97">
        <v>4659</v>
      </c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>
        <f t="shared" si="52"/>
        <v>0</v>
      </c>
      <c r="AI102" s="125">
        <f t="shared" si="53"/>
        <v>0</v>
      </c>
      <c r="AJ102" s="125"/>
      <c r="AK102" s="125"/>
      <c r="AL102" s="125"/>
      <c r="AM102" s="125"/>
      <c r="AN102" s="125"/>
      <c r="AO102" s="125"/>
      <c r="AP102" s="125"/>
      <c r="AQ102" s="125"/>
      <c r="AR102" s="97"/>
      <c r="AS102" s="315"/>
      <c r="AT102" s="125"/>
      <c r="AU102" s="125"/>
      <c r="AV102" s="125"/>
      <c r="AW102" s="125"/>
      <c r="AX102" s="125"/>
      <c r="AY102" s="125"/>
      <c r="AZ102" s="98" t="s">
        <v>626</v>
      </c>
      <c r="BA102" s="105" t="s">
        <v>583</v>
      </c>
    </row>
    <row r="103" spans="1:53" ht="24" x14ac:dyDescent="0.2">
      <c r="A103" s="167"/>
      <c r="B103" s="119"/>
      <c r="C103" s="214"/>
      <c r="D103" s="215"/>
      <c r="E103" s="227" t="s">
        <v>567</v>
      </c>
      <c r="F103" s="301">
        <v>143134</v>
      </c>
      <c r="G103" s="97">
        <f t="shared" si="54"/>
        <v>146858</v>
      </c>
      <c r="H103" s="301">
        <f>143134</f>
        <v>143134</v>
      </c>
      <c r="I103" s="97">
        <f t="shared" si="50"/>
        <v>146858</v>
      </c>
      <c r="J103" s="97">
        <f t="shared" si="51"/>
        <v>3724</v>
      </c>
      <c r="K103" s="97"/>
      <c r="L103" s="97"/>
      <c r="M103" s="97"/>
      <c r="N103" s="97"/>
      <c r="O103" s="97"/>
      <c r="P103" s="97"/>
      <c r="Q103" s="97"/>
      <c r="R103" s="97">
        <v>3724</v>
      </c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>
        <f t="shared" si="52"/>
        <v>0</v>
      </c>
      <c r="AI103" s="125">
        <f t="shared" si="53"/>
        <v>0</v>
      </c>
      <c r="AJ103" s="125"/>
      <c r="AK103" s="125"/>
      <c r="AL103" s="125"/>
      <c r="AM103" s="125"/>
      <c r="AN103" s="125"/>
      <c r="AO103" s="125"/>
      <c r="AP103" s="125"/>
      <c r="AQ103" s="125"/>
      <c r="AR103" s="97"/>
      <c r="AS103" s="315"/>
      <c r="AT103" s="125"/>
      <c r="AU103" s="125"/>
      <c r="AV103" s="125"/>
      <c r="AW103" s="125"/>
      <c r="AX103" s="125"/>
      <c r="AY103" s="125"/>
      <c r="AZ103" s="98" t="s">
        <v>688</v>
      </c>
      <c r="BA103" s="105" t="s">
        <v>584</v>
      </c>
    </row>
    <row r="104" spans="1:53" ht="27.75" customHeight="1" x14ac:dyDescent="0.2">
      <c r="A104" s="167"/>
      <c r="B104" s="119"/>
      <c r="C104" s="214"/>
      <c r="D104" s="215"/>
      <c r="E104" s="227" t="s">
        <v>561</v>
      </c>
      <c r="F104" s="301">
        <v>6940</v>
      </c>
      <c r="G104" s="97">
        <f t="shared" si="54"/>
        <v>6940</v>
      </c>
      <c r="H104" s="301">
        <f>6940</f>
        <v>6940</v>
      </c>
      <c r="I104" s="97">
        <f t="shared" si="50"/>
        <v>6940</v>
      </c>
      <c r="J104" s="97">
        <f t="shared" si="51"/>
        <v>0</v>
      </c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>
        <f t="shared" si="52"/>
        <v>0</v>
      </c>
      <c r="AI104" s="125">
        <f t="shared" si="53"/>
        <v>0</v>
      </c>
      <c r="AJ104" s="125"/>
      <c r="AK104" s="125"/>
      <c r="AL104" s="125"/>
      <c r="AM104" s="125"/>
      <c r="AN104" s="125"/>
      <c r="AO104" s="125"/>
      <c r="AP104" s="125"/>
      <c r="AQ104" s="125"/>
      <c r="AR104" s="97"/>
      <c r="AS104" s="315"/>
      <c r="AT104" s="125"/>
      <c r="AU104" s="125"/>
      <c r="AV104" s="125"/>
      <c r="AW104" s="125"/>
      <c r="AX104" s="125"/>
      <c r="AY104" s="125"/>
      <c r="AZ104" s="98" t="s">
        <v>402</v>
      </c>
      <c r="BA104" s="105" t="s">
        <v>584</v>
      </c>
    </row>
    <row r="105" spans="1:53" ht="36" x14ac:dyDescent="0.2">
      <c r="A105" s="167"/>
      <c r="B105" s="119"/>
      <c r="C105" s="214"/>
      <c r="D105" s="215"/>
      <c r="E105" s="227" t="s">
        <v>562</v>
      </c>
      <c r="F105" s="301">
        <v>78635</v>
      </c>
      <c r="G105" s="97">
        <f t="shared" si="54"/>
        <v>78635</v>
      </c>
      <c r="H105" s="301">
        <f>78635</f>
        <v>78635</v>
      </c>
      <c r="I105" s="97">
        <f t="shared" si="50"/>
        <v>78635</v>
      </c>
      <c r="J105" s="97">
        <f t="shared" si="51"/>
        <v>0</v>
      </c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>
        <f t="shared" si="52"/>
        <v>0</v>
      </c>
      <c r="AI105" s="125">
        <f t="shared" si="53"/>
        <v>0</v>
      </c>
      <c r="AJ105" s="125"/>
      <c r="AK105" s="125"/>
      <c r="AL105" s="125"/>
      <c r="AM105" s="125"/>
      <c r="AN105" s="125"/>
      <c r="AO105" s="125"/>
      <c r="AP105" s="125"/>
      <c r="AQ105" s="125"/>
      <c r="AR105" s="97"/>
      <c r="AS105" s="315"/>
      <c r="AT105" s="125"/>
      <c r="AU105" s="125"/>
      <c r="AV105" s="125"/>
      <c r="AW105" s="125"/>
      <c r="AX105" s="125"/>
      <c r="AY105" s="125"/>
      <c r="AZ105" s="98" t="s">
        <v>627</v>
      </c>
      <c r="BA105" s="105" t="s">
        <v>584</v>
      </c>
    </row>
    <row r="106" spans="1:53" ht="36" x14ac:dyDescent="0.2">
      <c r="A106" s="167"/>
      <c r="B106" s="119"/>
      <c r="C106" s="214"/>
      <c r="D106" s="215"/>
      <c r="E106" s="227" t="s">
        <v>563</v>
      </c>
      <c r="F106" s="301">
        <v>4896371</v>
      </c>
      <c r="G106" s="97">
        <f t="shared" si="54"/>
        <v>4904098</v>
      </c>
      <c r="H106" s="301">
        <f>4896371</f>
        <v>4896371</v>
      </c>
      <c r="I106" s="97">
        <f t="shared" si="50"/>
        <v>4904098</v>
      </c>
      <c r="J106" s="97">
        <f t="shared" si="51"/>
        <v>7727</v>
      </c>
      <c r="K106" s="97"/>
      <c r="L106" s="97"/>
      <c r="M106" s="97"/>
      <c r="N106" s="97"/>
      <c r="O106" s="97"/>
      <c r="P106" s="97"/>
      <c r="Q106" s="97"/>
      <c r="R106" s="97">
        <v>7727</v>
      </c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>
        <f t="shared" si="52"/>
        <v>0</v>
      </c>
      <c r="AI106" s="125">
        <f t="shared" si="53"/>
        <v>0</v>
      </c>
      <c r="AJ106" s="125"/>
      <c r="AK106" s="125"/>
      <c r="AL106" s="125"/>
      <c r="AM106" s="125"/>
      <c r="AN106" s="125"/>
      <c r="AO106" s="125"/>
      <c r="AP106" s="125"/>
      <c r="AQ106" s="125"/>
      <c r="AR106" s="97"/>
      <c r="AS106" s="315"/>
      <c r="AT106" s="125"/>
      <c r="AU106" s="125"/>
      <c r="AV106" s="125"/>
      <c r="AW106" s="125"/>
      <c r="AX106" s="125"/>
      <c r="AY106" s="125"/>
      <c r="AZ106" s="98" t="s">
        <v>628</v>
      </c>
      <c r="BA106" s="105" t="s">
        <v>584</v>
      </c>
    </row>
    <row r="107" spans="1:53" ht="24" x14ac:dyDescent="0.2">
      <c r="A107" s="167"/>
      <c r="B107" s="119"/>
      <c r="C107" s="214"/>
      <c r="D107" s="215"/>
      <c r="E107" s="227" t="s">
        <v>343</v>
      </c>
      <c r="F107" s="301">
        <v>68474</v>
      </c>
      <c r="G107" s="97">
        <f>SUM(I107,Y107,AH107,AP107,AR107)</f>
        <v>68474</v>
      </c>
      <c r="H107" s="301">
        <f>61300</f>
        <v>61300</v>
      </c>
      <c r="I107" s="97">
        <f t="shared" si="50"/>
        <v>61300</v>
      </c>
      <c r="J107" s="97">
        <f t="shared" si="51"/>
        <v>0</v>
      </c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>
        <f>7000</f>
        <v>7000</v>
      </c>
      <c r="Y107" s="97">
        <f>X107+Z107</f>
        <v>7000</v>
      </c>
      <c r="Z107" s="97">
        <f>SUM(AA107:AF107)</f>
        <v>0</v>
      </c>
      <c r="AA107" s="97"/>
      <c r="AB107" s="97"/>
      <c r="AC107" s="97"/>
      <c r="AD107" s="97"/>
      <c r="AE107" s="97"/>
      <c r="AF107" s="97"/>
      <c r="AG107" s="97"/>
      <c r="AH107" s="97">
        <f t="shared" si="52"/>
        <v>0</v>
      </c>
      <c r="AI107" s="125">
        <f t="shared" si="53"/>
        <v>0</v>
      </c>
      <c r="AJ107" s="125"/>
      <c r="AK107" s="125"/>
      <c r="AL107" s="125"/>
      <c r="AM107" s="125"/>
      <c r="AN107" s="125"/>
      <c r="AO107" s="125"/>
      <c r="AP107" s="125"/>
      <c r="AQ107" s="125">
        <v>174</v>
      </c>
      <c r="AR107" s="97">
        <f>AQ107+AS107</f>
        <v>174</v>
      </c>
      <c r="AS107" s="315">
        <f>SUM(AT107:AY107)</f>
        <v>0</v>
      </c>
      <c r="AT107" s="125"/>
      <c r="AU107" s="125"/>
      <c r="AV107" s="125"/>
      <c r="AW107" s="125"/>
      <c r="AX107" s="125"/>
      <c r="AY107" s="125"/>
      <c r="AZ107" s="98" t="s">
        <v>629</v>
      </c>
      <c r="BA107" s="105" t="s">
        <v>699</v>
      </c>
    </row>
    <row r="108" spans="1:53" ht="24" x14ac:dyDescent="0.2">
      <c r="A108" s="167"/>
      <c r="B108" s="119"/>
      <c r="C108" s="214"/>
      <c r="D108" s="215"/>
      <c r="E108" s="227" t="s">
        <v>571</v>
      </c>
      <c r="F108" s="301">
        <v>262709</v>
      </c>
      <c r="G108" s="97">
        <f t="shared" si="54"/>
        <v>262709</v>
      </c>
      <c r="H108" s="301">
        <f>262709</f>
        <v>262709</v>
      </c>
      <c r="I108" s="97">
        <f t="shared" si="50"/>
        <v>262709</v>
      </c>
      <c r="J108" s="97">
        <f t="shared" si="51"/>
        <v>0</v>
      </c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>
        <f t="shared" ref="Z108:Z136" si="55">SUM(AA108:AF108)</f>
        <v>0</v>
      </c>
      <c r="AA108" s="97"/>
      <c r="AB108" s="97"/>
      <c r="AC108" s="97"/>
      <c r="AD108" s="97"/>
      <c r="AE108" s="97"/>
      <c r="AF108" s="97"/>
      <c r="AG108" s="97"/>
      <c r="AH108" s="97">
        <f t="shared" si="52"/>
        <v>0</v>
      </c>
      <c r="AI108" s="125">
        <f t="shared" si="53"/>
        <v>0</v>
      </c>
      <c r="AJ108" s="125"/>
      <c r="AK108" s="125"/>
      <c r="AL108" s="125"/>
      <c r="AM108" s="125"/>
      <c r="AN108" s="125"/>
      <c r="AO108" s="125"/>
      <c r="AP108" s="125"/>
      <c r="AQ108" s="125"/>
      <c r="AR108" s="97"/>
      <c r="AS108" s="315"/>
      <c r="AT108" s="125"/>
      <c r="AU108" s="125"/>
      <c r="AV108" s="125"/>
      <c r="AW108" s="125"/>
      <c r="AX108" s="125"/>
      <c r="AY108" s="125"/>
      <c r="AZ108" s="98" t="s">
        <v>630</v>
      </c>
      <c r="BA108" s="105" t="s">
        <v>585</v>
      </c>
    </row>
    <row r="109" spans="1:53" ht="12.75" x14ac:dyDescent="0.2">
      <c r="A109" s="167"/>
      <c r="B109" s="119"/>
      <c r="C109" s="214"/>
      <c r="D109" s="215"/>
      <c r="E109" s="227" t="s">
        <v>293</v>
      </c>
      <c r="F109" s="301">
        <v>1490460</v>
      </c>
      <c r="G109" s="97">
        <f t="shared" si="54"/>
        <v>1498205</v>
      </c>
      <c r="H109" s="301">
        <f>1490460</f>
        <v>1490460</v>
      </c>
      <c r="I109" s="97">
        <f t="shared" si="50"/>
        <v>1498205</v>
      </c>
      <c r="J109" s="97">
        <f t="shared" si="51"/>
        <v>7745</v>
      </c>
      <c r="K109" s="97"/>
      <c r="L109" s="97"/>
      <c r="M109" s="97"/>
      <c r="N109" s="97"/>
      <c r="O109" s="97"/>
      <c r="P109" s="97"/>
      <c r="Q109" s="97">
        <v>5175</v>
      </c>
      <c r="R109" s="97">
        <v>2570</v>
      </c>
      <c r="S109" s="97"/>
      <c r="T109" s="97"/>
      <c r="U109" s="97"/>
      <c r="V109" s="97"/>
      <c r="W109" s="97"/>
      <c r="X109" s="97"/>
      <c r="Y109" s="97"/>
      <c r="Z109" s="97">
        <f t="shared" si="55"/>
        <v>0</v>
      </c>
      <c r="AA109" s="97"/>
      <c r="AB109" s="97"/>
      <c r="AC109" s="97"/>
      <c r="AD109" s="97"/>
      <c r="AE109" s="97"/>
      <c r="AF109" s="97"/>
      <c r="AG109" s="97"/>
      <c r="AH109" s="97">
        <f t="shared" si="52"/>
        <v>0</v>
      </c>
      <c r="AI109" s="125">
        <f t="shared" si="53"/>
        <v>0</v>
      </c>
      <c r="AJ109" s="125"/>
      <c r="AK109" s="125"/>
      <c r="AL109" s="125"/>
      <c r="AM109" s="125"/>
      <c r="AN109" s="125"/>
      <c r="AO109" s="125"/>
      <c r="AP109" s="125"/>
      <c r="AQ109" s="125"/>
      <c r="AR109" s="97"/>
      <c r="AS109" s="315"/>
      <c r="AT109" s="125"/>
      <c r="AU109" s="125"/>
      <c r="AV109" s="125"/>
      <c r="AW109" s="125"/>
      <c r="AX109" s="125"/>
      <c r="AY109" s="125"/>
      <c r="AZ109" s="98" t="s">
        <v>401</v>
      </c>
      <c r="BA109" s="105" t="s">
        <v>320</v>
      </c>
    </row>
    <row r="110" spans="1:53" ht="24" x14ac:dyDescent="0.2">
      <c r="A110" s="167"/>
      <c r="B110" s="119"/>
      <c r="C110" s="214"/>
      <c r="D110" s="215"/>
      <c r="E110" s="429" t="s">
        <v>570</v>
      </c>
      <c r="F110" s="301">
        <v>285172</v>
      </c>
      <c r="G110" s="97">
        <f>SUM(I110,Y110,AH110,AP110,AR110)</f>
        <v>308327</v>
      </c>
      <c r="H110" s="301">
        <f>285172</f>
        <v>285172</v>
      </c>
      <c r="I110" s="97">
        <f t="shared" si="50"/>
        <v>305667</v>
      </c>
      <c r="J110" s="97">
        <f t="shared" si="51"/>
        <v>20495</v>
      </c>
      <c r="K110" s="97"/>
      <c r="L110" s="97"/>
      <c r="M110" s="97"/>
      <c r="N110" s="97">
        <f>15000+656</f>
        <v>15656</v>
      </c>
      <c r="O110" s="97"/>
      <c r="P110" s="97"/>
      <c r="Q110" s="97">
        <v>4839</v>
      </c>
      <c r="R110" s="97"/>
      <c r="S110" s="97"/>
      <c r="T110" s="97"/>
      <c r="U110" s="97"/>
      <c r="V110" s="97"/>
      <c r="W110" s="97"/>
      <c r="X110" s="97">
        <v>0</v>
      </c>
      <c r="Y110" s="97">
        <f>X110+Z110</f>
        <v>2660</v>
      </c>
      <c r="Z110" s="97">
        <f t="shared" si="55"/>
        <v>2660</v>
      </c>
      <c r="AA110" s="97">
        <v>2660</v>
      </c>
      <c r="AB110" s="97"/>
      <c r="AC110" s="97"/>
      <c r="AD110" s="97"/>
      <c r="AE110" s="97"/>
      <c r="AF110" s="97"/>
      <c r="AG110" s="97"/>
      <c r="AH110" s="97">
        <f t="shared" si="52"/>
        <v>0</v>
      </c>
      <c r="AI110" s="125">
        <f t="shared" si="53"/>
        <v>0</v>
      </c>
      <c r="AJ110" s="125"/>
      <c r="AK110" s="125"/>
      <c r="AL110" s="125"/>
      <c r="AM110" s="125"/>
      <c r="AN110" s="125"/>
      <c r="AO110" s="125"/>
      <c r="AP110" s="125"/>
      <c r="AQ110" s="125"/>
      <c r="AR110" s="97"/>
      <c r="AS110" s="315"/>
      <c r="AT110" s="125"/>
      <c r="AU110" s="125"/>
      <c r="AV110" s="125"/>
      <c r="AW110" s="125"/>
      <c r="AX110" s="125"/>
      <c r="AY110" s="125"/>
      <c r="AZ110" s="98" t="s">
        <v>736</v>
      </c>
      <c r="BA110" s="105" t="s">
        <v>587</v>
      </c>
    </row>
    <row r="111" spans="1:53" ht="15" customHeight="1" x14ac:dyDescent="0.2">
      <c r="A111" s="167">
        <v>90000594245</v>
      </c>
      <c r="B111" s="119"/>
      <c r="C111" s="486" t="s">
        <v>24</v>
      </c>
      <c r="D111" s="487"/>
      <c r="E111" s="227" t="s">
        <v>271</v>
      </c>
      <c r="F111" s="301">
        <v>42000</v>
      </c>
      <c r="G111" s="97">
        <f t="shared" si="54"/>
        <v>42000</v>
      </c>
      <c r="H111" s="301">
        <f>42000</f>
        <v>42000</v>
      </c>
      <c r="I111" s="97">
        <f t="shared" si="50"/>
        <v>42000</v>
      </c>
      <c r="J111" s="97">
        <f t="shared" si="51"/>
        <v>0</v>
      </c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>
        <v>0</v>
      </c>
      <c r="Y111" s="97">
        <f t="shared" ref="Y111:Y135" si="56">X111+Z111</f>
        <v>0</v>
      </c>
      <c r="Z111" s="97">
        <f t="shared" si="55"/>
        <v>0</v>
      </c>
      <c r="AA111" s="97"/>
      <c r="AB111" s="97"/>
      <c r="AC111" s="97"/>
      <c r="AD111" s="97"/>
      <c r="AE111" s="97"/>
      <c r="AF111" s="97"/>
      <c r="AG111" s="97"/>
      <c r="AH111" s="97">
        <f t="shared" si="52"/>
        <v>0</v>
      </c>
      <c r="AI111" s="125">
        <f t="shared" si="53"/>
        <v>0</v>
      </c>
      <c r="AJ111" s="125"/>
      <c r="AK111" s="125"/>
      <c r="AL111" s="125"/>
      <c r="AM111" s="125"/>
      <c r="AN111" s="125"/>
      <c r="AO111" s="125"/>
      <c r="AP111" s="125"/>
      <c r="AQ111" s="125"/>
      <c r="AR111" s="97"/>
      <c r="AS111" s="315"/>
      <c r="AT111" s="125"/>
      <c r="AU111" s="125"/>
      <c r="AV111" s="125"/>
      <c r="AW111" s="125"/>
      <c r="AX111" s="125"/>
      <c r="AY111" s="125"/>
      <c r="AZ111" s="98" t="s">
        <v>403</v>
      </c>
      <c r="BA111" s="105" t="s">
        <v>369</v>
      </c>
    </row>
    <row r="112" spans="1:53" s="216" customFormat="1" ht="15" customHeight="1" x14ac:dyDescent="0.2">
      <c r="A112" s="167"/>
      <c r="B112" s="119"/>
      <c r="C112" s="214"/>
      <c r="D112" s="215"/>
      <c r="E112" s="227" t="s">
        <v>588</v>
      </c>
      <c r="F112" s="301">
        <v>10163</v>
      </c>
      <c r="G112" s="97">
        <f t="shared" si="54"/>
        <v>10003</v>
      </c>
      <c r="H112" s="301">
        <f>10163</f>
        <v>10163</v>
      </c>
      <c r="I112" s="97">
        <f t="shared" si="50"/>
        <v>10003</v>
      </c>
      <c r="J112" s="97">
        <f t="shared" si="51"/>
        <v>-160</v>
      </c>
      <c r="K112" s="97"/>
      <c r="L112" s="97"/>
      <c r="M112" s="97"/>
      <c r="N112" s="97"/>
      <c r="O112" s="97"/>
      <c r="P112" s="97">
        <v>-160</v>
      </c>
      <c r="Q112" s="97"/>
      <c r="R112" s="97"/>
      <c r="S112" s="97"/>
      <c r="T112" s="97"/>
      <c r="U112" s="97"/>
      <c r="V112" s="97"/>
      <c r="W112" s="97"/>
      <c r="X112" s="97">
        <v>0</v>
      </c>
      <c r="Y112" s="97">
        <f t="shared" si="56"/>
        <v>0</v>
      </c>
      <c r="Z112" s="97">
        <f t="shared" si="55"/>
        <v>0</v>
      </c>
      <c r="AA112" s="97"/>
      <c r="AB112" s="97"/>
      <c r="AC112" s="97"/>
      <c r="AD112" s="97"/>
      <c r="AE112" s="97"/>
      <c r="AF112" s="97"/>
      <c r="AG112" s="97"/>
      <c r="AH112" s="97">
        <f t="shared" si="52"/>
        <v>0</v>
      </c>
      <c r="AI112" s="125">
        <f t="shared" si="53"/>
        <v>0</v>
      </c>
      <c r="AJ112" s="125"/>
      <c r="AK112" s="125"/>
      <c r="AL112" s="125"/>
      <c r="AM112" s="125"/>
      <c r="AN112" s="125"/>
      <c r="AO112" s="125"/>
      <c r="AP112" s="125"/>
      <c r="AQ112" s="125"/>
      <c r="AR112" s="97"/>
      <c r="AS112" s="315"/>
      <c r="AT112" s="125"/>
      <c r="AU112" s="125"/>
      <c r="AV112" s="125"/>
      <c r="AW112" s="125"/>
      <c r="AX112" s="125"/>
      <c r="AY112" s="125"/>
      <c r="AZ112" s="98" t="s">
        <v>631</v>
      </c>
      <c r="BA112" s="105" t="s">
        <v>369</v>
      </c>
    </row>
    <row r="113" spans="1:53" s="216" customFormat="1" ht="15" customHeight="1" x14ac:dyDescent="0.2">
      <c r="A113" s="167"/>
      <c r="B113" s="119"/>
      <c r="C113" s="214"/>
      <c r="D113" s="215"/>
      <c r="E113" s="227" t="s">
        <v>589</v>
      </c>
      <c r="F113" s="301">
        <v>20000</v>
      </c>
      <c r="G113" s="97">
        <f t="shared" si="54"/>
        <v>20000</v>
      </c>
      <c r="H113" s="301">
        <f>20000</f>
        <v>20000</v>
      </c>
      <c r="I113" s="97">
        <f t="shared" si="50"/>
        <v>20000</v>
      </c>
      <c r="J113" s="97">
        <f t="shared" si="51"/>
        <v>0</v>
      </c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>
        <v>0</v>
      </c>
      <c r="Y113" s="97">
        <f t="shared" si="56"/>
        <v>0</v>
      </c>
      <c r="Z113" s="97">
        <f t="shared" si="55"/>
        <v>0</v>
      </c>
      <c r="AA113" s="97"/>
      <c r="AB113" s="97"/>
      <c r="AC113" s="97"/>
      <c r="AD113" s="97"/>
      <c r="AE113" s="97"/>
      <c r="AF113" s="97"/>
      <c r="AG113" s="97"/>
      <c r="AH113" s="97">
        <f t="shared" si="52"/>
        <v>0</v>
      </c>
      <c r="AI113" s="125">
        <f t="shared" si="53"/>
        <v>0</v>
      </c>
      <c r="AJ113" s="125"/>
      <c r="AK113" s="125"/>
      <c r="AL113" s="125"/>
      <c r="AM113" s="125"/>
      <c r="AN113" s="125"/>
      <c r="AO113" s="125"/>
      <c r="AP113" s="125"/>
      <c r="AQ113" s="125"/>
      <c r="AR113" s="97"/>
      <c r="AS113" s="315"/>
      <c r="AT113" s="125"/>
      <c r="AU113" s="125"/>
      <c r="AV113" s="125"/>
      <c r="AW113" s="125"/>
      <c r="AX113" s="125"/>
      <c r="AY113" s="125"/>
      <c r="AZ113" s="98" t="s">
        <v>632</v>
      </c>
      <c r="BA113" s="105" t="s">
        <v>369</v>
      </c>
    </row>
    <row r="114" spans="1:53" s="216" customFormat="1" ht="15" customHeight="1" x14ac:dyDescent="0.2">
      <c r="A114" s="167"/>
      <c r="B114" s="119"/>
      <c r="C114" s="214"/>
      <c r="D114" s="215"/>
      <c r="E114" s="227" t="s">
        <v>590</v>
      </c>
      <c r="F114" s="301">
        <v>5226</v>
      </c>
      <c r="G114" s="97">
        <f t="shared" si="54"/>
        <v>4657</v>
      </c>
      <c r="H114" s="301">
        <f>5226</f>
        <v>5226</v>
      </c>
      <c r="I114" s="97">
        <f t="shared" si="50"/>
        <v>4657</v>
      </c>
      <c r="J114" s="97">
        <f t="shared" si="51"/>
        <v>-569</v>
      </c>
      <c r="K114" s="97"/>
      <c r="L114" s="97"/>
      <c r="M114" s="97"/>
      <c r="N114" s="97"/>
      <c r="O114" s="97"/>
      <c r="P114" s="97">
        <v>-569</v>
      </c>
      <c r="Q114" s="97"/>
      <c r="R114" s="97"/>
      <c r="S114" s="97"/>
      <c r="T114" s="97"/>
      <c r="U114" s="97"/>
      <c r="V114" s="97"/>
      <c r="W114" s="97"/>
      <c r="X114" s="97">
        <v>0</v>
      </c>
      <c r="Y114" s="97">
        <f t="shared" si="56"/>
        <v>0</v>
      </c>
      <c r="Z114" s="97">
        <f t="shared" si="55"/>
        <v>0</v>
      </c>
      <c r="AA114" s="97"/>
      <c r="AB114" s="97"/>
      <c r="AC114" s="97"/>
      <c r="AD114" s="97"/>
      <c r="AE114" s="97"/>
      <c r="AF114" s="97"/>
      <c r="AG114" s="97"/>
      <c r="AH114" s="97">
        <f t="shared" si="52"/>
        <v>0</v>
      </c>
      <c r="AI114" s="125">
        <f t="shared" si="53"/>
        <v>0</v>
      </c>
      <c r="AJ114" s="125"/>
      <c r="AK114" s="125"/>
      <c r="AL114" s="125"/>
      <c r="AM114" s="125"/>
      <c r="AN114" s="125"/>
      <c r="AO114" s="125"/>
      <c r="AP114" s="125"/>
      <c r="AQ114" s="125"/>
      <c r="AR114" s="97"/>
      <c r="AS114" s="315"/>
      <c r="AT114" s="125"/>
      <c r="AU114" s="125"/>
      <c r="AV114" s="125"/>
      <c r="AW114" s="125"/>
      <c r="AX114" s="125"/>
      <c r="AY114" s="125"/>
      <c r="AZ114" s="98" t="s">
        <v>633</v>
      </c>
      <c r="BA114" s="105" t="s">
        <v>369</v>
      </c>
    </row>
    <row r="115" spans="1:53" s="216" customFormat="1" ht="15" customHeight="1" x14ac:dyDescent="0.2">
      <c r="A115" s="167"/>
      <c r="B115" s="119"/>
      <c r="C115" s="214"/>
      <c r="D115" s="215"/>
      <c r="E115" s="227" t="s">
        <v>591</v>
      </c>
      <c r="F115" s="301">
        <v>31139</v>
      </c>
      <c r="G115" s="97">
        <f t="shared" si="54"/>
        <v>31868</v>
      </c>
      <c r="H115" s="301">
        <f>31139</f>
        <v>31139</v>
      </c>
      <c r="I115" s="97">
        <f t="shared" si="50"/>
        <v>31868</v>
      </c>
      <c r="J115" s="97">
        <f t="shared" si="51"/>
        <v>729</v>
      </c>
      <c r="K115" s="97"/>
      <c r="L115" s="97"/>
      <c r="M115" s="97"/>
      <c r="N115" s="97"/>
      <c r="O115" s="97"/>
      <c r="P115" s="97">
        <v>729</v>
      </c>
      <c r="Q115" s="97"/>
      <c r="R115" s="97"/>
      <c r="S115" s="97"/>
      <c r="T115" s="97"/>
      <c r="U115" s="97"/>
      <c r="V115" s="97"/>
      <c r="W115" s="97"/>
      <c r="X115" s="97">
        <v>0</v>
      </c>
      <c r="Y115" s="97">
        <f t="shared" si="56"/>
        <v>0</v>
      </c>
      <c r="Z115" s="97">
        <f t="shared" si="55"/>
        <v>0</v>
      </c>
      <c r="AA115" s="97"/>
      <c r="AB115" s="97"/>
      <c r="AC115" s="97"/>
      <c r="AD115" s="97"/>
      <c r="AE115" s="97"/>
      <c r="AF115" s="97"/>
      <c r="AG115" s="97"/>
      <c r="AH115" s="97">
        <f t="shared" si="52"/>
        <v>0</v>
      </c>
      <c r="AI115" s="125">
        <f t="shared" si="53"/>
        <v>0</v>
      </c>
      <c r="AJ115" s="125"/>
      <c r="AK115" s="125"/>
      <c r="AL115" s="125"/>
      <c r="AM115" s="125"/>
      <c r="AN115" s="125"/>
      <c r="AO115" s="125"/>
      <c r="AP115" s="125"/>
      <c r="AQ115" s="125"/>
      <c r="AR115" s="97"/>
      <c r="AS115" s="315"/>
      <c r="AT115" s="125"/>
      <c r="AU115" s="125"/>
      <c r="AV115" s="125"/>
      <c r="AW115" s="125"/>
      <c r="AX115" s="125"/>
      <c r="AY115" s="125"/>
      <c r="AZ115" s="98" t="s">
        <v>634</v>
      </c>
      <c r="BA115" s="105" t="s">
        <v>369</v>
      </c>
    </row>
    <row r="116" spans="1:53" s="216" customFormat="1" ht="24" x14ac:dyDescent="0.2">
      <c r="A116" s="167"/>
      <c r="B116" s="119"/>
      <c r="C116" s="214"/>
      <c r="D116" s="215"/>
      <c r="E116" s="227" t="s">
        <v>592</v>
      </c>
      <c r="F116" s="301">
        <v>5400</v>
      </c>
      <c r="G116" s="97">
        <f t="shared" si="54"/>
        <v>5400</v>
      </c>
      <c r="H116" s="301">
        <f>5400</f>
        <v>5400</v>
      </c>
      <c r="I116" s="97">
        <f t="shared" si="50"/>
        <v>5400</v>
      </c>
      <c r="J116" s="97">
        <f t="shared" si="51"/>
        <v>0</v>
      </c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>
        <v>0</v>
      </c>
      <c r="Y116" s="97">
        <f t="shared" si="56"/>
        <v>0</v>
      </c>
      <c r="Z116" s="97">
        <f t="shared" si="55"/>
        <v>0</v>
      </c>
      <c r="AA116" s="97"/>
      <c r="AB116" s="97"/>
      <c r="AC116" s="97"/>
      <c r="AD116" s="97"/>
      <c r="AE116" s="97"/>
      <c r="AF116" s="97"/>
      <c r="AG116" s="97"/>
      <c r="AH116" s="97">
        <f t="shared" si="52"/>
        <v>0</v>
      </c>
      <c r="AI116" s="125">
        <f t="shared" si="53"/>
        <v>0</v>
      </c>
      <c r="AJ116" s="125"/>
      <c r="AK116" s="125"/>
      <c r="AL116" s="125"/>
      <c r="AM116" s="125"/>
      <c r="AN116" s="125"/>
      <c r="AO116" s="125"/>
      <c r="AP116" s="125"/>
      <c r="AQ116" s="125"/>
      <c r="AR116" s="97"/>
      <c r="AS116" s="315"/>
      <c r="AT116" s="125"/>
      <c r="AU116" s="125"/>
      <c r="AV116" s="125"/>
      <c r="AW116" s="125"/>
      <c r="AX116" s="125"/>
      <c r="AY116" s="125"/>
      <c r="AZ116" s="98" t="s">
        <v>635</v>
      </c>
      <c r="BA116" s="105" t="s">
        <v>369</v>
      </c>
    </row>
    <row r="117" spans="1:53" s="216" customFormat="1" ht="24" x14ac:dyDescent="0.2">
      <c r="A117" s="167"/>
      <c r="B117" s="119"/>
      <c r="C117" s="214"/>
      <c r="D117" s="215"/>
      <c r="E117" s="227" t="s">
        <v>593</v>
      </c>
      <c r="F117" s="301">
        <v>4865</v>
      </c>
      <c r="G117" s="97">
        <f t="shared" si="54"/>
        <v>4865</v>
      </c>
      <c r="H117" s="301">
        <f>4865</f>
        <v>4865</v>
      </c>
      <c r="I117" s="97">
        <f t="shared" si="50"/>
        <v>4865</v>
      </c>
      <c r="J117" s="97">
        <f t="shared" si="51"/>
        <v>0</v>
      </c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>
        <v>0</v>
      </c>
      <c r="Y117" s="97">
        <f t="shared" si="56"/>
        <v>0</v>
      </c>
      <c r="Z117" s="97">
        <f t="shared" si="55"/>
        <v>0</v>
      </c>
      <c r="AA117" s="97"/>
      <c r="AB117" s="97"/>
      <c r="AC117" s="97"/>
      <c r="AD117" s="97"/>
      <c r="AE117" s="97"/>
      <c r="AF117" s="97"/>
      <c r="AG117" s="97"/>
      <c r="AH117" s="97">
        <f t="shared" si="52"/>
        <v>0</v>
      </c>
      <c r="AI117" s="125">
        <f t="shared" si="53"/>
        <v>0</v>
      </c>
      <c r="AJ117" s="125"/>
      <c r="AK117" s="125"/>
      <c r="AL117" s="125"/>
      <c r="AM117" s="125"/>
      <c r="AN117" s="125"/>
      <c r="AO117" s="125"/>
      <c r="AP117" s="125"/>
      <c r="AQ117" s="125"/>
      <c r="AR117" s="97"/>
      <c r="AS117" s="315"/>
      <c r="AT117" s="125"/>
      <c r="AU117" s="125"/>
      <c r="AV117" s="125"/>
      <c r="AW117" s="125"/>
      <c r="AX117" s="125"/>
      <c r="AY117" s="125"/>
      <c r="AZ117" s="98" t="s">
        <v>636</v>
      </c>
      <c r="BA117" s="105" t="s">
        <v>369</v>
      </c>
    </row>
    <row r="118" spans="1:53" ht="40.5" customHeight="1" x14ac:dyDescent="0.2">
      <c r="A118" s="167">
        <v>90000056450</v>
      </c>
      <c r="B118" s="119"/>
      <c r="C118" s="486" t="s">
        <v>257</v>
      </c>
      <c r="D118" s="487"/>
      <c r="E118" s="227" t="s">
        <v>306</v>
      </c>
      <c r="F118" s="301">
        <v>627262</v>
      </c>
      <c r="G118" s="97">
        <f>SUM(I118,Y118,AH118,AP118,AR118)</f>
        <v>628583</v>
      </c>
      <c r="H118" s="301">
        <f>617308</f>
        <v>617308</v>
      </c>
      <c r="I118" s="97">
        <f t="shared" si="50"/>
        <v>617308</v>
      </c>
      <c r="J118" s="97">
        <f t="shared" si="51"/>
        <v>0</v>
      </c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>
        <v>0</v>
      </c>
      <c r="Y118" s="97">
        <f t="shared" si="56"/>
        <v>0</v>
      </c>
      <c r="Z118" s="97">
        <f t="shared" si="55"/>
        <v>0</v>
      </c>
      <c r="AA118" s="97"/>
      <c r="AB118" s="97"/>
      <c r="AC118" s="97"/>
      <c r="AD118" s="97"/>
      <c r="AE118" s="97"/>
      <c r="AF118" s="97"/>
      <c r="AG118" s="97">
        <f>9954</f>
        <v>9954</v>
      </c>
      <c r="AH118" s="97">
        <f t="shared" ref="AH118:AH129" si="57">AI118+AG118</f>
        <v>11275</v>
      </c>
      <c r="AI118" s="125">
        <f t="shared" ref="AI118:AI129" si="58">SUM(AJ118:AO118)</f>
        <v>1321</v>
      </c>
      <c r="AJ118" s="125"/>
      <c r="AK118" s="97">
        <f>1321</f>
        <v>1321</v>
      </c>
      <c r="AL118" s="125"/>
      <c r="AM118" s="125"/>
      <c r="AN118" s="125"/>
      <c r="AO118" s="125"/>
      <c r="AP118" s="125"/>
      <c r="AQ118" s="125"/>
      <c r="AR118" s="97"/>
      <c r="AS118" s="315"/>
      <c r="AT118" s="125"/>
      <c r="AU118" s="97"/>
      <c r="AV118" s="125"/>
      <c r="AW118" s="125"/>
      <c r="AX118" s="125"/>
      <c r="AY118" s="125"/>
      <c r="AZ118" s="98" t="s">
        <v>404</v>
      </c>
      <c r="BA118" s="105"/>
    </row>
    <row r="119" spans="1:53" ht="39.75" customHeight="1" x14ac:dyDescent="0.2">
      <c r="A119" s="167">
        <v>90009229680</v>
      </c>
      <c r="B119" s="119"/>
      <c r="C119" s="486" t="s">
        <v>192</v>
      </c>
      <c r="D119" s="487"/>
      <c r="E119" s="227" t="s">
        <v>305</v>
      </c>
      <c r="F119" s="301">
        <v>910105</v>
      </c>
      <c r="G119" s="97">
        <f>SUM(I119,Y119,AH119,AP119,AR119)</f>
        <v>918384</v>
      </c>
      <c r="H119" s="301">
        <f>883228</f>
        <v>883228</v>
      </c>
      <c r="I119" s="97">
        <f t="shared" si="50"/>
        <v>883228</v>
      </c>
      <c r="J119" s="97">
        <f t="shared" si="51"/>
        <v>0</v>
      </c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>
        <v>0</v>
      </c>
      <c r="Y119" s="97">
        <f t="shared" si="56"/>
        <v>7279</v>
      </c>
      <c r="Z119" s="97">
        <f t="shared" si="55"/>
        <v>7279</v>
      </c>
      <c r="AA119" s="97"/>
      <c r="AB119" s="97">
        <v>7279</v>
      </c>
      <c r="AC119" s="97"/>
      <c r="AD119" s="97"/>
      <c r="AE119" s="97"/>
      <c r="AF119" s="97"/>
      <c r="AG119" s="97">
        <f>26877</f>
        <v>26877</v>
      </c>
      <c r="AH119" s="97">
        <f t="shared" si="57"/>
        <v>27877</v>
      </c>
      <c r="AI119" s="125">
        <f t="shared" si="58"/>
        <v>1000</v>
      </c>
      <c r="AJ119" s="125"/>
      <c r="AK119" s="97">
        <f>1000</f>
        <v>1000</v>
      </c>
      <c r="AL119" s="125"/>
      <c r="AM119" s="125"/>
      <c r="AN119" s="125"/>
      <c r="AO119" s="125"/>
      <c r="AP119" s="125"/>
      <c r="AQ119" s="125"/>
      <c r="AR119" s="97"/>
      <c r="AS119" s="315"/>
      <c r="AT119" s="125"/>
      <c r="AU119" s="97"/>
      <c r="AV119" s="125"/>
      <c r="AW119" s="125"/>
      <c r="AX119" s="125"/>
      <c r="AY119" s="125"/>
      <c r="AZ119" s="98" t="s">
        <v>405</v>
      </c>
      <c r="BA119" s="105"/>
    </row>
    <row r="120" spans="1:53" ht="27.75" customHeight="1" x14ac:dyDescent="0.2">
      <c r="A120" s="167"/>
      <c r="B120" s="119"/>
      <c r="C120" s="214"/>
      <c r="D120" s="215"/>
      <c r="E120" s="227" t="s">
        <v>249</v>
      </c>
      <c r="F120" s="301">
        <v>511741</v>
      </c>
      <c r="G120" s="97">
        <f>SUM(I120,Y120,AH120,AP120,AR120)</f>
        <v>585927</v>
      </c>
      <c r="H120" s="301">
        <f>495473</f>
        <v>495473</v>
      </c>
      <c r="I120" s="97">
        <f t="shared" si="50"/>
        <v>563081</v>
      </c>
      <c r="J120" s="97">
        <f t="shared" si="51"/>
        <v>67608</v>
      </c>
      <c r="K120" s="97"/>
      <c r="L120" s="97"/>
      <c r="M120" s="97"/>
      <c r="N120" s="97">
        <f>-656+234</f>
        <v>-422</v>
      </c>
      <c r="O120" s="97"/>
      <c r="P120" s="97"/>
      <c r="Q120" s="97"/>
      <c r="R120" s="97">
        <v>68030</v>
      </c>
      <c r="S120" s="97"/>
      <c r="T120" s="97"/>
      <c r="U120" s="97"/>
      <c r="V120" s="97"/>
      <c r="W120" s="97"/>
      <c r="X120" s="97">
        <v>0</v>
      </c>
      <c r="Y120" s="97">
        <f t="shared" si="56"/>
        <v>0</v>
      </c>
      <c r="Z120" s="97">
        <f t="shared" si="55"/>
        <v>0</v>
      </c>
      <c r="AA120" s="97"/>
      <c r="AB120" s="97"/>
      <c r="AC120" s="97"/>
      <c r="AD120" s="97"/>
      <c r="AE120" s="97"/>
      <c r="AF120" s="97"/>
      <c r="AG120" s="97">
        <f>16150</f>
        <v>16150</v>
      </c>
      <c r="AH120" s="97">
        <f t="shared" si="57"/>
        <v>22728</v>
      </c>
      <c r="AI120" s="125">
        <f t="shared" si="58"/>
        <v>6578</v>
      </c>
      <c r="AJ120" s="125"/>
      <c r="AK120" s="97">
        <f>6578</f>
        <v>6578</v>
      </c>
      <c r="AL120" s="125"/>
      <c r="AM120" s="125"/>
      <c r="AN120" s="125"/>
      <c r="AO120" s="125"/>
      <c r="AP120" s="125"/>
      <c r="AQ120" s="125">
        <v>118</v>
      </c>
      <c r="AR120" s="97">
        <f>AQ120+AS120</f>
        <v>118</v>
      </c>
      <c r="AS120" s="315">
        <f>SUM(AT120:AY120)</f>
        <v>0</v>
      </c>
      <c r="AT120" s="125"/>
      <c r="AU120" s="97"/>
      <c r="AV120" s="125"/>
      <c r="AW120" s="125"/>
      <c r="AX120" s="125"/>
      <c r="AY120" s="125"/>
      <c r="AZ120" s="98" t="s">
        <v>406</v>
      </c>
      <c r="BA120" s="105" t="s">
        <v>700</v>
      </c>
    </row>
    <row r="121" spans="1:53" ht="12.75" x14ac:dyDescent="0.2">
      <c r="A121" s="167">
        <v>90001067517</v>
      </c>
      <c r="B121" s="119"/>
      <c r="C121" s="486" t="s">
        <v>341</v>
      </c>
      <c r="D121" s="487"/>
      <c r="E121" s="227" t="s">
        <v>348</v>
      </c>
      <c r="F121" s="301">
        <v>173634</v>
      </c>
      <c r="G121" s="97">
        <f t="shared" si="54"/>
        <v>59549</v>
      </c>
      <c r="H121" s="301">
        <f>143850</f>
        <v>143850</v>
      </c>
      <c r="I121" s="97">
        <f t="shared" si="50"/>
        <v>36810</v>
      </c>
      <c r="J121" s="97">
        <f t="shared" si="51"/>
        <v>-107040</v>
      </c>
      <c r="K121" s="97"/>
      <c r="L121" s="97"/>
      <c r="M121" s="97"/>
      <c r="N121" s="97"/>
      <c r="O121" s="97"/>
      <c r="P121" s="97">
        <f>-107040</f>
        <v>-107040</v>
      </c>
      <c r="Q121" s="97"/>
      <c r="R121" s="97"/>
      <c r="S121" s="97"/>
      <c r="T121" s="97"/>
      <c r="U121" s="97"/>
      <c r="V121" s="97"/>
      <c r="W121" s="97"/>
      <c r="X121" s="97">
        <v>0</v>
      </c>
      <c r="Y121" s="97">
        <f t="shared" si="56"/>
        <v>0</v>
      </c>
      <c r="Z121" s="97">
        <f t="shared" si="55"/>
        <v>0</v>
      </c>
      <c r="AA121" s="97"/>
      <c r="AB121" s="97"/>
      <c r="AC121" s="97"/>
      <c r="AD121" s="97"/>
      <c r="AE121" s="97"/>
      <c r="AF121" s="97"/>
      <c r="AG121" s="97">
        <f>29784</f>
        <v>29784</v>
      </c>
      <c r="AH121" s="97">
        <f t="shared" si="57"/>
        <v>22739</v>
      </c>
      <c r="AI121" s="125">
        <f t="shared" si="58"/>
        <v>-7045</v>
      </c>
      <c r="AJ121" s="125"/>
      <c r="AK121" s="97"/>
      <c r="AL121" s="125">
        <f>-27188</f>
        <v>-27188</v>
      </c>
      <c r="AM121" s="125">
        <v>20143</v>
      </c>
      <c r="AN121" s="125"/>
      <c r="AO121" s="125"/>
      <c r="AP121" s="125"/>
      <c r="AQ121" s="125"/>
      <c r="AR121" s="97"/>
      <c r="AS121" s="315"/>
      <c r="AT121" s="125"/>
      <c r="AU121" s="97"/>
      <c r="AV121" s="125"/>
      <c r="AW121" s="125"/>
      <c r="AX121" s="125"/>
      <c r="AY121" s="125"/>
      <c r="AZ121" s="98" t="s">
        <v>407</v>
      </c>
      <c r="BA121" s="105"/>
    </row>
    <row r="122" spans="1:53" ht="36" x14ac:dyDescent="0.2">
      <c r="A122" s="167">
        <v>40000056408</v>
      </c>
      <c r="B122" s="119"/>
      <c r="C122" s="486" t="s">
        <v>17</v>
      </c>
      <c r="D122" s="487"/>
      <c r="E122" s="227" t="s">
        <v>307</v>
      </c>
      <c r="F122" s="301">
        <v>406089</v>
      </c>
      <c r="G122" s="97">
        <f t="shared" si="54"/>
        <v>407523</v>
      </c>
      <c r="H122" s="301">
        <f>392928</f>
        <v>392928</v>
      </c>
      <c r="I122" s="97">
        <f t="shared" si="50"/>
        <v>392928</v>
      </c>
      <c r="J122" s="97">
        <f t="shared" si="51"/>
        <v>0</v>
      </c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>
        <v>0</v>
      </c>
      <c r="Y122" s="97">
        <f t="shared" si="56"/>
        <v>0</v>
      </c>
      <c r="Z122" s="97">
        <f t="shared" si="55"/>
        <v>0</v>
      </c>
      <c r="AA122" s="97"/>
      <c r="AB122" s="97"/>
      <c r="AC122" s="97"/>
      <c r="AD122" s="97"/>
      <c r="AE122" s="97"/>
      <c r="AF122" s="97"/>
      <c r="AG122" s="97">
        <f>13161</f>
        <v>13161</v>
      </c>
      <c r="AH122" s="97">
        <f t="shared" si="57"/>
        <v>14511</v>
      </c>
      <c r="AI122" s="125">
        <f t="shared" si="58"/>
        <v>1350</v>
      </c>
      <c r="AJ122" s="125"/>
      <c r="AK122" s="125">
        <v>1350</v>
      </c>
      <c r="AL122" s="125"/>
      <c r="AM122" s="125"/>
      <c r="AN122" s="125"/>
      <c r="AO122" s="125"/>
      <c r="AP122" s="125"/>
      <c r="AQ122" s="125">
        <v>0</v>
      </c>
      <c r="AR122" s="97">
        <f>AQ122+AS122</f>
        <v>84</v>
      </c>
      <c r="AS122" s="315">
        <f>SUM(AT122:AY122)</f>
        <v>84</v>
      </c>
      <c r="AT122" s="125">
        <v>84</v>
      </c>
      <c r="AU122" s="125"/>
      <c r="AV122" s="125"/>
      <c r="AW122" s="125"/>
      <c r="AX122" s="125"/>
      <c r="AY122" s="125"/>
      <c r="AZ122" s="98" t="s">
        <v>408</v>
      </c>
      <c r="BA122" s="105"/>
    </row>
    <row r="123" spans="1:53" s="239" customFormat="1" ht="36" x14ac:dyDescent="0.2">
      <c r="A123" s="167"/>
      <c r="B123" s="119"/>
      <c r="C123" s="240"/>
      <c r="D123" s="241"/>
      <c r="E123" s="227" t="s">
        <v>649</v>
      </c>
      <c r="F123" s="301">
        <v>210000</v>
      </c>
      <c r="G123" s="97">
        <f t="shared" si="54"/>
        <v>210000</v>
      </c>
      <c r="H123" s="301">
        <f>210000</f>
        <v>210000</v>
      </c>
      <c r="I123" s="97">
        <f t="shared" si="50"/>
        <v>210000</v>
      </c>
      <c r="J123" s="97">
        <f t="shared" si="51"/>
        <v>0</v>
      </c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>
        <v>0</v>
      </c>
      <c r="Y123" s="97">
        <f t="shared" si="56"/>
        <v>0</v>
      </c>
      <c r="Z123" s="97">
        <f t="shared" si="55"/>
        <v>0</v>
      </c>
      <c r="AA123" s="97"/>
      <c r="AB123" s="97"/>
      <c r="AC123" s="97"/>
      <c r="AD123" s="97"/>
      <c r="AE123" s="97"/>
      <c r="AF123" s="97"/>
      <c r="AG123" s="97"/>
      <c r="AH123" s="97">
        <f t="shared" si="57"/>
        <v>0</v>
      </c>
      <c r="AI123" s="125">
        <f t="shared" si="58"/>
        <v>0</v>
      </c>
      <c r="AJ123" s="125"/>
      <c r="AK123" s="125" t="s">
        <v>737</v>
      </c>
      <c r="AL123" s="125"/>
      <c r="AM123" s="125"/>
      <c r="AN123" s="125"/>
      <c r="AO123" s="125"/>
      <c r="AP123" s="125"/>
      <c r="AQ123" s="125"/>
      <c r="AR123" s="97"/>
      <c r="AS123" s="315"/>
      <c r="AT123" s="125"/>
      <c r="AU123" s="125" t="s">
        <v>737</v>
      </c>
      <c r="AV123" s="125"/>
      <c r="AW123" s="125"/>
      <c r="AX123" s="125"/>
      <c r="AY123" s="125"/>
      <c r="AZ123" s="98" t="s">
        <v>409</v>
      </c>
      <c r="BA123" s="105"/>
    </row>
    <row r="124" spans="1:53" s="286" customFormat="1" ht="84" x14ac:dyDescent="0.2">
      <c r="A124" s="167"/>
      <c r="B124" s="119"/>
      <c r="C124" s="284"/>
      <c r="D124" s="285"/>
      <c r="E124" s="227" t="s">
        <v>739</v>
      </c>
      <c r="F124" s="301"/>
      <c r="G124" s="97">
        <f t="shared" si="54"/>
        <v>56</v>
      </c>
      <c r="H124" s="301"/>
      <c r="I124" s="97">
        <f t="shared" si="50"/>
        <v>56</v>
      </c>
      <c r="J124" s="97">
        <f t="shared" si="51"/>
        <v>56</v>
      </c>
      <c r="K124" s="97"/>
      <c r="L124" s="97"/>
      <c r="M124" s="97"/>
      <c r="N124" s="97">
        <v>56</v>
      </c>
      <c r="O124" s="97"/>
      <c r="P124" s="97"/>
      <c r="Q124" s="97"/>
      <c r="R124" s="97"/>
      <c r="S124" s="97"/>
      <c r="T124" s="97"/>
      <c r="U124" s="97"/>
      <c r="V124" s="97"/>
      <c r="W124" s="97"/>
      <c r="X124" s="97">
        <v>0</v>
      </c>
      <c r="Y124" s="97">
        <f t="shared" si="56"/>
        <v>0</v>
      </c>
      <c r="Z124" s="97">
        <f t="shared" si="55"/>
        <v>0</v>
      </c>
      <c r="AA124" s="97"/>
      <c r="AB124" s="97"/>
      <c r="AC124" s="97"/>
      <c r="AD124" s="97"/>
      <c r="AE124" s="97"/>
      <c r="AF124" s="97"/>
      <c r="AG124" s="97"/>
      <c r="AH124" s="97">
        <f t="shared" si="57"/>
        <v>0</v>
      </c>
      <c r="AI124" s="125">
        <f t="shared" si="58"/>
        <v>0</v>
      </c>
      <c r="AJ124" s="125"/>
      <c r="AK124" s="125"/>
      <c r="AL124" s="125"/>
      <c r="AM124" s="125"/>
      <c r="AN124" s="125"/>
      <c r="AO124" s="125"/>
      <c r="AP124" s="125"/>
      <c r="AQ124" s="125"/>
      <c r="AR124" s="97"/>
      <c r="AS124" s="315"/>
      <c r="AT124" s="125"/>
      <c r="AU124" s="125"/>
      <c r="AV124" s="125"/>
      <c r="AW124" s="125"/>
      <c r="AX124" s="125"/>
      <c r="AY124" s="125"/>
      <c r="AZ124" s="98" t="s">
        <v>732</v>
      </c>
      <c r="BA124" s="105"/>
    </row>
    <row r="125" spans="1:53" ht="27.75" customHeight="1" x14ac:dyDescent="0.2">
      <c r="A125" s="167"/>
      <c r="B125" s="119"/>
      <c r="C125" s="214"/>
      <c r="D125" s="215"/>
      <c r="E125" s="227" t="s">
        <v>666</v>
      </c>
      <c r="F125" s="301">
        <v>34573</v>
      </c>
      <c r="G125" s="97">
        <f t="shared" si="54"/>
        <v>34573</v>
      </c>
      <c r="H125" s="301">
        <f>34573</f>
        <v>34573</v>
      </c>
      <c r="I125" s="97">
        <f t="shared" si="50"/>
        <v>34573</v>
      </c>
      <c r="J125" s="97">
        <f t="shared" si="51"/>
        <v>0</v>
      </c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>
        <v>0</v>
      </c>
      <c r="Y125" s="97">
        <f t="shared" si="56"/>
        <v>0</v>
      </c>
      <c r="Z125" s="97">
        <f t="shared" si="55"/>
        <v>0</v>
      </c>
      <c r="AA125" s="97"/>
      <c r="AB125" s="97"/>
      <c r="AC125" s="97"/>
      <c r="AD125" s="97"/>
      <c r="AE125" s="97"/>
      <c r="AF125" s="97"/>
      <c r="AG125" s="97"/>
      <c r="AH125" s="97">
        <f t="shared" si="57"/>
        <v>0</v>
      </c>
      <c r="AI125" s="125">
        <f t="shared" si="58"/>
        <v>0</v>
      </c>
      <c r="AJ125" s="125"/>
      <c r="AK125" s="125"/>
      <c r="AL125" s="125"/>
      <c r="AM125" s="125"/>
      <c r="AN125" s="125"/>
      <c r="AO125" s="125"/>
      <c r="AP125" s="125"/>
      <c r="AQ125" s="125"/>
      <c r="AR125" s="97"/>
      <c r="AS125" s="315"/>
      <c r="AT125" s="125"/>
      <c r="AU125" s="125"/>
      <c r="AV125" s="125"/>
      <c r="AW125" s="125"/>
      <c r="AX125" s="125"/>
      <c r="AY125" s="125"/>
      <c r="AZ125" s="98" t="s">
        <v>650</v>
      </c>
      <c r="BA125" s="105" t="s">
        <v>370</v>
      </c>
    </row>
    <row r="126" spans="1:53" s="12" customFormat="1" ht="39.75" customHeight="1" x14ac:dyDescent="0.2">
      <c r="A126" s="170">
        <v>40003378932</v>
      </c>
      <c r="B126" s="96"/>
      <c r="C126" s="486" t="s">
        <v>786</v>
      </c>
      <c r="D126" s="487"/>
      <c r="E126" s="227" t="s">
        <v>500</v>
      </c>
      <c r="F126" s="301">
        <v>49062</v>
      </c>
      <c r="G126" s="97">
        <f t="shared" si="54"/>
        <v>0</v>
      </c>
      <c r="H126" s="301">
        <f>49062</f>
        <v>49062</v>
      </c>
      <c r="I126" s="97">
        <f t="shared" si="50"/>
        <v>0</v>
      </c>
      <c r="J126" s="97">
        <f t="shared" si="51"/>
        <v>-49062</v>
      </c>
      <c r="K126" s="97"/>
      <c r="L126" s="97"/>
      <c r="M126" s="97"/>
      <c r="N126" s="97"/>
      <c r="O126" s="97"/>
      <c r="P126" s="97"/>
      <c r="Q126" s="97"/>
      <c r="R126" s="97">
        <v>-33970</v>
      </c>
      <c r="S126" s="97"/>
      <c r="T126" s="97">
        <v>-15092</v>
      </c>
      <c r="U126" s="97"/>
      <c r="V126" s="97"/>
      <c r="W126" s="97"/>
      <c r="X126" s="97">
        <v>0</v>
      </c>
      <c r="Y126" s="97">
        <f t="shared" si="56"/>
        <v>0</v>
      </c>
      <c r="Z126" s="97">
        <f t="shared" si="55"/>
        <v>0</v>
      </c>
      <c r="AA126" s="97"/>
      <c r="AB126" s="97"/>
      <c r="AC126" s="97"/>
      <c r="AD126" s="97"/>
      <c r="AE126" s="97"/>
      <c r="AF126" s="97"/>
      <c r="AG126" s="97"/>
      <c r="AH126" s="97">
        <f t="shared" si="57"/>
        <v>0</v>
      </c>
      <c r="AI126" s="125">
        <f t="shared" si="58"/>
        <v>0</v>
      </c>
      <c r="AJ126" s="125"/>
      <c r="AK126" s="125"/>
      <c r="AL126" s="125"/>
      <c r="AM126" s="125"/>
      <c r="AN126" s="125"/>
      <c r="AO126" s="125"/>
      <c r="AP126" s="127"/>
      <c r="AQ126" s="127"/>
      <c r="AR126" s="97"/>
      <c r="AS126" s="315"/>
      <c r="AT126" s="125"/>
      <c r="AU126" s="125"/>
      <c r="AV126" s="125"/>
      <c r="AW126" s="125"/>
      <c r="AX126" s="125"/>
      <c r="AY126" s="125"/>
      <c r="AZ126" s="98" t="s">
        <v>410</v>
      </c>
      <c r="BA126" s="105"/>
    </row>
    <row r="127" spans="1:53" s="12" customFormat="1" ht="41.25" customHeight="1" x14ac:dyDescent="0.2">
      <c r="A127" s="170"/>
      <c r="B127" s="96"/>
      <c r="C127" s="161"/>
      <c r="D127" s="162"/>
      <c r="E127" s="227" t="s">
        <v>509</v>
      </c>
      <c r="F127" s="301">
        <v>672120</v>
      </c>
      <c r="G127" s="97">
        <f t="shared" si="54"/>
        <v>730090</v>
      </c>
      <c r="H127" s="301">
        <f>672120</f>
        <v>672120</v>
      </c>
      <c r="I127" s="97">
        <f t="shared" si="50"/>
        <v>730090</v>
      </c>
      <c r="J127" s="97">
        <f t="shared" si="51"/>
        <v>57970</v>
      </c>
      <c r="K127" s="97"/>
      <c r="L127" s="97"/>
      <c r="M127" s="97"/>
      <c r="N127" s="97"/>
      <c r="O127" s="97"/>
      <c r="P127" s="97"/>
      <c r="Q127" s="97"/>
      <c r="R127" s="97">
        <v>33970</v>
      </c>
      <c r="S127" s="97"/>
      <c r="T127" s="97">
        <v>24000</v>
      </c>
      <c r="U127" s="97"/>
      <c r="V127" s="97"/>
      <c r="W127" s="97"/>
      <c r="X127" s="97">
        <v>0</v>
      </c>
      <c r="Y127" s="97">
        <f t="shared" si="56"/>
        <v>0</v>
      </c>
      <c r="Z127" s="97">
        <f t="shared" si="55"/>
        <v>0</v>
      </c>
      <c r="AA127" s="97"/>
      <c r="AB127" s="97"/>
      <c r="AC127" s="97"/>
      <c r="AD127" s="97"/>
      <c r="AE127" s="97"/>
      <c r="AF127" s="97"/>
      <c r="AG127" s="97"/>
      <c r="AH127" s="97">
        <f t="shared" si="57"/>
        <v>0</v>
      </c>
      <c r="AI127" s="125">
        <f t="shared" si="58"/>
        <v>0</v>
      </c>
      <c r="AJ127" s="125"/>
      <c r="AK127" s="125"/>
      <c r="AL127" s="125"/>
      <c r="AM127" s="125"/>
      <c r="AN127" s="125"/>
      <c r="AO127" s="125"/>
      <c r="AP127" s="127"/>
      <c r="AQ127" s="127"/>
      <c r="AR127" s="97"/>
      <c r="AS127" s="315"/>
      <c r="AT127" s="125"/>
      <c r="AU127" s="125"/>
      <c r="AV127" s="125"/>
      <c r="AW127" s="125"/>
      <c r="AX127" s="125"/>
      <c r="AY127" s="125"/>
      <c r="AZ127" s="98" t="s">
        <v>637</v>
      </c>
      <c r="BA127" s="105"/>
    </row>
    <row r="128" spans="1:53" s="12" customFormat="1" ht="16.5" customHeight="1" x14ac:dyDescent="0.2">
      <c r="A128" s="170"/>
      <c r="B128" s="96"/>
      <c r="C128" s="161"/>
      <c r="D128" s="162"/>
      <c r="E128" s="227" t="s">
        <v>304</v>
      </c>
      <c r="F128" s="301">
        <v>243000</v>
      </c>
      <c r="G128" s="97">
        <f t="shared" si="54"/>
        <v>243000</v>
      </c>
      <c r="H128" s="301">
        <f>243000</f>
        <v>243000</v>
      </c>
      <c r="I128" s="97">
        <f t="shared" si="50"/>
        <v>243000</v>
      </c>
      <c r="J128" s="97">
        <f t="shared" si="51"/>
        <v>0</v>
      </c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>
        <v>0</v>
      </c>
      <c r="Y128" s="97">
        <f t="shared" si="56"/>
        <v>0</v>
      </c>
      <c r="Z128" s="97">
        <f t="shared" si="55"/>
        <v>0</v>
      </c>
      <c r="AA128" s="97"/>
      <c r="AB128" s="97"/>
      <c r="AC128" s="97"/>
      <c r="AD128" s="97"/>
      <c r="AE128" s="97"/>
      <c r="AF128" s="97"/>
      <c r="AG128" s="97"/>
      <c r="AH128" s="97">
        <f t="shared" si="57"/>
        <v>0</v>
      </c>
      <c r="AI128" s="125">
        <f t="shared" si="58"/>
        <v>0</v>
      </c>
      <c r="AJ128" s="125"/>
      <c r="AK128" s="125"/>
      <c r="AL128" s="125"/>
      <c r="AM128" s="125"/>
      <c r="AN128" s="125"/>
      <c r="AO128" s="125"/>
      <c r="AP128" s="127"/>
      <c r="AQ128" s="127"/>
      <c r="AR128" s="97"/>
      <c r="AS128" s="315"/>
      <c r="AT128" s="125"/>
      <c r="AU128" s="125"/>
      <c r="AV128" s="125"/>
      <c r="AW128" s="125"/>
      <c r="AX128" s="125"/>
      <c r="AY128" s="125"/>
      <c r="AZ128" s="98" t="s">
        <v>638</v>
      </c>
      <c r="BA128" s="105"/>
    </row>
    <row r="129" spans="1:53" s="12" customFormat="1" ht="24" x14ac:dyDescent="0.2">
      <c r="A129" s="170"/>
      <c r="B129" s="96"/>
      <c r="C129" s="232"/>
      <c r="D129" s="233"/>
      <c r="E129" s="227" t="s">
        <v>653</v>
      </c>
      <c r="F129" s="301">
        <v>33500</v>
      </c>
      <c r="G129" s="97">
        <f t="shared" si="54"/>
        <v>33500</v>
      </c>
      <c r="H129" s="301">
        <f>33500</f>
        <v>33500</v>
      </c>
      <c r="I129" s="97">
        <f>H129+J129</f>
        <v>33500</v>
      </c>
      <c r="J129" s="97">
        <f>SUM(K129:W129)</f>
        <v>0</v>
      </c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>
        <v>0</v>
      </c>
      <c r="Y129" s="97">
        <f t="shared" si="56"/>
        <v>0</v>
      </c>
      <c r="Z129" s="97">
        <f t="shared" si="55"/>
        <v>0</v>
      </c>
      <c r="AA129" s="97"/>
      <c r="AB129" s="97"/>
      <c r="AC129" s="97"/>
      <c r="AD129" s="97"/>
      <c r="AE129" s="97"/>
      <c r="AF129" s="97"/>
      <c r="AG129" s="97"/>
      <c r="AH129" s="97">
        <f t="shared" si="57"/>
        <v>0</v>
      </c>
      <c r="AI129" s="125">
        <f t="shared" si="58"/>
        <v>0</v>
      </c>
      <c r="AJ129" s="125"/>
      <c r="AK129" s="125"/>
      <c r="AL129" s="125"/>
      <c r="AM129" s="125"/>
      <c r="AN129" s="125"/>
      <c r="AO129" s="125"/>
      <c r="AP129" s="127"/>
      <c r="AQ129" s="127"/>
      <c r="AR129" s="97"/>
      <c r="AS129" s="315"/>
      <c r="AT129" s="125"/>
      <c r="AU129" s="125"/>
      <c r="AV129" s="125"/>
      <c r="AW129" s="125"/>
      <c r="AX129" s="125"/>
      <c r="AY129" s="125"/>
      <c r="AZ129" s="98" t="s">
        <v>639</v>
      </c>
      <c r="BA129" s="105"/>
    </row>
    <row r="130" spans="1:53" s="12" customFormat="1" ht="12.75" x14ac:dyDescent="0.2">
      <c r="A130" s="170" t="s">
        <v>755</v>
      </c>
      <c r="B130" s="96"/>
      <c r="C130" s="486" t="s">
        <v>752</v>
      </c>
      <c r="D130" s="487"/>
      <c r="E130" s="227" t="s">
        <v>239</v>
      </c>
      <c r="F130" s="301"/>
      <c r="G130" s="97">
        <f t="shared" si="54"/>
        <v>100550</v>
      </c>
      <c r="H130" s="301"/>
      <c r="I130" s="97">
        <f>H130+J130</f>
        <v>100550</v>
      </c>
      <c r="J130" s="97">
        <f>SUM(K130:W130)</f>
        <v>100550</v>
      </c>
      <c r="K130" s="97"/>
      <c r="L130" s="97"/>
      <c r="M130" s="97"/>
      <c r="N130" s="97"/>
      <c r="O130" s="97"/>
      <c r="P130" s="97">
        <f>100550</f>
        <v>100550</v>
      </c>
      <c r="Q130" s="97"/>
      <c r="R130" s="97"/>
      <c r="S130" s="97"/>
      <c r="T130" s="97"/>
      <c r="U130" s="97"/>
      <c r="V130" s="97"/>
      <c r="W130" s="97"/>
      <c r="X130" s="97">
        <v>0</v>
      </c>
      <c r="Y130" s="97">
        <f t="shared" si="56"/>
        <v>0</v>
      </c>
      <c r="Z130" s="97">
        <f t="shared" si="55"/>
        <v>0</v>
      </c>
      <c r="AA130" s="97"/>
      <c r="AB130" s="97"/>
      <c r="AC130" s="97"/>
      <c r="AD130" s="97"/>
      <c r="AE130" s="97"/>
      <c r="AF130" s="97"/>
      <c r="AG130" s="97"/>
      <c r="AH130" s="97">
        <f>AI130+AG130</f>
        <v>0</v>
      </c>
      <c r="AI130" s="125">
        <f>SUM(AJ130:AO130)</f>
        <v>0</v>
      </c>
      <c r="AJ130" s="125"/>
      <c r="AK130" s="125"/>
      <c r="AL130" s="125"/>
      <c r="AM130" s="125"/>
      <c r="AN130" s="125"/>
      <c r="AO130" s="125"/>
      <c r="AP130" s="127"/>
      <c r="AQ130" s="127"/>
      <c r="AR130" s="97"/>
      <c r="AS130" s="315"/>
      <c r="AT130" s="125"/>
      <c r="AU130" s="125"/>
      <c r="AV130" s="125"/>
      <c r="AW130" s="125"/>
      <c r="AX130" s="125"/>
      <c r="AY130" s="125"/>
      <c r="AZ130" s="98" t="s">
        <v>753</v>
      </c>
      <c r="BA130" s="105"/>
    </row>
    <row r="131" spans="1:53" s="12" customFormat="1" ht="24" x14ac:dyDescent="0.2">
      <c r="A131" s="170"/>
      <c r="B131" s="96"/>
      <c r="C131" s="435"/>
      <c r="D131" s="436"/>
      <c r="E131" s="227" t="s">
        <v>758</v>
      </c>
      <c r="F131" s="301"/>
      <c r="G131" s="97">
        <f t="shared" si="54"/>
        <v>156967</v>
      </c>
      <c r="H131" s="301"/>
      <c r="I131" s="97">
        <f>H131+J131</f>
        <v>107040</v>
      </c>
      <c r="J131" s="97">
        <f>SUM(K131:W131)</f>
        <v>107040</v>
      </c>
      <c r="K131" s="97"/>
      <c r="L131" s="97"/>
      <c r="M131" s="97"/>
      <c r="N131" s="97"/>
      <c r="O131" s="97"/>
      <c r="P131" s="97">
        <f>107040</f>
        <v>107040</v>
      </c>
      <c r="Q131" s="97"/>
      <c r="R131" s="97"/>
      <c r="S131" s="97"/>
      <c r="T131" s="97"/>
      <c r="U131" s="97"/>
      <c r="V131" s="97"/>
      <c r="W131" s="97"/>
      <c r="X131" s="97">
        <v>0</v>
      </c>
      <c r="Y131" s="97">
        <f t="shared" si="56"/>
        <v>0</v>
      </c>
      <c r="Z131" s="97">
        <f t="shared" si="55"/>
        <v>0</v>
      </c>
      <c r="AA131" s="97"/>
      <c r="AB131" s="97"/>
      <c r="AC131" s="97"/>
      <c r="AD131" s="97"/>
      <c r="AE131" s="97"/>
      <c r="AF131" s="97"/>
      <c r="AG131" s="97"/>
      <c r="AH131" s="97">
        <f>AI131+AG131</f>
        <v>49927</v>
      </c>
      <c r="AI131" s="125">
        <f>SUM(AJ131:AO131)</f>
        <v>49927</v>
      </c>
      <c r="AJ131" s="125"/>
      <c r="AK131" s="125"/>
      <c r="AL131" s="125">
        <f>49927</f>
        <v>49927</v>
      </c>
      <c r="AM131" s="125"/>
      <c r="AN131" s="125"/>
      <c r="AO131" s="125"/>
      <c r="AP131" s="127"/>
      <c r="AQ131" s="127"/>
      <c r="AR131" s="97"/>
      <c r="AS131" s="315"/>
      <c r="AT131" s="125"/>
      <c r="AU131" s="125"/>
      <c r="AV131" s="125"/>
      <c r="AW131" s="125"/>
      <c r="AX131" s="125"/>
      <c r="AY131" s="125"/>
      <c r="AZ131" s="98" t="s">
        <v>754</v>
      </c>
      <c r="BA131" s="105"/>
    </row>
    <row r="132" spans="1:53" s="12" customFormat="1" ht="24" x14ac:dyDescent="0.2">
      <c r="A132" s="170"/>
      <c r="B132" s="96"/>
      <c r="C132" s="435"/>
      <c r="D132" s="436"/>
      <c r="E132" s="227" t="s">
        <v>757</v>
      </c>
      <c r="F132" s="301"/>
      <c r="G132" s="97">
        <f t="shared" si="54"/>
        <v>203102</v>
      </c>
      <c r="H132" s="301"/>
      <c r="I132" s="97">
        <f>H132+J132</f>
        <v>166194</v>
      </c>
      <c r="J132" s="97">
        <f>SUM(K132:W132)</f>
        <v>166194</v>
      </c>
      <c r="K132" s="97"/>
      <c r="L132" s="97"/>
      <c r="M132" s="97"/>
      <c r="N132" s="97"/>
      <c r="O132" s="97"/>
      <c r="P132" s="97">
        <f>166194</f>
        <v>166194</v>
      </c>
      <c r="Q132" s="97"/>
      <c r="R132" s="97"/>
      <c r="S132" s="97"/>
      <c r="T132" s="97"/>
      <c r="U132" s="97"/>
      <c r="V132" s="97"/>
      <c r="W132" s="97"/>
      <c r="X132" s="97">
        <v>0</v>
      </c>
      <c r="Y132" s="97">
        <f t="shared" si="56"/>
        <v>0</v>
      </c>
      <c r="Z132" s="97">
        <f t="shared" si="55"/>
        <v>0</v>
      </c>
      <c r="AA132" s="97"/>
      <c r="AB132" s="97"/>
      <c r="AC132" s="97"/>
      <c r="AD132" s="97"/>
      <c r="AE132" s="97"/>
      <c r="AF132" s="97"/>
      <c r="AG132" s="97"/>
      <c r="AH132" s="97">
        <f>AI132+AG132</f>
        <v>36908</v>
      </c>
      <c r="AI132" s="125">
        <f>SUM(AJ132:AO132)</f>
        <v>36908</v>
      </c>
      <c r="AJ132" s="125"/>
      <c r="AK132" s="125"/>
      <c r="AL132" s="125">
        <f>36908</f>
        <v>36908</v>
      </c>
      <c r="AM132" s="125"/>
      <c r="AN132" s="125"/>
      <c r="AO132" s="125"/>
      <c r="AP132" s="127"/>
      <c r="AQ132" s="127"/>
      <c r="AR132" s="97"/>
      <c r="AS132" s="315"/>
      <c r="AT132" s="125"/>
      <c r="AU132" s="125"/>
      <c r="AV132" s="125"/>
      <c r="AW132" s="125"/>
      <c r="AX132" s="125"/>
      <c r="AY132" s="125"/>
      <c r="AZ132" s="98" t="s">
        <v>756</v>
      </c>
      <c r="BA132" s="105"/>
    </row>
    <row r="133" spans="1:53" ht="69.75" customHeight="1" x14ac:dyDescent="0.2">
      <c r="A133" s="167"/>
      <c r="B133" s="119"/>
      <c r="C133" s="486" t="s">
        <v>214</v>
      </c>
      <c r="D133" s="487"/>
      <c r="E133" s="426" t="s">
        <v>528</v>
      </c>
      <c r="F133" s="301">
        <v>192814</v>
      </c>
      <c r="G133" s="97">
        <f t="shared" si="54"/>
        <v>192814</v>
      </c>
      <c r="H133" s="301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>
        <v>0</v>
      </c>
      <c r="Y133" s="97">
        <f t="shared" si="56"/>
        <v>0</v>
      </c>
      <c r="Z133" s="97">
        <f t="shared" si="55"/>
        <v>0</v>
      </c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>
        <v>192814</v>
      </c>
      <c r="AQ133" s="125"/>
      <c r="AR133" s="97"/>
      <c r="AS133" s="315"/>
      <c r="AT133" s="97"/>
      <c r="AU133" s="97"/>
      <c r="AV133" s="97"/>
      <c r="AW133" s="97"/>
      <c r="AX133" s="97"/>
      <c r="AY133" s="97"/>
      <c r="AZ133" s="98"/>
      <c r="BA133" s="105"/>
    </row>
    <row r="134" spans="1:53" ht="24" x14ac:dyDescent="0.2">
      <c r="A134" s="167"/>
      <c r="B134" s="119"/>
      <c r="C134" s="163"/>
      <c r="D134" s="164"/>
      <c r="E134" s="426" t="s">
        <v>150</v>
      </c>
      <c r="F134" s="301">
        <v>302368</v>
      </c>
      <c r="G134" s="97">
        <f t="shared" si="54"/>
        <v>302368</v>
      </c>
      <c r="H134" s="301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>
        <v>0</v>
      </c>
      <c r="Y134" s="97">
        <f t="shared" si="56"/>
        <v>0</v>
      </c>
      <c r="Z134" s="97">
        <f t="shared" si="55"/>
        <v>0</v>
      </c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>
        <v>302368</v>
      </c>
      <c r="AQ134" s="125"/>
      <c r="AR134" s="97"/>
      <c r="AS134" s="315"/>
      <c r="AT134" s="97"/>
      <c r="AU134" s="97"/>
      <c r="AV134" s="97"/>
      <c r="AW134" s="97"/>
      <c r="AX134" s="97"/>
      <c r="AY134" s="97"/>
      <c r="AZ134" s="98"/>
      <c r="BA134" s="105"/>
    </row>
    <row r="135" spans="1:53" ht="24" x14ac:dyDescent="0.2">
      <c r="A135" s="167"/>
      <c r="B135" s="119"/>
      <c r="C135" s="163"/>
      <c r="D135" s="164"/>
      <c r="E135" s="426" t="s">
        <v>155</v>
      </c>
      <c r="F135" s="301">
        <v>512234</v>
      </c>
      <c r="G135" s="97">
        <f t="shared" si="54"/>
        <v>512234</v>
      </c>
      <c r="H135" s="301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>
        <v>0</v>
      </c>
      <c r="Y135" s="97">
        <f t="shared" si="56"/>
        <v>0</v>
      </c>
      <c r="Z135" s="97">
        <f t="shared" si="55"/>
        <v>0</v>
      </c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>
        <v>512234</v>
      </c>
      <c r="AQ135" s="125"/>
      <c r="AR135" s="97"/>
      <c r="AS135" s="315"/>
      <c r="AT135" s="97"/>
      <c r="AU135" s="97"/>
      <c r="AV135" s="97"/>
      <c r="AW135" s="97"/>
      <c r="AX135" s="97"/>
      <c r="AY135" s="97"/>
      <c r="AZ135" s="98"/>
      <c r="BA135" s="105"/>
    </row>
    <row r="136" spans="1:53" s="203" customFormat="1" ht="48" x14ac:dyDescent="0.2">
      <c r="A136" s="167"/>
      <c r="B136" s="206"/>
      <c r="C136" s="163"/>
      <c r="D136" s="164"/>
      <c r="E136" s="426" t="s">
        <v>533</v>
      </c>
      <c r="F136" s="301">
        <v>29394</v>
      </c>
      <c r="G136" s="97">
        <f t="shared" si="54"/>
        <v>29394</v>
      </c>
      <c r="H136" s="301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>
        <f t="shared" si="55"/>
        <v>0</v>
      </c>
      <c r="AA136" s="97"/>
      <c r="AB136" s="97"/>
      <c r="AC136" s="97"/>
      <c r="AD136" s="97"/>
      <c r="AE136" s="97"/>
      <c r="AF136" s="97"/>
      <c r="AG136" s="97"/>
      <c r="AH136" s="97"/>
      <c r="AI136" s="125"/>
      <c r="AJ136" s="125"/>
      <c r="AK136" s="125"/>
      <c r="AL136" s="125"/>
      <c r="AM136" s="125"/>
      <c r="AN136" s="125"/>
      <c r="AO136" s="125"/>
      <c r="AP136" s="125">
        <v>29394</v>
      </c>
      <c r="AQ136" s="125"/>
      <c r="AR136" s="97"/>
      <c r="AS136" s="315"/>
      <c r="AT136" s="125"/>
      <c r="AU136" s="125"/>
      <c r="AV136" s="125"/>
      <c r="AW136" s="125"/>
      <c r="AX136" s="125"/>
      <c r="AY136" s="125"/>
      <c r="AZ136" s="98"/>
      <c r="BA136" s="105"/>
    </row>
    <row r="137" spans="1:53" ht="12.75" thickBot="1" x14ac:dyDescent="0.25">
      <c r="A137" s="167"/>
      <c r="B137" s="145"/>
      <c r="C137" s="519"/>
      <c r="D137" s="520"/>
      <c r="E137" s="427"/>
      <c r="F137" s="302"/>
      <c r="G137" s="84"/>
      <c r="H137" s="302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84"/>
      <c r="AS137" s="316"/>
      <c r="AT137" s="124"/>
      <c r="AU137" s="124"/>
      <c r="AV137" s="124"/>
      <c r="AW137" s="124"/>
      <c r="AX137" s="124"/>
      <c r="AY137" s="124"/>
      <c r="AZ137" s="85"/>
      <c r="BA137" s="106"/>
    </row>
    <row r="138" spans="1:53" ht="12.75" thickBot="1" x14ac:dyDescent="0.25">
      <c r="A138" s="226"/>
      <c r="B138" s="527" t="s">
        <v>18</v>
      </c>
      <c r="C138" s="527"/>
      <c r="D138" s="223" t="s">
        <v>19</v>
      </c>
      <c r="E138" s="425"/>
      <c r="F138" s="303">
        <v>29353993</v>
      </c>
      <c r="G138" s="419">
        <f>SUM(I138,Y138,AH138,AP138,AR138)</f>
        <v>29813277</v>
      </c>
      <c r="H138" s="7">
        <f>SUM(H139:H220,H224:H229,)</f>
        <v>19910884</v>
      </c>
      <c r="I138" s="7">
        <f>SUM(I139:I220,I224:I229)</f>
        <v>19976392</v>
      </c>
      <c r="J138" s="7">
        <f>SUM(J139:J220,J224:J229,)</f>
        <v>65508</v>
      </c>
      <c r="K138" s="7">
        <f>SUM(K139:K220,K224:K229,)</f>
        <v>21200</v>
      </c>
      <c r="L138" s="7">
        <f t="shared" ref="L138:W138" si="59">SUM(L139:L220,L224:L229,)</f>
        <v>230</v>
      </c>
      <c r="M138" s="7">
        <f t="shared" si="59"/>
        <v>-15560</v>
      </c>
      <c r="N138" s="7">
        <f t="shared" si="59"/>
        <v>21012</v>
      </c>
      <c r="O138" s="7">
        <f t="shared" si="59"/>
        <v>-36143</v>
      </c>
      <c r="P138" s="7">
        <f>SUM(P139:P220,P224:P229,)</f>
        <v>-111825</v>
      </c>
      <c r="Q138" s="7">
        <f t="shared" si="59"/>
        <v>4883</v>
      </c>
      <c r="R138" s="7">
        <f t="shared" si="59"/>
        <v>171084</v>
      </c>
      <c r="S138" s="7">
        <f t="shared" si="59"/>
        <v>0</v>
      </c>
      <c r="T138" s="7">
        <f>SUM(T139:T220,T224:T229,)</f>
        <v>10627</v>
      </c>
      <c r="U138" s="7">
        <f>SUM(U139:U220,U224:U229,)</f>
        <v>0</v>
      </c>
      <c r="V138" s="7">
        <f>SUM(V139:V220,V224:V229,)</f>
        <v>0</v>
      </c>
      <c r="W138" s="7">
        <f t="shared" si="59"/>
        <v>0</v>
      </c>
      <c r="X138" s="7">
        <f>SUM(X139:X220,X224:X229,)</f>
        <v>7331221</v>
      </c>
      <c r="Y138" s="7">
        <f>SUM(Y139:Y220,Y224:Y229)</f>
        <v>7532267</v>
      </c>
      <c r="Z138" s="7">
        <f t="shared" ref="Z138:AG138" si="60">SUM(Z139:Z220,Z224:Z229,)</f>
        <v>201046</v>
      </c>
      <c r="AA138" s="7">
        <f t="shared" si="60"/>
        <v>146700</v>
      </c>
      <c r="AB138" s="7">
        <f t="shared" si="60"/>
        <v>54346</v>
      </c>
      <c r="AC138" s="7">
        <f t="shared" si="60"/>
        <v>0</v>
      </c>
      <c r="AD138" s="7">
        <f t="shared" si="60"/>
        <v>0</v>
      </c>
      <c r="AE138" s="7">
        <f t="shared" si="60"/>
        <v>0</v>
      </c>
      <c r="AF138" s="7">
        <f t="shared" si="60"/>
        <v>0</v>
      </c>
      <c r="AG138" s="7">
        <f t="shared" si="60"/>
        <v>552329</v>
      </c>
      <c r="AH138" s="7">
        <f>SUM(AH139:AH220,AH224:AH229)</f>
        <v>741653</v>
      </c>
      <c r="AI138" s="7">
        <f t="shared" ref="AI138:AO138" si="61">SUM(AI139:AI220,AI224:AI229,)</f>
        <v>189324</v>
      </c>
      <c r="AJ138" s="7">
        <f t="shared" si="61"/>
        <v>22000</v>
      </c>
      <c r="AK138" s="7">
        <f t="shared" si="61"/>
        <v>98837</v>
      </c>
      <c r="AL138" s="7">
        <f t="shared" si="61"/>
        <v>64912</v>
      </c>
      <c r="AM138" s="7">
        <f t="shared" si="61"/>
        <v>3575</v>
      </c>
      <c r="AN138" s="7">
        <f t="shared" si="61"/>
        <v>0</v>
      </c>
      <c r="AO138" s="7">
        <f t="shared" si="61"/>
        <v>0</v>
      </c>
      <c r="AP138" s="7">
        <f>SUM(AP139:AP220,AP224:AP229)</f>
        <v>1543543</v>
      </c>
      <c r="AQ138" s="7">
        <f>SUM(AQ139:AQ220,AQ224:AQ229,)</f>
        <v>16016</v>
      </c>
      <c r="AR138" s="7">
        <f>SUM(AR139:AR220,AR224:AR229)</f>
        <v>19422</v>
      </c>
      <c r="AS138" s="7">
        <f t="shared" ref="AS138:AY138" si="62">SUM(AS139:AS220,AS224:AS229,)</f>
        <v>3406</v>
      </c>
      <c r="AT138" s="7">
        <f t="shared" si="62"/>
        <v>641</v>
      </c>
      <c r="AU138" s="7">
        <f t="shared" si="62"/>
        <v>2765</v>
      </c>
      <c r="AV138" s="7">
        <f t="shared" si="62"/>
        <v>0</v>
      </c>
      <c r="AW138" s="7">
        <f t="shared" si="62"/>
        <v>0</v>
      </c>
      <c r="AX138" s="7">
        <f t="shared" si="62"/>
        <v>0</v>
      </c>
      <c r="AY138" s="7">
        <f t="shared" si="62"/>
        <v>0</v>
      </c>
      <c r="AZ138" s="11"/>
      <c r="BA138" s="107"/>
    </row>
    <row r="139" spans="1:53" ht="13.5" thickTop="1" x14ac:dyDescent="0.2">
      <c r="A139" s="167">
        <v>90000056357</v>
      </c>
      <c r="B139" s="225"/>
      <c r="C139" s="515" t="s">
        <v>5</v>
      </c>
      <c r="D139" s="516"/>
      <c r="E139" s="428" t="s">
        <v>239</v>
      </c>
      <c r="F139" s="305">
        <v>405761</v>
      </c>
      <c r="G139" s="100">
        <f t="shared" ref="G139:G173" si="63">SUM(I139,Y139,AH139,AP139,AR139)</f>
        <v>405761</v>
      </c>
      <c r="H139" s="305">
        <f>405761</f>
        <v>405761</v>
      </c>
      <c r="I139" s="97">
        <f t="shared" ref="I139:I205" si="64">H139+J139</f>
        <v>405761</v>
      </c>
      <c r="J139" s="100">
        <f t="shared" ref="J139:J207" si="65">SUM(K139:W139)</f>
        <v>0</v>
      </c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>
        <f t="shared" ref="AH139:AH148" si="66">AI139+AG139</f>
        <v>0</v>
      </c>
      <c r="AI139" s="126">
        <f t="shared" ref="AI139:AI148" si="67">SUM(AJ139:AO139)</f>
        <v>0</v>
      </c>
      <c r="AJ139" s="126"/>
      <c r="AK139" s="126"/>
      <c r="AL139" s="126"/>
      <c r="AM139" s="126"/>
      <c r="AN139" s="126"/>
      <c r="AO139" s="126"/>
      <c r="AP139" s="126"/>
      <c r="AQ139" s="126"/>
      <c r="AR139" s="100"/>
      <c r="AS139" s="318"/>
      <c r="AT139" s="126"/>
      <c r="AU139" s="126"/>
      <c r="AV139" s="126"/>
      <c r="AW139" s="126"/>
      <c r="AX139" s="126"/>
      <c r="AY139" s="126"/>
      <c r="AZ139" s="237" t="s">
        <v>640</v>
      </c>
      <c r="BA139" s="218"/>
    </row>
    <row r="140" spans="1:53" s="216" customFormat="1" ht="24" x14ac:dyDescent="0.2">
      <c r="A140" s="167"/>
      <c r="B140" s="121"/>
      <c r="C140" s="156"/>
      <c r="D140" s="157"/>
      <c r="E140" s="227" t="s">
        <v>290</v>
      </c>
      <c r="F140" s="301">
        <v>500</v>
      </c>
      <c r="G140" s="97">
        <f t="shared" si="63"/>
        <v>1700</v>
      </c>
      <c r="H140" s="301">
        <f>500</f>
        <v>500</v>
      </c>
      <c r="I140" s="97">
        <f t="shared" si="64"/>
        <v>1700</v>
      </c>
      <c r="J140" s="97">
        <f t="shared" si="65"/>
        <v>1200</v>
      </c>
      <c r="K140" s="97">
        <v>1200</v>
      </c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>
        <f t="shared" si="66"/>
        <v>0</v>
      </c>
      <c r="AI140" s="125">
        <f t="shared" si="67"/>
        <v>0</v>
      </c>
      <c r="AJ140" s="125"/>
      <c r="AK140" s="125"/>
      <c r="AL140" s="125"/>
      <c r="AM140" s="125"/>
      <c r="AN140" s="125"/>
      <c r="AO140" s="125"/>
      <c r="AP140" s="125"/>
      <c r="AQ140" s="125"/>
      <c r="AR140" s="97"/>
      <c r="AS140" s="315"/>
      <c r="AT140" s="125"/>
      <c r="AU140" s="125"/>
      <c r="AV140" s="125"/>
      <c r="AW140" s="125"/>
      <c r="AX140" s="125"/>
      <c r="AY140" s="125"/>
      <c r="AZ140" s="98" t="s">
        <v>670</v>
      </c>
      <c r="BA140" s="105" t="s">
        <v>586</v>
      </c>
    </row>
    <row r="141" spans="1:53" s="216" customFormat="1" ht="24" x14ac:dyDescent="0.2">
      <c r="A141" s="167"/>
      <c r="B141" s="121"/>
      <c r="C141" s="156"/>
      <c r="D141" s="157"/>
      <c r="E141" s="227" t="s">
        <v>568</v>
      </c>
      <c r="F141" s="301">
        <v>30000</v>
      </c>
      <c r="G141" s="97">
        <f>SUM(I141,Y141,AH141,AP141,AR141)</f>
        <v>120022</v>
      </c>
      <c r="H141" s="301">
        <f>30000</f>
        <v>30000</v>
      </c>
      <c r="I141" s="97">
        <f t="shared" si="64"/>
        <v>120022</v>
      </c>
      <c r="J141" s="117">
        <f t="shared" si="65"/>
        <v>90022</v>
      </c>
      <c r="K141" s="117"/>
      <c r="L141" s="117"/>
      <c r="M141" s="117"/>
      <c r="N141" s="117"/>
      <c r="O141" s="117"/>
      <c r="P141" s="117"/>
      <c r="Q141" s="117"/>
      <c r="R141" s="117">
        <v>90022</v>
      </c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>
        <f t="shared" si="66"/>
        <v>0</v>
      </c>
      <c r="AI141" s="128">
        <f t="shared" si="67"/>
        <v>0</v>
      </c>
      <c r="AJ141" s="128"/>
      <c r="AK141" s="128"/>
      <c r="AL141" s="128"/>
      <c r="AM141" s="128"/>
      <c r="AN141" s="128"/>
      <c r="AO141" s="128"/>
      <c r="AP141" s="128"/>
      <c r="AQ141" s="128"/>
      <c r="AR141" s="117"/>
      <c r="AS141" s="317"/>
      <c r="AT141" s="128"/>
      <c r="AU141" s="128"/>
      <c r="AV141" s="128"/>
      <c r="AW141" s="128"/>
      <c r="AX141" s="128"/>
      <c r="AY141" s="128"/>
      <c r="AZ141" s="236" t="s">
        <v>641</v>
      </c>
      <c r="BA141" s="105" t="s">
        <v>586</v>
      </c>
    </row>
    <row r="142" spans="1:53" ht="28.5" customHeight="1" x14ac:dyDescent="0.2">
      <c r="A142" s="167"/>
      <c r="B142" s="121"/>
      <c r="C142" s="156"/>
      <c r="D142" s="157"/>
      <c r="E142" s="227" t="s">
        <v>340</v>
      </c>
      <c r="F142" s="301">
        <v>200000</v>
      </c>
      <c r="G142" s="97">
        <f t="shared" si="63"/>
        <v>200000</v>
      </c>
      <c r="H142" s="301">
        <f>200000</f>
        <v>200000</v>
      </c>
      <c r="I142" s="97">
        <f t="shared" si="64"/>
        <v>200000</v>
      </c>
      <c r="J142" s="117">
        <f t="shared" si="65"/>
        <v>0</v>
      </c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>
        <f t="shared" si="66"/>
        <v>0</v>
      </c>
      <c r="AI142" s="128">
        <f t="shared" si="67"/>
        <v>0</v>
      </c>
      <c r="AJ142" s="128"/>
      <c r="AK142" s="128"/>
      <c r="AL142" s="128"/>
      <c r="AM142" s="128"/>
      <c r="AN142" s="128"/>
      <c r="AO142" s="128"/>
      <c r="AP142" s="128"/>
      <c r="AQ142" s="128"/>
      <c r="AR142" s="117"/>
      <c r="AS142" s="317"/>
      <c r="AT142" s="128"/>
      <c r="AU142" s="128"/>
      <c r="AV142" s="128"/>
      <c r="AW142" s="128"/>
      <c r="AX142" s="128"/>
      <c r="AY142" s="128"/>
      <c r="AZ142" s="236" t="s">
        <v>412</v>
      </c>
      <c r="BA142" s="219" t="s">
        <v>367</v>
      </c>
    </row>
    <row r="143" spans="1:53" s="216" customFormat="1" ht="36" x14ac:dyDescent="0.2">
      <c r="A143" s="167"/>
      <c r="B143" s="119"/>
      <c r="C143" s="214"/>
      <c r="D143" s="215"/>
      <c r="E143" s="423" t="s">
        <v>564</v>
      </c>
      <c r="F143" s="302">
        <v>482620</v>
      </c>
      <c r="G143" s="84">
        <f t="shared" si="63"/>
        <v>520620</v>
      </c>
      <c r="H143" s="302">
        <f>482620</f>
        <v>482620</v>
      </c>
      <c r="I143" s="97">
        <f t="shared" si="64"/>
        <v>520620</v>
      </c>
      <c r="J143" s="84">
        <f t="shared" si="65"/>
        <v>38000</v>
      </c>
      <c r="K143" s="84">
        <v>8000</v>
      </c>
      <c r="L143" s="84"/>
      <c r="M143" s="84">
        <v>30000</v>
      </c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>
        <f t="shared" si="66"/>
        <v>0</v>
      </c>
      <c r="AI143" s="128">
        <f t="shared" si="67"/>
        <v>0</v>
      </c>
      <c r="AJ143" s="128"/>
      <c r="AK143" s="128"/>
      <c r="AL143" s="128"/>
      <c r="AM143" s="128"/>
      <c r="AN143" s="128"/>
      <c r="AO143" s="128"/>
      <c r="AP143" s="128"/>
      <c r="AQ143" s="128"/>
      <c r="AR143" s="117"/>
      <c r="AS143" s="317"/>
      <c r="AT143" s="128"/>
      <c r="AU143" s="128"/>
      <c r="AV143" s="128"/>
      <c r="AW143" s="128"/>
      <c r="AX143" s="128"/>
      <c r="AY143" s="128"/>
      <c r="AZ143" s="236" t="s">
        <v>411</v>
      </c>
      <c r="BA143" s="219" t="s">
        <v>584</v>
      </c>
    </row>
    <row r="144" spans="1:53" ht="38.25" customHeight="1" x14ac:dyDescent="0.2">
      <c r="A144" s="167"/>
      <c r="B144" s="121"/>
      <c r="C144" s="156"/>
      <c r="D144" s="157"/>
      <c r="E144" s="227" t="s">
        <v>565</v>
      </c>
      <c r="F144" s="301">
        <v>5150941</v>
      </c>
      <c r="G144" s="97">
        <f t="shared" si="63"/>
        <v>5200729</v>
      </c>
      <c r="H144" s="301">
        <f>5150941</f>
        <v>5150941</v>
      </c>
      <c r="I144" s="97">
        <f t="shared" si="64"/>
        <v>5200729</v>
      </c>
      <c r="J144" s="117">
        <f t="shared" si="65"/>
        <v>49788</v>
      </c>
      <c r="K144" s="117">
        <v>8000</v>
      </c>
      <c r="L144" s="117"/>
      <c r="M144" s="117">
        <v>45133</v>
      </c>
      <c r="N144" s="117"/>
      <c r="O144" s="117">
        <f>8336</f>
        <v>8336</v>
      </c>
      <c r="P144" s="117">
        <f>51708-47348</f>
        <v>4360</v>
      </c>
      <c r="Q144" s="117">
        <v>883</v>
      </c>
      <c r="R144" s="117">
        <v>-16924</v>
      </c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>
        <f t="shared" si="66"/>
        <v>0</v>
      </c>
      <c r="AI144" s="128">
        <f t="shared" si="67"/>
        <v>0</v>
      </c>
      <c r="AJ144" s="128"/>
      <c r="AK144" s="128"/>
      <c r="AL144" s="128"/>
      <c r="AM144" s="128"/>
      <c r="AN144" s="128"/>
      <c r="AO144" s="128"/>
      <c r="AP144" s="128"/>
      <c r="AQ144" s="128"/>
      <c r="AR144" s="117"/>
      <c r="AS144" s="317"/>
      <c r="AT144" s="128"/>
      <c r="AU144" s="128"/>
      <c r="AV144" s="128"/>
      <c r="AW144" s="128"/>
      <c r="AX144" s="128"/>
      <c r="AY144" s="128"/>
      <c r="AZ144" s="236" t="s">
        <v>691</v>
      </c>
      <c r="BA144" s="219" t="s">
        <v>584</v>
      </c>
    </row>
    <row r="145" spans="1:53" ht="51" customHeight="1" x14ac:dyDescent="0.2">
      <c r="A145" s="167"/>
      <c r="B145" s="119"/>
      <c r="C145" s="214"/>
      <c r="D145" s="215"/>
      <c r="E145" s="227" t="s">
        <v>566</v>
      </c>
      <c r="F145" s="304">
        <v>169902</v>
      </c>
      <c r="G145" s="117">
        <f t="shared" si="63"/>
        <v>254244</v>
      </c>
      <c r="H145" s="304">
        <f>169902</f>
        <v>169902</v>
      </c>
      <c r="I145" s="97">
        <f t="shared" si="64"/>
        <v>254244</v>
      </c>
      <c r="J145" s="117">
        <f t="shared" si="65"/>
        <v>84342</v>
      </c>
      <c r="K145" s="117">
        <v>4000</v>
      </c>
      <c r="L145" s="117"/>
      <c r="M145" s="117">
        <v>6000</v>
      </c>
      <c r="N145" s="117"/>
      <c r="O145" s="117">
        <f>-44479</f>
        <v>-44479</v>
      </c>
      <c r="P145" s="117">
        <f>25000</f>
        <v>25000</v>
      </c>
      <c r="Q145" s="117"/>
      <c r="R145" s="117">
        <f>16924+76897</f>
        <v>93821</v>
      </c>
      <c r="S145" s="117"/>
      <c r="T145" s="117"/>
      <c r="U145" s="117"/>
      <c r="V145" s="117"/>
      <c r="W145" s="117"/>
      <c r="X145" s="11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>
        <f t="shared" si="66"/>
        <v>0</v>
      </c>
      <c r="AI145" s="125">
        <f t="shared" si="67"/>
        <v>0</v>
      </c>
      <c r="AJ145" s="125"/>
      <c r="AK145" s="125"/>
      <c r="AL145" s="125"/>
      <c r="AM145" s="125"/>
      <c r="AN145" s="125"/>
      <c r="AO145" s="125"/>
      <c r="AP145" s="125"/>
      <c r="AQ145" s="125"/>
      <c r="AR145" s="97"/>
      <c r="AS145" s="315"/>
      <c r="AT145" s="125"/>
      <c r="AU145" s="125"/>
      <c r="AV145" s="125"/>
      <c r="AW145" s="125"/>
      <c r="AX145" s="125"/>
      <c r="AY145" s="125"/>
      <c r="AZ145" s="98" t="s">
        <v>642</v>
      </c>
      <c r="BA145" s="219" t="s">
        <v>584</v>
      </c>
    </row>
    <row r="146" spans="1:53" ht="48" x14ac:dyDescent="0.2">
      <c r="A146" s="167"/>
      <c r="B146" s="119"/>
      <c r="C146" s="214"/>
      <c r="D146" s="215"/>
      <c r="E146" s="429" t="s">
        <v>289</v>
      </c>
      <c r="F146" s="301">
        <v>147509</v>
      </c>
      <c r="G146" s="97">
        <f t="shared" si="63"/>
        <v>158136</v>
      </c>
      <c r="H146" s="301">
        <f>147509</f>
        <v>147509</v>
      </c>
      <c r="I146" s="97">
        <f t="shared" si="64"/>
        <v>158136</v>
      </c>
      <c r="J146" s="97">
        <f t="shared" si="65"/>
        <v>10627</v>
      </c>
      <c r="K146" s="97"/>
      <c r="L146" s="97"/>
      <c r="M146" s="97"/>
      <c r="N146" s="97"/>
      <c r="O146" s="97"/>
      <c r="P146" s="97"/>
      <c r="Q146" s="97"/>
      <c r="R146" s="97"/>
      <c r="S146" s="97"/>
      <c r="T146" s="97">
        <v>10627</v>
      </c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>
        <f t="shared" si="66"/>
        <v>0</v>
      </c>
      <c r="AI146" s="125">
        <f t="shared" si="67"/>
        <v>0</v>
      </c>
      <c r="AJ146" s="125"/>
      <c r="AK146" s="125"/>
      <c r="AL146" s="125"/>
      <c r="AM146" s="125"/>
      <c r="AN146" s="125"/>
      <c r="AO146" s="125"/>
      <c r="AP146" s="125"/>
      <c r="AQ146" s="125"/>
      <c r="AR146" s="97"/>
      <c r="AS146" s="315"/>
      <c r="AT146" s="125"/>
      <c r="AU146" s="125"/>
      <c r="AV146" s="125"/>
      <c r="AW146" s="125"/>
      <c r="AX146" s="125"/>
      <c r="AY146" s="125"/>
      <c r="AZ146" s="98" t="s">
        <v>643</v>
      </c>
      <c r="BA146" s="105" t="s">
        <v>586</v>
      </c>
    </row>
    <row r="147" spans="1:53" s="154" customFormat="1" ht="48" x14ac:dyDescent="0.2">
      <c r="A147" s="167"/>
      <c r="B147" s="119"/>
      <c r="C147" s="214"/>
      <c r="D147" s="215"/>
      <c r="E147" s="227" t="s">
        <v>597</v>
      </c>
      <c r="F147" s="301">
        <v>352537</v>
      </c>
      <c r="G147" s="97">
        <f t="shared" si="63"/>
        <v>352537</v>
      </c>
      <c r="H147" s="301">
        <f>352537</f>
        <v>352537</v>
      </c>
      <c r="I147" s="97">
        <f t="shared" si="64"/>
        <v>352537</v>
      </c>
      <c r="J147" s="97">
        <f t="shared" si="65"/>
        <v>0</v>
      </c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>
        <f t="shared" si="66"/>
        <v>0</v>
      </c>
      <c r="AI147" s="125">
        <f t="shared" si="67"/>
        <v>0</v>
      </c>
      <c r="AJ147" s="125"/>
      <c r="AK147" s="125"/>
      <c r="AL147" s="125"/>
      <c r="AM147" s="125"/>
      <c r="AN147" s="125"/>
      <c r="AO147" s="125"/>
      <c r="AP147" s="125"/>
      <c r="AQ147" s="125"/>
      <c r="AR147" s="97"/>
      <c r="AS147" s="315"/>
      <c r="AT147" s="125"/>
      <c r="AU147" s="125"/>
      <c r="AV147" s="125"/>
      <c r="AW147" s="125"/>
      <c r="AX147" s="125"/>
      <c r="AY147" s="125"/>
      <c r="AZ147" s="98" t="s">
        <v>644</v>
      </c>
      <c r="BA147" s="105" t="s">
        <v>594</v>
      </c>
    </row>
    <row r="148" spans="1:53" s="277" customFormat="1" ht="24" x14ac:dyDescent="0.2">
      <c r="A148" s="167"/>
      <c r="B148" s="119"/>
      <c r="C148" s="275"/>
      <c r="D148" s="276"/>
      <c r="E148" s="227" t="s">
        <v>727</v>
      </c>
      <c r="F148" s="301"/>
      <c r="G148" s="97">
        <f t="shared" si="63"/>
        <v>797</v>
      </c>
      <c r="H148" s="301"/>
      <c r="I148" s="97">
        <f>H148+J148</f>
        <v>797</v>
      </c>
      <c r="J148" s="97">
        <f t="shared" si="65"/>
        <v>797</v>
      </c>
      <c r="K148" s="97"/>
      <c r="L148" s="97"/>
      <c r="M148" s="97"/>
      <c r="N148" s="97">
        <v>797</v>
      </c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>
        <f t="shared" si="66"/>
        <v>0</v>
      </c>
      <c r="AI148" s="125">
        <f t="shared" si="67"/>
        <v>0</v>
      </c>
      <c r="AJ148" s="125"/>
      <c r="AK148" s="125"/>
      <c r="AL148" s="125"/>
      <c r="AM148" s="125"/>
      <c r="AN148" s="125"/>
      <c r="AO148" s="125"/>
      <c r="AP148" s="125"/>
      <c r="AQ148" s="125"/>
      <c r="AR148" s="97"/>
      <c r="AS148" s="315"/>
      <c r="AT148" s="125"/>
      <c r="AU148" s="125"/>
      <c r="AV148" s="125"/>
      <c r="AW148" s="125"/>
      <c r="AX148" s="125"/>
      <c r="AY148" s="125"/>
      <c r="AZ148" s="98" t="s">
        <v>728</v>
      </c>
      <c r="BA148" s="105"/>
    </row>
    <row r="149" spans="1:53" s="457" customFormat="1" ht="12.75" x14ac:dyDescent="0.2">
      <c r="A149" s="167"/>
      <c r="B149" s="119"/>
      <c r="C149" s="455"/>
      <c r="D149" s="456"/>
      <c r="E149" s="227" t="s">
        <v>777</v>
      </c>
      <c r="F149" s="301"/>
      <c r="G149" s="97">
        <f t="shared" si="63"/>
        <v>4000</v>
      </c>
      <c r="H149" s="301"/>
      <c r="I149" s="97">
        <f>H149+J149</f>
        <v>4000</v>
      </c>
      <c r="J149" s="97">
        <f t="shared" si="65"/>
        <v>4000</v>
      </c>
      <c r="K149" s="97"/>
      <c r="L149" s="97"/>
      <c r="M149" s="97"/>
      <c r="N149" s="97"/>
      <c r="O149" s="97"/>
      <c r="P149" s="97"/>
      <c r="Q149" s="97">
        <v>4000</v>
      </c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>
        <f t="shared" ref="AH149:AH158" si="68">AI149+AG149</f>
        <v>0</v>
      </c>
      <c r="AI149" s="125">
        <f t="shared" ref="AI149:AI158" si="69">SUM(AJ149:AO149)</f>
        <v>0</v>
      </c>
      <c r="AJ149" s="125"/>
      <c r="AK149" s="125"/>
      <c r="AL149" s="125"/>
      <c r="AM149" s="125"/>
      <c r="AN149" s="125"/>
      <c r="AO149" s="125"/>
      <c r="AP149" s="125"/>
      <c r="AQ149" s="125"/>
      <c r="AR149" s="97"/>
      <c r="AS149" s="315"/>
      <c r="AT149" s="125"/>
      <c r="AU149" s="125"/>
      <c r="AV149" s="125"/>
      <c r="AW149" s="125"/>
      <c r="AX149" s="125"/>
      <c r="AY149" s="125"/>
      <c r="AZ149" s="98" t="s">
        <v>778</v>
      </c>
      <c r="BA149" s="105"/>
    </row>
    <row r="150" spans="1:53" s="457" customFormat="1" ht="36" x14ac:dyDescent="0.2">
      <c r="A150" s="167"/>
      <c r="B150" s="119"/>
      <c r="C150" s="455"/>
      <c r="D150" s="456"/>
      <c r="E150" s="227" t="s">
        <v>779</v>
      </c>
      <c r="F150" s="301"/>
      <c r="G150" s="97">
        <f t="shared" si="63"/>
        <v>2656</v>
      </c>
      <c r="H150" s="301"/>
      <c r="I150" s="97">
        <f>H150+J150</f>
        <v>2656</v>
      </c>
      <c r="J150" s="97">
        <f t="shared" si="65"/>
        <v>2656</v>
      </c>
      <c r="K150" s="97"/>
      <c r="L150" s="97"/>
      <c r="M150" s="97"/>
      <c r="N150" s="97"/>
      <c r="O150" s="97"/>
      <c r="P150" s="97"/>
      <c r="Q150" s="97"/>
      <c r="R150" s="97">
        <v>2656</v>
      </c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>
        <f t="shared" si="68"/>
        <v>0</v>
      </c>
      <c r="AI150" s="125">
        <f t="shared" si="69"/>
        <v>0</v>
      </c>
      <c r="AJ150" s="125"/>
      <c r="AK150" s="125"/>
      <c r="AL150" s="125"/>
      <c r="AM150" s="125"/>
      <c r="AN150" s="125"/>
      <c r="AO150" s="125"/>
      <c r="AP150" s="125"/>
      <c r="AQ150" s="125"/>
      <c r="AR150" s="97"/>
      <c r="AS150" s="315"/>
      <c r="AT150" s="125"/>
      <c r="AU150" s="125"/>
      <c r="AV150" s="125"/>
      <c r="AW150" s="125"/>
      <c r="AX150" s="125"/>
      <c r="AY150" s="125"/>
      <c r="AZ150" s="98" t="s">
        <v>780</v>
      </c>
      <c r="BA150" s="105"/>
    </row>
    <row r="151" spans="1:53" ht="24" x14ac:dyDescent="0.2">
      <c r="A151" s="167">
        <v>90000051665</v>
      </c>
      <c r="B151" s="119"/>
      <c r="C151" s="486" t="s">
        <v>362</v>
      </c>
      <c r="D151" s="487"/>
      <c r="E151" s="227" t="s">
        <v>308</v>
      </c>
      <c r="F151" s="301">
        <v>644899</v>
      </c>
      <c r="G151" s="97">
        <f t="shared" si="63"/>
        <v>649661</v>
      </c>
      <c r="H151" s="301">
        <f>435917</f>
        <v>435917</v>
      </c>
      <c r="I151" s="97">
        <f t="shared" si="64"/>
        <v>435917</v>
      </c>
      <c r="J151" s="97">
        <f t="shared" si="65"/>
        <v>0</v>
      </c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>
        <f>191082</f>
        <v>191082</v>
      </c>
      <c r="Y151" s="97">
        <f>X151+Z151</f>
        <v>194801</v>
      </c>
      <c r="Z151" s="97">
        <f>SUM(AA151:AF151)</f>
        <v>3719</v>
      </c>
      <c r="AA151" s="97">
        <f>3719</f>
        <v>3719</v>
      </c>
      <c r="AB151" s="97"/>
      <c r="AC151" s="97"/>
      <c r="AD151" s="97"/>
      <c r="AE151" s="97"/>
      <c r="AF151" s="97"/>
      <c r="AG151" s="97">
        <f>17900</f>
        <v>17900</v>
      </c>
      <c r="AH151" s="97">
        <f t="shared" si="68"/>
        <v>18943</v>
      </c>
      <c r="AI151" s="125">
        <f t="shared" si="69"/>
        <v>1043</v>
      </c>
      <c r="AJ151" s="125"/>
      <c r="AK151" s="125">
        <v>1043</v>
      </c>
      <c r="AL151" s="125"/>
      <c r="AM151" s="125"/>
      <c r="AN151" s="125"/>
      <c r="AO151" s="125"/>
      <c r="AP151" s="125"/>
      <c r="AQ151" s="125"/>
      <c r="AR151" s="97"/>
      <c r="AS151" s="315"/>
      <c r="AT151" s="125"/>
      <c r="AU151" s="125"/>
      <c r="AV151" s="125"/>
      <c r="AW151" s="125"/>
      <c r="AX151" s="125"/>
      <c r="AY151" s="125"/>
      <c r="AZ151" s="98" t="s">
        <v>413</v>
      </c>
      <c r="BA151" s="105"/>
    </row>
    <row r="152" spans="1:53" ht="12.75" x14ac:dyDescent="0.2">
      <c r="A152" s="167"/>
      <c r="B152" s="119"/>
      <c r="C152" s="172"/>
      <c r="D152" s="173"/>
      <c r="E152" s="227" t="s">
        <v>347</v>
      </c>
      <c r="F152" s="301">
        <v>57557</v>
      </c>
      <c r="G152" s="97">
        <f t="shared" si="63"/>
        <v>60503</v>
      </c>
      <c r="H152" s="301">
        <f>43215</f>
        <v>43215</v>
      </c>
      <c r="I152" s="97">
        <f t="shared" si="64"/>
        <v>43215</v>
      </c>
      <c r="J152" s="97">
        <f t="shared" si="65"/>
        <v>0</v>
      </c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>
        <f>14342</f>
        <v>14342</v>
      </c>
      <c r="Y152" s="97">
        <f>X152+Z152</f>
        <v>17288</v>
      </c>
      <c r="Z152" s="97">
        <f t="shared" ref="Z152:Z212" si="70">SUM(AA152:AF152)</f>
        <v>2946</v>
      </c>
      <c r="AA152" s="97">
        <v>2946</v>
      </c>
      <c r="AB152" s="97"/>
      <c r="AC152" s="97"/>
      <c r="AD152" s="97"/>
      <c r="AE152" s="97"/>
      <c r="AF152" s="97"/>
      <c r="AG152" s="97"/>
      <c r="AH152" s="97">
        <f t="shared" si="68"/>
        <v>0</v>
      </c>
      <c r="AI152" s="125">
        <f t="shared" si="69"/>
        <v>0</v>
      </c>
      <c r="AJ152" s="125"/>
      <c r="AK152" s="125"/>
      <c r="AL152" s="125"/>
      <c r="AM152" s="125"/>
      <c r="AN152" s="125"/>
      <c r="AO152" s="125"/>
      <c r="AP152" s="125"/>
      <c r="AQ152" s="125"/>
      <c r="AR152" s="97"/>
      <c r="AS152" s="315"/>
      <c r="AT152" s="125"/>
      <c r="AU152" s="125"/>
      <c r="AV152" s="125"/>
      <c r="AW152" s="125"/>
      <c r="AX152" s="125"/>
      <c r="AY152" s="125"/>
      <c r="AZ152" s="98" t="s">
        <v>414</v>
      </c>
      <c r="BA152" s="105"/>
    </row>
    <row r="153" spans="1:53" ht="36" customHeight="1" x14ac:dyDescent="0.2">
      <c r="A153" s="167">
        <v>90000051561</v>
      </c>
      <c r="B153" s="119"/>
      <c r="C153" s="486" t="s">
        <v>684</v>
      </c>
      <c r="D153" s="487"/>
      <c r="E153" s="227" t="s">
        <v>308</v>
      </c>
      <c r="F153" s="301">
        <v>564818</v>
      </c>
      <c r="G153" s="97">
        <f t="shared" si="63"/>
        <v>572243</v>
      </c>
      <c r="H153" s="301">
        <f>294044</f>
        <v>294044</v>
      </c>
      <c r="I153" s="97">
        <f t="shared" si="64"/>
        <v>295179</v>
      </c>
      <c r="J153" s="97">
        <f t="shared" si="65"/>
        <v>1135</v>
      </c>
      <c r="K153" s="97"/>
      <c r="L153" s="97"/>
      <c r="M153" s="97"/>
      <c r="N153" s="97">
        <f>1135</f>
        <v>1135</v>
      </c>
      <c r="O153" s="97"/>
      <c r="P153" s="97"/>
      <c r="Q153" s="97"/>
      <c r="R153" s="97"/>
      <c r="S153" s="97"/>
      <c r="T153" s="97"/>
      <c r="U153" s="97"/>
      <c r="V153" s="97"/>
      <c r="W153" s="97"/>
      <c r="X153" s="97">
        <f>253606</f>
        <v>253606</v>
      </c>
      <c r="Y153" s="97">
        <f>X153+Z153</f>
        <v>258312</v>
      </c>
      <c r="Z153" s="97">
        <f t="shared" si="70"/>
        <v>4706</v>
      </c>
      <c r="AA153" s="97">
        <f>4706</f>
        <v>4706</v>
      </c>
      <c r="AB153" s="97"/>
      <c r="AC153" s="97"/>
      <c r="AD153" s="97"/>
      <c r="AE153" s="97"/>
      <c r="AF153" s="97"/>
      <c r="AG153" s="97">
        <f>16300</f>
        <v>16300</v>
      </c>
      <c r="AH153" s="97">
        <f t="shared" si="68"/>
        <v>17796</v>
      </c>
      <c r="AI153" s="125">
        <f t="shared" si="69"/>
        <v>1496</v>
      </c>
      <c r="AJ153" s="125"/>
      <c r="AK153" s="125">
        <f>1496</f>
        <v>1496</v>
      </c>
      <c r="AL153" s="125"/>
      <c r="AM153" s="125"/>
      <c r="AN153" s="125"/>
      <c r="AO153" s="125"/>
      <c r="AP153" s="125"/>
      <c r="AQ153" s="125">
        <f>868</f>
        <v>868</v>
      </c>
      <c r="AR153" s="97">
        <f>AQ153+AS153</f>
        <v>956</v>
      </c>
      <c r="AS153" s="315">
        <f>SUM(AT153:AY153)</f>
        <v>88</v>
      </c>
      <c r="AT153" s="125">
        <v>88</v>
      </c>
      <c r="AU153" s="125"/>
      <c r="AV153" s="125"/>
      <c r="AW153" s="125"/>
      <c r="AX153" s="125"/>
      <c r="AY153" s="125"/>
      <c r="AZ153" s="98" t="s">
        <v>415</v>
      </c>
      <c r="BA153" s="105"/>
    </row>
    <row r="154" spans="1:53" ht="12.75" x14ac:dyDescent="0.2">
      <c r="A154" s="167"/>
      <c r="B154" s="119"/>
      <c r="C154" s="172"/>
      <c r="D154" s="173"/>
      <c r="E154" s="227" t="s">
        <v>347</v>
      </c>
      <c r="F154" s="301">
        <v>63399</v>
      </c>
      <c r="G154" s="97">
        <f t="shared" si="63"/>
        <v>67994</v>
      </c>
      <c r="H154" s="301">
        <f>45314</f>
        <v>45314</v>
      </c>
      <c r="I154" s="97">
        <f t="shared" si="64"/>
        <v>45314</v>
      </c>
      <c r="J154" s="97">
        <f t="shared" si="65"/>
        <v>0</v>
      </c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>
        <f>18085</f>
        <v>18085</v>
      </c>
      <c r="Y154" s="97">
        <f>X154+Z154</f>
        <v>22680</v>
      </c>
      <c r="Z154" s="97">
        <f t="shared" si="70"/>
        <v>4595</v>
      </c>
      <c r="AA154" s="97">
        <v>4595</v>
      </c>
      <c r="AB154" s="97"/>
      <c r="AC154" s="97"/>
      <c r="AD154" s="97"/>
      <c r="AE154" s="97"/>
      <c r="AF154" s="97"/>
      <c r="AG154" s="97"/>
      <c r="AH154" s="97">
        <f t="shared" si="68"/>
        <v>0</v>
      </c>
      <c r="AI154" s="125">
        <f t="shared" si="69"/>
        <v>0</v>
      </c>
      <c r="AJ154" s="125"/>
      <c r="AK154" s="125"/>
      <c r="AL154" s="125"/>
      <c r="AM154" s="125"/>
      <c r="AN154" s="125"/>
      <c r="AO154" s="125"/>
      <c r="AP154" s="125"/>
      <c r="AQ154" s="125"/>
      <c r="AR154" s="97"/>
      <c r="AS154" s="315"/>
      <c r="AT154" s="125"/>
      <c r="AU154" s="125"/>
      <c r="AV154" s="125"/>
      <c r="AW154" s="125"/>
      <c r="AX154" s="125"/>
      <c r="AY154" s="125"/>
      <c r="AZ154" s="98" t="s">
        <v>416</v>
      </c>
      <c r="BA154" s="105"/>
    </row>
    <row r="155" spans="1:53" s="286" customFormat="1" ht="12.75" x14ac:dyDescent="0.2">
      <c r="A155" s="167"/>
      <c r="B155" s="119"/>
      <c r="C155" s="284"/>
      <c r="D155" s="285"/>
      <c r="E155" s="227" t="s">
        <v>733</v>
      </c>
      <c r="F155" s="301"/>
      <c r="G155" s="97">
        <f t="shared" si="63"/>
        <v>144</v>
      </c>
      <c r="H155" s="301"/>
      <c r="I155" s="97">
        <f t="shared" si="64"/>
        <v>144</v>
      </c>
      <c r="J155" s="97">
        <f t="shared" si="65"/>
        <v>144</v>
      </c>
      <c r="K155" s="97"/>
      <c r="L155" s="97"/>
      <c r="M155" s="97"/>
      <c r="N155" s="97">
        <v>144</v>
      </c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>
        <f t="shared" si="68"/>
        <v>0</v>
      </c>
      <c r="AI155" s="125">
        <f t="shared" si="69"/>
        <v>0</v>
      </c>
      <c r="AJ155" s="125"/>
      <c r="AK155" s="125"/>
      <c r="AL155" s="125"/>
      <c r="AM155" s="125"/>
      <c r="AN155" s="125"/>
      <c r="AO155" s="125"/>
      <c r="AP155" s="125"/>
      <c r="AQ155" s="125"/>
      <c r="AR155" s="97"/>
      <c r="AS155" s="315"/>
      <c r="AT155" s="125"/>
      <c r="AU155" s="125"/>
      <c r="AV155" s="125"/>
      <c r="AW155" s="125"/>
      <c r="AX155" s="125"/>
      <c r="AY155" s="125"/>
      <c r="AZ155" s="98"/>
      <c r="BA155" s="105"/>
    </row>
    <row r="156" spans="1:53" ht="36" x14ac:dyDescent="0.2">
      <c r="A156" s="167">
        <v>90009226256</v>
      </c>
      <c r="B156" s="119"/>
      <c r="C156" s="486" t="s">
        <v>194</v>
      </c>
      <c r="D156" s="487"/>
      <c r="E156" s="227" t="s">
        <v>501</v>
      </c>
      <c r="F156" s="301">
        <v>285810</v>
      </c>
      <c r="G156" s="97">
        <f t="shared" si="63"/>
        <v>292985</v>
      </c>
      <c r="H156" s="301">
        <f>222184</f>
        <v>222184</v>
      </c>
      <c r="I156" s="97">
        <f t="shared" si="64"/>
        <v>223119</v>
      </c>
      <c r="J156" s="97">
        <f t="shared" si="65"/>
        <v>935</v>
      </c>
      <c r="K156" s="97"/>
      <c r="L156" s="97"/>
      <c r="M156" s="97"/>
      <c r="N156" s="97"/>
      <c r="O156" s="97"/>
      <c r="P156" s="97">
        <f>935</f>
        <v>935</v>
      </c>
      <c r="Q156" s="97"/>
      <c r="R156" s="97"/>
      <c r="S156" s="97"/>
      <c r="T156" s="97"/>
      <c r="U156" s="97"/>
      <c r="V156" s="97"/>
      <c r="W156" s="97"/>
      <c r="X156" s="97">
        <f>56387</f>
        <v>56387</v>
      </c>
      <c r="Y156" s="97">
        <f>X156+Z156</f>
        <v>56387</v>
      </c>
      <c r="Z156" s="97">
        <f t="shared" si="70"/>
        <v>0</v>
      </c>
      <c r="AA156" s="97"/>
      <c r="AB156" s="97"/>
      <c r="AC156" s="97"/>
      <c r="AD156" s="97"/>
      <c r="AE156" s="97"/>
      <c r="AF156" s="97"/>
      <c r="AG156" s="97">
        <f>7239</f>
        <v>7239</v>
      </c>
      <c r="AH156" s="97">
        <f t="shared" si="68"/>
        <v>13479</v>
      </c>
      <c r="AI156" s="125">
        <f t="shared" si="69"/>
        <v>6240</v>
      </c>
      <c r="AJ156" s="125"/>
      <c r="AK156" s="125"/>
      <c r="AL156" s="125">
        <f>2665</f>
        <v>2665</v>
      </c>
      <c r="AM156" s="125">
        <v>3575</v>
      </c>
      <c r="AN156" s="125"/>
      <c r="AO156" s="125"/>
      <c r="AP156" s="125"/>
      <c r="AQ156" s="125"/>
      <c r="AR156" s="97"/>
      <c r="AS156" s="315"/>
      <c r="AT156" s="125"/>
      <c r="AU156" s="125"/>
      <c r="AV156" s="125"/>
      <c r="AW156" s="125"/>
      <c r="AX156" s="125"/>
      <c r="AY156" s="125"/>
      <c r="AZ156" s="98" t="s">
        <v>417</v>
      </c>
      <c r="BA156" s="105"/>
    </row>
    <row r="157" spans="1:53" s="154" customFormat="1" ht="24" x14ac:dyDescent="0.2">
      <c r="A157" s="171"/>
      <c r="B157" s="119"/>
      <c r="C157" s="152"/>
      <c r="D157" s="153"/>
      <c r="E157" s="227" t="s">
        <v>502</v>
      </c>
      <c r="F157" s="301">
        <v>2600</v>
      </c>
      <c r="G157" s="97">
        <f t="shared" si="63"/>
        <v>2600</v>
      </c>
      <c r="H157" s="301">
        <f>2600</f>
        <v>2600</v>
      </c>
      <c r="I157" s="97">
        <f t="shared" si="64"/>
        <v>2600</v>
      </c>
      <c r="J157" s="97">
        <f t="shared" si="65"/>
        <v>0</v>
      </c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>
        <f t="shared" si="68"/>
        <v>0</v>
      </c>
      <c r="AI157" s="125">
        <f t="shared" si="69"/>
        <v>0</v>
      </c>
      <c r="AJ157" s="125"/>
      <c r="AK157" s="125"/>
      <c r="AL157" s="125"/>
      <c r="AM157" s="125"/>
      <c r="AN157" s="125"/>
      <c r="AO157" s="125"/>
      <c r="AP157" s="125"/>
      <c r="AQ157" s="125"/>
      <c r="AR157" s="97"/>
      <c r="AS157" s="315"/>
      <c r="AT157" s="125"/>
      <c r="AU157" s="125"/>
      <c r="AV157" s="125"/>
      <c r="AW157" s="125"/>
      <c r="AX157" s="125"/>
      <c r="AY157" s="125"/>
      <c r="AZ157" s="98" t="s">
        <v>418</v>
      </c>
      <c r="BA157" s="105"/>
    </row>
    <row r="158" spans="1:53" s="154" customFormat="1" ht="24" x14ac:dyDescent="0.2">
      <c r="A158" s="171"/>
      <c r="B158" s="119"/>
      <c r="C158" s="152"/>
      <c r="D158" s="153"/>
      <c r="E158" s="227" t="s">
        <v>355</v>
      </c>
      <c r="F158" s="301">
        <v>5760</v>
      </c>
      <c r="G158" s="97">
        <f t="shared" si="63"/>
        <v>5760</v>
      </c>
      <c r="H158" s="301">
        <f>5760</f>
        <v>5760</v>
      </c>
      <c r="I158" s="97">
        <f t="shared" si="64"/>
        <v>5760</v>
      </c>
      <c r="J158" s="97">
        <f t="shared" si="65"/>
        <v>0</v>
      </c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>
        <f t="shared" si="68"/>
        <v>0</v>
      </c>
      <c r="AI158" s="125">
        <f t="shared" si="69"/>
        <v>0</v>
      </c>
      <c r="AJ158" s="125"/>
      <c r="AK158" s="125"/>
      <c r="AL158" s="125"/>
      <c r="AM158" s="125"/>
      <c r="AN158" s="125"/>
      <c r="AO158" s="125"/>
      <c r="AP158" s="125"/>
      <c r="AQ158" s="125"/>
      <c r="AR158" s="97"/>
      <c r="AS158" s="315"/>
      <c r="AT158" s="125"/>
      <c r="AU158" s="125"/>
      <c r="AV158" s="125"/>
      <c r="AW158" s="125"/>
      <c r="AX158" s="125"/>
      <c r="AY158" s="125"/>
      <c r="AZ158" s="98" t="s">
        <v>419</v>
      </c>
      <c r="BA158" s="105"/>
    </row>
    <row r="159" spans="1:53" s="457" customFormat="1" ht="36" x14ac:dyDescent="0.2">
      <c r="A159" s="167"/>
      <c r="B159" s="119"/>
      <c r="C159" s="455"/>
      <c r="D159" s="456"/>
      <c r="E159" s="227" t="s">
        <v>774</v>
      </c>
      <c r="F159" s="301"/>
      <c r="G159" s="97">
        <f t="shared" si="63"/>
        <v>1509</v>
      </c>
      <c r="H159" s="301"/>
      <c r="I159" s="97">
        <f>H159+J159</f>
        <v>1509</v>
      </c>
      <c r="J159" s="97">
        <f>SUM(K159:W159)</f>
        <v>1509</v>
      </c>
      <c r="K159" s="97"/>
      <c r="L159" s="97"/>
      <c r="M159" s="97"/>
      <c r="N159" s="97"/>
      <c r="O159" s="97"/>
      <c r="P159" s="97"/>
      <c r="Q159" s="97"/>
      <c r="R159" s="97">
        <v>1509</v>
      </c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97"/>
      <c r="AS159" s="315"/>
      <c r="AT159" s="125"/>
      <c r="AU159" s="125"/>
      <c r="AV159" s="125"/>
      <c r="AW159" s="125"/>
      <c r="AX159" s="125"/>
      <c r="AY159" s="125"/>
      <c r="AZ159" s="98" t="s">
        <v>775</v>
      </c>
      <c r="BA159" s="105"/>
    </row>
    <row r="160" spans="1:53" ht="41.25" customHeight="1" x14ac:dyDescent="0.2">
      <c r="A160" s="167">
        <v>90000051487</v>
      </c>
      <c r="B160" s="119"/>
      <c r="C160" s="486" t="s">
        <v>173</v>
      </c>
      <c r="D160" s="487"/>
      <c r="E160" s="227" t="s">
        <v>308</v>
      </c>
      <c r="F160" s="301">
        <v>873953</v>
      </c>
      <c r="G160" s="97">
        <f t="shared" si="63"/>
        <v>885969</v>
      </c>
      <c r="H160" s="301">
        <f>372998</f>
        <v>372998</v>
      </c>
      <c r="I160" s="97">
        <f t="shared" si="64"/>
        <v>374133</v>
      </c>
      <c r="J160" s="97">
        <f t="shared" si="65"/>
        <v>1135</v>
      </c>
      <c r="K160" s="97"/>
      <c r="L160" s="97"/>
      <c r="M160" s="97"/>
      <c r="N160" s="97">
        <v>1135</v>
      </c>
      <c r="O160" s="97"/>
      <c r="P160" s="97"/>
      <c r="Q160" s="97"/>
      <c r="R160" s="97"/>
      <c r="S160" s="97"/>
      <c r="T160" s="97"/>
      <c r="U160" s="97"/>
      <c r="V160" s="97"/>
      <c r="W160" s="97"/>
      <c r="X160" s="97">
        <f>485309</f>
        <v>485309</v>
      </c>
      <c r="Y160" s="97">
        <f>X160+Z160</f>
        <v>490594</v>
      </c>
      <c r="Z160" s="97">
        <f t="shared" si="70"/>
        <v>5285</v>
      </c>
      <c r="AA160" s="97">
        <f>5977</f>
        <v>5977</v>
      </c>
      <c r="AB160" s="97"/>
      <c r="AC160" s="97">
        <v>-692</v>
      </c>
      <c r="AD160" s="97"/>
      <c r="AE160" s="97"/>
      <c r="AF160" s="97"/>
      <c r="AG160" s="97">
        <f>15646</f>
        <v>15646</v>
      </c>
      <c r="AH160" s="97">
        <f>AI160+AG160</f>
        <v>21242</v>
      </c>
      <c r="AI160" s="125">
        <f t="shared" ref="AI160:AI191" si="71">SUM(AJ160:AO160)</f>
        <v>5596</v>
      </c>
      <c r="AJ160" s="125"/>
      <c r="AK160" s="125">
        <f>5596</f>
        <v>5596</v>
      </c>
      <c r="AL160" s="125"/>
      <c r="AM160" s="125"/>
      <c r="AN160" s="125"/>
      <c r="AO160" s="125"/>
      <c r="AP160" s="125"/>
      <c r="AQ160" s="125"/>
      <c r="AR160" s="97"/>
      <c r="AS160" s="315"/>
      <c r="AT160" s="125"/>
      <c r="AU160" s="125"/>
      <c r="AV160" s="125"/>
      <c r="AW160" s="125"/>
      <c r="AX160" s="125"/>
      <c r="AY160" s="125"/>
      <c r="AZ160" s="98" t="s">
        <v>420</v>
      </c>
      <c r="BA160" s="105"/>
    </row>
    <row r="161" spans="1:53" s="166" customFormat="1" ht="36" x14ac:dyDescent="0.2">
      <c r="A161" s="167"/>
      <c r="B161" s="119"/>
      <c r="C161" s="168"/>
      <c r="D161" s="169"/>
      <c r="E161" s="227" t="s">
        <v>503</v>
      </c>
      <c r="F161" s="301">
        <v>1423</v>
      </c>
      <c r="G161" s="97">
        <f t="shared" si="63"/>
        <v>1423</v>
      </c>
      <c r="H161" s="301">
        <v>0</v>
      </c>
      <c r="I161" s="97">
        <f t="shared" si="64"/>
        <v>0</v>
      </c>
      <c r="J161" s="97">
        <f t="shared" si="65"/>
        <v>0</v>
      </c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>
        <f>1423</f>
        <v>1423</v>
      </c>
      <c r="Y161" s="97">
        <f>X161+Z161</f>
        <v>1423</v>
      </c>
      <c r="Z161" s="97">
        <f t="shared" si="70"/>
        <v>0</v>
      </c>
      <c r="AA161" s="97"/>
      <c r="AB161" s="97"/>
      <c r="AC161" s="97"/>
      <c r="AD161" s="97"/>
      <c r="AE161" s="97"/>
      <c r="AF161" s="97"/>
      <c r="AG161" s="97"/>
      <c r="AH161" s="97">
        <f>AI161+AG161</f>
        <v>0</v>
      </c>
      <c r="AI161" s="125">
        <f t="shared" si="71"/>
        <v>0</v>
      </c>
      <c r="AJ161" s="125"/>
      <c r="AK161" s="125"/>
      <c r="AL161" s="125"/>
      <c r="AM161" s="125"/>
      <c r="AN161" s="125"/>
      <c r="AO161" s="125"/>
      <c r="AP161" s="125"/>
      <c r="AQ161" s="125"/>
      <c r="AR161" s="97"/>
      <c r="AS161" s="315"/>
      <c r="AT161" s="125"/>
      <c r="AU161" s="125"/>
      <c r="AV161" s="125"/>
      <c r="AW161" s="125"/>
      <c r="AX161" s="125"/>
      <c r="AY161" s="125"/>
      <c r="AZ161" s="98" t="s">
        <v>421</v>
      </c>
      <c r="BA161" s="105"/>
    </row>
    <row r="162" spans="1:53" s="177" customFormat="1" ht="36" x14ac:dyDescent="0.2">
      <c r="A162" s="167"/>
      <c r="B162" s="119"/>
      <c r="C162" s="178"/>
      <c r="D162" s="179"/>
      <c r="E162" s="227" t="s">
        <v>506</v>
      </c>
      <c r="F162" s="301">
        <v>45940</v>
      </c>
      <c r="G162" s="97">
        <f t="shared" si="63"/>
        <v>46745</v>
      </c>
      <c r="H162" s="301">
        <f>45940</f>
        <v>45940</v>
      </c>
      <c r="I162" s="97">
        <f t="shared" si="64"/>
        <v>46745</v>
      </c>
      <c r="J162" s="97">
        <f t="shared" si="65"/>
        <v>805</v>
      </c>
      <c r="K162" s="97"/>
      <c r="L162" s="97"/>
      <c r="M162" s="97"/>
      <c r="N162" s="97">
        <f>805</f>
        <v>805</v>
      </c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>
        <f>AI162+AG162</f>
        <v>0</v>
      </c>
      <c r="AI162" s="125">
        <f t="shared" si="71"/>
        <v>0</v>
      </c>
      <c r="AJ162" s="125"/>
      <c r="AK162" s="125"/>
      <c r="AL162" s="125"/>
      <c r="AM162" s="125"/>
      <c r="AN162" s="125"/>
      <c r="AO162" s="125"/>
      <c r="AP162" s="125"/>
      <c r="AQ162" s="125"/>
      <c r="AR162" s="97"/>
      <c r="AS162" s="315"/>
      <c r="AT162" s="125"/>
      <c r="AU162" s="125"/>
      <c r="AV162" s="125"/>
      <c r="AW162" s="125"/>
      <c r="AX162" s="125"/>
      <c r="AY162" s="125"/>
      <c r="AZ162" s="98" t="s">
        <v>645</v>
      </c>
      <c r="BA162" s="105"/>
    </row>
    <row r="163" spans="1:53" s="150" customFormat="1" ht="12.75" x14ac:dyDescent="0.2">
      <c r="A163" s="167"/>
      <c r="B163" s="119"/>
      <c r="C163" s="172"/>
      <c r="D163" s="173"/>
      <c r="E163" s="227" t="s">
        <v>347</v>
      </c>
      <c r="F163" s="301">
        <v>81932</v>
      </c>
      <c r="G163" s="97">
        <f t="shared" si="63"/>
        <v>81932</v>
      </c>
      <c r="H163" s="301">
        <f>81932</f>
        <v>81932</v>
      </c>
      <c r="I163" s="97">
        <f t="shared" si="64"/>
        <v>81932</v>
      </c>
      <c r="J163" s="97">
        <f t="shared" si="65"/>
        <v>0</v>
      </c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>
        <f>AI163+AG163</f>
        <v>0</v>
      </c>
      <c r="AI163" s="125">
        <f t="shared" si="71"/>
        <v>0</v>
      </c>
      <c r="AJ163" s="125"/>
      <c r="AK163" s="125"/>
      <c r="AL163" s="125"/>
      <c r="AM163" s="125"/>
      <c r="AN163" s="125"/>
      <c r="AO163" s="125"/>
      <c r="AP163" s="125"/>
      <c r="AQ163" s="125"/>
      <c r="AR163" s="97"/>
      <c r="AS163" s="315"/>
      <c r="AT163" s="125"/>
      <c r="AU163" s="125"/>
      <c r="AV163" s="125"/>
      <c r="AW163" s="125"/>
      <c r="AX163" s="125"/>
      <c r="AY163" s="125"/>
      <c r="AZ163" s="98" t="s">
        <v>646</v>
      </c>
      <c r="BA163" s="105"/>
    </row>
    <row r="164" spans="1:53" ht="39.75" customHeight="1" x14ac:dyDescent="0.2">
      <c r="A164" s="167">
        <v>90000051519</v>
      </c>
      <c r="B164" s="119"/>
      <c r="C164" s="486" t="s">
        <v>259</v>
      </c>
      <c r="D164" s="487"/>
      <c r="E164" s="227" t="s">
        <v>308</v>
      </c>
      <c r="F164" s="301">
        <v>1334775</v>
      </c>
      <c r="G164" s="97">
        <f t="shared" si="63"/>
        <v>1352374</v>
      </c>
      <c r="H164" s="301">
        <f>628493</f>
        <v>628493</v>
      </c>
      <c r="I164" s="97">
        <f t="shared" si="64"/>
        <v>630763</v>
      </c>
      <c r="J164" s="97">
        <f t="shared" si="65"/>
        <v>2270</v>
      </c>
      <c r="K164" s="97"/>
      <c r="L164" s="97"/>
      <c r="M164" s="97"/>
      <c r="N164" s="97">
        <v>2270</v>
      </c>
      <c r="O164" s="97"/>
      <c r="P164" s="97"/>
      <c r="Q164" s="97"/>
      <c r="R164" s="97"/>
      <c r="S164" s="97"/>
      <c r="T164" s="97"/>
      <c r="U164" s="97"/>
      <c r="V164" s="97"/>
      <c r="W164" s="97"/>
      <c r="X164" s="97">
        <f>682320</f>
        <v>682320</v>
      </c>
      <c r="Y164" s="97">
        <f t="shared" ref="Y164:Y171" si="72">X164+Z164</f>
        <v>695337</v>
      </c>
      <c r="Z164" s="97">
        <f t="shared" si="70"/>
        <v>13017</v>
      </c>
      <c r="AA164" s="97">
        <f>13017</f>
        <v>13017</v>
      </c>
      <c r="AB164" s="97"/>
      <c r="AC164" s="97"/>
      <c r="AD164" s="97"/>
      <c r="AE164" s="97"/>
      <c r="AF164" s="97"/>
      <c r="AG164" s="97">
        <f>23962</f>
        <v>23962</v>
      </c>
      <c r="AH164" s="97">
        <f t="shared" ref="AH164:AH170" si="73">AI164+AG164</f>
        <v>26274</v>
      </c>
      <c r="AI164" s="125">
        <f t="shared" si="71"/>
        <v>2312</v>
      </c>
      <c r="AJ164" s="125"/>
      <c r="AK164" s="125">
        <f>2312</f>
        <v>2312</v>
      </c>
      <c r="AL164" s="125"/>
      <c r="AM164" s="125"/>
      <c r="AN164" s="125"/>
      <c r="AO164" s="125"/>
      <c r="AP164" s="125"/>
      <c r="AQ164" s="125"/>
      <c r="AR164" s="97"/>
      <c r="AS164" s="315"/>
      <c r="AT164" s="125"/>
      <c r="AU164" s="125"/>
      <c r="AV164" s="125"/>
      <c r="AW164" s="125"/>
      <c r="AX164" s="125"/>
      <c r="AY164" s="125"/>
      <c r="AZ164" s="98" t="s">
        <v>422</v>
      </c>
      <c r="BA164" s="105"/>
    </row>
    <row r="165" spans="1:53" ht="12.75" x14ac:dyDescent="0.2">
      <c r="A165" s="167"/>
      <c r="B165" s="119"/>
      <c r="C165" s="172"/>
      <c r="D165" s="173"/>
      <c r="E165" s="227" t="s">
        <v>347</v>
      </c>
      <c r="F165" s="301">
        <v>185594</v>
      </c>
      <c r="G165" s="97">
        <f t="shared" si="63"/>
        <v>196423</v>
      </c>
      <c r="H165" s="301">
        <f>132670</f>
        <v>132670</v>
      </c>
      <c r="I165" s="97">
        <f t="shared" si="64"/>
        <v>132670</v>
      </c>
      <c r="J165" s="97">
        <f t="shared" si="65"/>
        <v>0</v>
      </c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>
        <f>52924</f>
        <v>52924</v>
      </c>
      <c r="Y165" s="97">
        <f t="shared" si="72"/>
        <v>63753</v>
      </c>
      <c r="Z165" s="97">
        <f t="shared" si="70"/>
        <v>10829</v>
      </c>
      <c r="AA165" s="97">
        <v>10829</v>
      </c>
      <c r="AB165" s="97"/>
      <c r="AC165" s="97"/>
      <c r="AD165" s="97"/>
      <c r="AE165" s="97"/>
      <c r="AF165" s="97"/>
      <c r="AG165" s="97"/>
      <c r="AH165" s="97">
        <f t="shared" si="73"/>
        <v>0</v>
      </c>
      <c r="AI165" s="125">
        <f t="shared" si="71"/>
        <v>0</v>
      </c>
      <c r="AJ165" s="125"/>
      <c r="AK165" s="125"/>
      <c r="AL165" s="125"/>
      <c r="AM165" s="125"/>
      <c r="AN165" s="125"/>
      <c r="AO165" s="125"/>
      <c r="AP165" s="125"/>
      <c r="AQ165" s="125"/>
      <c r="AR165" s="97"/>
      <c r="AS165" s="315"/>
      <c r="AT165" s="125"/>
      <c r="AU165" s="125"/>
      <c r="AV165" s="125"/>
      <c r="AW165" s="125"/>
      <c r="AX165" s="125"/>
      <c r="AY165" s="125"/>
      <c r="AZ165" s="98" t="s">
        <v>423</v>
      </c>
      <c r="BA165" s="105"/>
    </row>
    <row r="166" spans="1:53" ht="42" customHeight="1" x14ac:dyDescent="0.2">
      <c r="A166" s="167">
        <v>90009251338</v>
      </c>
      <c r="B166" s="119"/>
      <c r="C166" s="486" t="s">
        <v>260</v>
      </c>
      <c r="D166" s="487"/>
      <c r="E166" s="227" t="s">
        <v>308</v>
      </c>
      <c r="F166" s="301">
        <v>367036</v>
      </c>
      <c r="G166" s="97">
        <f t="shared" si="63"/>
        <v>370258</v>
      </c>
      <c r="H166" s="301">
        <f>248081</f>
        <v>248081</v>
      </c>
      <c r="I166" s="97">
        <f t="shared" si="64"/>
        <v>249216</v>
      </c>
      <c r="J166" s="97">
        <f t="shared" si="65"/>
        <v>1135</v>
      </c>
      <c r="K166" s="97"/>
      <c r="L166" s="97"/>
      <c r="M166" s="97"/>
      <c r="N166" s="97"/>
      <c r="O166" s="97"/>
      <c r="P166" s="97">
        <f>1135</f>
        <v>1135</v>
      </c>
      <c r="Q166" s="97"/>
      <c r="R166" s="97"/>
      <c r="S166" s="97"/>
      <c r="T166" s="97"/>
      <c r="U166" s="97"/>
      <c r="V166" s="97"/>
      <c r="W166" s="97"/>
      <c r="X166" s="97">
        <f>113989</f>
        <v>113989</v>
      </c>
      <c r="Y166" s="97">
        <f t="shared" si="72"/>
        <v>116076</v>
      </c>
      <c r="Z166" s="97">
        <f t="shared" si="70"/>
        <v>2087</v>
      </c>
      <c r="AA166" s="97"/>
      <c r="AB166" s="97">
        <f>2087</f>
        <v>2087</v>
      </c>
      <c r="AC166" s="97"/>
      <c r="AD166" s="97"/>
      <c r="AE166" s="97"/>
      <c r="AF166" s="97"/>
      <c r="AG166" s="97">
        <f>4966</f>
        <v>4966</v>
      </c>
      <c r="AH166" s="97">
        <f t="shared" si="73"/>
        <v>4966</v>
      </c>
      <c r="AI166" s="125">
        <f t="shared" si="71"/>
        <v>0</v>
      </c>
      <c r="AJ166" s="125"/>
      <c r="AK166" s="125"/>
      <c r="AL166" s="125"/>
      <c r="AM166" s="125"/>
      <c r="AN166" s="125"/>
      <c r="AO166" s="125"/>
      <c r="AP166" s="125"/>
      <c r="AQ166" s="125"/>
      <c r="AR166" s="97"/>
      <c r="AS166" s="315"/>
      <c r="AT166" s="125"/>
      <c r="AU166" s="125"/>
      <c r="AV166" s="125"/>
      <c r="AW166" s="125"/>
      <c r="AX166" s="125"/>
      <c r="AY166" s="125"/>
      <c r="AZ166" s="98" t="s">
        <v>424</v>
      </c>
      <c r="BA166" s="105"/>
    </row>
    <row r="167" spans="1:53" ht="12.75" x14ac:dyDescent="0.2">
      <c r="A167" s="167"/>
      <c r="B167" s="119"/>
      <c r="C167" s="172"/>
      <c r="D167" s="173"/>
      <c r="E167" s="227" t="s">
        <v>347</v>
      </c>
      <c r="F167" s="301">
        <v>28077</v>
      </c>
      <c r="G167" s="97">
        <f t="shared" si="63"/>
        <v>28077</v>
      </c>
      <c r="H167" s="301">
        <f>17311</f>
        <v>17311</v>
      </c>
      <c r="I167" s="97">
        <f t="shared" si="64"/>
        <v>17311</v>
      </c>
      <c r="J167" s="97">
        <f t="shared" si="65"/>
        <v>0</v>
      </c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>
        <f>10766</f>
        <v>10766</v>
      </c>
      <c r="Y167" s="97">
        <f t="shared" si="72"/>
        <v>10766</v>
      </c>
      <c r="Z167" s="97">
        <f t="shared" si="70"/>
        <v>0</v>
      </c>
      <c r="AA167" s="97"/>
      <c r="AB167" s="97"/>
      <c r="AC167" s="97"/>
      <c r="AD167" s="97"/>
      <c r="AE167" s="97"/>
      <c r="AF167" s="97"/>
      <c r="AG167" s="97"/>
      <c r="AH167" s="97">
        <f t="shared" si="73"/>
        <v>0</v>
      </c>
      <c r="AI167" s="125">
        <f t="shared" si="71"/>
        <v>0</v>
      </c>
      <c r="AJ167" s="125"/>
      <c r="AK167" s="125"/>
      <c r="AL167" s="125"/>
      <c r="AM167" s="125"/>
      <c r="AN167" s="125"/>
      <c r="AO167" s="125"/>
      <c r="AP167" s="125"/>
      <c r="AQ167" s="125"/>
      <c r="AR167" s="97"/>
      <c r="AS167" s="315"/>
      <c r="AT167" s="125"/>
      <c r="AU167" s="125"/>
      <c r="AV167" s="125"/>
      <c r="AW167" s="125"/>
      <c r="AX167" s="125"/>
      <c r="AY167" s="125"/>
      <c r="AZ167" s="98" t="s">
        <v>425</v>
      </c>
      <c r="BA167" s="105"/>
    </row>
    <row r="168" spans="1:53" ht="41.25" customHeight="1" x14ac:dyDescent="0.2">
      <c r="A168" s="167">
        <v>90000051576</v>
      </c>
      <c r="B168" s="119"/>
      <c r="C168" s="486" t="s">
        <v>195</v>
      </c>
      <c r="D168" s="487"/>
      <c r="E168" s="227" t="s">
        <v>308</v>
      </c>
      <c r="F168" s="301">
        <v>611019</v>
      </c>
      <c r="G168" s="97">
        <f t="shared" si="63"/>
        <v>642395</v>
      </c>
      <c r="H168" s="301">
        <f>373995</f>
        <v>373995</v>
      </c>
      <c r="I168" s="97">
        <f t="shared" si="64"/>
        <v>389385</v>
      </c>
      <c r="J168" s="97">
        <f t="shared" si="65"/>
        <v>15390</v>
      </c>
      <c r="K168" s="97"/>
      <c r="L168" s="97"/>
      <c r="M168" s="97"/>
      <c r="N168" s="97"/>
      <c r="O168" s="97"/>
      <c r="P168" s="97">
        <f>14255+1135</f>
        <v>15390</v>
      </c>
      <c r="Q168" s="97"/>
      <c r="R168" s="97"/>
      <c r="S168" s="97"/>
      <c r="T168" s="97"/>
      <c r="U168" s="97"/>
      <c r="V168" s="97"/>
      <c r="W168" s="97"/>
      <c r="X168" s="97">
        <f>223203</f>
        <v>223203</v>
      </c>
      <c r="Y168" s="97">
        <f t="shared" si="72"/>
        <v>227510</v>
      </c>
      <c r="Z168" s="97">
        <f t="shared" si="70"/>
        <v>4307</v>
      </c>
      <c r="AA168" s="97"/>
      <c r="AB168" s="97">
        <f>4307</f>
        <v>4307</v>
      </c>
      <c r="AC168" s="97"/>
      <c r="AD168" s="97"/>
      <c r="AE168" s="97"/>
      <c r="AF168" s="97"/>
      <c r="AG168" s="97">
        <f>13821</f>
        <v>13821</v>
      </c>
      <c r="AH168" s="97">
        <f t="shared" si="73"/>
        <v>25500</v>
      </c>
      <c r="AI168" s="125">
        <f t="shared" si="71"/>
        <v>11679</v>
      </c>
      <c r="AJ168" s="125"/>
      <c r="AK168" s="125"/>
      <c r="AL168" s="125">
        <f>11679</f>
        <v>11679</v>
      </c>
      <c r="AM168" s="125"/>
      <c r="AN168" s="125"/>
      <c r="AO168" s="125"/>
      <c r="AP168" s="125"/>
      <c r="AQ168" s="125"/>
      <c r="AR168" s="97"/>
      <c r="AS168" s="315"/>
      <c r="AT168" s="125"/>
      <c r="AU168" s="125"/>
      <c r="AV168" s="125"/>
      <c r="AW168" s="125"/>
      <c r="AX168" s="125"/>
      <c r="AY168" s="125"/>
      <c r="AZ168" s="98" t="s">
        <v>426</v>
      </c>
      <c r="BA168" s="105"/>
    </row>
    <row r="169" spans="1:53" ht="12.75" x14ac:dyDescent="0.2">
      <c r="A169" s="167"/>
      <c r="B169" s="119"/>
      <c r="C169" s="172"/>
      <c r="D169" s="173"/>
      <c r="E169" s="227" t="s">
        <v>347</v>
      </c>
      <c r="F169" s="301">
        <v>65672</v>
      </c>
      <c r="G169" s="97">
        <f t="shared" si="63"/>
        <v>66354</v>
      </c>
      <c r="H169" s="301">
        <f>53502</f>
        <v>53502</v>
      </c>
      <c r="I169" s="97">
        <f t="shared" si="64"/>
        <v>53502</v>
      </c>
      <c r="J169" s="97">
        <f t="shared" si="65"/>
        <v>0</v>
      </c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>
        <f>12170</f>
        <v>12170</v>
      </c>
      <c r="Y169" s="97">
        <f t="shared" si="72"/>
        <v>12852</v>
      </c>
      <c r="Z169" s="97">
        <f t="shared" si="70"/>
        <v>682</v>
      </c>
      <c r="AA169" s="97"/>
      <c r="AB169" s="97">
        <f>682</f>
        <v>682</v>
      </c>
      <c r="AC169" s="97"/>
      <c r="AD169" s="97"/>
      <c r="AE169" s="97"/>
      <c r="AF169" s="97"/>
      <c r="AG169" s="97"/>
      <c r="AH169" s="97">
        <f t="shared" si="73"/>
        <v>0</v>
      </c>
      <c r="AI169" s="125">
        <f t="shared" si="71"/>
        <v>0</v>
      </c>
      <c r="AJ169" s="125"/>
      <c r="AK169" s="125"/>
      <c r="AL169" s="125"/>
      <c r="AM169" s="125"/>
      <c r="AN169" s="125"/>
      <c r="AO169" s="125"/>
      <c r="AP169" s="125"/>
      <c r="AQ169" s="125"/>
      <c r="AR169" s="97"/>
      <c r="AS169" s="315"/>
      <c r="AT169" s="125"/>
      <c r="AU169" s="125"/>
      <c r="AV169" s="125"/>
      <c r="AW169" s="125"/>
      <c r="AX169" s="125"/>
      <c r="AY169" s="125"/>
      <c r="AZ169" s="98" t="s">
        <v>427</v>
      </c>
      <c r="BA169" s="105"/>
    </row>
    <row r="170" spans="1:53" ht="36.75" customHeight="1" x14ac:dyDescent="0.2">
      <c r="A170" s="167">
        <v>90000051627</v>
      </c>
      <c r="B170" s="119"/>
      <c r="C170" s="486" t="s">
        <v>261</v>
      </c>
      <c r="D170" s="487"/>
      <c r="E170" s="227" t="s">
        <v>308</v>
      </c>
      <c r="F170" s="301">
        <v>870627</v>
      </c>
      <c r="G170" s="97">
        <f t="shared" si="63"/>
        <v>884727</v>
      </c>
      <c r="H170" s="301">
        <f>401587</f>
        <v>401587</v>
      </c>
      <c r="I170" s="97">
        <f t="shared" si="64"/>
        <v>402722</v>
      </c>
      <c r="J170" s="97">
        <f t="shared" si="65"/>
        <v>1135</v>
      </c>
      <c r="K170" s="97"/>
      <c r="L170" s="97"/>
      <c r="M170" s="97"/>
      <c r="N170" s="97">
        <v>1135</v>
      </c>
      <c r="O170" s="97"/>
      <c r="P170" s="97"/>
      <c r="Q170" s="97"/>
      <c r="R170" s="97"/>
      <c r="S170" s="97"/>
      <c r="T170" s="97"/>
      <c r="U170" s="97"/>
      <c r="V170" s="97"/>
      <c r="W170" s="97"/>
      <c r="X170" s="97">
        <f>458672</f>
        <v>458672</v>
      </c>
      <c r="Y170" s="97">
        <f t="shared" si="72"/>
        <v>467979</v>
      </c>
      <c r="Z170" s="97">
        <f t="shared" si="70"/>
        <v>9307</v>
      </c>
      <c r="AA170" s="97">
        <f>8615</f>
        <v>8615</v>
      </c>
      <c r="AB170" s="97"/>
      <c r="AC170" s="97">
        <v>692</v>
      </c>
      <c r="AD170" s="97"/>
      <c r="AE170" s="97"/>
      <c r="AF170" s="97"/>
      <c r="AG170" s="97">
        <f>10368</f>
        <v>10368</v>
      </c>
      <c r="AH170" s="97">
        <f t="shared" si="73"/>
        <v>14026</v>
      </c>
      <c r="AI170" s="125">
        <f t="shared" si="71"/>
        <v>3658</v>
      </c>
      <c r="AJ170" s="125"/>
      <c r="AK170" s="125">
        <v>3658</v>
      </c>
      <c r="AL170" s="125"/>
      <c r="AM170" s="125"/>
      <c r="AN170" s="125"/>
      <c r="AO170" s="125"/>
      <c r="AP170" s="125"/>
      <c r="AQ170" s="125"/>
      <c r="AR170" s="97"/>
      <c r="AS170" s="315"/>
      <c r="AT170" s="125"/>
      <c r="AU170" s="125"/>
      <c r="AV170" s="125"/>
      <c r="AW170" s="125"/>
      <c r="AX170" s="125"/>
      <c r="AY170" s="125"/>
      <c r="AZ170" s="98" t="s">
        <v>428</v>
      </c>
      <c r="BA170" s="105"/>
    </row>
    <row r="171" spans="1:53" ht="12.75" x14ac:dyDescent="0.2">
      <c r="A171" s="167"/>
      <c r="B171" s="119"/>
      <c r="C171" s="172"/>
      <c r="D171" s="173"/>
      <c r="E171" s="227" t="s">
        <v>347</v>
      </c>
      <c r="F171" s="301">
        <v>118878</v>
      </c>
      <c r="G171" s="97">
        <f t="shared" si="63"/>
        <v>118878</v>
      </c>
      <c r="H171" s="301">
        <f>88283</f>
        <v>88283</v>
      </c>
      <c r="I171" s="97">
        <f t="shared" si="64"/>
        <v>88283</v>
      </c>
      <c r="J171" s="97">
        <f t="shared" si="65"/>
        <v>0</v>
      </c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>
        <f>30595</f>
        <v>30595</v>
      </c>
      <c r="Y171" s="97">
        <f t="shared" si="72"/>
        <v>30595</v>
      </c>
      <c r="Z171" s="97">
        <f t="shared" si="70"/>
        <v>0</v>
      </c>
      <c r="AA171" s="97"/>
      <c r="AB171" s="97"/>
      <c r="AC171" s="97"/>
      <c r="AD171" s="97"/>
      <c r="AE171" s="97"/>
      <c r="AF171" s="97"/>
      <c r="AG171" s="97"/>
      <c r="AH171" s="97">
        <f t="shared" ref="AH171:AH180" si="74">AI171+AG171</f>
        <v>0</v>
      </c>
      <c r="AI171" s="125">
        <f t="shared" si="71"/>
        <v>0</v>
      </c>
      <c r="AJ171" s="125"/>
      <c r="AK171" s="125"/>
      <c r="AL171" s="125"/>
      <c r="AM171" s="125"/>
      <c r="AN171" s="125"/>
      <c r="AO171" s="125"/>
      <c r="AP171" s="125"/>
      <c r="AQ171" s="125"/>
      <c r="AR171" s="97"/>
      <c r="AS171" s="315"/>
      <c r="AT171" s="125"/>
      <c r="AU171" s="125"/>
      <c r="AV171" s="125"/>
      <c r="AW171" s="125"/>
      <c r="AX171" s="125"/>
      <c r="AY171" s="125"/>
      <c r="AZ171" s="98" t="s">
        <v>429</v>
      </c>
      <c r="BA171" s="105"/>
    </row>
    <row r="172" spans="1:53" s="154" customFormat="1" ht="27.75" customHeight="1" x14ac:dyDescent="0.2">
      <c r="A172" s="167"/>
      <c r="B172" s="119"/>
      <c r="C172" s="172"/>
      <c r="D172" s="173"/>
      <c r="E172" s="227" t="s">
        <v>354</v>
      </c>
      <c r="F172" s="301">
        <v>3794</v>
      </c>
      <c r="G172" s="97">
        <f t="shared" si="63"/>
        <v>3794</v>
      </c>
      <c r="H172" s="301">
        <f>3794</f>
        <v>3794</v>
      </c>
      <c r="I172" s="97">
        <f t="shared" si="64"/>
        <v>3794</v>
      </c>
      <c r="J172" s="97">
        <f t="shared" si="65"/>
        <v>0</v>
      </c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>
        <f t="shared" si="74"/>
        <v>0</v>
      </c>
      <c r="AI172" s="125">
        <f t="shared" si="71"/>
        <v>0</v>
      </c>
      <c r="AJ172" s="125"/>
      <c r="AK172" s="125"/>
      <c r="AL172" s="125"/>
      <c r="AM172" s="125"/>
      <c r="AN172" s="125"/>
      <c r="AO172" s="125"/>
      <c r="AP172" s="125"/>
      <c r="AQ172" s="125"/>
      <c r="AR172" s="97"/>
      <c r="AS172" s="315"/>
      <c r="AT172" s="125"/>
      <c r="AU172" s="125"/>
      <c r="AV172" s="125"/>
      <c r="AW172" s="125"/>
      <c r="AX172" s="125"/>
      <c r="AY172" s="125"/>
      <c r="AZ172" s="98" t="s">
        <v>430</v>
      </c>
      <c r="BA172" s="105"/>
    </row>
    <row r="173" spans="1:53" ht="42" customHeight="1" x14ac:dyDescent="0.2">
      <c r="A173" s="167">
        <v>90000053670</v>
      </c>
      <c r="B173" s="119"/>
      <c r="C173" s="486" t="s">
        <v>685</v>
      </c>
      <c r="D173" s="487"/>
      <c r="E173" s="227" t="s">
        <v>504</v>
      </c>
      <c r="F173" s="301">
        <v>424343</v>
      </c>
      <c r="G173" s="97">
        <f t="shared" si="63"/>
        <v>433968</v>
      </c>
      <c r="H173" s="301">
        <f>253236</f>
        <v>253236</v>
      </c>
      <c r="I173" s="97">
        <f t="shared" si="64"/>
        <v>253236</v>
      </c>
      <c r="J173" s="97">
        <f t="shared" si="65"/>
        <v>0</v>
      </c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>
        <f>117932</f>
        <v>117932</v>
      </c>
      <c r="Y173" s="97">
        <f>X173+Z173</f>
        <v>121383</v>
      </c>
      <c r="Z173" s="97">
        <f t="shared" si="70"/>
        <v>3451</v>
      </c>
      <c r="AA173" s="97">
        <f>2710+741</f>
        <v>3451</v>
      </c>
      <c r="AB173" s="97"/>
      <c r="AC173" s="97"/>
      <c r="AD173" s="97"/>
      <c r="AE173" s="97"/>
      <c r="AF173" s="97"/>
      <c r="AG173" s="97">
        <f>50235</f>
        <v>50235</v>
      </c>
      <c r="AH173" s="97">
        <f t="shared" si="74"/>
        <v>55859</v>
      </c>
      <c r="AI173" s="125">
        <f t="shared" si="71"/>
        <v>5624</v>
      </c>
      <c r="AJ173" s="125"/>
      <c r="AK173" s="125">
        <v>5624</v>
      </c>
      <c r="AL173" s="125"/>
      <c r="AM173" s="125"/>
      <c r="AN173" s="125"/>
      <c r="AO173" s="125"/>
      <c r="AP173" s="125"/>
      <c r="AQ173" s="125">
        <f>2940</f>
        <v>2940</v>
      </c>
      <c r="AR173" s="97">
        <f>AQ173+AS173</f>
        <v>3490</v>
      </c>
      <c r="AS173" s="315">
        <f>SUM(AT173:AY173)</f>
        <v>550</v>
      </c>
      <c r="AT173" s="125">
        <v>550</v>
      </c>
      <c r="AU173" s="125"/>
      <c r="AV173" s="125"/>
      <c r="AW173" s="125"/>
      <c r="AX173" s="125"/>
      <c r="AY173" s="125"/>
      <c r="AZ173" s="98" t="s">
        <v>431</v>
      </c>
      <c r="BA173" s="105"/>
    </row>
    <row r="174" spans="1:53" ht="35.25" customHeight="1" x14ac:dyDescent="0.2">
      <c r="A174" s="167">
        <v>90000051595</v>
      </c>
      <c r="B174" s="119"/>
      <c r="C174" s="486" t="s">
        <v>196</v>
      </c>
      <c r="D174" s="487"/>
      <c r="E174" s="227" t="s">
        <v>308</v>
      </c>
      <c r="F174" s="301">
        <v>971239</v>
      </c>
      <c r="G174" s="97">
        <f t="shared" ref="G174:G205" si="75">SUM(I174,Y174,AH174,AP174,AR174)</f>
        <v>984776</v>
      </c>
      <c r="H174" s="301">
        <f>489791</f>
        <v>489791</v>
      </c>
      <c r="I174" s="97">
        <f t="shared" si="64"/>
        <v>490926</v>
      </c>
      <c r="J174" s="97">
        <f t="shared" si="65"/>
        <v>1135</v>
      </c>
      <c r="K174" s="97"/>
      <c r="L174" s="97"/>
      <c r="M174" s="97"/>
      <c r="N174" s="97">
        <v>1135</v>
      </c>
      <c r="O174" s="97"/>
      <c r="P174" s="97"/>
      <c r="Q174" s="97"/>
      <c r="R174" s="97"/>
      <c r="S174" s="97"/>
      <c r="T174" s="97"/>
      <c r="U174" s="97"/>
      <c r="V174" s="97"/>
      <c r="W174" s="97"/>
      <c r="X174" s="97">
        <f>472169</f>
        <v>472169</v>
      </c>
      <c r="Y174" s="97">
        <f>X174+Z174</f>
        <v>481334</v>
      </c>
      <c r="Z174" s="97">
        <f t="shared" si="70"/>
        <v>9165</v>
      </c>
      <c r="AA174" s="97">
        <f>9165</f>
        <v>9165</v>
      </c>
      <c r="AB174" s="97"/>
      <c r="AC174" s="97"/>
      <c r="AD174" s="97"/>
      <c r="AE174" s="97"/>
      <c r="AF174" s="97"/>
      <c r="AG174" s="97">
        <f>9279</f>
        <v>9279</v>
      </c>
      <c r="AH174" s="97">
        <f t="shared" si="74"/>
        <v>12516</v>
      </c>
      <c r="AI174" s="125">
        <f t="shared" si="71"/>
        <v>3237</v>
      </c>
      <c r="AJ174" s="125"/>
      <c r="AK174" s="125">
        <v>2497</v>
      </c>
      <c r="AL174" s="125">
        <f>740</f>
        <v>740</v>
      </c>
      <c r="AM174" s="125"/>
      <c r="AN174" s="125"/>
      <c r="AO174" s="125"/>
      <c r="AP174" s="125"/>
      <c r="AQ174" s="125"/>
      <c r="AR174" s="97"/>
      <c r="AS174" s="315"/>
      <c r="AT174" s="125"/>
      <c r="AU174" s="125"/>
      <c r="AV174" s="125"/>
      <c r="AW174" s="125"/>
      <c r="AX174" s="125"/>
      <c r="AY174" s="125"/>
      <c r="AZ174" s="98" t="s">
        <v>432</v>
      </c>
      <c r="BA174" s="105"/>
    </row>
    <row r="175" spans="1:53" ht="12.75" x14ac:dyDescent="0.2">
      <c r="A175" s="167"/>
      <c r="B175" s="119"/>
      <c r="C175" s="172"/>
      <c r="D175" s="173"/>
      <c r="E175" s="227" t="s">
        <v>347</v>
      </c>
      <c r="F175" s="301">
        <v>129379</v>
      </c>
      <c r="G175" s="97">
        <f t="shared" si="75"/>
        <v>139778</v>
      </c>
      <c r="H175" s="301">
        <f>98379</f>
        <v>98379</v>
      </c>
      <c r="I175" s="97">
        <f t="shared" si="64"/>
        <v>98379</v>
      </c>
      <c r="J175" s="97">
        <f t="shared" si="65"/>
        <v>0</v>
      </c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>
        <f>31000</f>
        <v>31000</v>
      </c>
      <c r="Y175" s="97">
        <f>X175+Z175</f>
        <v>41399</v>
      </c>
      <c r="Z175" s="97">
        <f t="shared" si="70"/>
        <v>10399</v>
      </c>
      <c r="AA175" s="97">
        <v>10399</v>
      </c>
      <c r="AB175" s="97"/>
      <c r="AC175" s="97"/>
      <c r="AD175" s="97"/>
      <c r="AE175" s="97"/>
      <c r="AF175" s="97"/>
      <c r="AG175" s="97"/>
      <c r="AH175" s="97">
        <f t="shared" si="74"/>
        <v>0</v>
      </c>
      <c r="AI175" s="125">
        <f t="shared" si="71"/>
        <v>0</v>
      </c>
      <c r="AJ175" s="125"/>
      <c r="AK175" s="125"/>
      <c r="AL175" s="125"/>
      <c r="AM175" s="125"/>
      <c r="AN175" s="125"/>
      <c r="AO175" s="125"/>
      <c r="AP175" s="125"/>
      <c r="AQ175" s="125"/>
      <c r="AR175" s="97"/>
      <c r="AS175" s="315"/>
      <c r="AT175" s="125"/>
      <c r="AU175" s="125"/>
      <c r="AV175" s="125"/>
      <c r="AW175" s="125"/>
      <c r="AX175" s="125"/>
      <c r="AY175" s="125"/>
      <c r="AZ175" s="98" t="s">
        <v>433</v>
      </c>
      <c r="BA175" s="105"/>
    </row>
    <row r="176" spans="1:53" ht="24" x14ac:dyDescent="0.2">
      <c r="A176" s="167">
        <v>90000056465</v>
      </c>
      <c r="B176" s="119"/>
      <c r="C176" s="486" t="s">
        <v>686</v>
      </c>
      <c r="D176" s="487"/>
      <c r="E176" s="227" t="s">
        <v>351</v>
      </c>
      <c r="F176" s="301">
        <v>804110</v>
      </c>
      <c r="G176" s="97">
        <f t="shared" si="75"/>
        <v>829749</v>
      </c>
      <c r="H176" s="301">
        <f>379989</f>
        <v>379989</v>
      </c>
      <c r="I176" s="97">
        <f t="shared" si="64"/>
        <v>389806</v>
      </c>
      <c r="J176" s="97">
        <f t="shared" si="65"/>
        <v>9817</v>
      </c>
      <c r="K176" s="97"/>
      <c r="L176" s="97"/>
      <c r="M176" s="97"/>
      <c r="N176" s="97"/>
      <c r="O176" s="97"/>
      <c r="P176" s="97">
        <f>9817</f>
        <v>9817</v>
      </c>
      <c r="Q176" s="97"/>
      <c r="R176" s="97"/>
      <c r="S176" s="97"/>
      <c r="T176" s="97"/>
      <c r="U176" s="97"/>
      <c r="V176" s="97"/>
      <c r="W176" s="97"/>
      <c r="X176" s="97">
        <f>318345</f>
        <v>318345</v>
      </c>
      <c r="Y176" s="97">
        <f>X176+Z176</f>
        <v>317283</v>
      </c>
      <c r="Z176" s="97">
        <f t="shared" si="70"/>
        <v>-1062</v>
      </c>
      <c r="AA176" s="97">
        <f>-2182</f>
        <v>-2182</v>
      </c>
      <c r="AB176" s="97">
        <f>1120</f>
        <v>1120</v>
      </c>
      <c r="AC176" s="97"/>
      <c r="AD176" s="97"/>
      <c r="AE176" s="97"/>
      <c r="AF176" s="97"/>
      <c r="AG176" s="97">
        <f>102925</f>
        <v>102925</v>
      </c>
      <c r="AH176" s="97">
        <f t="shared" si="74"/>
        <v>119809</v>
      </c>
      <c r="AI176" s="125">
        <f t="shared" si="71"/>
        <v>16884</v>
      </c>
      <c r="AJ176" s="125"/>
      <c r="AK176" s="125">
        <f>16884</f>
        <v>16884</v>
      </c>
      <c r="AL176" s="125"/>
      <c r="AM176" s="125"/>
      <c r="AN176" s="125"/>
      <c r="AO176" s="125"/>
      <c r="AP176" s="125"/>
      <c r="AQ176" s="125">
        <v>2851</v>
      </c>
      <c r="AR176" s="97">
        <f>AS176+AQ176</f>
        <v>2851</v>
      </c>
      <c r="AS176" s="315">
        <f>SUM(AT176:AY176)</f>
        <v>0</v>
      </c>
      <c r="AT176" s="125"/>
      <c r="AU176" s="125"/>
      <c r="AV176" s="125"/>
      <c r="AW176" s="125"/>
      <c r="AX176" s="125"/>
      <c r="AY176" s="125"/>
      <c r="AZ176" s="98" t="s">
        <v>434</v>
      </c>
      <c r="BA176" s="105"/>
    </row>
    <row r="177" spans="1:53" ht="36" x14ac:dyDescent="0.2">
      <c r="A177" s="167">
        <v>90001067517</v>
      </c>
      <c r="B177" s="119"/>
      <c r="C177" s="486" t="s">
        <v>341</v>
      </c>
      <c r="D177" s="487"/>
      <c r="E177" s="227" t="s">
        <v>350</v>
      </c>
      <c r="F177" s="301">
        <v>718790</v>
      </c>
      <c r="G177" s="97">
        <f t="shared" si="75"/>
        <v>726579</v>
      </c>
      <c r="H177" s="301">
        <f>571839</f>
        <v>571839</v>
      </c>
      <c r="I177" s="97">
        <f t="shared" si="64"/>
        <v>571839</v>
      </c>
      <c r="J177" s="97">
        <f t="shared" si="65"/>
        <v>0</v>
      </c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>
        <f>87113</f>
        <v>87113</v>
      </c>
      <c r="Y177" s="97">
        <f>X177+Z177</f>
        <v>87113</v>
      </c>
      <c r="Z177" s="97">
        <f t="shared" si="70"/>
        <v>0</v>
      </c>
      <c r="AA177" s="97"/>
      <c r="AB177" s="97"/>
      <c r="AC177" s="97"/>
      <c r="AD177" s="97"/>
      <c r="AE177" s="97"/>
      <c r="AF177" s="97"/>
      <c r="AG177" s="97">
        <f>51651</f>
        <v>51651</v>
      </c>
      <c r="AH177" s="97">
        <f t="shared" si="74"/>
        <v>56466</v>
      </c>
      <c r="AI177" s="125">
        <f t="shared" si="71"/>
        <v>4815</v>
      </c>
      <c r="AJ177" s="125"/>
      <c r="AK177" s="125"/>
      <c r="AL177" s="125">
        <f>4815</f>
        <v>4815</v>
      </c>
      <c r="AM177" s="125"/>
      <c r="AN177" s="125"/>
      <c r="AO177" s="125"/>
      <c r="AP177" s="125"/>
      <c r="AQ177" s="125">
        <v>8187</v>
      </c>
      <c r="AR177" s="97">
        <f>AS177+AQ177</f>
        <v>11161</v>
      </c>
      <c r="AS177" s="315">
        <f>SUM(AT177:AY177)</f>
        <v>2974</v>
      </c>
      <c r="AT177" s="125"/>
      <c r="AU177" s="125">
        <v>2974</v>
      </c>
      <c r="AV177" s="125"/>
      <c r="AW177" s="125"/>
      <c r="AX177" s="125"/>
      <c r="AY177" s="125"/>
      <c r="AZ177" s="98" t="s">
        <v>435</v>
      </c>
      <c r="BA177" s="105"/>
    </row>
    <row r="178" spans="1:53" s="151" customFormat="1" ht="24" x14ac:dyDescent="0.2">
      <c r="A178" s="167"/>
      <c r="B178" s="119"/>
      <c r="C178" s="161"/>
      <c r="D178" s="162"/>
      <c r="E178" s="227" t="s">
        <v>342</v>
      </c>
      <c r="F178" s="301">
        <v>273238</v>
      </c>
      <c r="G178" s="97">
        <f t="shared" si="75"/>
        <v>105461</v>
      </c>
      <c r="H178" s="301">
        <f>227803</f>
        <v>227803</v>
      </c>
      <c r="I178" s="97">
        <f t="shared" si="64"/>
        <v>61609</v>
      </c>
      <c r="J178" s="97">
        <f t="shared" si="65"/>
        <v>-166194</v>
      </c>
      <c r="K178" s="97"/>
      <c r="L178" s="97"/>
      <c r="M178" s="97"/>
      <c r="N178" s="97"/>
      <c r="O178" s="97"/>
      <c r="P178" s="97">
        <f>-166194</f>
        <v>-166194</v>
      </c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>
        <f>45435</f>
        <v>45435</v>
      </c>
      <c r="AH178" s="97">
        <f t="shared" si="74"/>
        <v>43852</v>
      </c>
      <c r="AI178" s="125">
        <f t="shared" si="71"/>
        <v>-1583</v>
      </c>
      <c r="AJ178" s="125">
        <v>22000</v>
      </c>
      <c r="AK178" s="125"/>
      <c r="AL178" s="125">
        <f>-23583</f>
        <v>-23583</v>
      </c>
      <c r="AM178" s="125"/>
      <c r="AN178" s="125"/>
      <c r="AO178" s="125"/>
      <c r="AP178" s="125"/>
      <c r="AQ178" s="125"/>
      <c r="AR178" s="97"/>
      <c r="AS178" s="315"/>
      <c r="AT178" s="125"/>
      <c r="AU178" s="125"/>
      <c r="AV178" s="125"/>
      <c r="AW178" s="125"/>
      <c r="AX178" s="125"/>
      <c r="AY178" s="125"/>
      <c r="AZ178" s="98" t="s">
        <v>436</v>
      </c>
      <c r="BA178" s="105"/>
    </row>
    <row r="179" spans="1:53" s="151" customFormat="1" ht="12.75" x14ac:dyDescent="0.2">
      <c r="A179" s="167"/>
      <c r="B179" s="119"/>
      <c r="C179" s="172"/>
      <c r="D179" s="173"/>
      <c r="E179" s="227" t="s">
        <v>352</v>
      </c>
      <c r="F179" s="301">
        <v>77842</v>
      </c>
      <c r="G179" s="97">
        <f t="shared" si="75"/>
        <v>77842</v>
      </c>
      <c r="H179" s="301">
        <f>59678</f>
        <v>59678</v>
      </c>
      <c r="I179" s="97">
        <f t="shared" si="64"/>
        <v>59678</v>
      </c>
      <c r="J179" s="97">
        <f t="shared" si="65"/>
        <v>0</v>
      </c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>
        <f>18164</f>
        <v>18164</v>
      </c>
      <c r="AH179" s="97">
        <f t="shared" si="74"/>
        <v>18164</v>
      </c>
      <c r="AI179" s="125">
        <f t="shared" si="71"/>
        <v>0</v>
      </c>
      <c r="AJ179" s="125"/>
      <c r="AK179" s="125"/>
      <c r="AL179" s="125"/>
      <c r="AM179" s="125"/>
      <c r="AN179" s="125"/>
      <c r="AO179" s="125"/>
      <c r="AP179" s="125"/>
      <c r="AQ179" s="125"/>
      <c r="AR179" s="97"/>
      <c r="AS179" s="315"/>
      <c r="AT179" s="125"/>
      <c r="AU179" s="125"/>
      <c r="AV179" s="125"/>
      <c r="AW179" s="125"/>
      <c r="AX179" s="125"/>
      <c r="AY179" s="125"/>
      <c r="AZ179" s="98" t="s">
        <v>437</v>
      </c>
      <c r="BA179" s="105" t="s">
        <v>678</v>
      </c>
    </row>
    <row r="180" spans="1:53" ht="36" x14ac:dyDescent="0.2">
      <c r="A180" s="167">
        <v>90009249140</v>
      </c>
      <c r="B180" s="119"/>
      <c r="C180" s="486" t="s">
        <v>346</v>
      </c>
      <c r="D180" s="487"/>
      <c r="E180" s="227" t="s">
        <v>309</v>
      </c>
      <c r="F180" s="301">
        <v>302528</v>
      </c>
      <c r="G180" s="97">
        <f t="shared" si="75"/>
        <v>305727</v>
      </c>
      <c r="H180" s="301">
        <f>281438</f>
        <v>281438</v>
      </c>
      <c r="I180" s="97">
        <f t="shared" si="64"/>
        <v>281578</v>
      </c>
      <c r="J180" s="97">
        <f t="shared" si="65"/>
        <v>140</v>
      </c>
      <c r="K180" s="97"/>
      <c r="L180" s="97"/>
      <c r="M180" s="97"/>
      <c r="N180" s="97">
        <v>140</v>
      </c>
      <c r="O180" s="97"/>
      <c r="P180" s="97"/>
      <c r="Q180" s="97"/>
      <c r="R180" s="97"/>
      <c r="S180" s="97"/>
      <c r="T180" s="97"/>
      <c r="U180" s="97"/>
      <c r="V180" s="97"/>
      <c r="W180" s="97"/>
      <c r="X180" s="97">
        <f>17322</f>
        <v>17322</v>
      </c>
      <c r="Y180" s="97">
        <f>X180+Z180</f>
        <v>17948</v>
      </c>
      <c r="Z180" s="97">
        <f t="shared" si="70"/>
        <v>626</v>
      </c>
      <c r="AA180" s="97">
        <f>626</f>
        <v>626</v>
      </c>
      <c r="AB180" s="97"/>
      <c r="AC180" s="97"/>
      <c r="AD180" s="97"/>
      <c r="AE180" s="97"/>
      <c r="AF180" s="97"/>
      <c r="AG180" s="97">
        <f>3768</f>
        <v>3768</v>
      </c>
      <c r="AH180" s="97">
        <f t="shared" si="74"/>
        <v>6201</v>
      </c>
      <c r="AI180" s="125">
        <f t="shared" si="71"/>
        <v>2433</v>
      </c>
      <c r="AJ180" s="125"/>
      <c r="AK180" s="125">
        <f>2433</f>
        <v>2433</v>
      </c>
      <c r="AL180" s="125"/>
      <c r="AM180" s="125"/>
      <c r="AN180" s="125"/>
      <c r="AO180" s="125"/>
      <c r="AP180" s="125"/>
      <c r="AQ180" s="125"/>
      <c r="AR180" s="97"/>
      <c r="AS180" s="315"/>
      <c r="AT180" s="125"/>
      <c r="AU180" s="125"/>
      <c r="AV180" s="125"/>
      <c r="AW180" s="125"/>
      <c r="AX180" s="125"/>
      <c r="AY180" s="125"/>
      <c r="AZ180" s="98" t="s">
        <v>438</v>
      </c>
      <c r="BA180" s="105"/>
    </row>
    <row r="181" spans="1:53" ht="12.75" x14ac:dyDescent="0.2">
      <c r="A181" s="167"/>
      <c r="B181" s="119"/>
      <c r="C181" s="172"/>
      <c r="D181" s="173"/>
      <c r="E181" s="227" t="s">
        <v>347</v>
      </c>
      <c r="F181" s="301">
        <v>36031</v>
      </c>
      <c r="G181" s="97">
        <f t="shared" si="75"/>
        <v>36031</v>
      </c>
      <c r="H181" s="301">
        <f>36031</f>
        <v>36031</v>
      </c>
      <c r="I181" s="97">
        <f t="shared" si="64"/>
        <v>36031</v>
      </c>
      <c r="J181" s="97">
        <f t="shared" si="65"/>
        <v>0</v>
      </c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>
        <f t="shared" ref="AH181:AH193" si="76">AI181+AG181</f>
        <v>0</v>
      </c>
      <c r="AI181" s="125">
        <f t="shared" si="71"/>
        <v>0</v>
      </c>
      <c r="AJ181" s="125"/>
      <c r="AK181" s="125"/>
      <c r="AL181" s="125"/>
      <c r="AM181" s="125"/>
      <c r="AN181" s="125"/>
      <c r="AO181" s="125"/>
      <c r="AP181" s="125"/>
      <c r="AQ181" s="125"/>
      <c r="AR181" s="97"/>
      <c r="AS181" s="315"/>
      <c r="AT181" s="125"/>
      <c r="AU181" s="125"/>
      <c r="AV181" s="125"/>
      <c r="AW181" s="125"/>
      <c r="AX181" s="125"/>
      <c r="AY181" s="125"/>
      <c r="AZ181" s="98" t="s">
        <v>439</v>
      </c>
      <c r="BA181" s="105"/>
    </row>
    <row r="182" spans="1:53" ht="36" x14ac:dyDescent="0.2">
      <c r="A182" s="167">
        <v>90009249210</v>
      </c>
      <c r="B182" s="119"/>
      <c r="C182" s="486" t="s">
        <v>217</v>
      </c>
      <c r="D182" s="487"/>
      <c r="E182" s="227" t="s">
        <v>309</v>
      </c>
      <c r="F182" s="301">
        <v>530635</v>
      </c>
      <c r="G182" s="97">
        <f t="shared" si="75"/>
        <v>540965</v>
      </c>
      <c r="H182" s="301">
        <f>492283</f>
        <v>492283</v>
      </c>
      <c r="I182" s="97">
        <f t="shared" si="64"/>
        <v>493827</v>
      </c>
      <c r="J182" s="97">
        <f t="shared" si="65"/>
        <v>1544</v>
      </c>
      <c r="K182" s="97"/>
      <c r="L182" s="97"/>
      <c r="M182" s="97"/>
      <c r="N182" s="97"/>
      <c r="O182" s="97"/>
      <c r="P182" s="97">
        <f>366+43+1135</f>
        <v>1544</v>
      </c>
      <c r="Q182" s="97"/>
      <c r="R182" s="97"/>
      <c r="S182" s="97"/>
      <c r="T182" s="97"/>
      <c r="U182" s="97"/>
      <c r="V182" s="97"/>
      <c r="W182" s="97"/>
      <c r="X182" s="97">
        <f>35223</f>
        <v>35223</v>
      </c>
      <c r="Y182" s="97">
        <f>X182+Z182</f>
        <v>36456</v>
      </c>
      <c r="Z182" s="97">
        <f t="shared" si="70"/>
        <v>1233</v>
      </c>
      <c r="AA182" s="97"/>
      <c r="AB182" s="97">
        <f>1233</f>
        <v>1233</v>
      </c>
      <c r="AC182" s="97"/>
      <c r="AD182" s="97"/>
      <c r="AE182" s="97"/>
      <c r="AF182" s="97"/>
      <c r="AG182" s="97">
        <f>3129</f>
        <v>3129</v>
      </c>
      <c r="AH182" s="97">
        <f t="shared" si="76"/>
        <v>10682</v>
      </c>
      <c r="AI182" s="125">
        <f t="shared" si="71"/>
        <v>7553</v>
      </c>
      <c r="AJ182" s="125"/>
      <c r="AK182" s="125"/>
      <c r="AL182" s="125">
        <f>1301+6252</f>
        <v>7553</v>
      </c>
      <c r="AM182" s="125"/>
      <c r="AN182" s="125"/>
      <c r="AO182" s="125"/>
      <c r="AP182" s="125"/>
      <c r="AQ182" s="125"/>
      <c r="AR182" s="97"/>
      <c r="AS182" s="315"/>
      <c r="AT182" s="125"/>
      <c r="AU182" s="125"/>
      <c r="AV182" s="125"/>
      <c r="AW182" s="125"/>
      <c r="AX182" s="125"/>
      <c r="AY182" s="125"/>
      <c r="AZ182" s="98" t="s">
        <v>440</v>
      </c>
      <c r="BA182" s="105"/>
    </row>
    <row r="183" spans="1:53" ht="12.75" x14ac:dyDescent="0.2">
      <c r="A183" s="167"/>
      <c r="B183" s="119"/>
      <c r="C183" s="172"/>
      <c r="D183" s="173"/>
      <c r="E183" s="227" t="s">
        <v>347</v>
      </c>
      <c r="F183" s="301">
        <v>86176</v>
      </c>
      <c r="G183" s="97">
        <f t="shared" si="75"/>
        <v>86176</v>
      </c>
      <c r="H183" s="301">
        <f>86176</f>
        <v>86176</v>
      </c>
      <c r="I183" s="97">
        <f t="shared" si="64"/>
        <v>86176</v>
      </c>
      <c r="J183" s="97">
        <f t="shared" si="65"/>
        <v>0</v>
      </c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>
        <f t="shared" si="76"/>
        <v>0</v>
      </c>
      <c r="AI183" s="125">
        <f t="shared" si="71"/>
        <v>0</v>
      </c>
      <c r="AJ183" s="125"/>
      <c r="AK183" s="125"/>
      <c r="AL183" s="125"/>
      <c r="AM183" s="125"/>
      <c r="AN183" s="125"/>
      <c r="AO183" s="125"/>
      <c r="AP183" s="125"/>
      <c r="AQ183" s="125"/>
      <c r="AR183" s="97"/>
      <c r="AS183" s="315"/>
      <c r="AT183" s="125"/>
      <c r="AU183" s="125"/>
      <c r="AV183" s="125"/>
      <c r="AW183" s="125"/>
      <c r="AX183" s="125"/>
      <c r="AY183" s="125"/>
      <c r="AZ183" s="98" t="s">
        <v>441</v>
      </c>
      <c r="BA183" s="105"/>
    </row>
    <row r="184" spans="1:53" ht="36" x14ac:dyDescent="0.2">
      <c r="A184" s="167">
        <v>90009249155</v>
      </c>
      <c r="B184" s="119"/>
      <c r="C184" s="486" t="s">
        <v>218</v>
      </c>
      <c r="D184" s="487"/>
      <c r="E184" s="227" t="s">
        <v>309</v>
      </c>
      <c r="F184" s="301">
        <v>311282</v>
      </c>
      <c r="G184" s="97">
        <f t="shared" si="75"/>
        <v>314280</v>
      </c>
      <c r="H184" s="301">
        <f>289717</f>
        <v>289717</v>
      </c>
      <c r="I184" s="97">
        <f t="shared" si="64"/>
        <v>289846</v>
      </c>
      <c r="J184" s="97">
        <f t="shared" si="65"/>
        <v>129</v>
      </c>
      <c r="K184" s="97"/>
      <c r="L184" s="97"/>
      <c r="M184" s="97"/>
      <c r="N184" s="97">
        <v>129</v>
      </c>
      <c r="O184" s="97"/>
      <c r="P184" s="97"/>
      <c r="Q184" s="97"/>
      <c r="R184" s="97"/>
      <c r="S184" s="97"/>
      <c r="T184" s="97"/>
      <c r="U184" s="97"/>
      <c r="V184" s="97"/>
      <c r="W184" s="97"/>
      <c r="X184" s="97">
        <f>21445</f>
        <v>21445</v>
      </c>
      <c r="Y184" s="97">
        <f>X184+Z184</f>
        <v>22128</v>
      </c>
      <c r="Z184" s="97">
        <f t="shared" si="70"/>
        <v>683</v>
      </c>
      <c r="AA184" s="97">
        <f>683</f>
        <v>683</v>
      </c>
      <c r="AB184" s="97"/>
      <c r="AC184" s="97"/>
      <c r="AD184" s="97"/>
      <c r="AE184" s="97"/>
      <c r="AF184" s="97"/>
      <c r="AG184" s="97">
        <f>120</f>
        <v>120</v>
      </c>
      <c r="AH184" s="97">
        <f t="shared" si="76"/>
        <v>2306</v>
      </c>
      <c r="AI184" s="125">
        <f t="shared" si="71"/>
        <v>2186</v>
      </c>
      <c r="AJ184" s="125"/>
      <c r="AK184" s="125">
        <v>2186</v>
      </c>
      <c r="AL184" s="125"/>
      <c r="AM184" s="125"/>
      <c r="AN184" s="125"/>
      <c r="AO184" s="125"/>
      <c r="AP184" s="125"/>
      <c r="AQ184" s="125"/>
      <c r="AR184" s="97"/>
      <c r="AS184" s="315"/>
      <c r="AT184" s="125"/>
      <c r="AU184" s="125"/>
      <c r="AV184" s="125"/>
      <c r="AW184" s="125"/>
      <c r="AX184" s="125"/>
      <c r="AY184" s="125"/>
      <c r="AZ184" s="98" t="s">
        <v>442</v>
      </c>
      <c r="BA184" s="105"/>
    </row>
    <row r="185" spans="1:53" ht="12.75" x14ac:dyDescent="0.2">
      <c r="A185" s="167"/>
      <c r="B185" s="119"/>
      <c r="C185" s="172"/>
      <c r="D185" s="173"/>
      <c r="E185" s="227" t="s">
        <v>347</v>
      </c>
      <c r="F185" s="301">
        <v>30459</v>
      </c>
      <c r="G185" s="97">
        <f t="shared" si="75"/>
        <v>30459</v>
      </c>
      <c r="H185" s="301">
        <f>30459</f>
        <v>30459</v>
      </c>
      <c r="I185" s="97">
        <f t="shared" si="64"/>
        <v>30459</v>
      </c>
      <c r="J185" s="97">
        <f t="shared" si="65"/>
        <v>0</v>
      </c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>
        <f t="shared" si="76"/>
        <v>0</v>
      </c>
      <c r="AI185" s="125">
        <f t="shared" si="71"/>
        <v>0</v>
      </c>
      <c r="AJ185" s="125"/>
      <c r="AK185" s="125"/>
      <c r="AL185" s="125"/>
      <c r="AM185" s="125"/>
      <c r="AN185" s="125"/>
      <c r="AO185" s="125"/>
      <c r="AP185" s="125"/>
      <c r="AQ185" s="125"/>
      <c r="AR185" s="97"/>
      <c r="AS185" s="315"/>
      <c r="AT185" s="125"/>
      <c r="AU185" s="125"/>
      <c r="AV185" s="125"/>
      <c r="AW185" s="125"/>
      <c r="AX185" s="125"/>
      <c r="AY185" s="125"/>
      <c r="AZ185" s="98" t="s">
        <v>443</v>
      </c>
      <c r="BA185" s="105"/>
    </row>
    <row r="186" spans="1:53" ht="36" x14ac:dyDescent="0.2">
      <c r="A186" s="167">
        <v>90009249259</v>
      </c>
      <c r="B186" s="119"/>
      <c r="C186" s="486" t="s">
        <v>219</v>
      </c>
      <c r="D186" s="487"/>
      <c r="E186" s="227" t="s">
        <v>309</v>
      </c>
      <c r="F186" s="301">
        <v>504096</v>
      </c>
      <c r="G186" s="97">
        <f t="shared" si="75"/>
        <v>514513</v>
      </c>
      <c r="H186" s="301">
        <f>459255</f>
        <v>459255</v>
      </c>
      <c r="I186" s="97">
        <f t="shared" si="64"/>
        <v>460610</v>
      </c>
      <c r="J186" s="97">
        <f t="shared" si="65"/>
        <v>1355</v>
      </c>
      <c r="K186" s="97"/>
      <c r="L186" s="97"/>
      <c r="M186" s="97"/>
      <c r="N186" s="97"/>
      <c r="O186" s="97"/>
      <c r="P186" s="97">
        <f>177+43+1135</f>
        <v>1355</v>
      </c>
      <c r="Q186" s="97"/>
      <c r="R186" s="97"/>
      <c r="S186" s="97"/>
      <c r="T186" s="97"/>
      <c r="U186" s="97"/>
      <c r="V186" s="97"/>
      <c r="W186" s="97"/>
      <c r="X186" s="97">
        <f>41422</f>
        <v>41422</v>
      </c>
      <c r="Y186" s="97">
        <f>X186+Z186</f>
        <v>42864</v>
      </c>
      <c r="Z186" s="97">
        <f t="shared" si="70"/>
        <v>1442</v>
      </c>
      <c r="AA186" s="97"/>
      <c r="AB186" s="97">
        <f>1442</f>
        <v>1442</v>
      </c>
      <c r="AC186" s="97"/>
      <c r="AD186" s="97"/>
      <c r="AE186" s="97"/>
      <c r="AF186" s="97"/>
      <c r="AG186" s="97">
        <f>3419</f>
        <v>3419</v>
      </c>
      <c r="AH186" s="97">
        <f t="shared" si="76"/>
        <v>11039</v>
      </c>
      <c r="AI186" s="125">
        <f t="shared" si="71"/>
        <v>7620</v>
      </c>
      <c r="AJ186" s="125"/>
      <c r="AK186" s="125"/>
      <c r="AL186" s="125">
        <f>1164+6456</f>
        <v>7620</v>
      </c>
      <c r="AM186" s="125"/>
      <c r="AN186" s="125"/>
      <c r="AO186" s="125"/>
      <c r="AP186" s="125"/>
      <c r="AQ186" s="125"/>
      <c r="AR186" s="97"/>
      <c r="AS186" s="315"/>
      <c r="AT186" s="125"/>
      <c r="AU186" s="125"/>
      <c r="AV186" s="125"/>
      <c r="AW186" s="125"/>
      <c r="AX186" s="125"/>
      <c r="AY186" s="125"/>
      <c r="AZ186" s="98" t="s">
        <v>444</v>
      </c>
      <c r="BA186" s="105"/>
    </row>
    <row r="187" spans="1:53" ht="12.75" x14ac:dyDescent="0.2">
      <c r="A187" s="167"/>
      <c r="B187" s="119"/>
      <c r="C187" s="172"/>
      <c r="D187" s="173"/>
      <c r="E187" s="227" t="s">
        <v>347</v>
      </c>
      <c r="F187" s="301">
        <v>75776</v>
      </c>
      <c r="G187" s="97">
        <f t="shared" si="75"/>
        <v>75776</v>
      </c>
      <c r="H187" s="301">
        <f>75776</f>
        <v>75776</v>
      </c>
      <c r="I187" s="97">
        <f t="shared" si="64"/>
        <v>75776</v>
      </c>
      <c r="J187" s="97">
        <f t="shared" si="65"/>
        <v>0</v>
      </c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>
        <f t="shared" si="76"/>
        <v>0</v>
      </c>
      <c r="AI187" s="125">
        <f t="shared" si="71"/>
        <v>0</v>
      </c>
      <c r="AJ187" s="125"/>
      <c r="AK187" s="125"/>
      <c r="AL187" s="125"/>
      <c r="AM187" s="125"/>
      <c r="AN187" s="125"/>
      <c r="AO187" s="125"/>
      <c r="AP187" s="125"/>
      <c r="AQ187" s="125"/>
      <c r="AR187" s="97"/>
      <c r="AS187" s="315"/>
      <c r="AT187" s="125"/>
      <c r="AU187" s="125"/>
      <c r="AV187" s="125"/>
      <c r="AW187" s="125"/>
      <c r="AX187" s="125"/>
      <c r="AY187" s="125"/>
      <c r="AZ187" s="98" t="s">
        <v>445</v>
      </c>
      <c r="BA187" s="105"/>
    </row>
    <row r="188" spans="1:53" ht="36" x14ac:dyDescent="0.2">
      <c r="A188" s="167">
        <v>90009249314</v>
      </c>
      <c r="B188" s="119"/>
      <c r="C188" s="486" t="s">
        <v>220</v>
      </c>
      <c r="D188" s="487"/>
      <c r="E188" s="227" t="s">
        <v>309</v>
      </c>
      <c r="F188" s="301">
        <v>519951</v>
      </c>
      <c r="G188" s="97">
        <f t="shared" si="75"/>
        <v>538707</v>
      </c>
      <c r="H188" s="301">
        <f>463029</f>
        <v>463029</v>
      </c>
      <c r="I188" s="97">
        <f t="shared" si="64"/>
        <v>464424</v>
      </c>
      <c r="J188" s="97">
        <f t="shared" si="65"/>
        <v>1395</v>
      </c>
      <c r="K188" s="97"/>
      <c r="L188" s="97"/>
      <c r="M188" s="97"/>
      <c r="N188" s="97"/>
      <c r="O188" s="97"/>
      <c r="P188" s="97">
        <f>238+22+1135</f>
        <v>1395</v>
      </c>
      <c r="Q188" s="97"/>
      <c r="R188" s="97"/>
      <c r="S188" s="97"/>
      <c r="T188" s="97"/>
      <c r="U188" s="97"/>
      <c r="V188" s="97"/>
      <c r="W188" s="97"/>
      <c r="X188" s="97">
        <f>51804</f>
        <v>51804</v>
      </c>
      <c r="Y188" s="97">
        <f>X188+Z188</f>
        <v>53265</v>
      </c>
      <c r="Z188" s="97">
        <f t="shared" si="70"/>
        <v>1461</v>
      </c>
      <c r="AA188" s="97"/>
      <c r="AB188" s="97">
        <f>1461</f>
        <v>1461</v>
      </c>
      <c r="AC188" s="97"/>
      <c r="AD188" s="97"/>
      <c r="AE188" s="97"/>
      <c r="AF188" s="97"/>
      <c r="AG188" s="97">
        <f>5118</f>
        <v>5118</v>
      </c>
      <c r="AH188" s="97">
        <f t="shared" si="76"/>
        <v>21018</v>
      </c>
      <c r="AI188" s="125">
        <f t="shared" si="71"/>
        <v>15900</v>
      </c>
      <c r="AJ188" s="125"/>
      <c r="AK188" s="125"/>
      <c r="AL188" s="125">
        <f>995+14905</f>
        <v>15900</v>
      </c>
      <c r="AM188" s="125"/>
      <c r="AN188" s="125"/>
      <c r="AO188" s="125"/>
      <c r="AP188" s="125"/>
      <c r="AQ188" s="125"/>
      <c r="AR188" s="97"/>
      <c r="AS188" s="315"/>
      <c r="AT188" s="125"/>
      <c r="AU188" s="125"/>
      <c r="AV188" s="125"/>
      <c r="AW188" s="125"/>
      <c r="AX188" s="125"/>
      <c r="AY188" s="125"/>
      <c r="AZ188" s="98" t="s">
        <v>446</v>
      </c>
      <c r="BA188" s="105"/>
    </row>
    <row r="189" spans="1:53" ht="12.75" x14ac:dyDescent="0.2">
      <c r="A189" s="167"/>
      <c r="B189" s="119"/>
      <c r="C189" s="172"/>
      <c r="D189" s="173"/>
      <c r="E189" s="227" t="s">
        <v>347</v>
      </c>
      <c r="F189" s="301">
        <v>73547</v>
      </c>
      <c r="G189" s="97">
        <f t="shared" si="75"/>
        <v>73547</v>
      </c>
      <c r="H189" s="301">
        <f>73547</f>
        <v>73547</v>
      </c>
      <c r="I189" s="97">
        <f t="shared" si="64"/>
        <v>73547</v>
      </c>
      <c r="J189" s="97">
        <f t="shared" si="65"/>
        <v>0</v>
      </c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>
        <f t="shared" si="76"/>
        <v>0</v>
      </c>
      <c r="AI189" s="125">
        <f t="shared" si="71"/>
        <v>0</v>
      </c>
      <c r="AJ189" s="125"/>
      <c r="AK189" s="125"/>
      <c r="AL189" s="125"/>
      <c r="AM189" s="125"/>
      <c r="AN189" s="125"/>
      <c r="AO189" s="125"/>
      <c r="AP189" s="125"/>
      <c r="AQ189" s="125"/>
      <c r="AR189" s="97"/>
      <c r="AS189" s="315"/>
      <c r="AT189" s="125"/>
      <c r="AU189" s="125"/>
      <c r="AV189" s="125"/>
      <c r="AW189" s="125"/>
      <c r="AX189" s="125"/>
      <c r="AY189" s="125"/>
      <c r="AZ189" s="98" t="s">
        <v>447</v>
      </c>
      <c r="BA189" s="105"/>
    </row>
    <row r="190" spans="1:53" ht="36" x14ac:dyDescent="0.2">
      <c r="A190" s="167">
        <v>90009249189</v>
      </c>
      <c r="B190" s="119"/>
      <c r="C190" s="486" t="s">
        <v>221</v>
      </c>
      <c r="D190" s="487"/>
      <c r="E190" s="227" t="s">
        <v>309</v>
      </c>
      <c r="F190" s="301">
        <v>518226</v>
      </c>
      <c r="G190" s="97">
        <f t="shared" si="75"/>
        <v>523537</v>
      </c>
      <c r="H190" s="301">
        <f>449388</f>
        <v>449388</v>
      </c>
      <c r="I190" s="97">
        <f t="shared" si="64"/>
        <v>450937</v>
      </c>
      <c r="J190" s="97">
        <f t="shared" si="65"/>
        <v>1549</v>
      </c>
      <c r="K190" s="97"/>
      <c r="L190" s="97"/>
      <c r="M190" s="97"/>
      <c r="N190" s="97"/>
      <c r="O190" s="97"/>
      <c r="P190" s="97">
        <f>371+43+1135</f>
        <v>1549</v>
      </c>
      <c r="Q190" s="97"/>
      <c r="R190" s="97"/>
      <c r="S190" s="97"/>
      <c r="T190" s="97"/>
      <c r="U190" s="97"/>
      <c r="V190" s="97"/>
      <c r="W190" s="97"/>
      <c r="X190" s="97">
        <f>63046</f>
        <v>63046</v>
      </c>
      <c r="Y190" s="97">
        <f>X190+Z190</f>
        <v>64773</v>
      </c>
      <c r="Z190" s="97">
        <f t="shared" si="70"/>
        <v>1727</v>
      </c>
      <c r="AA190" s="97"/>
      <c r="AB190" s="97">
        <v>1727</v>
      </c>
      <c r="AC190" s="97"/>
      <c r="AD190" s="97"/>
      <c r="AE190" s="97"/>
      <c r="AF190" s="97"/>
      <c r="AG190" s="97">
        <f>5792</f>
        <v>5792</v>
      </c>
      <c r="AH190" s="97">
        <f t="shared" si="76"/>
        <v>7827</v>
      </c>
      <c r="AI190" s="125">
        <f t="shared" si="71"/>
        <v>2035</v>
      </c>
      <c r="AJ190" s="125"/>
      <c r="AK190" s="125"/>
      <c r="AL190" s="125">
        <f>1268+767</f>
        <v>2035</v>
      </c>
      <c r="AM190" s="125"/>
      <c r="AN190" s="125"/>
      <c r="AO190" s="125"/>
      <c r="AP190" s="125"/>
      <c r="AQ190" s="125"/>
      <c r="AR190" s="97"/>
      <c r="AS190" s="315"/>
      <c r="AT190" s="125"/>
      <c r="AU190" s="125"/>
      <c r="AV190" s="125"/>
      <c r="AW190" s="125"/>
      <c r="AX190" s="125"/>
      <c r="AY190" s="125"/>
      <c r="AZ190" s="98" t="s">
        <v>448</v>
      </c>
      <c r="BA190" s="105"/>
    </row>
    <row r="191" spans="1:53" ht="12.75" x14ac:dyDescent="0.2">
      <c r="A191" s="167"/>
      <c r="B191" s="119"/>
      <c r="C191" s="172"/>
      <c r="D191" s="173"/>
      <c r="E191" s="227" t="s">
        <v>347</v>
      </c>
      <c r="F191" s="301">
        <v>70204</v>
      </c>
      <c r="G191" s="97">
        <f t="shared" si="75"/>
        <v>70204</v>
      </c>
      <c r="H191" s="301">
        <f>70204</f>
        <v>70204</v>
      </c>
      <c r="I191" s="97">
        <f t="shared" si="64"/>
        <v>70204</v>
      </c>
      <c r="J191" s="97">
        <f t="shared" si="65"/>
        <v>0</v>
      </c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>
        <f t="shared" si="76"/>
        <v>0</v>
      </c>
      <c r="AI191" s="125">
        <f t="shared" si="71"/>
        <v>0</v>
      </c>
      <c r="AJ191" s="125"/>
      <c r="AK191" s="125"/>
      <c r="AL191" s="125"/>
      <c r="AM191" s="125"/>
      <c r="AN191" s="125"/>
      <c r="AO191" s="125"/>
      <c r="AP191" s="125"/>
      <c r="AQ191" s="125"/>
      <c r="AR191" s="97"/>
      <c r="AS191" s="315"/>
      <c r="AT191" s="125"/>
      <c r="AU191" s="125"/>
      <c r="AV191" s="125"/>
      <c r="AW191" s="125"/>
      <c r="AX191" s="125"/>
      <c r="AY191" s="125"/>
      <c r="AZ191" s="98" t="s">
        <v>449</v>
      </c>
      <c r="BA191" s="105"/>
    </row>
    <row r="192" spans="1:53" ht="36" x14ac:dyDescent="0.2">
      <c r="A192" s="167">
        <v>90009249136</v>
      </c>
      <c r="B192" s="119"/>
      <c r="C192" s="486" t="s">
        <v>222</v>
      </c>
      <c r="D192" s="487"/>
      <c r="E192" s="227" t="s">
        <v>309</v>
      </c>
      <c r="F192" s="301">
        <v>266158</v>
      </c>
      <c r="G192" s="97">
        <f t="shared" si="75"/>
        <v>273169</v>
      </c>
      <c r="H192" s="301">
        <f>255168</f>
        <v>255168</v>
      </c>
      <c r="I192" s="97">
        <f t="shared" si="64"/>
        <v>256432</v>
      </c>
      <c r="J192" s="97">
        <f t="shared" si="65"/>
        <v>1264</v>
      </c>
      <c r="K192" s="97"/>
      <c r="L192" s="97"/>
      <c r="M192" s="97"/>
      <c r="N192" s="97">
        <v>1264</v>
      </c>
      <c r="O192" s="97"/>
      <c r="P192" s="97"/>
      <c r="Q192" s="97"/>
      <c r="R192" s="97"/>
      <c r="S192" s="97"/>
      <c r="T192" s="97"/>
      <c r="U192" s="97"/>
      <c r="V192" s="97"/>
      <c r="W192" s="97"/>
      <c r="X192" s="97">
        <f>10990</f>
        <v>10990</v>
      </c>
      <c r="Y192" s="97">
        <f>X192+Z192</f>
        <v>11370</v>
      </c>
      <c r="Z192" s="97">
        <f t="shared" si="70"/>
        <v>380</v>
      </c>
      <c r="AA192" s="97">
        <f>380</f>
        <v>380</v>
      </c>
      <c r="AB192" s="97"/>
      <c r="AC192" s="97"/>
      <c r="AD192" s="97"/>
      <c r="AE192" s="97"/>
      <c r="AF192" s="97"/>
      <c r="AG192" s="97"/>
      <c r="AH192" s="97">
        <f t="shared" si="76"/>
        <v>5367</v>
      </c>
      <c r="AI192" s="125">
        <f t="shared" ref="AI192:AI210" si="77">SUM(AJ192:AO192)</f>
        <v>5367</v>
      </c>
      <c r="AJ192" s="125"/>
      <c r="AK192" s="125">
        <v>5367</v>
      </c>
      <c r="AL192" s="125"/>
      <c r="AM192" s="125"/>
      <c r="AN192" s="125"/>
      <c r="AO192" s="125"/>
      <c r="AP192" s="125"/>
      <c r="AQ192" s="125"/>
      <c r="AR192" s="97"/>
      <c r="AS192" s="315"/>
      <c r="AT192" s="125"/>
      <c r="AU192" s="125"/>
      <c r="AV192" s="125"/>
      <c r="AW192" s="125"/>
      <c r="AX192" s="125"/>
      <c r="AY192" s="125"/>
      <c r="AZ192" s="98" t="s">
        <v>450</v>
      </c>
      <c r="BA192" s="105"/>
    </row>
    <row r="193" spans="1:53" ht="12.75" x14ac:dyDescent="0.2">
      <c r="A193" s="167"/>
      <c r="B193" s="119"/>
      <c r="C193" s="172"/>
      <c r="D193" s="173"/>
      <c r="E193" s="227" t="s">
        <v>347</v>
      </c>
      <c r="F193" s="301">
        <v>30830</v>
      </c>
      <c r="G193" s="97">
        <f t="shared" si="75"/>
        <v>30830</v>
      </c>
      <c r="H193" s="301">
        <f>30830</f>
        <v>30830</v>
      </c>
      <c r="I193" s="97">
        <f t="shared" si="64"/>
        <v>30830</v>
      </c>
      <c r="J193" s="97">
        <f t="shared" si="65"/>
        <v>0</v>
      </c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f t="shared" si="76"/>
        <v>0</v>
      </c>
      <c r="AI193" s="125">
        <f t="shared" si="77"/>
        <v>0</v>
      </c>
      <c r="AJ193" s="125"/>
      <c r="AK193" s="125"/>
      <c r="AL193" s="125"/>
      <c r="AM193" s="125"/>
      <c r="AN193" s="125"/>
      <c r="AO193" s="125"/>
      <c r="AP193" s="125"/>
      <c r="AQ193" s="125"/>
      <c r="AR193" s="97"/>
      <c r="AS193" s="315"/>
      <c r="AT193" s="125"/>
      <c r="AU193" s="125"/>
      <c r="AV193" s="125"/>
      <c r="AW193" s="125"/>
      <c r="AX193" s="125"/>
      <c r="AY193" s="125"/>
      <c r="AZ193" s="98" t="s">
        <v>451</v>
      </c>
      <c r="BA193" s="105"/>
    </row>
    <row r="194" spans="1:53" ht="36" x14ac:dyDescent="0.2">
      <c r="A194" s="167">
        <v>90009563202</v>
      </c>
      <c r="B194" s="119"/>
      <c r="C194" s="486" t="s">
        <v>667</v>
      </c>
      <c r="D194" s="487"/>
      <c r="E194" s="227" t="s">
        <v>309</v>
      </c>
      <c r="F194" s="301">
        <v>278959</v>
      </c>
      <c r="G194" s="97">
        <f t="shared" si="75"/>
        <v>293919</v>
      </c>
      <c r="H194" s="301">
        <f>41370</f>
        <v>41370</v>
      </c>
      <c r="I194" s="97">
        <f t="shared" si="64"/>
        <v>41370</v>
      </c>
      <c r="J194" s="97">
        <f t="shared" si="65"/>
        <v>0</v>
      </c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>
        <f>235272</f>
        <v>235272</v>
      </c>
      <c r="Y194" s="97">
        <f>X194+Z194</f>
        <v>250335</v>
      </c>
      <c r="Z194" s="97">
        <f t="shared" si="70"/>
        <v>15063</v>
      </c>
      <c r="AA194" s="97"/>
      <c r="AB194" s="97">
        <f>3186+11877</f>
        <v>15063</v>
      </c>
      <c r="AC194" s="97"/>
      <c r="AD194" s="97"/>
      <c r="AE194" s="97"/>
      <c r="AF194" s="97"/>
      <c r="AG194" s="97">
        <f>2317</f>
        <v>2317</v>
      </c>
      <c r="AH194" s="97">
        <f t="shared" ref="AH194:AH202" si="78">AI194+AG194</f>
        <v>2214</v>
      </c>
      <c r="AI194" s="125">
        <f t="shared" si="77"/>
        <v>-103</v>
      </c>
      <c r="AJ194" s="125"/>
      <c r="AK194" s="125"/>
      <c r="AL194" s="125">
        <f>-103</f>
        <v>-103</v>
      </c>
      <c r="AM194" s="125"/>
      <c r="AN194" s="125"/>
      <c r="AO194" s="125"/>
      <c r="AP194" s="125"/>
      <c r="AQ194" s="125"/>
      <c r="AR194" s="97"/>
      <c r="AS194" s="315"/>
      <c r="AT194" s="125"/>
      <c r="AU194" s="125"/>
      <c r="AV194" s="125"/>
      <c r="AW194" s="125"/>
      <c r="AX194" s="125"/>
      <c r="AY194" s="125"/>
      <c r="AZ194" s="98" t="s">
        <v>452</v>
      </c>
      <c r="BA194" s="105"/>
    </row>
    <row r="195" spans="1:53" ht="36" x14ac:dyDescent="0.2">
      <c r="A195" s="167">
        <v>90009249206</v>
      </c>
      <c r="B195" s="119"/>
      <c r="C195" s="486" t="s">
        <v>223</v>
      </c>
      <c r="D195" s="487"/>
      <c r="E195" s="227" t="s">
        <v>309</v>
      </c>
      <c r="F195" s="301">
        <v>537115</v>
      </c>
      <c r="G195" s="97">
        <f t="shared" si="75"/>
        <v>548848</v>
      </c>
      <c r="H195" s="301">
        <f>486033</f>
        <v>486033</v>
      </c>
      <c r="I195" s="97">
        <f t="shared" si="64"/>
        <v>487637</v>
      </c>
      <c r="J195" s="97">
        <f t="shared" si="65"/>
        <v>1604</v>
      </c>
      <c r="K195" s="97"/>
      <c r="L195" s="97"/>
      <c r="M195" s="97"/>
      <c r="N195" s="97"/>
      <c r="O195" s="97"/>
      <c r="P195" s="97">
        <f>426+43+1135</f>
        <v>1604</v>
      </c>
      <c r="Q195" s="97"/>
      <c r="R195" s="97"/>
      <c r="S195" s="97"/>
      <c r="T195" s="97"/>
      <c r="U195" s="97"/>
      <c r="V195" s="97"/>
      <c r="W195" s="97"/>
      <c r="X195" s="97">
        <f>47459</f>
        <v>47459</v>
      </c>
      <c r="Y195" s="97">
        <f>X195+Z195</f>
        <v>49224</v>
      </c>
      <c r="Z195" s="97">
        <f t="shared" si="70"/>
        <v>1765</v>
      </c>
      <c r="AA195" s="97"/>
      <c r="AB195" s="97">
        <v>1765</v>
      </c>
      <c r="AC195" s="97"/>
      <c r="AD195" s="97"/>
      <c r="AE195" s="97"/>
      <c r="AF195" s="97"/>
      <c r="AG195" s="97">
        <f>3623</f>
        <v>3623</v>
      </c>
      <c r="AH195" s="97">
        <f t="shared" si="78"/>
        <v>11987</v>
      </c>
      <c r="AI195" s="125">
        <f t="shared" si="77"/>
        <v>8364</v>
      </c>
      <c r="AJ195" s="125"/>
      <c r="AK195" s="125"/>
      <c r="AL195" s="125">
        <f>1965+6399</f>
        <v>8364</v>
      </c>
      <c r="AM195" s="125"/>
      <c r="AN195" s="125"/>
      <c r="AO195" s="125"/>
      <c r="AP195" s="125"/>
      <c r="AQ195" s="125"/>
      <c r="AR195" s="97"/>
      <c r="AS195" s="315"/>
      <c r="AT195" s="125"/>
      <c r="AU195" s="125"/>
      <c r="AV195" s="125"/>
      <c r="AW195" s="125"/>
      <c r="AX195" s="125"/>
      <c r="AY195" s="125"/>
      <c r="AZ195" s="98" t="s">
        <v>453</v>
      </c>
      <c r="BA195" s="105"/>
    </row>
    <row r="196" spans="1:53" ht="12.75" x14ac:dyDescent="0.2">
      <c r="A196" s="167"/>
      <c r="B196" s="119"/>
      <c r="C196" s="172"/>
      <c r="D196" s="173"/>
      <c r="E196" s="227" t="s">
        <v>347</v>
      </c>
      <c r="F196" s="301">
        <v>86176</v>
      </c>
      <c r="G196" s="97">
        <f t="shared" si="75"/>
        <v>86176</v>
      </c>
      <c r="H196" s="301">
        <f>86176</f>
        <v>86176</v>
      </c>
      <c r="I196" s="97">
        <f t="shared" si="64"/>
        <v>86176</v>
      </c>
      <c r="J196" s="97">
        <f t="shared" si="65"/>
        <v>0</v>
      </c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>
        <f t="shared" si="78"/>
        <v>0</v>
      </c>
      <c r="AI196" s="125">
        <f t="shared" si="77"/>
        <v>0</v>
      </c>
      <c r="AJ196" s="125"/>
      <c r="AK196" s="125"/>
      <c r="AL196" s="125"/>
      <c r="AM196" s="125"/>
      <c r="AN196" s="125"/>
      <c r="AO196" s="125"/>
      <c r="AP196" s="125"/>
      <c r="AQ196" s="125"/>
      <c r="AR196" s="97"/>
      <c r="AS196" s="315"/>
      <c r="AT196" s="125"/>
      <c r="AU196" s="125"/>
      <c r="AV196" s="125"/>
      <c r="AW196" s="125"/>
      <c r="AX196" s="125"/>
      <c r="AY196" s="125"/>
      <c r="AZ196" s="98" t="s">
        <v>454</v>
      </c>
      <c r="BA196" s="105"/>
    </row>
    <row r="197" spans="1:53" ht="36" x14ac:dyDescent="0.2">
      <c r="A197" s="167">
        <v>90009251357</v>
      </c>
      <c r="B197" s="119"/>
      <c r="C197" s="486" t="s">
        <v>224</v>
      </c>
      <c r="D197" s="487"/>
      <c r="E197" s="227" t="s">
        <v>309</v>
      </c>
      <c r="F197" s="301">
        <v>330553</v>
      </c>
      <c r="G197" s="97">
        <f t="shared" si="75"/>
        <v>345110</v>
      </c>
      <c r="H197" s="301">
        <f>294644</f>
        <v>294644</v>
      </c>
      <c r="I197" s="97">
        <f t="shared" si="64"/>
        <v>295872</v>
      </c>
      <c r="J197" s="97">
        <f t="shared" si="65"/>
        <v>1228</v>
      </c>
      <c r="K197" s="97"/>
      <c r="L197" s="97"/>
      <c r="M197" s="97"/>
      <c r="N197" s="97"/>
      <c r="O197" s="97"/>
      <c r="P197" s="97">
        <f>71+22+1135</f>
        <v>1228</v>
      </c>
      <c r="Q197" s="97"/>
      <c r="R197" s="97"/>
      <c r="S197" s="97"/>
      <c r="T197" s="97"/>
      <c r="U197" s="97"/>
      <c r="V197" s="97"/>
      <c r="W197" s="97"/>
      <c r="X197" s="97">
        <f>31960</f>
        <v>31960</v>
      </c>
      <c r="Y197" s="97">
        <f>X197+Z197</f>
        <v>33061</v>
      </c>
      <c r="Z197" s="97">
        <f t="shared" si="70"/>
        <v>1101</v>
      </c>
      <c r="AA197" s="97"/>
      <c r="AB197" s="97">
        <v>1101</v>
      </c>
      <c r="AC197" s="97"/>
      <c r="AD197" s="97"/>
      <c r="AE197" s="97"/>
      <c r="AF197" s="97"/>
      <c r="AG197" s="97">
        <f>3320</f>
        <v>3320</v>
      </c>
      <c r="AH197" s="97">
        <f t="shared" si="78"/>
        <v>15757</v>
      </c>
      <c r="AI197" s="125">
        <f t="shared" si="77"/>
        <v>12437</v>
      </c>
      <c r="AJ197" s="125"/>
      <c r="AK197" s="125"/>
      <c r="AL197" s="125">
        <f>1253+11184</f>
        <v>12437</v>
      </c>
      <c r="AM197" s="125"/>
      <c r="AN197" s="125"/>
      <c r="AO197" s="125"/>
      <c r="AP197" s="125"/>
      <c r="AQ197" s="125">
        <v>629</v>
      </c>
      <c r="AR197" s="97">
        <f>AS197+AQ197</f>
        <v>420</v>
      </c>
      <c r="AS197" s="315">
        <f>SUM(AT197:AY197)</f>
        <v>-209</v>
      </c>
      <c r="AT197" s="125"/>
      <c r="AU197" s="125">
        <f>-209</f>
        <v>-209</v>
      </c>
      <c r="AV197" s="125"/>
      <c r="AW197" s="125"/>
      <c r="AX197" s="125"/>
      <c r="AY197" s="125"/>
      <c r="AZ197" s="98" t="s">
        <v>455</v>
      </c>
      <c r="BA197" s="105"/>
    </row>
    <row r="198" spans="1:53" ht="12.75" x14ac:dyDescent="0.2">
      <c r="A198" s="167"/>
      <c r="B198" s="119"/>
      <c r="C198" s="172"/>
      <c r="D198" s="173"/>
      <c r="E198" s="227" t="s">
        <v>347</v>
      </c>
      <c r="F198" s="301">
        <v>44945</v>
      </c>
      <c r="G198" s="97">
        <f t="shared" si="75"/>
        <v>44945</v>
      </c>
      <c r="H198" s="301">
        <f>44945</f>
        <v>44945</v>
      </c>
      <c r="I198" s="97">
        <f t="shared" si="64"/>
        <v>44945</v>
      </c>
      <c r="J198" s="97">
        <f t="shared" si="65"/>
        <v>0</v>
      </c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>
        <f t="shared" si="78"/>
        <v>0</v>
      </c>
      <c r="AI198" s="125">
        <f t="shared" si="77"/>
        <v>0</v>
      </c>
      <c r="AJ198" s="125"/>
      <c r="AK198" s="125"/>
      <c r="AL198" s="125"/>
      <c r="AM198" s="125"/>
      <c r="AN198" s="125"/>
      <c r="AO198" s="125"/>
      <c r="AP198" s="125"/>
      <c r="AQ198" s="125"/>
      <c r="AR198" s="97"/>
      <c r="AS198" s="315"/>
      <c r="AT198" s="125"/>
      <c r="AU198" s="125"/>
      <c r="AV198" s="125"/>
      <c r="AW198" s="125"/>
      <c r="AX198" s="125"/>
      <c r="AY198" s="125"/>
      <c r="AZ198" s="98" t="s">
        <v>456</v>
      </c>
      <c r="BA198" s="105"/>
    </row>
    <row r="199" spans="1:53" ht="39.75" customHeight="1" x14ac:dyDescent="0.2">
      <c r="A199" s="167">
        <v>90000051542</v>
      </c>
      <c r="B199" s="119"/>
      <c r="C199" s="486" t="s">
        <v>21</v>
      </c>
      <c r="D199" s="487"/>
      <c r="E199" s="227" t="s">
        <v>308</v>
      </c>
      <c r="F199" s="301">
        <v>1071792</v>
      </c>
      <c r="G199" s="97">
        <f t="shared" si="75"/>
        <v>1083810</v>
      </c>
      <c r="H199" s="301">
        <f>454775</f>
        <v>454775</v>
      </c>
      <c r="I199" s="97">
        <f t="shared" si="64"/>
        <v>456140</v>
      </c>
      <c r="J199" s="97">
        <f t="shared" si="65"/>
        <v>1365</v>
      </c>
      <c r="K199" s="97"/>
      <c r="L199" s="97">
        <v>230</v>
      </c>
      <c r="M199" s="97"/>
      <c r="N199" s="97">
        <v>1135</v>
      </c>
      <c r="O199" s="97"/>
      <c r="P199" s="97"/>
      <c r="Q199" s="97"/>
      <c r="R199" s="97"/>
      <c r="S199" s="97"/>
      <c r="T199" s="97"/>
      <c r="U199" s="97"/>
      <c r="V199" s="97"/>
      <c r="W199" s="97"/>
      <c r="X199" s="97">
        <f>600985</f>
        <v>600985</v>
      </c>
      <c r="Y199" s="97">
        <f>X199+Z199</f>
        <v>610530</v>
      </c>
      <c r="Z199" s="97">
        <f t="shared" si="70"/>
        <v>9545</v>
      </c>
      <c r="AA199" s="97">
        <f>9545</f>
        <v>9545</v>
      </c>
      <c r="AB199" s="97"/>
      <c r="AC199" s="97"/>
      <c r="AD199" s="97"/>
      <c r="AE199" s="97"/>
      <c r="AF199" s="97"/>
      <c r="AG199" s="97">
        <f>16032</f>
        <v>16032</v>
      </c>
      <c r="AH199" s="97">
        <f t="shared" si="78"/>
        <v>17140</v>
      </c>
      <c r="AI199" s="125">
        <f t="shared" si="77"/>
        <v>1108</v>
      </c>
      <c r="AJ199" s="125"/>
      <c r="AK199" s="125">
        <v>1108</v>
      </c>
      <c r="AL199" s="125"/>
      <c r="AM199" s="125"/>
      <c r="AN199" s="125"/>
      <c r="AO199" s="125"/>
      <c r="AP199" s="125"/>
      <c r="AQ199" s="125"/>
      <c r="AR199" s="97"/>
      <c r="AS199" s="315"/>
      <c r="AT199" s="125"/>
      <c r="AU199" s="125"/>
      <c r="AV199" s="125"/>
      <c r="AW199" s="125"/>
      <c r="AX199" s="125"/>
      <c r="AY199" s="125"/>
      <c r="AZ199" s="98" t="s">
        <v>457</v>
      </c>
      <c r="BA199" s="105"/>
    </row>
    <row r="200" spans="1:53" ht="12.75" x14ac:dyDescent="0.2">
      <c r="A200" s="167"/>
      <c r="B200" s="119"/>
      <c r="C200" s="172"/>
      <c r="D200" s="173"/>
      <c r="E200" s="227" t="s">
        <v>347</v>
      </c>
      <c r="F200" s="301">
        <v>135397</v>
      </c>
      <c r="G200" s="97">
        <f t="shared" si="75"/>
        <v>139555</v>
      </c>
      <c r="H200" s="301">
        <f>107996</f>
        <v>107996</v>
      </c>
      <c r="I200" s="97">
        <f t="shared" si="64"/>
        <v>107996</v>
      </c>
      <c r="J200" s="97">
        <f t="shared" si="65"/>
        <v>0</v>
      </c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>
        <f>27401</f>
        <v>27401</v>
      </c>
      <c r="Y200" s="97">
        <f>X200+Z200</f>
        <v>31559</v>
      </c>
      <c r="Z200" s="97">
        <f t="shared" si="70"/>
        <v>4158</v>
      </c>
      <c r="AA200" s="97">
        <v>4158</v>
      </c>
      <c r="AB200" s="97"/>
      <c r="AC200" s="97"/>
      <c r="AD200" s="97"/>
      <c r="AE200" s="97"/>
      <c r="AF200" s="97"/>
      <c r="AG200" s="97"/>
      <c r="AH200" s="97">
        <f t="shared" si="78"/>
        <v>0</v>
      </c>
      <c r="AI200" s="125">
        <f t="shared" si="77"/>
        <v>0</v>
      </c>
      <c r="AJ200" s="125"/>
      <c r="AK200" s="125"/>
      <c r="AL200" s="125"/>
      <c r="AM200" s="125"/>
      <c r="AN200" s="125"/>
      <c r="AO200" s="125"/>
      <c r="AP200" s="125"/>
      <c r="AQ200" s="125"/>
      <c r="AR200" s="97"/>
      <c r="AS200" s="315"/>
      <c r="AT200" s="125"/>
      <c r="AU200" s="125"/>
      <c r="AV200" s="125"/>
      <c r="AW200" s="125"/>
      <c r="AX200" s="125"/>
      <c r="AY200" s="125"/>
      <c r="AZ200" s="98" t="s">
        <v>458</v>
      </c>
      <c r="BA200" s="105"/>
    </row>
    <row r="201" spans="1:53" s="177" customFormat="1" ht="24" x14ac:dyDescent="0.2">
      <c r="A201" s="167"/>
      <c r="B201" s="119"/>
      <c r="C201" s="178"/>
      <c r="D201" s="179"/>
      <c r="E201" s="227" t="s">
        <v>507</v>
      </c>
      <c r="F201" s="301">
        <v>11690</v>
      </c>
      <c r="G201" s="97">
        <f t="shared" si="75"/>
        <v>11690</v>
      </c>
      <c r="H201" s="301">
        <f>11690</f>
        <v>11690</v>
      </c>
      <c r="I201" s="97">
        <f t="shared" si="64"/>
        <v>11690</v>
      </c>
      <c r="J201" s="97">
        <f t="shared" si="65"/>
        <v>0</v>
      </c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>
        <f t="shared" si="78"/>
        <v>0</v>
      </c>
      <c r="AI201" s="125">
        <f t="shared" si="77"/>
        <v>0</v>
      </c>
      <c r="AJ201" s="125"/>
      <c r="AK201" s="125"/>
      <c r="AL201" s="125"/>
      <c r="AM201" s="125"/>
      <c r="AN201" s="125"/>
      <c r="AO201" s="125"/>
      <c r="AP201" s="125"/>
      <c r="AQ201" s="125"/>
      <c r="AR201" s="97"/>
      <c r="AS201" s="315"/>
      <c r="AT201" s="125"/>
      <c r="AU201" s="125"/>
      <c r="AV201" s="125"/>
      <c r="AW201" s="125"/>
      <c r="AX201" s="125"/>
      <c r="AY201" s="125"/>
      <c r="AZ201" s="98" t="s">
        <v>459</v>
      </c>
      <c r="BA201" s="105"/>
    </row>
    <row r="202" spans="1:53" s="154" customFormat="1" ht="12.75" x14ac:dyDescent="0.2">
      <c r="A202" s="167"/>
      <c r="B202" s="119"/>
      <c r="C202" s="161"/>
      <c r="D202" s="162"/>
      <c r="E202" s="227" t="s">
        <v>508</v>
      </c>
      <c r="F202" s="301">
        <v>5855</v>
      </c>
      <c r="G202" s="97">
        <f t="shared" si="75"/>
        <v>6962</v>
      </c>
      <c r="H202" s="301">
        <f>5855</f>
        <v>5855</v>
      </c>
      <c r="I202" s="97">
        <f t="shared" si="64"/>
        <v>6962</v>
      </c>
      <c r="J202" s="97">
        <f t="shared" si="65"/>
        <v>1107</v>
      </c>
      <c r="K202" s="97"/>
      <c r="L202" s="97"/>
      <c r="M202" s="97"/>
      <c r="N202" s="97">
        <f>1107</f>
        <v>1107</v>
      </c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>
        <f t="shared" si="78"/>
        <v>0</v>
      </c>
      <c r="AI202" s="125">
        <f t="shared" si="77"/>
        <v>0</v>
      </c>
      <c r="AJ202" s="125"/>
      <c r="AK202" s="125"/>
      <c r="AL202" s="125"/>
      <c r="AM202" s="125"/>
      <c r="AN202" s="125"/>
      <c r="AO202" s="125"/>
      <c r="AP202" s="125"/>
      <c r="AQ202" s="125"/>
      <c r="AR202" s="97"/>
      <c r="AS202" s="315"/>
      <c r="AT202" s="125"/>
      <c r="AU202" s="125"/>
      <c r="AV202" s="125"/>
      <c r="AW202" s="125"/>
      <c r="AX202" s="125"/>
      <c r="AY202" s="125"/>
      <c r="AZ202" s="98" t="s">
        <v>647</v>
      </c>
      <c r="BA202" s="105"/>
    </row>
    <row r="203" spans="1:53" ht="36.75" customHeight="1" x14ac:dyDescent="0.2">
      <c r="A203" s="167">
        <v>90001175873</v>
      </c>
      <c r="B203" s="119"/>
      <c r="C203" s="486" t="s">
        <v>197</v>
      </c>
      <c r="D203" s="487"/>
      <c r="E203" s="227" t="s">
        <v>308</v>
      </c>
      <c r="F203" s="301">
        <v>656203</v>
      </c>
      <c r="G203" s="97">
        <f t="shared" si="75"/>
        <v>672647</v>
      </c>
      <c r="H203" s="301">
        <f>266517</f>
        <v>266517</v>
      </c>
      <c r="I203" s="97">
        <f t="shared" si="64"/>
        <v>267959</v>
      </c>
      <c r="J203" s="97">
        <f t="shared" si="65"/>
        <v>1442</v>
      </c>
      <c r="K203" s="97"/>
      <c r="L203" s="97"/>
      <c r="M203" s="97"/>
      <c r="N203" s="97">
        <v>1442</v>
      </c>
      <c r="O203" s="97"/>
      <c r="P203" s="97"/>
      <c r="Q203" s="97"/>
      <c r="R203" s="97"/>
      <c r="S203" s="97"/>
      <c r="T203" s="97"/>
      <c r="U203" s="97"/>
      <c r="V203" s="97"/>
      <c r="W203" s="97"/>
      <c r="X203" s="97">
        <f>379446</f>
        <v>379446</v>
      </c>
      <c r="Y203" s="97">
        <f t="shared" ref="Y203:Y212" si="79">X203+Z203</f>
        <v>386106</v>
      </c>
      <c r="Z203" s="97">
        <f t="shared" si="70"/>
        <v>6660</v>
      </c>
      <c r="AA203" s="97">
        <f>6660</f>
        <v>6660</v>
      </c>
      <c r="AB203" s="97"/>
      <c r="AC203" s="97"/>
      <c r="AD203" s="97"/>
      <c r="AE203" s="97"/>
      <c r="AF203" s="97"/>
      <c r="AG203" s="97">
        <f>9740</f>
        <v>9740</v>
      </c>
      <c r="AH203" s="97">
        <f t="shared" ref="AH203:AH210" si="80">AI203+AG203</f>
        <v>18082</v>
      </c>
      <c r="AI203" s="125">
        <f t="shared" si="77"/>
        <v>8342</v>
      </c>
      <c r="AJ203" s="125"/>
      <c r="AK203" s="125">
        <f>8342</f>
        <v>8342</v>
      </c>
      <c r="AL203" s="125"/>
      <c r="AM203" s="125"/>
      <c r="AN203" s="125"/>
      <c r="AO203" s="125"/>
      <c r="AP203" s="125"/>
      <c r="AQ203" s="125">
        <v>500</v>
      </c>
      <c r="AR203" s="97">
        <f>AS203+AQ203</f>
        <v>500</v>
      </c>
      <c r="AS203" s="315">
        <f>SUM(AT203:AY203)</f>
        <v>0</v>
      </c>
      <c r="AT203" s="125"/>
      <c r="AU203" s="125"/>
      <c r="AV203" s="125"/>
      <c r="AW203" s="125"/>
      <c r="AX203" s="125"/>
      <c r="AY203" s="125"/>
      <c r="AZ203" s="98" t="s">
        <v>460</v>
      </c>
      <c r="BA203" s="105"/>
    </row>
    <row r="204" spans="1:53" ht="12.75" x14ac:dyDescent="0.2">
      <c r="A204" s="167"/>
      <c r="B204" s="119"/>
      <c r="C204" s="172"/>
      <c r="D204" s="173"/>
      <c r="E204" s="227" t="s">
        <v>347</v>
      </c>
      <c r="F204" s="301">
        <v>88938</v>
      </c>
      <c r="G204" s="97">
        <f t="shared" si="75"/>
        <v>96460</v>
      </c>
      <c r="H204" s="301">
        <f>42291</f>
        <v>42291</v>
      </c>
      <c r="I204" s="97">
        <f t="shared" si="64"/>
        <v>42291</v>
      </c>
      <c r="J204" s="97">
        <f t="shared" si="65"/>
        <v>0</v>
      </c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>
        <f>46647</f>
        <v>46647</v>
      </c>
      <c r="Y204" s="97">
        <f t="shared" si="79"/>
        <v>54169</v>
      </c>
      <c r="Z204" s="97">
        <f t="shared" si="70"/>
        <v>7522</v>
      </c>
      <c r="AA204" s="97">
        <v>7522</v>
      </c>
      <c r="AB204" s="97"/>
      <c r="AC204" s="97"/>
      <c r="AD204" s="97"/>
      <c r="AE204" s="97"/>
      <c r="AF204" s="97"/>
      <c r="AG204" s="97"/>
      <c r="AH204" s="97">
        <f t="shared" si="80"/>
        <v>0</v>
      </c>
      <c r="AI204" s="125">
        <f t="shared" si="77"/>
        <v>0</v>
      </c>
      <c r="AJ204" s="125"/>
      <c r="AK204" s="125"/>
      <c r="AL204" s="125"/>
      <c r="AM204" s="125"/>
      <c r="AN204" s="125"/>
      <c r="AO204" s="125"/>
      <c r="AP204" s="125"/>
      <c r="AQ204" s="125"/>
      <c r="AR204" s="97"/>
      <c r="AS204" s="315"/>
      <c r="AT204" s="125"/>
      <c r="AU204" s="125"/>
      <c r="AV204" s="125"/>
      <c r="AW204" s="125"/>
      <c r="AX204" s="125"/>
      <c r="AY204" s="125"/>
      <c r="AZ204" s="98" t="s">
        <v>461</v>
      </c>
      <c r="BA204" s="105"/>
    </row>
    <row r="205" spans="1:53" ht="36" customHeight="1" x14ac:dyDescent="0.2">
      <c r="A205" s="167">
        <v>90009251361</v>
      </c>
      <c r="B205" s="119"/>
      <c r="C205" s="486" t="s">
        <v>262</v>
      </c>
      <c r="D205" s="487"/>
      <c r="E205" s="227" t="s">
        <v>308</v>
      </c>
      <c r="F205" s="301">
        <v>582540</v>
      </c>
      <c r="G205" s="97">
        <f t="shared" si="75"/>
        <v>611887</v>
      </c>
      <c r="H205" s="301">
        <f>414716</f>
        <v>414716</v>
      </c>
      <c r="I205" s="97">
        <f t="shared" si="64"/>
        <v>416329</v>
      </c>
      <c r="J205" s="97">
        <f t="shared" si="65"/>
        <v>1613</v>
      </c>
      <c r="K205" s="97"/>
      <c r="L205" s="97"/>
      <c r="M205" s="97"/>
      <c r="N205" s="97">
        <v>1613</v>
      </c>
      <c r="O205" s="97"/>
      <c r="P205" s="97"/>
      <c r="Q205" s="97"/>
      <c r="R205" s="97"/>
      <c r="S205" s="97"/>
      <c r="T205" s="97"/>
      <c r="U205" s="97"/>
      <c r="V205" s="97"/>
      <c r="W205" s="97"/>
      <c r="X205" s="97">
        <f>161519</f>
        <v>161519</v>
      </c>
      <c r="Y205" s="97">
        <f t="shared" si="79"/>
        <v>165987</v>
      </c>
      <c r="Z205" s="97">
        <f t="shared" si="70"/>
        <v>4468</v>
      </c>
      <c r="AA205" s="97">
        <f>3529+939</f>
        <v>4468</v>
      </c>
      <c r="AB205" s="97"/>
      <c r="AC205" s="97"/>
      <c r="AD205" s="97"/>
      <c r="AE205" s="97"/>
      <c r="AF205" s="97"/>
      <c r="AG205" s="97">
        <f>6305</f>
        <v>6305</v>
      </c>
      <c r="AH205" s="97">
        <f t="shared" si="80"/>
        <v>29571</v>
      </c>
      <c r="AI205" s="125">
        <f t="shared" si="77"/>
        <v>23266</v>
      </c>
      <c r="AJ205" s="125"/>
      <c r="AK205" s="125">
        <f>23266</f>
        <v>23266</v>
      </c>
      <c r="AL205" s="125"/>
      <c r="AM205" s="125"/>
      <c r="AN205" s="125"/>
      <c r="AO205" s="125"/>
      <c r="AP205" s="125"/>
      <c r="AQ205" s="125"/>
      <c r="AR205" s="97"/>
      <c r="AS205" s="315"/>
      <c r="AT205" s="125"/>
      <c r="AU205" s="125"/>
      <c r="AV205" s="125"/>
      <c r="AW205" s="125"/>
      <c r="AX205" s="125"/>
      <c r="AY205" s="125"/>
      <c r="AZ205" s="98" t="s">
        <v>462</v>
      </c>
      <c r="BA205" s="105"/>
    </row>
    <row r="206" spans="1:53" ht="12.75" x14ac:dyDescent="0.2">
      <c r="A206" s="167"/>
      <c r="B206" s="119"/>
      <c r="C206" s="172"/>
      <c r="D206" s="173"/>
      <c r="E206" s="227" t="s">
        <v>347</v>
      </c>
      <c r="F206" s="301">
        <v>74682</v>
      </c>
      <c r="G206" s="97">
        <f t="shared" ref="G206:G223" si="81">SUM(I206,Y206,AH206,AP206,AR206)</f>
        <v>79264</v>
      </c>
      <c r="H206" s="301">
        <f>56057</f>
        <v>56057</v>
      </c>
      <c r="I206" s="97">
        <f t="shared" ref="I206:I219" si="82">H206+J206</f>
        <v>56057</v>
      </c>
      <c r="J206" s="97">
        <f t="shared" si="65"/>
        <v>0</v>
      </c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>
        <f>18625</f>
        <v>18625</v>
      </c>
      <c r="Y206" s="97">
        <f t="shared" si="79"/>
        <v>23207</v>
      </c>
      <c r="Z206" s="97">
        <f t="shared" si="70"/>
        <v>4582</v>
      </c>
      <c r="AA206" s="97">
        <v>4582</v>
      </c>
      <c r="AB206" s="97"/>
      <c r="AC206" s="97"/>
      <c r="AD206" s="97"/>
      <c r="AE206" s="97"/>
      <c r="AF206" s="97"/>
      <c r="AG206" s="97"/>
      <c r="AH206" s="97">
        <f t="shared" si="80"/>
        <v>0</v>
      </c>
      <c r="AI206" s="125">
        <f t="shared" si="77"/>
        <v>0</v>
      </c>
      <c r="AJ206" s="125"/>
      <c r="AK206" s="125"/>
      <c r="AL206" s="125"/>
      <c r="AM206" s="125"/>
      <c r="AN206" s="125"/>
      <c r="AO206" s="125"/>
      <c r="AP206" s="125"/>
      <c r="AQ206" s="125"/>
      <c r="AR206" s="97"/>
      <c r="AS206" s="315"/>
      <c r="AT206" s="125"/>
      <c r="AU206" s="125"/>
      <c r="AV206" s="125"/>
      <c r="AW206" s="125"/>
      <c r="AX206" s="125"/>
      <c r="AY206" s="125"/>
      <c r="AZ206" s="98" t="s">
        <v>463</v>
      </c>
      <c r="BA206" s="105"/>
    </row>
    <row r="207" spans="1:53" ht="36" customHeight="1" x14ac:dyDescent="0.2">
      <c r="A207" s="167">
        <v>90000051699</v>
      </c>
      <c r="B207" s="119"/>
      <c r="C207" s="486" t="s">
        <v>263</v>
      </c>
      <c r="D207" s="487"/>
      <c r="E207" s="227" t="s">
        <v>308</v>
      </c>
      <c r="F207" s="301">
        <v>667748</v>
      </c>
      <c r="G207" s="97">
        <f t="shared" si="81"/>
        <v>684310</v>
      </c>
      <c r="H207" s="301">
        <f>446922</f>
        <v>446922</v>
      </c>
      <c r="I207" s="97">
        <f t="shared" si="82"/>
        <v>448057</v>
      </c>
      <c r="J207" s="97">
        <f t="shared" si="65"/>
        <v>1135</v>
      </c>
      <c r="K207" s="97"/>
      <c r="L207" s="97"/>
      <c r="M207" s="97"/>
      <c r="N207" s="97">
        <v>1135</v>
      </c>
      <c r="O207" s="97"/>
      <c r="P207" s="97"/>
      <c r="Q207" s="97"/>
      <c r="R207" s="97"/>
      <c r="S207" s="97"/>
      <c r="T207" s="97"/>
      <c r="U207" s="97"/>
      <c r="V207" s="97"/>
      <c r="W207" s="97"/>
      <c r="X207" s="97">
        <f>160775</f>
        <v>160775</v>
      </c>
      <c r="Y207" s="97">
        <f t="shared" si="79"/>
        <v>164252</v>
      </c>
      <c r="Z207" s="97">
        <f t="shared" si="70"/>
        <v>3477</v>
      </c>
      <c r="AA207" s="97">
        <f>3474+3</f>
        <v>3477</v>
      </c>
      <c r="AB207" s="97"/>
      <c r="AC207" s="97"/>
      <c r="AD207" s="97"/>
      <c r="AE207" s="97"/>
      <c r="AF207" s="97"/>
      <c r="AG207" s="97">
        <f>60051</f>
        <v>60051</v>
      </c>
      <c r="AH207" s="97">
        <f t="shared" si="80"/>
        <v>72001</v>
      </c>
      <c r="AI207" s="125">
        <f t="shared" si="77"/>
        <v>11950</v>
      </c>
      <c r="AJ207" s="125"/>
      <c r="AK207" s="125">
        <f>11950</f>
        <v>11950</v>
      </c>
      <c r="AL207" s="125"/>
      <c r="AM207" s="125"/>
      <c r="AN207" s="125"/>
      <c r="AO207" s="125"/>
      <c r="AP207" s="125"/>
      <c r="AQ207" s="125"/>
      <c r="AR207" s="97"/>
      <c r="AS207" s="315"/>
      <c r="AT207" s="125"/>
      <c r="AU207" s="125"/>
      <c r="AV207" s="125"/>
      <c r="AW207" s="125"/>
      <c r="AX207" s="125"/>
      <c r="AY207" s="125"/>
      <c r="AZ207" s="98" t="s">
        <v>464</v>
      </c>
      <c r="BA207" s="105"/>
    </row>
    <row r="208" spans="1:53" ht="12.75" x14ac:dyDescent="0.2">
      <c r="A208" s="167"/>
      <c r="B208" s="119"/>
      <c r="C208" s="172"/>
      <c r="D208" s="173"/>
      <c r="E208" s="227" t="s">
        <v>347</v>
      </c>
      <c r="F208" s="301">
        <v>67312</v>
      </c>
      <c r="G208" s="97">
        <f t="shared" si="81"/>
        <v>69133</v>
      </c>
      <c r="H208" s="301">
        <f>50582</f>
        <v>50582</v>
      </c>
      <c r="I208" s="97">
        <f t="shared" si="82"/>
        <v>50582</v>
      </c>
      <c r="J208" s="97">
        <f t="shared" ref="J208:J219" si="83">SUM(K208:W208)</f>
        <v>0</v>
      </c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>
        <f>16730</f>
        <v>16730</v>
      </c>
      <c r="Y208" s="97">
        <f t="shared" si="79"/>
        <v>18551</v>
      </c>
      <c r="Z208" s="97">
        <f t="shared" si="70"/>
        <v>1821</v>
      </c>
      <c r="AA208" s="97">
        <v>1821</v>
      </c>
      <c r="AB208" s="97"/>
      <c r="AC208" s="97"/>
      <c r="AD208" s="97"/>
      <c r="AE208" s="97"/>
      <c r="AF208" s="97"/>
      <c r="AG208" s="97"/>
      <c r="AH208" s="97">
        <f t="shared" si="80"/>
        <v>0</v>
      </c>
      <c r="AI208" s="125">
        <f t="shared" si="77"/>
        <v>0</v>
      </c>
      <c r="AJ208" s="125"/>
      <c r="AK208" s="125"/>
      <c r="AL208" s="125"/>
      <c r="AM208" s="125"/>
      <c r="AN208" s="125"/>
      <c r="AO208" s="125"/>
      <c r="AP208" s="125"/>
      <c r="AQ208" s="125"/>
      <c r="AR208" s="97"/>
      <c r="AS208" s="315"/>
      <c r="AT208" s="125"/>
      <c r="AU208" s="125"/>
      <c r="AV208" s="125"/>
      <c r="AW208" s="125"/>
      <c r="AX208" s="125"/>
      <c r="AY208" s="125"/>
      <c r="AZ208" s="98" t="s">
        <v>465</v>
      </c>
      <c r="BA208" s="105"/>
    </row>
    <row r="209" spans="1:53" ht="36.75" customHeight="1" x14ac:dyDescent="0.2">
      <c r="A209" s="167">
        <v>90000051612</v>
      </c>
      <c r="B209" s="119"/>
      <c r="C209" s="486" t="s">
        <v>264</v>
      </c>
      <c r="D209" s="487"/>
      <c r="E209" s="227" t="s">
        <v>308</v>
      </c>
      <c r="F209" s="301">
        <v>611616</v>
      </c>
      <c r="G209" s="97">
        <f t="shared" si="81"/>
        <v>619290</v>
      </c>
      <c r="H209" s="301">
        <f>301265</f>
        <v>301265</v>
      </c>
      <c r="I209" s="97">
        <f t="shared" si="82"/>
        <v>302400</v>
      </c>
      <c r="J209" s="97">
        <f t="shared" si="83"/>
        <v>1135</v>
      </c>
      <c r="K209" s="97"/>
      <c r="L209" s="97"/>
      <c r="M209" s="97"/>
      <c r="N209" s="97"/>
      <c r="O209" s="97"/>
      <c r="P209" s="97">
        <f>1135</f>
        <v>1135</v>
      </c>
      <c r="Q209" s="97"/>
      <c r="R209" s="97"/>
      <c r="S209" s="97"/>
      <c r="T209" s="97"/>
      <c r="U209" s="97"/>
      <c r="V209" s="97"/>
      <c r="W209" s="97"/>
      <c r="X209" s="97">
        <f>305054</f>
        <v>305054</v>
      </c>
      <c r="Y209" s="97">
        <f t="shared" si="79"/>
        <v>311126</v>
      </c>
      <c r="Z209" s="97">
        <f t="shared" si="70"/>
        <v>6072</v>
      </c>
      <c r="AA209" s="97"/>
      <c r="AB209" s="97">
        <f>6072</f>
        <v>6072</v>
      </c>
      <c r="AC209" s="97"/>
      <c r="AD209" s="97"/>
      <c r="AE209" s="97"/>
      <c r="AF209" s="97"/>
      <c r="AG209" s="97">
        <f>5297</f>
        <v>5297</v>
      </c>
      <c r="AH209" s="97">
        <f t="shared" si="80"/>
        <v>5764</v>
      </c>
      <c r="AI209" s="125">
        <f t="shared" si="77"/>
        <v>467</v>
      </c>
      <c r="AJ209" s="125"/>
      <c r="AK209" s="125"/>
      <c r="AL209" s="125">
        <v>467</v>
      </c>
      <c r="AM209" s="125"/>
      <c r="AN209" s="125"/>
      <c r="AO209" s="125"/>
      <c r="AP209" s="125"/>
      <c r="AQ209" s="125"/>
      <c r="AR209" s="97"/>
      <c r="AS209" s="315"/>
      <c r="AT209" s="125"/>
      <c r="AU209" s="125"/>
      <c r="AV209" s="125"/>
      <c r="AW209" s="125"/>
      <c r="AX209" s="125"/>
      <c r="AY209" s="125"/>
      <c r="AZ209" s="98" t="s">
        <v>466</v>
      </c>
      <c r="BA209" s="105"/>
    </row>
    <row r="210" spans="1:53" ht="12.75" x14ac:dyDescent="0.2">
      <c r="A210" s="167"/>
      <c r="B210" s="119"/>
      <c r="C210" s="161"/>
      <c r="D210" s="162"/>
      <c r="E210" s="227" t="s">
        <v>347</v>
      </c>
      <c r="F210" s="301">
        <v>81435</v>
      </c>
      <c r="G210" s="97">
        <f t="shared" si="81"/>
        <v>91971</v>
      </c>
      <c r="H210" s="301">
        <f>54908</f>
        <v>54908</v>
      </c>
      <c r="I210" s="97">
        <f t="shared" si="82"/>
        <v>54908</v>
      </c>
      <c r="J210" s="97">
        <f t="shared" si="83"/>
        <v>0</v>
      </c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>
        <f>26527</f>
        <v>26527</v>
      </c>
      <c r="Y210" s="97">
        <f t="shared" si="79"/>
        <v>37063</v>
      </c>
      <c r="Z210" s="97">
        <f t="shared" si="70"/>
        <v>10536</v>
      </c>
      <c r="AA210" s="97"/>
      <c r="AB210" s="97">
        <f>10536</f>
        <v>10536</v>
      </c>
      <c r="AC210" s="97"/>
      <c r="AD210" s="97"/>
      <c r="AE210" s="97"/>
      <c r="AF210" s="97"/>
      <c r="AG210" s="97"/>
      <c r="AH210" s="97">
        <f t="shared" si="80"/>
        <v>0</v>
      </c>
      <c r="AI210" s="125">
        <f t="shared" si="77"/>
        <v>0</v>
      </c>
      <c r="AJ210" s="125"/>
      <c r="AK210" s="125"/>
      <c r="AL210" s="125"/>
      <c r="AM210" s="125"/>
      <c r="AN210" s="125"/>
      <c r="AO210" s="125"/>
      <c r="AP210" s="125"/>
      <c r="AQ210" s="125"/>
      <c r="AR210" s="97"/>
      <c r="AS210" s="315"/>
      <c r="AT210" s="125"/>
      <c r="AU210" s="125"/>
      <c r="AV210" s="125"/>
      <c r="AW210" s="125"/>
      <c r="AX210" s="125"/>
      <c r="AY210" s="125"/>
      <c r="AZ210" s="98" t="s">
        <v>467</v>
      </c>
      <c r="BA210" s="105"/>
    </row>
    <row r="211" spans="1:53" ht="36" customHeight="1" x14ac:dyDescent="0.2">
      <c r="A211" s="167">
        <v>90009251342</v>
      </c>
      <c r="B211" s="119"/>
      <c r="C211" s="486" t="s">
        <v>349</v>
      </c>
      <c r="D211" s="487"/>
      <c r="E211" s="227" t="s">
        <v>308</v>
      </c>
      <c r="F211" s="301">
        <v>710154</v>
      </c>
      <c r="G211" s="97">
        <f t="shared" si="81"/>
        <v>711959</v>
      </c>
      <c r="H211" s="301">
        <f>44897</f>
        <v>44897</v>
      </c>
      <c r="I211" s="97">
        <f t="shared" si="82"/>
        <v>44897</v>
      </c>
      <c r="J211" s="97">
        <f t="shared" si="83"/>
        <v>0</v>
      </c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>
        <f>652571</f>
        <v>652571</v>
      </c>
      <c r="Y211" s="97">
        <f t="shared" si="79"/>
        <v>652571</v>
      </c>
      <c r="Z211" s="97">
        <f t="shared" si="70"/>
        <v>0</v>
      </c>
      <c r="AA211" s="97"/>
      <c r="AB211" s="97"/>
      <c r="AC211" s="97"/>
      <c r="AD211" s="97"/>
      <c r="AE211" s="97"/>
      <c r="AF211" s="97"/>
      <c r="AG211" s="97">
        <f>12686</f>
        <v>12686</v>
      </c>
      <c r="AH211" s="97">
        <f t="shared" ref="AH211:AH219" si="84">AI211+AG211</f>
        <v>14491</v>
      </c>
      <c r="AI211" s="125">
        <f t="shared" ref="AI211:AI223" si="85">SUM(AJ211:AO211)</f>
        <v>1805</v>
      </c>
      <c r="AJ211" s="125"/>
      <c r="AK211" s="125">
        <f>1805</f>
        <v>1805</v>
      </c>
      <c r="AL211" s="125"/>
      <c r="AM211" s="125"/>
      <c r="AN211" s="125"/>
      <c r="AO211" s="125"/>
      <c r="AP211" s="125"/>
      <c r="AQ211" s="125"/>
      <c r="AR211" s="97"/>
      <c r="AS211" s="315"/>
      <c r="AT211" s="125"/>
      <c r="AU211" s="125"/>
      <c r="AV211" s="125"/>
      <c r="AW211" s="125"/>
      <c r="AX211" s="125"/>
      <c r="AY211" s="125"/>
      <c r="AZ211" s="98" t="s">
        <v>468</v>
      </c>
      <c r="BA211" s="105"/>
    </row>
    <row r="212" spans="1:53" ht="41.25" customHeight="1" x14ac:dyDescent="0.2">
      <c r="A212" s="167">
        <v>90009249367</v>
      </c>
      <c r="B212" s="119"/>
      <c r="C212" s="486" t="s">
        <v>687</v>
      </c>
      <c r="D212" s="487"/>
      <c r="E212" s="227" t="s">
        <v>350</v>
      </c>
      <c r="F212" s="301">
        <v>527928</v>
      </c>
      <c r="G212" s="97">
        <f t="shared" si="81"/>
        <v>532768</v>
      </c>
      <c r="H212" s="301">
        <f>316654</f>
        <v>316654</v>
      </c>
      <c r="I212" s="97">
        <f t="shared" si="82"/>
        <v>307171</v>
      </c>
      <c r="J212" s="97">
        <f t="shared" si="83"/>
        <v>-9483</v>
      </c>
      <c r="K212" s="97"/>
      <c r="L212" s="97"/>
      <c r="M212" s="97"/>
      <c r="N212" s="97"/>
      <c r="O212" s="97"/>
      <c r="P212" s="445">
        <v>-13088</v>
      </c>
      <c r="Q212" s="97"/>
      <c r="R212" s="97"/>
      <c r="S212" s="97"/>
      <c r="T212" s="97">
        <v>3605</v>
      </c>
      <c r="U212" s="97"/>
      <c r="V212" s="97"/>
      <c r="W212" s="97"/>
      <c r="X212" s="97">
        <f>205785</f>
        <v>205785</v>
      </c>
      <c r="Y212" s="97">
        <f t="shared" si="79"/>
        <v>205785</v>
      </c>
      <c r="Z212" s="97">
        <f t="shared" si="70"/>
        <v>0</v>
      </c>
      <c r="AA212" s="97"/>
      <c r="AB212" s="97"/>
      <c r="AC212" s="97"/>
      <c r="AD212" s="97"/>
      <c r="AE212" s="97"/>
      <c r="AF212" s="97"/>
      <c r="AG212" s="97">
        <f>5489</f>
        <v>5489</v>
      </c>
      <c r="AH212" s="97">
        <f t="shared" si="84"/>
        <v>19812</v>
      </c>
      <c r="AI212" s="125">
        <f t="shared" si="85"/>
        <v>14323</v>
      </c>
      <c r="AJ212" s="125"/>
      <c r="AK212" s="125"/>
      <c r="AL212" s="125">
        <f>14323</f>
        <v>14323</v>
      </c>
      <c r="AM212" s="125"/>
      <c r="AN212" s="125"/>
      <c r="AO212" s="125"/>
      <c r="AP212" s="125"/>
      <c r="AQ212" s="125"/>
      <c r="AR212" s="97"/>
      <c r="AS212" s="315"/>
      <c r="AT212" s="125"/>
      <c r="AU212" s="125"/>
      <c r="AV212" s="125"/>
      <c r="AW212" s="125"/>
      <c r="AX212" s="125"/>
      <c r="AY212" s="125"/>
      <c r="AZ212" s="98" t="s">
        <v>469</v>
      </c>
      <c r="BA212" s="105"/>
    </row>
    <row r="213" spans="1:53" s="151" customFormat="1" ht="12.75" x14ac:dyDescent="0.2">
      <c r="A213" s="167"/>
      <c r="B213" s="119"/>
      <c r="C213" s="172"/>
      <c r="D213" s="173"/>
      <c r="E213" s="227" t="s">
        <v>532</v>
      </c>
      <c r="F213" s="301">
        <v>210310</v>
      </c>
      <c r="G213" s="97">
        <f t="shared" si="81"/>
        <v>207715</v>
      </c>
      <c r="H213" s="301">
        <f>198310</f>
        <v>198310</v>
      </c>
      <c r="I213" s="97">
        <f t="shared" si="82"/>
        <v>195715</v>
      </c>
      <c r="J213" s="97">
        <f t="shared" si="83"/>
        <v>-2595</v>
      </c>
      <c r="K213" s="97"/>
      <c r="L213" s="97"/>
      <c r="M213" s="97"/>
      <c r="N213" s="97"/>
      <c r="O213" s="97"/>
      <c r="P213" s="445">
        <v>1010</v>
      </c>
      <c r="Q213" s="97"/>
      <c r="R213" s="97"/>
      <c r="S213" s="97"/>
      <c r="T213" s="97">
        <v>-3605</v>
      </c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>
        <f>12000</f>
        <v>12000</v>
      </c>
      <c r="AH213" s="97">
        <f t="shared" si="84"/>
        <v>12000</v>
      </c>
      <c r="AI213" s="125">
        <f t="shared" si="85"/>
        <v>0</v>
      </c>
      <c r="AJ213" s="125"/>
      <c r="AK213" s="125"/>
      <c r="AL213" s="125"/>
      <c r="AM213" s="125"/>
      <c r="AN213" s="125"/>
      <c r="AO213" s="125"/>
      <c r="AP213" s="125"/>
      <c r="AQ213" s="125"/>
      <c r="AR213" s="97"/>
      <c r="AS213" s="315"/>
      <c r="AT213" s="125"/>
      <c r="AU213" s="125"/>
      <c r="AV213" s="125"/>
      <c r="AW213" s="125"/>
      <c r="AX213" s="125"/>
      <c r="AY213" s="125"/>
      <c r="AZ213" s="98" t="s">
        <v>470</v>
      </c>
      <c r="BA213" s="105" t="s">
        <v>673</v>
      </c>
    </row>
    <row r="214" spans="1:53" ht="38.25" customHeight="1" x14ac:dyDescent="0.2">
      <c r="A214" s="167">
        <v>90000783949</v>
      </c>
      <c r="B214" s="119"/>
      <c r="C214" s="486" t="s">
        <v>20</v>
      </c>
      <c r="D214" s="487"/>
      <c r="E214" s="227" t="s">
        <v>308</v>
      </c>
      <c r="F214" s="301">
        <v>502205</v>
      </c>
      <c r="G214" s="97">
        <f t="shared" si="81"/>
        <v>530157</v>
      </c>
      <c r="H214" s="301">
        <f>267395</f>
        <v>267395</v>
      </c>
      <c r="I214" s="97">
        <f t="shared" si="82"/>
        <v>271886</v>
      </c>
      <c r="J214" s="97">
        <f t="shared" si="83"/>
        <v>4491</v>
      </c>
      <c r="K214" s="97"/>
      <c r="L214" s="97"/>
      <c r="M214" s="97"/>
      <c r="N214" s="97">
        <v>4491</v>
      </c>
      <c r="O214" s="97"/>
      <c r="P214" s="97"/>
      <c r="Q214" s="97"/>
      <c r="R214" s="97"/>
      <c r="S214" s="97"/>
      <c r="T214" s="97"/>
      <c r="U214" s="97"/>
      <c r="V214" s="97"/>
      <c r="W214" s="97"/>
      <c r="X214" s="97">
        <f>228537</f>
        <v>228537</v>
      </c>
      <c r="Y214" s="97">
        <f>X214+Z214</f>
        <v>248725</v>
      </c>
      <c r="Z214" s="97">
        <f>SUM(AA214:AF214)</f>
        <v>20188</v>
      </c>
      <c r="AA214" s="97">
        <f>16845+3150+59+134</f>
        <v>20188</v>
      </c>
      <c r="AB214" s="97"/>
      <c r="AC214" s="97"/>
      <c r="AD214" s="97"/>
      <c r="AE214" s="97"/>
      <c r="AF214" s="97"/>
      <c r="AG214" s="97">
        <f>6232</f>
        <v>6232</v>
      </c>
      <c r="AH214" s="97">
        <f t="shared" si="84"/>
        <v>9502</v>
      </c>
      <c r="AI214" s="125">
        <f>SUM(AJ214:AO214)</f>
        <v>3270</v>
      </c>
      <c r="AJ214" s="125"/>
      <c r="AK214" s="125">
        <f>3270</f>
        <v>3270</v>
      </c>
      <c r="AL214" s="125"/>
      <c r="AM214" s="125"/>
      <c r="AN214" s="125"/>
      <c r="AO214" s="125"/>
      <c r="AP214" s="125"/>
      <c r="AQ214" s="125">
        <f>41</f>
        <v>41</v>
      </c>
      <c r="AR214" s="97">
        <f>AS214+AQ214</f>
        <v>44</v>
      </c>
      <c r="AS214" s="315">
        <f>SUM(AT214:AY214)</f>
        <v>3</v>
      </c>
      <c r="AT214" s="125">
        <v>3</v>
      </c>
      <c r="AU214" s="125"/>
      <c r="AV214" s="125"/>
      <c r="AW214" s="125"/>
      <c r="AX214" s="125"/>
      <c r="AY214" s="125"/>
      <c r="AZ214" s="98" t="s">
        <v>471</v>
      </c>
      <c r="BA214" s="105"/>
    </row>
    <row r="215" spans="1:53" ht="12.75" x14ac:dyDescent="0.2">
      <c r="A215" s="167"/>
      <c r="B215" s="119"/>
      <c r="C215" s="172"/>
      <c r="D215" s="173"/>
      <c r="E215" s="227" t="s">
        <v>347</v>
      </c>
      <c r="F215" s="301">
        <v>49094</v>
      </c>
      <c r="G215" s="97">
        <f t="shared" si="81"/>
        <v>52265</v>
      </c>
      <c r="H215" s="301">
        <f>35980</f>
        <v>35980</v>
      </c>
      <c r="I215" s="97">
        <f t="shared" si="82"/>
        <v>35980</v>
      </c>
      <c r="J215" s="97">
        <f t="shared" si="83"/>
        <v>0</v>
      </c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>
        <f>13114</f>
        <v>13114</v>
      </c>
      <c r="Y215" s="97">
        <f>X215+Z215</f>
        <v>16285</v>
      </c>
      <c r="Z215" s="97">
        <f>SUM(AA215:AF215)</f>
        <v>3171</v>
      </c>
      <c r="AA215" s="97">
        <v>3171</v>
      </c>
      <c r="AB215" s="97"/>
      <c r="AC215" s="97"/>
      <c r="AD215" s="97"/>
      <c r="AE215" s="97"/>
      <c r="AF215" s="97"/>
      <c r="AG215" s="97"/>
      <c r="AH215" s="97">
        <f t="shared" si="84"/>
        <v>0</v>
      </c>
      <c r="AI215" s="125">
        <f>SUM(AJ215:AO215)</f>
        <v>0</v>
      </c>
      <c r="AJ215" s="125"/>
      <c r="AK215" s="125"/>
      <c r="AL215" s="125"/>
      <c r="AM215" s="125"/>
      <c r="AN215" s="125"/>
      <c r="AO215" s="125"/>
      <c r="AP215" s="125"/>
      <c r="AQ215" s="125"/>
      <c r="AR215" s="97"/>
      <c r="AS215" s="315"/>
      <c r="AT215" s="125"/>
      <c r="AU215" s="125"/>
      <c r="AV215" s="125"/>
      <c r="AW215" s="125"/>
      <c r="AX215" s="125"/>
      <c r="AY215" s="125"/>
      <c r="AZ215" s="98" t="s">
        <v>472</v>
      </c>
      <c r="BA215" s="105"/>
    </row>
    <row r="216" spans="1:53" s="262" customFormat="1" ht="60" x14ac:dyDescent="0.2">
      <c r="A216" s="167"/>
      <c r="B216" s="119"/>
      <c r="C216" s="259"/>
      <c r="D216" s="260"/>
      <c r="E216" s="227" t="s">
        <v>715</v>
      </c>
      <c r="F216" s="301"/>
      <c r="G216" s="97">
        <f t="shared" si="81"/>
        <v>7491</v>
      </c>
      <c r="H216" s="301"/>
      <c r="I216" s="97">
        <f t="shared" si="82"/>
        <v>7491</v>
      </c>
      <c r="J216" s="97">
        <f t="shared" si="83"/>
        <v>7491</v>
      </c>
      <c r="K216" s="97"/>
      <c r="L216" s="97"/>
      <c r="M216" s="97">
        <v>7491</v>
      </c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>
        <f t="shared" si="84"/>
        <v>0</v>
      </c>
      <c r="AI216" s="125">
        <f t="shared" si="85"/>
        <v>0</v>
      </c>
      <c r="AJ216" s="125"/>
      <c r="AK216" s="125"/>
      <c r="AL216" s="125"/>
      <c r="AM216" s="125"/>
      <c r="AN216" s="125"/>
      <c r="AO216" s="125"/>
      <c r="AP216" s="125"/>
      <c r="AQ216" s="125"/>
      <c r="AR216" s="97"/>
      <c r="AS216" s="315"/>
      <c r="AT216" s="125"/>
      <c r="AU216" s="125"/>
      <c r="AV216" s="125"/>
      <c r="AW216" s="125"/>
      <c r="AX216" s="125"/>
      <c r="AY216" s="125"/>
      <c r="AZ216" s="98" t="s">
        <v>716</v>
      </c>
      <c r="BA216" s="105"/>
    </row>
    <row r="217" spans="1:53" ht="36.75" customHeight="1" x14ac:dyDescent="0.2">
      <c r="A217" s="167">
        <v>90000051646</v>
      </c>
      <c r="B217" s="119"/>
      <c r="C217" s="486" t="s">
        <v>198</v>
      </c>
      <c r="D217" s="487"/>
      <c r="E217" s="227" t="s">
        <v>308</v>
      </c>
      <c r="F217" s="301">
        <v>369374</v>
      </c>
      <c r="G217" s="97">
        <f t="shared" si="81"/>
        <v>375124</v>
      </c>
      <c r="H217" s="301">
        <f>86506</f>
        <v>86506</v>
      </c>
      <c r="I217" s="97">
        <f>H217+J217</f>
        <v>86506</v>
      </c>
      <c r="J217" s="97">
        <f t="shared" si="83"/>
        <v>0</v>
      </c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>
        <f>282868</f>
        <v>282868</v>
      </c>
      <c r="Y217" s="97">
        <f>X217+Z217</f>
        <v>288618</v>
      </c>
      <c r="Z217" s="97">
        <f>SUM(AA217:AF217)</f>
        <v>5750</v>
      </c>
      <c r="AA217" s="97"/>
      <c r="AB217" s="97">
        <f>5750</f>
        <v>5750</v>
      </c>
      <c r="AC217" s="97"/>
      <c r="AD217" s="97"/>
      <c r="AE217" s="97"/>
      <c r="AF217" s="97"/>
      <c r="AG217" s="97"/>
      <c r="AH217" s="97">
        <f t="shared" si="84"/>
        <v>0</v>
      </c>
      <c r="AI217" s="125">
        <f t="shared" si="85"/>
        <v>0</v>
      </c>
      <c r="AJ217" s="125"/>
      <c r="AK217" s="125"/>
      <c r="AL217" s="125"/>
      <c r="AM217" s="125"/>
      <c r="AN217" s="125"/>
      <c r="AO217" s="125"/>
      <c r="AP217" s="125"/>
      <c r="AQ217" s="125"/>
      <c r="AR217" s="97"/>
      <c r="AS217" s="315"/>
      <c r="AT217" s="125"/>
      <c r="AU217" s="125"/>
      <c r="AV217" s="125"/>
      <c r="AW217" s="125"/>
      <c r="AX217" s="125"/>
      <c r="AY217" s="125"/>
      <c r="AZ217" s="98" t="s">
        <v>473</v>
      </c>
      <c r="BA217" s="105"/>
    </row>
    <row r="218" spans="1:53" s="150" customFormat="1" ht="12.75" x14ac:dyDescent="0.2">
      <c r="A218" s="167"/>
      <c r="B218" s="119"/>
      <c r="C218" s="172"/>
      <c r="D218" s="173"/>
      <c r="E218" s="227" t="s">
        <v>347</v>
      </c>
      <c r="F218" s="301">
        <v>78810</v>
      </c>
      <c r="G218" s="97">
        <f t="shared" si="81"/>
        <v>78810</v>
      </c>
      <c r="H218" s="301">
        <f>78810</f>
        <v>78810</v>
      </c>
      <c r="I218" s="97">
        <f t="shared" si="82"/>
        <v>78810</v>
      </c>
      <c r="J218" s="97">
        <f t="shared" si="83"/>
        <v>0</v>
      </c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>
        <f t="shared" si="84"/>
        <v>0</v>
      </c>
      <c r="AI218" s="125">
        <f t="shared" si="85"/>
        <v>0</v>
      </c>
      <c r="AJ218" s="125"/>
      <c r="AK218" s="125"/>
      <c r="AL218" s="125"/>
      <c r="AM218" s="125"/>
      <c r="AN218" s="125"/>
      <c r="AO218" s="125"/>
      <c r="AP218" s="125"/>
      <c r="AQ218" s="125"/>
      <c r="AR218" s="97"/>
      <c r="AS218" s="315"/>
      <c r="AT218" s="125"/>
      <c r="AU218" s="125"/>
      <c r="AV218" s="125"/>
      <c r="AW218" s="125"/>
      <c r="AX218" s="125"/>
      <c r="AY218" s="125"/>
      <c r="AZ218" s="98" t="s">
        <v>474</v>
      </c>
      <c r="BA218" s="105"/>
    </row>
    <row r="219" spans="1:53" s="159" customFormat="1" ht="12.75" customHeight="1" x14ac:dyDescent="0.2">
      <c r="A219" s="167">
        <v>40008006745</v>
      </c>
      <c r="B219" s="119"/>
      <c r="C219" s="486" t="s">
        <v>363</v>
      </c>
      <c r="D219" s="487"/>
      <c r="E219" s="227" t="s">
        <v>347</v>
      </c>
      <c r="F219" s="301">
        <v>17262</v>
      </c>
      <c r="G219" s="97">
        <f t="shared" si="81"/>
        <v>21444</v>
      </c>
      <c r="H219" s="301">
        <v>0</v>
      </c>
      <c r="I219" s="97">
        <f t="shared" si="82"/>
        <v>0</v>
      </c>
      <c r="J219" s="97">
        <f t="shared" si="83"/>
        <v>0</v>
      </c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>
        <f>17262</f>
        <v>17262</v>
      </c>
      <c r="Y219" s="97">
        <f>X219+Z219</f>
        <v>21444</v>
      </c>
      <c r="Z219" s="97">
        <f>SUM(AA219:AF219)</f>
        <v>4182</v>
      </c>
      <c r="AA219" s="97">
        <f>4182</f>
        <v>4182</v>
      </c>
      <c r="AB219" s="97"/>
      <c r="AC219" s="97"/>
      <c r="AD219" s="97"/>
      <c r="AE219" s="97"/>
      <c r="AF219" s="97"/>
      <c r="AG219" s="97"/>
      <c r="AH219" s="97">
        <f t="shared" si="84"/>
        <v>0</v>
      </c>
      <c r="AI219" s="125">
        <f t="shared" si="85"/>
        <v>0</v>
      </c>
      <c r="AJ219" s="125"/>
      <c r="AK219" s="125"/>
      <c r="AL219" s="125"/>
      <c r="AM219" s="125"/>
      <c r="AN219" s="125"/>
      <c r="AO219" s="125"/>
      <c r="AP219" s="125"/>
      <c r="AQ219" s="125"/>
      <c r="AR219" s="97"/>
      <c r="AS219" s="315"/>
      <c r="AT219" s="125"/>
      <c r="AU219" s="125"/>
      <c r="AV219" s="125"/>
      <c r="AW219" s="125"/>
      <c r="AX219" s="125"/>
      <c r="AY219" s="125"/>
      <c r="AZ219" s="98" t="s">
        <v>475</v>
      </c>
      <c r="BA219" s="105"/>
    </row>
    <row r="220" spans="1:53" s="274" customFormat="1" ht="36.75" customHeight="1" x14ac:dyDescent="0.2">
      <c r="A220" s="167">
        <v>40003426429</v>
      </c>
      <c r="B220" s="250"/>
      <c r="C220" s="517" t="s">
        <v>718</v>
      </c>
      <c r="D220" s="518"/>
      <c r="E220" s="227" t="s">
        <v>720</v>
      </c>
      <c r="F220" s="301">
        <v>104184</v>
      </c>
      <c r="G220" s="97">
        <f t="shared" si="81"/>
        <v>0</v>
      </c>
      <c r="H220" s="301">
        <f>SUM(H221:H223)</f>
        <v>104184</v>
      </c>
      <c r="I220" s="97">
        <f>H220+J220</f>
        <v>0</v>
      </c>
      <c r="J220" s="97">
        <f>SUM(K220:W220)</f>
        <v>-104184</v>
      </c>
      <c r="K220" s="97"/>
      <c r="L220" s="97"/>
      <c r="M220" s="97">
        <f>SUM(M221:M223)</f>
        <v>-104184</v>
      </c>
      <c r="N220" s="97">
        <f t="shared" ref="N220:W220" si="86">SUM(N221:N223)</f>
        <v>0</v>
      </c>
      <c r="O220" s="97">
        <f t="shared" si="86"/>
        <v>0</v>
      </c>
      <c r="P220" s="97">
        <f t="shared" si="86"/>
        <v>0</v>
      </c>
      <c r="Q220" s="97">
        <f t="shared" si="86"/>
        <v>0</v>
      </c>
      <c r="R220" s="97">
        <f t="shared" si="86"/>
        <v>0</v>
      </c>
      <c r="S220" s="97">
        <f t="shared" si="86"/>
        <v>0</v>
      </c>
      <c r="T220" s="97">
        <f>SUM(T221:T223)</f>
        <v>0</v>
      </c>
      <c r="U220" s="97">
        <f>SUM(U221:U223)</f>
        <v>0</v>
      </c>
      <c r="V220" s="97">
        <f>SUM(V221:V223)</f>
        <v>0</v>
      </c>
      <c r="W220" s="97">
        <f t="shared" si="86"/>
        <v>0</v>
      </c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125">
        <f t="shared" si="85"/>
        <v>0</v>
      </c>
      <c r="AJ220" s="125"/>
      <c r="AK220" s="125"/>
      <c r="AL220" s="125"/>
      <c r="AM220" s="125"/>
      <c r="AN220" s="125"/>
      <c r="AO220" s="125"/>
      <c r="AP220" s="125"/>
      <c r="AQ220" s="125"/>
      <c r="AR220" s="97"/>
      <c r="AS220" s="315"/>
      <c r="AT220" s="125"/>
      <c r="AU220" s="125"/>
      <c r="AV220" s="125"/>
      <c r="AW220" s="125"/>
      <c r="AX220" s="125"/>
      <c r="AY220" s="125"/>
      <c r="AZ220" s="98"/>
      <c r="BA220" s="105"/>
    </row>
    <row r="221" spans="1:53" s="274" customFormat="1" ht="24" x14ac:dyDescent="0.2">
      <c r="A221" s="167"/>
      <c r="B221" s="119"/>
      <c r="C221" s="272"/>
      <c r="D221" s="273"/>
      <c r="E221" s="431" t="s">
        <v>721</v>
      </c>
      <c r="F221" s="301">
        <v>34410</v>
      </c>
      <c r="G221" s="97">
        <f t="shared" si="81"/>
        <v>0</v>
      </c>
      <c r="H221" s="301">
        <f>34410</f>
        <v>34410</v>
      </c>
      <c r="I221" s="97">
        <f>H221+J221</f>
        <v>0</v>
      </c>
      <c r="J221" s="97">
        <f>SUM(K221:W221)</f>
        <v>-34410</v>
      </c>
      <c r="K221" s="97"/>
      <c r="L221" s="97"/>
      <c r="M221" s="97">
        <v>-34410</v>
      </c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125">
        <f t="shared" si="85"/>
        <v>0</v>
      </c>
      <c r="AJ221" s="125"/>
      <c r="AK221" s="125"/>
      <c r="AL221" s="125"/>
      <c r="AM221" s="125"/>
      <c r="AN221" s="125"/>
      <c r="AO221" s="125"/>
      <c r="AP221" s="125"/>
      <c r="AQ221" s="125"/>
      <c r="AR221" s="97"/>
      <c r="AS221" s="315"/>
      <c r="AT221" s="125"/>
      <c r="AU221" s="125"/>
      <c r="AV221" s="125"/>
      <c r="AW221" s="125"/>
      <c r="AX221" s="125"/>
      <c r="AY221" s="125"/>
      <c r="AZ221" s="98"/>
      <c r="BA221" s="105"/>
    </row>
    <row r="222" spans="1:53" s="274" customFormat="1" ht="36" x14ac:dyDescent="0.2">
      <c r="A222" s="167"/>
      <c r="B222" s="119"/>
      <c r="C222" s="272"/>
      <c r="D222" s="273"/>
      <c r="E222" s="431" t="s">
        <v>722</v>
      </c>
      <c r="F222" s="301">
        <v>6744</v>
      </c>
      <c r="G222" s="97">
        <f t="shared" si="81"/>
        <v>0</v>
      </c>
      <c r="H222" s="301">
        <f>6744</f>
        <v>6744</v>
      </c>
      <c r="I222" s="97">
        <f>H222+J222</f>
        <v>0</v>
      </c>
      <c r="J222" s="97">
        <f>SUM(K222:W222)</f>
        <v>-6744</v>
      </c>
      <c r="K222" s="97"/>
      <c r="L222" s="97"/>
      <c r="M222" s="97">
        <v>-6744</v>
      </c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125">
        <f t="shared" si="85"/>
        <v>0</v>
      </c>
      <c r="AJ222" s="125"/>
      <c r="AK222" s="125"/>
      <c r="AL222" s="125"/>
      <c r="AM222" s="125"/>
      <c r="AN222" s="125"/>
      <c r="AO222" s="125"/>
      <c r="AP222" s="125"/>
      <c r="AQ222" s="125"/>
      <c r="AR222" s="97"/>
      <c r="AS222" s="315"/>
      <c r="AT222" s="125"/>
      <c r="AU222" s="125"/>
      <c r="AV222" s="125"/>
      <c r="AW222" s="125"/>
      <c r="AX222" s="125"/>
      <c r="AY222" s="125"/>
      <c r="AZ222" s="98"/>
      <c r="BA222" s="105"/>
    </row>
    <row r="223" spans="1:53" s="274" customFormat="1" ht="24" x14ac:dyDescent="0.2">
      <c r="A223" s="167"/>
      <c r="B223" s="119"/>
      <c r="C223" s="272"/>
      <c r="D223" s="273"/>
      <c r="E223" s="431" t="s">
        <v>723</v>
      </c>
      <c r="F223" s="301">
        <v>63030</v>
      </c>
      <c r="G223" s="97">
        <f t="shared" si="81"/>
        <v>0</v>
      </c>
      <c r="H223" s="301">
        <f>63030</f>
        <v>63030</v>
      </c>
      <c r="I223" s="97">
        <f>H223+J223</f>
        <v>0</v>
      </c>
      <c r="J223" s="97">
        <f>SUM(K223:W223)</f>
        <v>-63030</v>
      </c>
      <c r="K223" s="97"/>
      <c r="L223" s="97"/>
      <c r="M223" s="97">
        <v>-63030</v>
      </c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125">
        <f t="shared" si="85"/>
        <v>0</v>
      </c>
      <c r="AJ223" s="125"/>
      <c r="AK223" s="125"/>
      <c r="AL223" s="125"/>
      <c r="AM223" s="125"/>
      <c r="AN223" s="125"/>
      <c r="AO223" s="125"/>
      <c r="AP223" s="125"/>
      <c r="AQ223" s="125"/>
      <c r="AR223" s="97"/>
      <c r="AS223" s="315"/>
      <c r="AT223" s="125"/>
      <c r="AU223" s="125"/>
      <c r="AV223" s="125"/>
      <c r="AW223" s="125"/>
      <c r="AX223" s="125"/>
      <c r="AY223" s="125"/>
      <c r="AZ223" s="98"/>
      <c r="BA223" s="105"/>
    </row>
    <row r="224" spans="1:53" ht="60" x14ac:dyDescent="0.2">
      <c r="A224" s="167"/>
      <c r="B224" s="119"/>
      <c r="C224" s="486" t="s">
        <v>214</v>
      </c>
      <c r="D224" s="487"/>
      <c r="E224" s="426" t="s">
        <v>529</v>
      </c>
      <c r="F224" s="301">
        <v>400000</v>
      </c>
      <c r="G224" s="97">
        <f>SUM(I224,Y224,AH224,AP224,AR224)</f>
        <v>400000</v>
      </c>
      <c r="H224" s="301"/>
      <c r="I224" s="244"/>
      <c r="J224" s="244"/>
      <c r="K224" s="244"/>
      <c r="L224" s="244"/>
      <c r="M224" s="244"/>
      <c r="N224" s="244"/>
      <c r="O224" s="244"/>
      <c r="P224" s="244"/>
      <c r="Q224" s="244"/>
      <c r="R224" s="244"/>
      <c r="S224" s="244"/>
      <c r="T224" s="244"/>
      <c r="U224" s="244"/>
      <c r="V224" s="244"/>
      <c r="W224" s="244"/>
      <c r="X224" s="244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125"/>
      <c r="AJ224" s="97"/>
      <c r="AK224" s="97"/>
      <c r="AL224" s="97"/>
      <c r="AM224" s="97"/>
      <c r="AN224" s="97"/>
      <c r="AO224" s="97"/>
      <c r="AP224" s="97">
        <v>400000</v>
      </c>
      <c r="AQ224" s="125"/>
      <c r="AR224" s="97"/>
      <c r="AS224" s="315"/>
      <c r="AT224" s="97"/>
      <c r="AU224" s="97"/>
      <c r="AV224" s="97"/>
      <c r="AW224" s="97"/>
      <c r="AX224" s="97"/>
      <c r="AY224" s="97"/>
      <c r="AZ224" s="98"/>
      <c r="BA224" s="105"/>
    </row>
    <row r="225" spans="1:53" ht="24" x14ac:dyDescent="0.2">
      <c r="A225" s="167"/>
      <c r="B225" s="119"/>
      <c r="C225" s="214"/>
      <c r="D225" s="164"/>
      <c r="E225" s="426" t="s">
        <v>174</v>
      </c>
      <c r="F225" s="301">
        <v>554920</v>
      </c>
      <c r="G225" s="97">
        <f>SUM(I225,Y225,AH225,AP225,AR225)</f>
        <v>554920</v>
      </c>
      <c r="H225" s="301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125"/>
      <c r="AJ225" s="97"/>
      <c r="AK225" s="97"/>
      <c r="AL225" s="97"/>
      <c r="AM225" s="97"/>
      <c r="AN225" s="97"/>
      <c r="AO225" s="97"/>
      <c r="AP225" s="97">
        <v>554920</v>
      </c>
      <c r="AQ225" s="125"/>
      <c r="AR225" s="97"/>
      <c r="AS225" s="315"/>
      <c r="AT225" s="97"/>
      <c r="AU225" s="97"/>
      <c r="AV225" s="97"/>
      <c r="AW225" s="97"/>
      <c r="AX225" s="97"/>
      <c r="AY225" s="97"/>
      <c r="AZ225" s="98"/>
      <c r="BA225" s="105"/>
    </row>
    <row r="226" spans="1:53" s="160" customFormat="1" ht="24" x14ac:dyDescent="0.2">
      <c r="A226" s="167"/>
      <c r="B226" s="119"/>
      <c r="C226" s="214"/>
      <c r="D226" s="164"/>
      <c r="E226" s="426" t="s">
        <v>524</v>
      </c>
      <c r="F226" s="301">
        <v>284577</v>
      </c>
      <c r="G226" s="97">
        <f>SUM(I226,Y226,AH226,AP226,AR226)</f>
        <v>284577</v>
      </c>
      <c r="H226" s="301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125"/>
      <c r="AJ226" s="97"/>
      <c r="AK226" s="97"/>
      <c r="AL226" s="97"/>
      <c r="AM226" s="97"/>
      <c r="AN226" s="97"/>
      <c r="AO226" s="97"/>
      <c r="AP226" s="97">
        <v>284577</v>
      </c>
      <c r="AQ226" s="125"/>
      <c r="AR226" s="97"/>
      <c r="AS226" s="315"/>
      <c r="AT226" s="97"/>
      <c r="AU226" s="97"/>
      <c r="AV226" s="97"/>
      <c r="AW226" s="97"/>
      <c r="AX226" s="97"/>
      <c r="AY226" s="97"/>
      <c r="AZ226" s="98"/>
      <c r="BA226" s="105"/>
    </row>
    <row r="227" spans="1:53" ht="24" x14ac:dyDescent="0.2">
      <c r="A227" s="167"/>
      <c r="B227" s="119"/>
      <c r="C227" s="214"/>
      <c r="D227" s="164"/>
      <c r="E227" s="426" t="s">
        <v>525</v>
      </c>
      <c r="F227" s="301">
        <v>95785</v>
      </c>
      <c r="G227" s="97">
        <f>SUM(I227,Y227,AH227,AP227,AR227)</f>
        <v>95785</v>
      </c>
      <c r="H227" s="301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125"/>
      <c r="AJ227" s="97"/>
      <c r="AK227" s="97"/>
      <c r="AL227" s="97"/>
      <c r="AM227" s="97"/>
      <c r="AN227" s="97"/>
      <c r="AO227" s="97"/>
      <c r="AP227" s="97">
        <v>95785</v>
      </c>
      <c r="AQ227" s="125"/>
      <c r="AR227" s="97"/>
      <c r="AS227" s="315"/>
      <c r="AT227" s="97"/>
      <c r="AU227" s="97"/>
      <c r="AV227" s="97"/>
      <c r="AW227" s="97"/>
      <c r="AX227" s="97"/>
      <c r="AY227" s="97"/>
      <c r="AZ227" s="98"/>
      <c r="BA227" s="105"/>
    </row>
    <row r="228" spans="1:53" s="203" customFormat="1" ht="52.5" customHeight="1" x14ac:dyDescent="0.2">
      <c r="A228" s="167"/>
      <c r="B228" s="206"/>
      <c r="C228" s="214"/>
      <c r="D228" s="164"/>
      <c r="E228" s="426" t="s">
        <v>535</v>
      </c>
      <c r="F228" s="301">
        <v>208261</v>
      </c>
      <c r="G228" s="97">
        <f>SUM(I228,Y228,AH228,AP228,AR228)</f>
        <v>208261</v>
      </c>
      <c r="H228" s="301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125"/>
      <c r="AJ228" s="125"/>
      <c r="AK228" s="125"/>
      <c r="AL228" s="125"/>
      <c r="AM228" s="125"/>
      <c r="AN228" s="125"/>
      <c r="AO228" s="125"/>
      <c r="AP228" s="125">
        <v>208261</v>
      </c>
      <c r="AQ228" s="125"/>
      <c r="AR228" s="97"/>
      <c r="AS228" s="315"/>
      <c r="AT228" s="125"/>
      <c r="AU228" s="125"/>
      <c r="AV228" s="125"/>
      <c r="AW228" s="125"/>
      <c r="AX228" s="125"/>
      <c r="AY228" s="125"/>
      <c r="AZ228" s="98"/>
      <c r="BA228" s="105"/>
    </row>
    <row r="229" spans="1:53" ht="13.5" thickBot="1" x14ac:dyDescent="0.25">
      <c r="A229" s="167"/>
      <c r="B229" s="145"/>
      <c r="C229" s="528"/>
      <c r="D229" s="529"/>
      <c r="E229" s="427"/>
      <c r="F229" s="302"/>
      <c r="G229" s="84"/>
      <c r="H229" s="302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124"/>
      <c r="AJ229" s="124"/>
      <c r="AK229" s="124"/>
      <c r="AL229" s="124"/>
      <c r="AM229" s="124"/>
      <c r="AN229" s="124"/>
      <c r="AO229" s="124"/>
      <c r="AP229" s="124"/>
      <c r="AQ229" s="124"/>
      <c r="AR229" s="84"/>
      <c r="AS229" s="316"/>
      <c r="AT229" s="124"/>
      <c r="AU229" s="124"/>
      <c r="AV229" s="124"/>
      <c r="AW229" s="124"/>
      <c r="AX229" s="124"/>
      <c r="AY229" s="124"/>
      <c r="AZ229" s="85"/>
      <c r="BA229" s="106"/>
    </row>
    <row r="230" spans="1:53" ht="12.75" thickBot="1" x14ac:dyDescent="0.25">
      <c r="A230" s="226"/>
      <c r="B230" s="527" t="s">
        <v>22</v>
      </c>
      <c r="C230" s="527"/>
      <c r="D230" s="223" t="s">
        <v>23</v>
      </c>
      <c r="E230" s="425"/>
      <c r="F230" s="303">
        <v>5922231</v>
      </c>
      <c r="G230" s="419">
        <f t="shared" ref="G230:G235" si="87">SUM(I230,Y230,AH230,AP230,AR230)</f>
        <v>5982161</v>
      </c>
      <c r="H230" s="303">
        <f t="shared" ref="H230:AY230" si="88">SUM(H231:H258)</f>
        <v>4728324</v>
      </c>
      <c r="I230" s="7">
        <f>SUM(I231:I258)</f>
        <v>4782592</v>
      </c>
      <c r="J230" s="7">
        <f t="shared" si="88"/>
        <v>54268</v>
      </c>
      <c r="K230" s="7">
        <f t="shared" si="88"/>
        <v>0</v>
      </c>
      <c r="L230" s="7">
        <f t="shared" si="88"/>
        <v>0</v>
      </c>
      <c r="M230" s="7">
        <f t="shared" si="88"/>
        <v>0</v>
      </c>
      <c r="N230" s="7">
        <f t="shared" si="88"/>
        <v>1143</v>
      </c>
      <c r="O230" s="7">
        <f t="shared" si="88"/>
        <v>0</v>
      </c>
      <c r="P230" s="7">
        <f t="shared" si="88"/>
        <v>0</v>
      </c>
      <c r="Q230" s="7">
        <f t="shared" si="88"/>
        <v>0</v>
      </c>
      <c r="R230" s="7">
        <f t="shared" si="88"/>
        <v>53125</v>
      </c>
      <c r="S230" s="7">
        <f>SUM(S231:S258)</f>
        <v>0</v>
      </c>
      <c r="T230" s="7">
        <f t="shared" si="88"/>
        <v>0</v>
      </c>
      <c r="U230" s="7">
        <f t="shared" si="88"/>
        <v>0</v>
      </c>
      <c r="V230" s="7">
        <f t="shared" si="88"/>
        <v>0</v>
      </c>
      <c r="W230" s="7">
        <f t="shared" si="88"/>
        <v>0</v>
      </c>
      <c r="X230" s="7">
        <f t="shared" si="88"/>
        <v>194430</v>
      </c>
      <c r="Y230" s="7">
        <f>SUM(Y231:Y258)</f>
        <v>194430</v>
      </c>
      <c r="Z230" s="7">
        <f t="shared" si="88"/>
        <v>0</v>
      </c>
      <c r="AA230" s="7">
        <f t="shared" si="88"/>
        <v>0</v>
      </c>
      <c r="AB230" s="7">
        <f t="shared" si="88"/>
        <v>0</v>
      </c>
      <c r="AC230" s="7">
        <f t="shared" si="88"/>
        <v>0</v>
      </c>
      <c r="AD230" s="7">
        <f t="shared" si="88"/>
        <v>0</v>
      </c>
      <c r="AE230" s="7">
        <f t="shared" si="88"/>
        <v>0</v>
      </c>
      <c r="AF230" s="7">
        <f t="shared" si="88"/>
        <v>0</v>
      </c>
      <c r="AG230" s="7">
        <f t="shared" si="88"/>
        <v>642276</v>
      </c>
      <c r="AH230" s="7">
        <f t="shared" si="88"/>
        <v>647284</v>
      </c>
      <c r="AI230" s="7">
        <f t="shared" si="88"/>
        <v>5008</v>
      </c>
      <c r="AJ230" s="7">
        <f t="shared" si="88"/>
        <v>0</v>
      </c>
      <c r="AK230" s="7">
        <f t="shared" si="88"/>
        <v>1127</v>
      </c>
      <c r="AL230" s="7">
        <f t="shared" si="88"/>
        <v>0</v>
      </c>
      <c r="AM230" s="7">
        <f t="shared" si="88"/>
        <v>3881</v>
      </c>
      <c r="AN230" s="7">
        <f t="shared" si="88"/>
        <v>0</v>
      </c>
      <c r="AO230" s="7">
        <f t="shared" si="88"/>
        <v>0</v>
      </c>
      <c r="AP230" s="7">
        <f t="shared" si="88"/>
        <v>348605</v>
      </c>
      <c r="AQ230" s="7">
        <f t="shared" si="88"/>
        <v>8596</v>
      </c>
      <c r="AR230" s="7">
        <f t="shared" si="88"/>
        <v>9250</v>
      </c>
      <c r="AS230" s="321">
        <f t="shared" si="88"/>
        <v>654</v>
      </c>
      <c r="AT230" s="7">
        <f t="shared" si="88"/>
        <v>654</v>
      </c>
      <c r="AU230" s="7">
        <f t="shared" si="88"/>
        <v>0</v>
      </c>
      <c r="AV230" s="7">
        <f t="shared" si="88"/>
        <v>0</v>
      </c>
      <c r="AW230" s="7">
        <f t="shared" si="88"/>
        <v>0</v>
      </c>
      <c r="AX230" s="7">
        <f t="shared" si="88"/>
        <v>0</v>
      </c>
      <c r="AY230" s="7">
        <f t="shared" si="88"/>
        <v>0</v>
      </c>
      <c r="AZ230" s="11"/>
      <c r="BA230" s="107"/>
    </row>
    <row r="231" spans="1:53" s="216" customFormat="1" ht="48.75" thickTop="1" x14ac:dyDescent="0.2">
      <c r="A231" s="167">
        <v>90000056357</v>
      </c>
      <c r="B231" s="225"/>
      <c r="C231" s="515" t="s">
        <v>5</v>
      </c>
      <c r="D231" s="516"/>
      <c r="E231" s="428" t="s">
        <v>598</v>
      </c>
      <c r="F231" s="301">
        <v>848</v>
      </c>
      <c r="G231" s="97">
        <f t="shared" si="87"/>
        <v>848</v>
      </c>
      <c r="H231" s="301">
        <f>848</f>
        <v>848</v>
      </c>
      <c r="I231" s="97">
        <f t="shared" ref="I231:I255" si="89">H231+J231</f>
        <v>848</v>
      </c>
      <c r="J231" s="97">
        <f t="shared" ref="J231:J255" si="90">SUM(K231:W231)</f>
        <v>0</v>
      </c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>
        <f t="shared" ref="AH231:AH241" si="91">AI231+AG231</f>
        <v>0</v>
      </c>
      <c r="AI231" s="125">
        <f>SUM(AJ231:AO231)</f>
        <v>0</v>
      </c>
      <c r="AJ231" s="125"/>
      <c r="AK231" s="125"/>
      <c r="AL231" s="125"/>
      <c r="AM231" s="125"/>
      <c r="AN231" s="125"/>
      <c r="AO231" s="125"/>
      <c r="AP231" s="125"/>
      <c r="AQ231" s="125"/>
      <c r="AR231" s="97"/>
      <c r="AS231" s="315"/>
      <c r="AT231" s="125"/>
      <c r="AU231" s="125"/>
      <c r="AV231" s="125"/>
      <c r="AW231" s="125"/>
      <c r="AX231" s="125"/>
      <c r="AY231" s="125"/>
      <c r="AZ231" s="98" t="s">
        <v>648</v>
      </c>
      <c r="BA231" s="106"/>
    </row>
    <row r="232" spans="1:53" s="458" customFormat="1" ht="48" x14ac:dyDescent="0.2">
      <c r="A232" s="167"/>
      <c r="B232" s="121"/>
      <c r="C232" s="156"/>
      <c r="D232" s="157"/>
      <c r="E232" s="429" t="s">
        <v>783</v>
      </c>
      <c r="F232" s="301"/>
      <c r="G232" s="97">
        <f t="shared" si="87"/>
        <v>53125</v>
      </c>
      <c r="H232" s="301"/>
      <c r="I232" s="97">
        <f t="shared" si="89"/>
        <v>53125</v>
      </c>
      <c r="J232" s="97">
        <f t="shared" si="90"/>
        <v>53125</v>
      </c>
      <c r="K232" s="97"/>
      <c r="L232" s="97"/>
      <c r="M232" s="97"/>
      <c r="N232" s="97"/>
      <c r="O232" s="97"/>
      <c r="P232" s="97"/>
      <c r="Q232" s="97"/>
      <c r="R232" s="97">
        <f>33765+19360</f>
        <v>53125</v>
      </c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>
        <f t="shared" si="91"/>
        <v>0</v>
      </c>
      <c r="AI232" s="125">
        <f>SUM(AJ232:AO232)</f>
        <v>0</v>
      </c>
      <c r="AJ232" s="125"/>
      <c r="AK232" s="125"/>
      <c r="AL232" s="125"/>
      <c r="AM232" s="125"/>
      <c r="AN232" s="125"/>
      <c r="AO232" s="125"/>
      <c r="AP232" s="125"/>
      <c r="AQ232" s="125"/>
      <c r="AR232" s="97"/>
      <c r="AS232" s="315"/>
      <c r="AT232" s="125"/>
      <c r="AU232" s="125"/>
      <c r="AV232" s="125"/>
      <c r="AW232" s="125"/>
      <c r="AX232" s="125"/>
      <c r="AY232" s="125"/>
      <c r="AZ232" s="98" t="s">
        <v>784</v>
      </c>
      <c r="BA232" s="106" t="s">
        <v>584</v>
      </c>
    </row>
    <row r="233" spans="1:53" ht="12.75" x14ac:dyDescent="0.2">
      <c r="A233" s="167">
        <v>90000594245</v>
      </c>
      <c r="B233" s="119"/>
      <c r="C233" s="486" t="s">
        <v>24</v>
      </c>
      <c r="D233" s="487"/>
      <c r="E233" s="227" t="s">
        <v>239</v>
      </c>
      <c r="F233" s="301">
        <v>739626</v>
      </c>
      <c r="G233" s="97">
        <f t="shared" si="87"/>
        <v>743665</v>
      </c>
      <c r="H233" s="301">
        <f>739626</f>
        <v>739626</v>
      </c>
      <c r="I233" s="97">
        <f t="shared" si="89"/>
        <v>739926</v>
      </c>
      <c r="J233" s="97">
        <f t="shared" si="90"/>
        <v>300</v>
      </c>
      <c r="K233" s="97"/>
      <c r="L233" s="97"/>
      <c r="M233" s="97"/>
      <c r="N233" s="97"/>
      <c r="O233" s="97"/>
      <c r="P233" s="97"/>
      <c r="Q233" s="97"/>
      <c r="R233" s="97">
        <v>300</v>
      </c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>
        <f t="shared" si="91"/>
        <v>3739</v>
      </c>
      <c r="AI233" s="125">
        <f>SUM(AJ233:AO233)</f>
        <v>3739</v>
      </c>
      <c r="AJ233" s="125"/>
      <c r="AK233" s="125"/>
      <c r="AL233" s="125"/>
      <c r="AM233" s="125">
        <v>3739</v>
      </c>
      <c r="AN233" s="125"/>
      <c r="AO233" s="125"/>
      <c r="AP233" s="125"/>
      <c r="AQ233" s="125"/>
      <c r="AR233" s="97"/>
      <c r="AS233" s="315"/>
      <c r="AT233" s="125"/>
      <c r="AU233" s="125"/>
      <c r="AV233" s="125"/>
      <c r="AW233" s="125"/>
      <c r="AX233" s="125"/>
      <c r="AY233" s="125"/>
      <c r="AZ233" s="98" t="s">
        <v>692</v>
      </c>
      <c r="BA233" s="105"/>
    </row>
    <row r="234" spans="1:53" s="216" customFormat="1" ht="27" customHeight="1" x14ac:dyDescent="0.2">
      <c r="A234" s="167"/>
      <c r="B234" s="119"/>
      <c r="C234" s="214"/>
      <c r="D234" s="215"/>
      <c r="E234" s="227" t="s">
        <v>272</v>
      </c>
      <c r="F234" s="301">
        <v>170896</v>
      </c>
      <c r="G234" s="97">
        <f t="shared" si="87"/>
        <v>170896</v>
      </c>
      <c r="H234" s="301">
        <f>14896</f>
        <v>14896</v>
      </c>
      <c r="I234" s="97">
        <f t="shared" si="89"/>
        <v>14896</v>
      </c>
      <c r="J234" s="97">
        <f t="shared" si="90"/>
        <v>0</v>
      </c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>
        <f>156000</f>
        <v>156000</v>
      </c>
      <c r="Y234" s="97">
        <f>X234+Z234</f>
        <v>156000</v>
      </c>
      <c r="Z234" s="97">
        <f>SUM(AA234:AF234)</f>
        <v>0</v>
      </c>
      <c r="AA234" s="97"/>
      <c r="AB234" s="97"/>
      <c r="AC234" s="97"/>
      <c r="AD234" s="97"/>
      <c r="AE234" s="97"/>
      <c r="AF234" s="97"/>
      <c r="AG234" s="97"/>
      <c r="AH234" s="97">
        <f t="shared" si="91"/>
        <v>0</v>
      </c>
      <c r="AI234" s="125">
        <f>SUM(AJ234:AO234)</f>
        <v>0</v>
      </c>
      <c r="AJ234" s="125"/>
      <c r="AK234" s="125"/>
      <c r="AL234" s="125"/>
      <c r="AM234" s="125"/>
      <c r="AN234" s="125"/>
      <c r="AO234" s="125"/>
      <c r="AP234" s="125"/>
      <c r="AQ234" s="125"/>
      <c r="AR234" s="97"/>
      <c r="AS234" s="315"/>
      <c r="AT234" s="125"/>
      <c r="AU234" s="125"/>
      <c r="AV234" s="125"/>
      <c r="AW234" s="125"/>
      <c r="AX234" s="125"/>
      <c r="AY234" s="125"/>
      <c r="AZ234" s="98" t="s">
        <v>476</v>
      </c>
      <c r="BA234" s="105" t="s">
        <v>701</v>
      </c>
    </row>
    <row r="235" spans="1:53" ht="24" x14ac:dyDescent="0.2">
      <c r="A235" s="167"/>
      <c r="B235" s="119"/>
      <c r="C235" s="214"/>
      <c r="D235" s="215"/>
      <c r="E235" s="227" t="s">
        <v>273</v>
      </c>
      <c r="F235" s="301">
        <v>179203</v>
      </c>
      <c r="G235" s="97">
        <f t="shared" si="87"/>
        <v>179203</v>
      </c>
      <c r="H235" s="301">
        <f>170663</f>
        <v>170663</v>
      </c>
      <c r="I235" s="97">
        <f t="shared" si="89"/>
        <v>170663</v>
      </c>
      <c r="J235" s="97">
        <f t="shared" si="90"/>
        <v>0</v>
      </c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>
        <f>8540</f>
        <v>8540</v>
      </c>
      <c r="Y235" s="97">
        <f>X235+Z235</f>
        <v>8540</v>
      </c>
      <c r="Z235" s="97">
        <f>SUM(AA235:AF235)</f>
        <v>0</v>
      </c>
      <c r="AA235" s="97"/>
      <c r="AB235" s="97"/>
      <c r="AC235" s="97"/>
      <c r="AD235" s="97"/>
      <c r="AE235" s="97"/>
      <c r="AF235" s="97"/>
      <c r="AG235" s="97"/>
      <c r="AH235" s="97">
        <f t="shared" si="91"/>
        <v>0</v>
      </c>
      <c r="AI235" s="125">
        <f>SUM(AJ235:AO235)</f>
        <v>0</v>
      </c>
      <c r="AJ235" s="125"/>
      <c r="AK235" s="125"/>
      <c r="AL235" s="125"/>
      <c r="AM235" s="125"/>
      <c r="AN235" s="125"/>
      <c r="AO235" s="125"/>
      <c r="AP235" s="125"/>
      <c r="AQ235" s="125"/>
      <c r="AR235" s="97"/>
      <c r="AS235" s="315"/>
      <c r="AT235" s="125"/>
      <c r="AU235" s="125"/>
      <c r="AV235" s="125"/>
      <c r="AW235" s="125"/>
      <c r="AX235" s="125"/>
      <c r="AY235" s="125"/>
      <c r="AZ235" s="98" t="s">
        <v>477</v>
      </c>
      <c r="BA235" s="105" t="s">
        <v>701</v>
      </c>
    </row>
    <row r="236" spans="1:53" ht="24" x14ac:dyDescent="0.2">
      <c r="A236" s="167"/>
      <c r="B236" s="119"/>
      <c r="C236" s="214"/>
      <c r="D236" s="215"/>
      <c r="E236" s="227" t="s">
        <v>274</v>
      </c>
      <c r="F236" s="301">
        <v>342750</v>
      </c>
      <c r="G236" s="97">
        <f t="shared" ref="G236:G257" si="92">SUM(I236,Y236,AH236,AP236,AR236)</f>
        <v>342892</v>
      </c>
      <c r="H236" s="301">
        <f>340614</f>
        <v>340614</v>
      </c>
      <c r="I236" s="97">
        <f t="shared" si="89"/>
        <v>340614</v>
      </c>
      <c r="J236" s="97">
        <f t="shared" si="90"/>
        <v>0</v>
      </c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2136</v>
      </c>
      <c r="AH236" s="97">
        <f t="shared" si="91"/>
        <v>2278</v>
      </c>
      <c r="AI236" s="125">
        <f t="shared" ref="AI236:AI255" si="93">SUM(AJ236:AO236)</f>
        <v>142</v>
      </c>
      <c r="AJ236" s="125"/>
      <c r="AK236" s="125"/>
      <c r="AL236" s="125"/>
      <c r="AM236" s="125">
        <v>142</v>
      </c>
      <c r="AN236" s="125"/>
      <c r="AO236" s="125"/>
      <c r="AP236" s="125"/>
      <c r="AQ236" s="125"/>
      <c r="AR236" s="97"/>
      <c r="AS236" s="315"/>
      <c r="AT236" s="125"/>
      <c r="AU236" s="125"/>
      <c r="AV236" s="125"/>
      <c r="AW236" s="125"/>
      <c r="AX236" s="125"/>
      <c r="AY236" s="125"/>
      <c r="AZ236" s="98" t="s">
        <v>478</v>
      </c>
      <c r="BA236" s="105" t="s">
        <v>702</v>
      </c>
    </row>
    <row r="237" spans="1:53" ht="24" x14ac:dyDescent="0.2">
      <c r="A237" s="167"/>
      <c r="B237" s="119"/>
      <c r="C237" s="214"/>
      <c r="D237" s="215"/>
      <c r="E237" s="227" t="s">
        <v>275</v>
      </c>
      <c r="F237" s="301">
        <v>455973</v>
      </c>
      <c r="G237" s="97">
        <f t="shared" si="92"/>
        <v>455973</v>
      </c>
      <c r="H237" s="301">
        <f>455973</f>
        <v>455973</v>
      </c>
      <c r="I237" s="97">
        <f t="shared" si="89"/>
        <v>455973</v>
      </c>
      <c r="J237" s="97">
        <f t="shared" si="90"/>
        <v>0</v>
      </c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>
        <f t="shared" si="91"/>
        <v>0</v>
      </c>
      <c r="AI237" s="125">
        <f t="shared" si="93"/>
        <v>0</v>
      </c>
      <c r="AJ237" s="125"/>
      <c r="AK237" s="125"/>
      <c r="AL237" s="125"/>
      <c r="AM237" s="125"/>
      <c r="AN237" s="125"/>
      <c r="AO237" s="125"/>
      <c r="AP237" s="125"/>
      <c r="AQ237" s="125"/>
      <c r="AR237" s="97"/>
      <c r="AS237" s="315"/>
      <c r="AT237" s="125"/>
      <c r="AU237" s="125"/>
      <c r="AV237" s="125"/>
      <c r="AW237" s="125"/>
      <c r="AX237" s="125"/>
      <c r="AY237" s="125"/>
      <c r="AZ237" s="98" t="s">
        <v>479</v>
      </c>
      <c r="BA237" s="105" t="s">
        <v>703</v>
      </c>
    </row>
    <row r="238" spans="1:53" ht="24" x14ac:dyDescent="0.2">
      <c r="A238" s="167"/>
      <c r="B238" s="119"/>
      <c r="C238" s="214"/>
      <c r="D238" s="215"/>
      <c r="E238" s="227" t="s">
        <v>596</v>
      </c>
      <c r="F238" s="301">
        <v>380200</v>
      </c>
      <c r="G238" s="97">
        <f t="shared" si="92"/>
        <v>380200</v>
      </c>
      <c r="H238" s="301">
        <f>380200</f>
        <v>380200</v>
      </c>
      <c r="I238" s="97">
        <f t="shared" si="89"/>
        <v>380200</v>
      </c>
      <c r="J238" s="97">
        <f t="shared" si="90"/>
        <v>0</v>
      </c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>
        <f t="shared" si="91"/>
        <v>0</v>
      </c>
      <c r="AI238" s="125">
        <f t="shared" si="93"/>
        <v>0</v>
      </c>
      <c r="AJ238" s="125"/>
      <c r="AK238" s="125"/>
      <c r="AL238" s="125"/>
      <c r="AM238" s="125"/>
      <c r="AN238" s="125"/>
      <c r="AO238" s="125"/>
      <c r="AP238" s="125"/>
      <c r="AQ238" s="125"/>
      <c r="AR238" s="97"/>
      <c r="AS238" s="315"/>
      <c r="AT238" s="125"/>
      <c r="AU238" s="125"/>
      <c r="AV238" s="125"/>
      <c r="AW238" s="125"/>
      <c r="AX238" s="125"/>
      <c r="AY238" s="125"/>
      <c r="AZ238" s="98" t="s">
        <v>480</v>
      </c>
      <c r="BA238" s="105" t="s">
        <v>360</v>
      </c>
    </row>
    <row r="239" spans="1:53" s="216" customFormat="1" ht="24" x14ac:dyDescent="0.2">
      <c r="A239" s="167"/>
      <c r="B239" s="119"/>
      <c r="C239" s="214"/>
      <c r="D239" s="215"/>
      <c r="E239" s="227" t="s">
        <v>595</v>
      </c>
      <c r="F239" s="301">
        <v>470965</v>
      </c>
      <c r="G239" s="97">
        <f t="shared" si="92"/>
        <v>470665</v>
      </c>
      <c r="H239" s="301">
        <f>470965</f>
        <v>470965</v>
      </c>
      <c r="I239" s="97">
        <f t="shared" si="89"/>
        <v>470665</v>
      </c>
      <c r="J239" s="97">
        <f t="shared" si="90"/>
        <v>-300</v>
      </c>
      <c r="K239" s="97"/>
      <c r="L239" s="97"/>
      <c r="M239" s="97"/>
      <c r="N239" s="97"/>
      <c r="O239" s="97"/>
      <c r="P239" s="97"/>
      <c r="Q239" s="97"/>
      <c r="R239" s="97">
        <v>-300</v>
      </c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f t="shared" si="91"/>
        <v>0</v>
      </c>
      <c r="AI239" s="125">
        <f t="shared" si="93"/>
        <v>0</v>
      </c>
      <c r="AJ239" s="125"/>
      <c r="AK239" s="125"/>
      <c r="AL239" s="125"/>
      <c r="AM239" s="125"/>
      <c r="AN239" s="125"/>
      <c r="AO239" s="125"/>
      <c r="AP239" s="125"/>
      <c r="AQ239" s="125"/>
      <c r="AR239" s="97"/>
      <c r="AS239" s="315"/>
      <c r="AT239" s="125"/>
      <c r="AU239" s="125"/>
      <c r="AV239" s="125"/>
      <c r="AW239" s="125"/>
      <c r="AX239" s="125"/>
      <c r="AY239" s="125"/>
      <c r="AZ239" s="98" t="s">
        <v>481</v>
      </c>
      <c r="BA239" s="105" t="s">
        <v>703</v>
      </c>
    </row>
    <row r="240" spans="1:53" s="177" customFormat="1" ht="36" x14ac:dyDescent="0.2">
      <c r="A240" s="167"/>
      <c r="B240" s="119"/>
      <c r="C240" s="178"/>
      <c r="D240" s="179"/>
      <c r="E240" s="227" t="s">
        <v>652</v>
      </c>
      <c r="F240" s="301">
        <v>10529</v>
      </c>
      <c r="G240" s="97">
        <f t="shared" si="92"/>
        <v>10529</v>
      </c>
      <c r="H240" s="301">
        <f>10529</f>
        <v>10529</v>
      </c>
      <c r="I240" s="97">
        <f t="shared" si="89"/>
        <v>10529</v>
      </c>
      <c r="J240" s="97">
        <f t="shared" si="90"/>
        <v>0</v>
      </c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>
        <f t="shared" si="91"/>
        <v>0</v>
      </c>
      <c r="AI240" s="125">
        <f t="shared" si="93"/>
        <v>0</v>
      </c>
      <c r="AJ240" s="125"/>
      <c r="AK240" s="125"/>
      <c r="AL240" s="125"/>
      <c r="AM240" s="125"/>
      <c r="AN240" s="125"/>
      <c r="AO240" s="125"/>
      <c r="AP240" s="125"/>
      <c r="AQ240" s="125"/>
      <c r="AR240" s="97"/>
      <c r="AS240" s="315"/>
      <c r="AT240" s="125"/>
      <c r="AU240" s="125"/>
      <c r="AV240" s="125"/>
      <c r="AW240" s="125"/>
      <c r="AX240" s="125"/>
      <c r="AY240" s="125"/>
      <c r="AZ240" s="98" t="s">
        <v>482</v>
      </c>
      <c r="BA240" s="105"/>
    </row>
    <row r="241" spans="1:53" ht="24" x14ac:dyDescent="0.2">
      <c r="A241" s="167"/>
      <c r="B241" s="119"/>
      <c r="C241" s="161"/>
      <c r="D241" s="162"/>
      <c r="E241" s="227" t="s">
        <v>675</v>
      </c>
      <c r="F241" s="301">
        <v>32707</v>
      </c>
      <c r="G241" s="97">
        <f t="shared" si="92"/>
        <v>32707</v>
      </c>
      <c r="H241" s="301">
        <f>32707</f>
        <v>32707</v>
      </c>
      <c r="I241" s="97">
        <f t="shared" si="89"/>
        <v>32707</v>
      </c>
      <c r="J241" s="97">
        <f t="shared" si="90"/>
        <v>0</v>
      </c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>
        <f t="shared" si="91"/>
        <v>0</v>
      </c>
      <c r="AI241" s="125">
        <f t="shared" si="93"/>
        <v>0</v>
      </c>
      <c r="AJ241" s="125"/>
      <c r="AK241" s="125"/>
      <c r="AL241" s="125"/>
      <c r="AM241" s="125"/>
      <c r="AN241" s="125"/>
      <c r="AO241" s="125"/>
      <c r="AP241" s="125"/>
      <c r="AQ241" s="125"/>
      <c r="AR241" s="97"/>
      <c r="AS241" s="315"/>
      <c r="AT241" s="125"/>
      <c r="AU241" s="125"/>
      <c r="AV241" s="125"/>
      <c r="AW241" s="125"/>
      <c r="AX241" s="125"/>
      <c r="AY241" s="125"/>
      <c r="AZ241" s="98" t="s">
        <v>662</v>
      </c>
      <c r="BA241" s="105"/>
    </row>
    <row r="242" spans="1:53" ht="24" x14ac:dyDescent="0.2">
      <c r="A242" s="167">
        <v>90001876536</v>
      </c>
      <c r="B242" s="119"/>
      <c r="C242" s="486" t="s">
        <v>199</v>
      </c>
      <c r="D242" s="487"/>
      <c r="E242" s="227" t="s">
        <v>277</v>
      </c>
      <c r="F242" s="301">
        <v>1192241</v>
      </c>
      <c r="G242" s="97">
        <f t="shared" si="92"/>
        <v>1193368</v>
      </c>
      <c r="H242" s="301">
        <f>529443</f>
        <v>529443</v>
      </c>
      <c r="I242" s="97">
        <f t="shared" si="89"/>
        <v>529443</v>
      </c>
      <c r="J242" s="97">
        <f t="shared" si="90"/>
        <v>0</v>
      </c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>
        <f>29890</f>
        <v>29890</v>
      </c>
      <c r="Y242" s="97">
        <f>X242+Z242</f>
        <v>29890</v>
      </c>
      <c r="Z242" s="97">
        <f>SUM(AA242:AF242)</f>
        <v>0</v>
      </c>
      <c r="AA242" s="97"/>
      <c r="AB242" s="97"/>
      <c r="AC242" s="97"/>
      <c r="AD242" s="97"/>
      <c r="AE242" s="97"/>
      <c r="AF242" s="97"/>
      <c r="AG242" s="97">
        <f>630634</f>
        <v>630634</v>
      </c>
      <c r="AH242" s="97">
        <f t="shared" ref="AH242:AH249" si="94">AI242+AG242</f>
        <v>631761</v>
      </c>
      <c r="AI242" s="125">
        <f t="shared" si="93"/>
        <v>1127</v>
      </c>
      <c r="AJ242" s="125"/>
      <c r="AK242" s="125">
        <v>1127</v>
      </c>
      <c r="AL242" s="125"/>
      <c r="AM242" s="125"/>
      <c r="AN242" s="125"/>
      <c r="AO242" s="125"/>
      <c r="AP242" s="125"/>
      <c r="AQ242" s="125">
        <v>2274</v>
      </c>
      <c r="AR242" s="97">
        <f>AQ242+AS242</f>
        <v>2274</v>
      </c>
      <c r="AS242" s="315">
        <f>SUM(AT242:AY242)</f>
        <v>0</v>
      </c>
      <c r="AT242" s="125"/>
      <c r="AU242" s="125"/>
      <c r="AV242" s="125"/>
      <c r="AW242" s="125"/>
      <c r="AX242" s="125"/>
      <c r="AY242" s="125"/>
      <c r="AZ242" s="98" t="s">
        <v>483</v>
      </c>
      <c r="BA242" s="105"/>
    </row>
    <row r="243" spans="1:53" ht="36" x14ac:dyDescent="0.2">
      <c r="A243" s="167"/>
      <c r="B243" s="119"/>
      <c r="C243" s="161"/>
      <c r="D243" s="162"/>
      <c r="E243" s="227" t="s">
        <v>278</v>
      </c>
      <c r="F243" s="301">
        <v>27755</v>
      </c>
      <c r="G243" s="97">
        <f t="shared" si="92"/>
        <v>27755</v>
      </c>
      <c r="H243" s="301">
        <f>24194</f>
        <v>24194</v>
      </c>
      <c r="I243" s="97">
        <f t="shared" si="89"/>
        <v>24194</v>
      </c>
      <c r="J243" s="97">
        <f t="shared" si="90"/>
        <v>0</v>
      </c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3561</v>
      </c>
      <c r="AH243" s="97">
        <f t="shared" si="94"/>
        <v>3561</v>
      </c>
      <c r="AI243" s="125">
        <f t="shared" si="93"/>
        <v>0</v>
      </c>
      <c r="AJ243" s="125"/>
      <c r="AK243" s="125"/>
      <c r="AL243" s="125"/>
      <c r="AM243" s="125"/>
      <c r="AN243" s="125"/>
      <c r="AO243" s="125"/>
      <c r="AP243" s="125"/>
      <c r="AQ243" s="125"/>
      <c r="AR243" s="97"/>
      <c r="AS243" s="315"/>
      <c r="AT243" s="125"/>
      <c r="AU243" s="125"/>
      <c r="AV243" s="125"/>
      <c r="AW243" s="125"/>
      <c r="AX243" s="125"/>
      <c r="AY243" s="125"/>
      <c r="AZ243" s="98" t="s">
        <v>484</v>
      </c>
      <c r="BA243" s="105"/>
    </row>
    <row r="244" spans="1:53" ht="12.75" x14ac:dyDescent="0.2">
      <c r="A244" s="167"/>
      <c r="B244" s="119"/>
      <c r="C244" s="161"/>
      <c r="D244" s="162"/>
      <c r="E244" s="227" t="s">
        <v>357</v>
      </c>
      <c r="F244" s="301">
        <v>32245</v>
      </c>
      <c r="G244" s="97">
        <f t="shared" si="92"/>
        <v>32245</v>
      </c>
      <c r="H244" s="301">
        <f>32245</f>
        <v>32245</v>
      </c>
      <c r="I244" s="97">
        <f t="shared" si="89"/>
        <v>32245</v>
      </c>
      <c r="J244" s="97">
        <f t="shared" si="90"/>
        <v>0</v>
      </c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>
        <f t="shared" si="94"/>
        <v>0</v>
      </c>
      <c r="AI244" s="125">
        <f t="shared" si="93"/>
        <v>0</v>
      </c>
      <c r="AJ244" s="125"/>
      <c r="AK244" s="125"/>
      <c r="AL244" s="125"/>
      <c r="AM244" s="125"/>
      <c r="AN244" s="125"/>
      <c r="AO244" s="125"/>
      <c r="AP244" s="125"/>
      <c r="AQ244" s="125"/>
      <c r="AR244" s="97"/>
      <c r="AS244" s="315"/>
      <c r="AT244" s="125"/>
      <c r="AU244" s="125"/>
      <c r="AV244" s="125"/>
      <c r="AW244" s="125"/>
      <c r="AX244" s="125"/>
      <c r="AY244" s="125"/>
      <c r="AZ244" s="98" t="s">
        <v>485</v>
      </c>
      <c r="BA244" s="105"/>
    </row>
    <row r="245" spans="1:53" ht="24" x14ac:dyDescent="0.2">
      <c r="A245" s="167"/>
      <c r="B245" s="119"/>
      <c r="C245" s="161"/>
      <c r="D245" s="162"/>
      <c r="E245" s="227" t="s">
        <v>281</v>
      </c>
      <c r="F245" s="301">
        <v>10500</v>
      </c>
      <c r="G245" s="97">
        <f t="shared" si="92"/>
        <v>10500</v>
      </c>
      <c r="H245" s="301">
        <f>10500</f>
        <v>10500</v>
      </c>
      <c r="I245" s="97">
        <f t="shared" si="89"/>
        <v>10500</v>
      </c>
      <c r="J245" s="97">
        <f t="shared" si="90"/>
        <v>0</v>
      </c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>
        <f t="shared" si="94"/>
        <v>0</v>
      </c>
      <c r="AI245" s="125">
        <f t="shared" si="93"/>
        <v>0</v>
      </c>
      <c r="AJ245" s="125"/>
      <c r="AK245" s="125"/>
      <c r="AL245" s="125"/>
      <c r="AM245" s="125"/>
      <c r="AN245" s="125"/>
      <c r="AO245" s="125"/>
      <c r="AP245" s="125"/>
      <c r="AQ245" s="125"/>
      <c r="AR245" s="97"/>
      <c r="AS245" s="315"/>
      <c r="AT245" s="125"/>
      <c r="AU245" s="125"/>
      <c r="AV245" s="125"/>
      <c r="AW245" s="125"/>
      <c r="AX245" s="125"/>
      <c r="AY245" s="125"/>
      <c r="AZ245" s="98" t="s">
        <v>486</v>
      </c>
      <c r="BA245" s="105"/>
    </row>
    <row r="246" spans="1:53" ht="12.75" x14ac:dyDescent="0.2">
      <c r="A246" s="167"/>
      <c r="B246" s="119"/>
      <c r="C246" s="161"/>
      <c r="D246" s="162"/>
      <c r="E246" s="227" t="s">
        <v>279</v>
      </c>
      <c r="F246" s="301">
        <v>85885</v>
      </c>
      <c r="G246" s="97">
        <f t="shared" si="92"/>
        <v>85885</v>
      </c>
      <c r="H246" s="301">
        <f>85885</f>
        <v>85885</v>
      </c>
      <c r="I246" s="97">
        <f t="shared" si="89"/>
        <v>85885</v>
      </c>
      <c r="J246" s="97">
        <f t="shared" si="90"/>
        <v>0</v>
      </c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>
        <f t="shared" si="94"/>
        <v>0</v>
      </c>
      <c r="AI246" s="125">
        <f t="shared" si="93"/>
        <v>0</v>
      </c>
      <c r="AJ246" s="125"/>
      <c r="AK246" s="125"/>
      <c r="AL246" s="125"/>
      <c r="AM246" s="125"/>
      <c r="AN246" s="125"/>
      <c r="AO246" s="125"/>
      <c r="AP246" s="125"/>
      <c r="AQ246" s="125"/>
      <c r="AR246" s="97"/>
      <c r="AS246" s="315"/>
      <c r="AT246" s="125"/>
      <c r="AU246" s="125"/>
      <c r="AV246" s="125"/>
      <c r="AW246" s="125"/>
      <c r="AX246" s="125"/>
      <c r="AY246" s="125"/>
      <c r="AZ246" s="98" t="s">
        <v>487</v>
      </c>
      <c r="BA246" s="105"/>
    </row>
    <row r="247" spans="1:53" ht="24" x14ac:dyDescent="0.2">
      <c r="A247" s="167"/>
      <c r="B247" s="119"/>
      <c r="C247" s="161"/>
      <c r="D247" s="162"/>
      <c r="E247" s="227" t="s">
        <v>651</v>
      </c>
      <c r="F247" s="301">
        <v>368615</v>
      </c>
      <c r="G247" s="97">
        <f t="shared" si="92"/>
        <v>368615</v>
      </c>
      <c r="H247" s="301">
        <f>368615</f>
        <v>368615</v>
      </c>
      <c r="I247" s="97">
        <f t="shared" si="89"/>
        <v>368615</v>
      </c>
      <c r="J247" s="97">
        <f t="shared" si="90"/>
        <v>0</v>
      </c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>
        <f t="shared" si="94"/>
        <v>0</v>
      </c>
      <c r="AI247" s="125">
        <f t="shared" si="93"/>
        <v>0</v>
      </c>
      <c r="AJ247" s="125"/>
      <c r="AK247" s="125"/>
      <c r="AL247" s="125"/>
      <c r="AM247" s="125"/>
      <c r="AN247" s="125"/>
      <c r="AO247" s="125"/>
      <c r="AP247" s="125"/>
      <c r="AQ247" s="125"/>
      <c r="AR247" s="97"/>
      <c r="AS247" s="315"/>
      <c r="AT247" s="125"/>
      <c r="AU247" s="125"/>
      <c r="AV247" s="125"/>
      <c r="AW247" s="125"/>
      <c r="AX247" s="125"/>
      <c r="AY247" s="125"/>
      <c r="AZ247" s="98" t="s">
        <v>488</v>
      </c>
      <c r="BA247" s="105"/>
    </row>
    <row r="248" spans="1:53" ht="24" x14ac:dyDescent="0.2">
      <c r="A248" s="167"/>
      <c r="B248" s="119"/>
      <c r="C248" s="161"/>
      <c r="D248" s="162"/>
      <c r="E248" s="227" t="s">
        <v>280</v>
      </c>
      <c r="F248" s="301">
        <v>42976</v>
      </c>
      <c r="G248" s="97">
        <f t="shared" si="92"/>
        <v>42976</v>
      </c>
      <c r="H248" s="301">
        <f>42976</f>
        <v>42976</v>
      </c>
      <c r="I248" s="97">
        <f t="shared" si="89"/>
        <v>42976</v>
      </c>
      <c r="J248" s="97">
        <f t="shared" si="90"/>
        <v>0</v>
      </c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>
        <f t="shared" si="94"/>
        <v>0</v>
      </c>
      <c r="AI248" s="125">
        <f t="shared" si="93"/>
        <v>0</v>
      </c>
      <c r="AJ248" s="125"/>
      <c r="AK248" s="125"/>
      <c r="AL248" s="125"/>
      <c r="AM248" s="125"/>
      <c r="AN248" s="125"/>
      <c r="AO248" s="125"/>
      <c r="AP248" s="125"/>
      <c r="AQ248" s="125"/>
      <c r="AR248" s="97"/>
      <c r="AS248" s="315"/>
      <c r="AT248" s="125"/>
      <c r="AU248" s="125"/>
      <c r="AV248" s="125"/>
      <c r="AW248" s="125"/>
      <c r="AX248" s="125"/>
      <c r="AY248" s="125"/>
      <c r="AZ248" s="98" t="s">
        <v>489</v>
      </c>
      <c r="BA248" s="105"/>
    </row>
    <row r="249" spans="1:53" s="174" customFormat="1" ht="24" x14ac:dyDescent="0.2">
      <c r="A249" s="167"/>
      <c r="B249" s="119"/>
      <c r="C249" s="175"/>
      <c r="D249" s="176"/>
      <c r="E249" s="227" t="s">
        <v>505</v>
      </c>
      <c r="F249" s="301">
        <v>31630</v>
      </c>
      <c r="G249" s="97">
        <f t="shared" si="92"/>
        <v>31630</v>
      </c>
      <c r="H249" s="301">
        <f>31630</f>
        <v>31630</v>
      </c>
      <c r="I249" s="97">
        <f t="shared" si="89"/>
        <v>31630</v>
      </c>
      <c r="J249" s="97">
        <f t="shared" si="90"/>
        <v>0</v>
      </c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>
        <f t="shared" si="94"/>
        <v>0</v>
      </c>
      <c r="AI249" s="125">
        <f t="shared" si="93"/>
        <v>0</v>
      </c>
      <c r="AJ249" s="125"/>
      <c r="AK249" s="125"/>
      <c r="AL249" s="125"/>
      <c r="AM249" s="125"/>
      <c r="AN249" s="125"/>
      <c r="AO249" s="125"/>
      <c r="AP249" s="125"/>
      <c r="AQ249" s="125"/>
      <c r="AR249" s="97"/>
      <c r="AS249" s="315"/>
      <c r="AT249" s="125"/>
      <c r="AU249" s="125"/>
      <c r="AV249" s="125"/>
      <c r="AW249" s="125"/>
      <c r="AX249" s="125"/>
      <c r="AY249" s="125"/>
      <c r="AZ249" s="98" t="s">
        <v>664</v>
      </c>
      <c r="BA249" s="105"/>
    </row>
    <row r="250" spans="1:53" s="155" customFormat="1" ht="48" x14ac:dyDescent="0.2">
      <c r="A250" s="167"/>
      <c r="B250" s="119"/>
      <c r="C250" s="161"/>
      <c r="D250" s="162"/>
      <c r="E250" s="227" t="s">
        <v>358</v>
      </c>
      <c r="F250" s="301">
        <v>186887</v>
      </c>
      <c r="G250" s="97">
        <f t="shared" si="92"/>
        <v>186887</v>
      </c>
      <c r="H250" s="301">
        <f>185242</f>
        <v>185242</v>
      </c>
      <c r="I250" s="97">
        <f t="shared" si="89"/>
        <v>185242</v>
      </c>
      <c r="J250" s="97">
        <f t="shared" si="90"/>
        <v>0</v>
      </c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>
        <v>1645</v>
      </c>
      <c r="AH250" s="97">
        <f t="shared" ref="AH250:AH255" si="95">AI250+AG250</f>
        <v>1645</v>
      </c>
      <c r="AI250" s="125">
        <f t="shared" si="93"/>
        <v>0</v>
      </c>
      <c r="AJ250" s="125"/>
      <c r="AK250" s="125"/>
      <c r="AL250" s="125"/>
      <c r="AM250" s="125"/>
      <c r="AN250" s="125"/>
      <c r="AO250" s="125"/>
      <c r="AP250" s="125"/>
      <c r="AQ250" s="125"/>
      <c r="AR250" s="97"/>
      <c r="AS250" s="315"/>
      <c r="AT250" s="125"/>
      <c r="AU250" s="125"/>
      <c r="AV250" s="125"/>
      <c r="AW250" s="125"/>
      <c r="AX250" s="125"/>
      <c r="AY250" s="125"/>
      <c r="AZ250" s="98" t="s">
        <v>490</v>
      </c>
      <c r="BA250" s="105"/>
    </row>
    <row r="251" spans="1:53" ht="48" x14ac:dyDescent="0.2">
      <c r="A251" s="167"/>
      <c r="B251" s="119"/>
      <c r="C251" s="161"/>
      <c r="D251" s="162"/>
      <c r="E251" s="227" t="s">
        <v>671</v>
      </c>
      <c r="F251" s="301">
        <v>63079</v>
      </c>
      <c r="G251" s="97">
        <f t="shared" si="92"/>
        <v>64070</v>
      </c>
      <c r="H251" s="301">
        <f>63079</f>
        <v>63079</v>
      </c>
      <c r="I251" s="97">
        <f t="shared" si="89"/>
        <v>64070</v>
      </c>
      <c r="J251" s="97">
        <f t="shared" si="90"/>
        <v>991</v>
      </c>
      <c r="K251" s="97"/>
      <c r="L251" s="97"/>
      <c r="M251" s="97"/>
      <c r="N251" s="97">
        <v>991</v>
      </c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>
        <f t="shared" si="95"/>
        <v>0</v>
      </c>
      <c r="AI251" s="125">
        <f>SUM(AJ251:AO251)</f>
        <v>0</v>
      </c>
      <c r="AJ251" s="125"/>
      <c r="AK251" s="125"/>
      <c r="AL251" s="125"/>
      <c r="AM251" s="125"/>
      <c r="AN251" s="125"/>
      <c r="AO251" s="125"/>
      <c r="AP251" s="125"/>
      <c r="AQ251" s="125"/>
      <c r="AR251" s="97"/>
      <c r="AS251" s="315"/>
      <c r="AT251" s="125"/>
      <c r="AU251" s="125"/>
      <c r="AV251" s="125"/>
      <c r="AW251" s="125"/>
      <c r="AX251" s="125"/>
      <c r="AY251" s="125"/>
      <c r="AZ251" s="98" t="s">
        <v>665</v>
      </c>
      <c r="BA251" s="105"/>
    </row>
    <row r="252" spans="1:53" ht="24" x14ac:dyDescent="0.2">
      <c r="A252" s="167">
        <v>90001868844</v>
      </c>
      <c r="B252" s="119"/>
      <c r="C252" s="486" t="s">
        <v>200</v>
      </c>
      <c r="D252" s="487"/>
      <c r="E252" s="227" t="s">
        <v>250</v>
      </c>
      <c r="F252" s="301">
        <v>596329</v>
      </c>
      <c r="G252" s="97">
        <f t="shared" si="92"/>
        <v>597111</v>
      </c>
      <c r="H252" s="301">
        <f>585707</f>
        <v>585707</v>
      </c>
      <c r="I252" s="97">
        <f t="shared" si="89"/>
        <v>585835</v>
      </c>
      <c r="J252" s="97">
        <f t="shared" si="90"/>
        <v>128</v>
      </c>
      <c r="K252" s="97"/>
      <c r="L252" s="97"/>
      <c r="M252" s="97"/>
      <c r="N252" s="97">
        <v>128</v>
      </c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>
        <v>4300</v>
      </c>
      <c r="AH252" s="97">
        <f t="shared" si="95"/>
        <v>4300</v>
      </c>
      <c r="AI252" s="125">
        <f t="shared" si="93"/>
        <v>0</v>
      </c>
      <c r="AJ252" s="125"/>
      <c r="AK252" s="125"/>
      <c r="AL252" s="125"/>
      <c r="AM252" s="125"/>
      <c r="AN252" s="125"/>
      <c r="AO252" s="125"/>
      <c r="AP252" s="125"/>
      <c r="AQ252" s="125">
        <f>6322</f>
        <v>6322</v>
      </c>
      <c r="AR252" s="97">
        <f>AQ252+AS252</f>
        <v>6976</v>
      </c>
      <c r="AS252" s="315">
        <f>SUM(AT252:AY252)</f>
        <v>654</v>
      </c>
      <c r="AT252" s="125">
        <v>654</v>
      </c>
      <c r="AU252" s="125"/>
      <c r="AV252" s="125"/>
      <c r="AW252" s="125"/>
      <c r="AX252" s="125"/>
      <c r="AY252" s="125"/>
      <c r="AZ252" s="98" t="s">
        <v>491</v>
      </c>
      <c r="BA252" s="105"/>
    </row>
    <row r="253" spans="1:53" ht="24" x14ac:dyDescent="0.2">
      <c r="A253" s="167"/>
      <c r="B253" s="119"/>
      <c r="C253" s="161"/>
      <c r="D253" s="162"/>
      <c r="E253" s="227" t="s">
        <v>281</v>
      </c>
      <c r="F253" s="301">
        <v>1770</v>
      </c>
      <c r="G253" s="97">
        <f t="shared" si="92"/>
        <v>1770</v>
      </c>
      <c r="H253" s="301">
        <f>1770</f>
        <v>1770</v>
      </c>
      <c r="I253" s="97">
        <f t="shared" si="89"/>
        <v>1770</v>
      </c>
      <c r="J253" s="97">
        <f t="shared" si="90"/>
        <v>0</v>
      </c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>
        <f t="shared" si="95"/>
        <v>0</v>
      </c>
      <c r="AI253" s="125">
        <f t="shared" si="93"/>
        <v>0</v>
      </c>
      <c r="AJ253" s="97"/>
      <c r="AK253" s="97"/>
      <c r="AL253" s="97"/>
      <c r="AM253" s="97"/>
      <c r="AN253" s="97"/>
      <c r="AO253" s="97"/>
      <c r="AP253" s="97"/>
      <c r="AQ253" s="125"/>
      <c r="AR253" s="97"/>
      <c r="AS253" s="315"/>
      <c r="AT253" s="97"/>
      <c r="AU253" s="97"/>
      <c r="AV253" s="97"/>
      <c r="AW253" s="97"/>
      <c r="AX253" s="97"/>
      <c r="AY253" s="97"/>
      <c r="AZ253" s="98" t="s">
        <v>492</v>
      </c>
      <c r="BA253" s="105"/>
    </row>
    <row r="254" spans="1:53" ht="24" x14ac:dyDescent="0.2">
      <c r="A254" s="167">
        <v>90000091456</v>
      </c>
      <c r="B254" s="119"/>
      <c r="C254" s="486" t="s">
        <v>258</v>
      </c>
      <c r="D254" s="487"/>
      <c r="E254" s="227" t="s">
        <v>251</v>
      </c>
      <c r="F254" s="301">
        <v>134178</v>
      </c>
      <c r="G254" s="97">
        <f t="shared" si="92"/>
        <v>134202</v>
      </c>
      <c r="H254" s="301">
        <f>134178</f>
        <v>134178</v>
      </c>
      <c r="I254" s="97">
        <f t="shared" si="89"/>
        <v>134202</v>
      </c>
      <c r="J254" s="97">
        <f t="shared" si="90"/>
        <v>24</v>
      </c>
      <c r="K254" s="97"/>
      <c r="L254" s="97"/>
      <c r="M254" s="97"/>
      <c r="N254" s="97">
        <v>24</v>
      </c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>
        <f t="shared" si="95"/>
        <v>0</v>
      </c>
      <c r="AI254" s="125">
        <f t="shared" si="93"/>
        <v>0</v>
      </c>
      <c r="AJ254" s="125"/>
      <c r="AK254" s="125"/>
      <c r="AL254" s="125"/>
      <c r="AM254" s="125"/>
      <c r="AN254" s="125"/>
      <c r="AO254" s="125"/>
      <c r="AP254" s="125"/>
      <c r="AQ254" s="125"/>
      <c r="AR254" s="97"/>
      <c r="AS254" s="315"/>
      <c r="AT254" s="125"/>
      <c r="AU254" s="125"/>
      <c r="AV254" s="125"/>
      <c r="AW254" s="125"/>
      <c r="AX254" s="125"/>
      <c r="AY254" s="125"/>
      <c r="AZ254" s="98" t="s">
        <v>493</v>
      </c>
      <c r="BA254" s="105"/>
    </row>
    <row r="255" spans="1:53" ht="72" x14ac:dyDescent="0.2">
      <c r="A255" s="167">
        <v>50003220021</v>
      </c>
      <c r="B255" s="119"/>
      <c r="C255" s="486" t="s">
        <v>332</v>
      </c>
      <c r="D255" s="487"/>
      <c r="E255" s="227" t="s">
        <v>672</v>
      </c>
      <c r="F255" s="301">
        <v>15839</v>
      </c>
      <c r="G255" s="97">
        <f t="shared" si="92"/>
        <v>15839</v>
      </c>
      <c r="H255" s="301">
        <f>15839</f>
        <v>15839</v>
      </c>
      <c r="I255" s="97">
        <f t="shared" si="89"/>
        <v>15839</v>
      </c>
      <c r="J255" s="97">
        <f t="shared" si="90"/>
        <v>0</v>
      </c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>
        <f t="shared" si="95"/>
        <v>0</v>
      </c>
      <c r="AI255" s="125">
        <f t="shared" si="93"/>
        <v>0</v>
      </c>
      <c r="AJ255" s="125"/>
      <c r="AK255" s="125"/>
      <c r="AL255" s="125"/>
      <c r="AM255" s="125"/>
      <c r="AN255" s="125"/>
      <c r="AO255" s="125"/>
      <c r="AP255" s="125"/>
      <c r="AQ255" s="125"/>
      <c r="AR255" s="97"/>
      <c r="AS255" s="315"/>
      <c r="AT255" s="125"/>
      <c r="AU255" s="125"/>
      <c r="AV255" s="125"/>
      <c r="AW255" s="125"/>
      <c r="AX255" s="125"/>
      <c r="AY255" s="125"/>
      <c r="AZ255" s="98" t="s">
        <v>494</v>
      </c>
      <c r="BA255" s="105"/>
    </row>
    <row r="256" spans="1:53" ht="64.5" customHeight="1" x14ac:dyDescent="0.2">
      <c r="A256" s="167"/>
      <c r="B256" s="119"/>
      <c r="C256" s="486" t="s">
        <v>214</v>
      </c>
      <c r="D256" s="487"/>
      <c r="E256" s="426" t="s">
        <v>527</v>
      </c>
      <c r="F256" s="301">
        <v>241889</v>
      </c>
      <c r="G256" s="97">
        <f t="shared" si="92"/>
        <v>241889</v>
      </c>
      <c r="H256" s="301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125"/>
      <c r="AJ256" s="97"/>
      <c r="AK256" s="97"/>
      <c r="AL256" s="97"/>
      <c r="AM256" s="97"/>
      <c r="AN256" s="97"/>
      <c r="AO256" s="97"/>
      <c r="AP256" s="97">
        <v>241889</v>
      </c>
      <c r="AQ256" s="125"/>
      <c r="AR256" s="97"/>
      <c r="AS256" s="315"/>
      <c r="AT256" s="97"/>
      <c r="AU256" s="97"/>
      <c r="AV256" s="97"/>
      <c r="AW256" s="97"/>
      <c r="AX256" s="97"/>
      <c r="AY256" s="97"/>
      <c r="AZ256" s="98"/>
      <c r="BA256" s="105"/>
    </row>
    <row r="257" spans="1:53" s="160" customFormat="1" ht="48" x14ac:dyDescent="0.2">
      <c r="A257" s="167"/>
      <c r="B257" s="119"/>
      <c r="C257" s="214"/>
      <c r="D257" s="215"/>
      <c r="E257" s="426" t="s">
        <v>364</v>
      </c>
      <c r="F257" s="301">
        <v>106716</v>
      </c>
      <c r="G257" s="97">
        <f t="shared" si="92"/>
        <v>106716</v>
      </c>
      <c r="H257" s="301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125"/>
      <c r="AJ257" s="97"/>
      <c r="AK257" s="97"/>
      <c r="AL257" s="97"/>
      <c r="AM257" s="97"/>
      <c r="AN257" s="97"/>
      <c r="AO257" s="97"/>
      <c r="AP257" s="97">
        <v>106716</v>
      </c>
      <c r="AQ257" s="125"/>
      <c r="AR257" s="97"/>
      <c r="AS257" s="315"/>
      <c r="AT257" s="97"/>
      <c r="AU257" s="97"/>
      <c r="AV257" s="97"/>
      <c r="AW257" s="97"/>
      <c r="AX257" s="97"/>
      <c r="AY257" s="97"/>
      <c r="AZ257" s="98"/>
      <c r="BA257" s="105"/>
    </row>
    <row r="258" spans="1:53" ht="12.75" thickBot="1" x14ac:dyDescent="0.25">
      <c r="A258" s="147"/>
      <c r="B258" s="139"/>
      <c r="C258" s="525"/>
      <c r="D258" s="526"/>
      <c r="E258" s="427"/>
      <c r="F258" s="302"/>
      <c r="G258" s="84"/>
      <c r="H258" s="302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124"/>
      <c r="AJ258" s="124"/>
      <c r="AK258" s="124"/>
      <c r="AL258" s="124"/>
      <c r="AM258" s="124"/>
      <c r="AN258" s="124"/>
      <c r="AO258" s="124"/>
      <c r="AP258" s="124"/>
      <c r="AQ258" s="124"/>
      <c r="AR258" s="84"/>
      <c r="AS258" s="316"/>
      <c r="AT258" s="124"/>
      <c r="AU258" s="124"/>
      <c r="AV258" s="124"/>
      <c r="AW258" s="124"/>
      <c r="AX258" s="124"/>
      <c r="AY258" s="124"/>
      <c r="AZ258" s="85"/>
      <c r="BA258" s="108"/>
    </row>
    <row r="259" spans="1:53" ht="13.5" thickTop="1" thickBot="1" x14ac:dyDescent="0.25">
      <c r="A259" s="148"/>
      <c r="B259" s="521" t="s">
        <v>149</v>
      </c>
      <c r="C259" s="521"/>
      <c r="D259" s="522"/>
      <c r="E259" s="432"/>
      <c r="F259" s="308">
        <v>403848</v>
      </c>
      <c r="G259" s="420">
        <f>SUM(I259,Y259,AH259,AP259,AR259)</f>
        <v>735654</v>
      </c>
      <c r="H259" s="308">
        <f>SUM(H260)</f>
        <v>289094</v>
      </c>
      <c r="I259" s="13">
        <f>SUM(I260)</f>
        <v>387734</v>
      </c>
      <c r="J259" s="13">
        <f t="shared" ref="J259:AY259" si="96">SUM(J260)</f>
        <v>98640</v>
      </c>
      <c r="K259" s="13">
        <f t="shared" si="96"/>
        <v>0</v>
      </c>
      <c r="L259" s="13">
        <f t="shared" si="96"/>
        <v>0</v>
      </c>
      <c r="M259" s="13">
        <f t="shared" si="96"/>
        <v>0</v>
      </c>
      <c r="N259" s="13">
        <f t="shared" si="96"/>
        <v>1030341</v>
      </c>
      <c r="O259" s="13">
        <f t="shared" si="96"/>
        <v>-113825</v>
      </c>
      <c r="P259" s="13">
        <f t="shared" si="96"/>
        <v>-443104</v>
      </c>
      <c r="Q259" s="13">
        <f t="shared" si="96"/>
        <v>800</v>
      </c>
      <c r="R259" s="13">
        <f t="shared" si="96"/>
        <v>-375572</v>
      </c>
      <c r="S259" s="13">
        <f t="shared" si="96"/>
        <v>0</v>
      </c>
      <c r="T259" s="13">
        <f t="shared" si="96"/>
        <v>0</v>
      </c>
      <c r="U259" s="13">
        <f t="shared" si="96"/>
        <v>0</v>
      </c>
      <c r="V259" s="13">
        <f t="shared" si="96"/>
        <v>0</v>
      </c>
      <c r="W259" s="13">
        <f t="shared" si="96"/>
        <v>0</v>
      </c>
      <c r="X259" s="13">
        <f t="shared" si="96"/>
        <v>2942</v>
      </c>
      <c r="Y259" s="13">
        <f t="shared" si="96"/>
        <v>293400</v>
      </c>
      <c r="Z259" s="13">
        <f t="shared" si="96"/>
        <v>290458</v>
      </c>
      <c r="AA259" s="13">
        <f t="shared" si="96"/>
        <v>352083</v>
      </c>
      <c r="AB259" s="13">
        <f t="shared" si="96"/>
        <v>-61625</v>
      </c>
      <c r="AC259" s="13">
        <f t="shared" si="96"/>
        <v>0</v>
      </c>
      <c r="AD259" s="13">
        <f t="shared" si="96"/>
        <v>0</v>
      </c>
      <c r="AE259" s="13">
        <f t="shared" si="96"/>
        <v>0</v>
      </c>
      <c r="AF259" s="13">
        <f t="shared" si="96"/>
        <v>0</v>
      </c>
      <c r="AG259" s="13">
        <f t="shared" si="96"/>
        <v>111076</v>
      </c>
      <c r="AH259" s="13">
        <f t="shared" si="96"/>
        <v>53734</v>
      </c>
      <c r="AI259" s="99">
        <f t="shared" si="96"/>
        <v>-57342</v>
      </c>
      <c r="AJ259" s="99">
        <f t="shared" si="96"/>
        <v>13324</v>
      </c>
      <c r="AK259" s="99">
        <f t="shared" si="96"/>
        <v>-5256</v>
      </c>
      <c r="AL259" s="99">
        <f t="shared" si="96"/>
        <v>-65410</v>
      </c>
      <c r="AM259" s="99">
        <f t="shared" si="96"/>
        <v>0</v>
      </c>
      <c r="AN259" s="99">
        <f t="shared" si="96"/>
        <v>0</v>
      </c>
      <c r="AO259" s="99">
        <f t="shared" si="96"/>
        <v>0</v>
      </c>
      <c r="AP259" s="99">
        <f t="shared" si="96"/>
        <v>0</v>
      </c>
      <c r="AQ259" s="99">
        <f t="shared" si="96"/>
        <v>736</v>
      </c>
      <c r="AR259" s="13">
        <f t="shared" si="96"/>
        <v>786</v>
      </c>
      <c r="AS259" s="312">
        <f t="shared" si="96"/>
        <v>50</v>
      </c>
      <c r="AT259" s="99">
        <f t="shared" si="96"/>
        <v>3024</v>
      </c>
      <c r="AU259" s="99">
        <f t="shared" si="96"/>
        <v>-2974</v>
      </c>
      <c r="AV259" s="99">
        <f t="shared" si="96"/>
        <v>0</v>
      </c>
      <c r="AW259" s="99">
        <f t="shared" si="96"/>
        <v>0</v>
      </c>
      <c r="AX259" s="99">
        <f t="shared" si="96"/>
        <v>0</v>
      </c>
      <c r="AY259" s="99">
        <f t="shared" si="96"/>
        <v>0</v>
      </c>
      <c r="AZ259" s="14"/>
      <c r="BA259" s="109"/>
    </row>
    <row r="260" spans="1:53" ht="36" customHeight="1" thickTop="1" thickBot="1" x14ac:dyDescent="0.25">
      <c r="A260" s="149"/>
      <c r="B260" s="146"/>
      <c r="C260" s="523" t="s">
        <v>734</v>
      </c>
      <c r="D260" s="524"/>
      <c r="E260" s="433"/>
      <c r="F260" s="309">
        <v>403848</v>
      </c>
      <c r="G260" s="9">
        <f>SUM(I260,Y260,AH260,AP260,AR260)</f>
        <v>735654</v>
      </c>
      <c r="H260" s="309">
        <f>289094</f>
        <v>289094</v>
      </c>
      <c r="I260" s="97">
        <f>H260+J260</f>
        <v>387734</v>
      </c>
      <c r="J260" s="9">
        <f>SUM(K260:W260)</f>
        <v>98640</v>
      </c>
      <c r="K260" s="9"/>
      <c r="L260" s="9"/>
      <c r="M260" s="9"/>
      <c r="N260" s="9">
        <f>984100+46241</f>
        <v>1030341</v>
      </c>
      <c r="O260" s="9">
        <f>-78774-35051</f>
        <v>-113825</v>
      </c>
      <c r="P260" s="9">
        <f>89378-894137+204047+14223+45963+173600-76178</f>
        <v>-443104</v>
      </c>
      <c r="Q260" s="9">
        <v>800</v>
      </c>
      <c r="R260" s="9">
        <f>15230+195+1659+20000-4386-330931+3724-33765+6473-19360-34411</f>
        <v>-375572</v>
      </c>
      <c r="S260" s="9"/>
      <c r="T260" s="9"/>
      <c r="U260" s="9"/>
      <c r="V260" s="9"/>
      <c r="W260" s="9"/>
      <c r="X260" s="9">
        <f>2942</f>
        <v>2942</v>
      </c>
      <c r="Y260" s="9">
        <f>X260+Z260</f>
        <v>293400</v>
      </c>
      <c r="Z260" s="9">
        <f>SUM(AA260:AF260)</f>
        <v>290458</v>
      </c>
      <c r="AA260" s="9">
        <v>352083</v>
      </c>
      <c r="AB260" s="9">
        <f>-15063-11218-8399-26945</f>
        <v>-61625</v>
      </c>
      <c r="AC260" s="9"/>
      <c r="AD260" s="9"/>
      <c r="AE260" s="9"/>
      <c r="AF260" s="9"/>
      <c r="AG260" s="9">
        <f>111076</f>
        <v>111076</v>
      </c>
      <c r="AH260" s="9">
        <f>AI260+AG260</f>
        <v>53734</v>
      </c>
      <c r="AI260" s="129">
        <f>SUM(AJ260:AO260)</f>
        <v>-57342</v>
      </c>
      <c r="AJ260" s="129">
        <v>13324</v>
      </c>
      <c r="AK260" s="129">
        <v>-5256</v>
      </c>
      <c r="AL260" s="129">
        <f>-37670-13325-14415</f>
        <v>-65410</v>
      </c>
      <c r="AM260" s="129"/>
      <c r="AN260" s="129"/>
      <c r="AO260" s="129"/>
      <c r="AP260" s="129"/>
      <c r="AQ260" s="129">
        <f>622+114</f>
        <v>736</v>
      </c>
      <c r="AR260" s="9">
        <f>AQ260+AS260</f>
        <v>786</v>
      </c>
      <c r="AS260" s="322">
        <f>SUM(AT260:AY260)</f>
        <v>50</v>
      </c>
      <c r="AT260" s="129">
        <f>2974+50</f>
        <v>3024</v>
      </c>
      <c r="AU260" s="129">
        <v>-2974</v>
      </c>
      <c r="AV260" s="129"/>
      <c r="AW260" s="129"/>
      <c r="AX260" s="129"/>
      <c r="AY260" s="129"/>
      <c r="AZ260" s="10"/>
      <c r="BA260" s="109"/>
    </row>
    <row r="261" spans="1:53" ht="28.5" customHeight="1" thickTop="1" thickBot="1" x14ac:dyDescent="0.25">
      <c r="A261" s="148"/>
      <c r="B261" s="521" t="s">
        <v>146</v>
      </c>
      <c r="C261" s="521"/>
      <c r="D261" s="522"/>
      <c r="E261" s="432"/>
      <c r="F261" s="308">
        <v>104220855.3208452</v>
      </c>
      <c r="G261" s="420">
        <f>SUM(I261,Y261,AH261,AP261,AR261)</f>
        <v>105947440</v>
      </c>
      <c r="H261" s="308">
        <f t="shared" ref="H261:AO261" si="97">H13+H27+H35-SUM(H58:H60)+H62+H76-H87+H90+H99-SUM(H133:H135)+H138-SUM(H224:H227)+H230-SUM(H256:H257)-H74</f>
        <v>93497782.370000005</v>
      </c>
      <c r="I261" s="13">
        <f t="shared" si="97"/>
        <v>94713129</v>
      </c>
      <c r="J261" s="13">
        <f t="shared" si="97"/>
        <v>1215346</v>
      </c>
      <c r="K261" s="13">
        <f t="shared" si="97"/>
        <v>0</v>
      </c>
      <c r="L261" s="13">
        <f t="shared" si="97"/>
        <v>0</v>
      </c>
      <c r="M261" s="13">
        <f t="shared" si="97"/>
        <v>7491</v>
      </c>
      <c r="N261" s="13">
        <f t="shared" si="97"/>
        <v>54047</v>
      </c>
      <c r="O261" s="13">
        <f t="shared" si="97"/>
        <v>113825</v>
      </c>
      <c r="P261" s="13">
        <f t="shared" si="97"/>
        <v>624543</v>
      </c>
      <c r="Q261" s="13">
        <f t="shared" si="97"/>
        <v>3200</v>
      </c>
      <c r="R261" s="13">
        <f t="shared" si="97"/>
        <v>412240</v>
      </c>
      <c r="S261" s="13">
        <f>S13+S27+S35-SUM(S58:S60)+S62+S76-S87+S90+S99-SUM(S133:S135)+S138-SUM(S224:S227)+S230-SUM(S256:S257)-S74</f>
        <v>0</v>
      </c>
      <c r="T261" s="13">
        <f t="shared" si="97"/>
        <v>0</v>
      </c>
      <c r="U261" s="13">
        <f t="shared" si="97"/>
        <v>0</v>
      </c>
      <c r="V261" s="13">
        <f t="shared" si="97"/>
        <v>0</v>
      </c>
      <c r="W261" s="13">
        <f t="shared" si="97"/>
        <v>0</v>
      </c>
      <c r="X261" s="13">
        <f t="shared" si="97"/>
        <v>9032053</v>
      </c>
      <c r="Y261" s="13">
        <f t="shared" si="97"/>
        <v>9243038</v>
      </c>
      <c r="Z261" s="13">
        <f t="shared" si="97"/>
        <v>210985</v>
      </c>
      <c r="AA261" s="13">
        <f t="shared" si="97"/>
        <v>149360</v>
      </c>
      <c r="AB261" s="13">
        <f t="shared" si="97"/>
        <v>61625</v>
      </c>
      <c r="AC261" s="13">
        <f t="shared" si="97"/>
        <v>0</v>
      </c>
      <c r="AD261" s="13">
        <f t="shared" si="97"/>
        <v>0</v>
      </c>
      <c r="AE261" s="13">
        <f t="shared" si="97"/>
        <v>0</v>
      </c>
      <c r="AF261" s="13">
        <f t="shared" si="97"/>
        <v>0</v>
      </c>
      <c r="AG261" s="13">
        <f t="shared" si="97"/>
        <v>1665090</v>
      </c>
      <c r="AH261" s="13">
        <f t="shared" si="97"/>
        <v>1961199</v>
      </c>
      <c r="AI261" s="13">
        <f t="shared" si="97"/>
        <v>296109</v>
      </c>
      <c r="AJ261" s="13">
        <f t="shared" si="97"/>
        <v>22000</v>
      </c>
      <c r="AK261" s="13">
        <f t="shared" si="97"/>
        <v>110215</v>
      </c>
      <c r="AL261" s="13">
        <f t="shared" si="97"/>
        <v>131270</v>
      </c>
      <c r="AM261" s="13">
        <f t="shared" si="97"/>
        <v>32624</v>
      </c>
      <c r="AN261" s="13">
        <f t="shared" si="97"/>
        <v>0</v>
      </c>
      <c r="AO261" s="13">
        <f t="shared" si="97"/>
        <v>0</v>
      </c>
      <c r="AP261" s="13">
        <f>AP13+AP27+AP35-SUM(AP58:AP60)+AP62+AP76-AP87-AP88+AP90+AP99-SUM(AP133:AP136)+AP138-SUM(AP224:AP228)+AP230-SUM(AP256:AP257)-AP74</f>
        <v>0</v>
      </c>
      <c r="AQ261" s="13">
        <f t="shared" ref="AQ261:AY261" si="98">AQ13+AQ27+AQ35-SUM(AQ58:AQ60)+AQ62+AQ76-AQ87+AQ90+AQ99-SUM(AQ133:AQ135)+AQ138-SUM(AQ224:AQ227)+AQ230-SUM(AQ256:AQ257)-AQ74</f>
        <v>25930</v>
      </c>
      <c r="AR261" s="13">
        <f t="shared" si="98"/>
        <v>30074</v>
      </c>
      <c r="AS261" s="323">
        <f t="shared" si="98"/>
        <v>4144</v>
      </c>
      <c r="AT261" s="13">
        <f t="shared" si="98"/>
        <v>1379</v>
      </c>
      <c r="AU261" s="13">
        <f t="shared" si="98"/>
        <v>2765</v>
      </c>
      <c r="AV261" s="13">
        <f t="shared" si="98"/>
        <v>0</v>
      </c>
      <c r="AW261" s="13">
        <f t="shared" si="98"/>
        <v>0</v>
      </c>
      <c r="AX261" s="13">
        <f t="shared" si="98"/>
        <v>0</v>
      </c>
      <c r="AY261" s="13">
        <f t="shared" si="98"/>
        <v>0</v>
      </c>
      <c r="AZ261" s="14"/>
      <c r="BA261" s="110"/>
    </row>
    <row r="262" spans="1:53" ht="13.5" thickTop="1" thickBot="1" x14ac:dyDescent="0.25">
      <c r="A262" s="148"/>
      <c r="B262" s="521" t="s">
        <v>147</v>
      </c>
      <c r="C262" s="521"/>
      <c r="D262" s="522"/>
      <c r="E262" s="422"/>
      <c r="F262" s="303">
        <v>109347454.3208452</v>
      </c>
      <c r="G262" s="419">
        <f>SUM(I262,Y262,AH262,AP262,AR262)</f>
        <v>111609892</v>
      </c>
      <c r="H262" s="303">
        <f t="shared" ref="H262:AY262" si="99">SUM(H13,H27,H35,H62,H76,H90,H99,H138,H230,H259)</f>
        <v>93786876.370000005</v>
      </c>
      <c r="I262" s="7">
        <f t="shared" si="99"/>
        <v>95100863</v>
      </c>
      <c r="J262" s="7">
        <f t="shared" si="99"/>
        <v>1313986</v>
      </c>
      <c r="K262" s="7">
        <f t="shared" si="99"/>
        <v>0</v>
      </c>
      <c r="L262" s="7">
        <f t="shared" si="99"/>
        <v>0</v>
      </c>
      <c r="M262" s="7">
        <f t="shared" si="99"/>
        <v>7491</v>
      </c>
      <c r="N262" s="7">
        <f t="shared" si="99"/>
        <v>1084388</v>
      </c>
      <c r="O262" s="7">
        <f t="shared" si="99"/>
        <v>0</v>
      </c>
      <c r="P262" s="7">
        <f t="shared" si="99"/>
        <v>181439</v>
      </c>
      <c r="Q262" s="7">
        <f t="shared" si="99"/>
        <v>4000</v>
      </c>
      <c r="R262" s="7">
        <f t="shared" si="99"/>
        <v>36668</v>
      </c>
      <c r="S262" s="7">
        <f>SUM(S13,S27,S35,S62,S76,S90,S99,S138,S230,S259)</f>
        <v>0</v>
      </c>
      <c r="T262" s="7">
        <f t="shared" si="99"/>
        <v>0</v>
      </c>
      <c r="U262" s="7">
        <f t="shared" si="99"/>
        <v>0</v>
      </c>
      <c r="V262" s="7">
        <f t="shared" si="99"/>
        <v>0</v>
      </c>
      <c r="W262" s="7">
        <f t="shared" si="99"/>
        <v>0</v>
      </c>
      <c r="X262" s="7">
        <f t="shared" si="99"/>
        <v>9034995</v>
      </c>
      <c r="Y262" s="7">
        <f t="shared" si="99"/>
        <v>9536438</v>
      </c>
      <c r="Z262" s="7">
        <f t="shared" si="99"/>
        <v>501443</v>
      </c>
      <c r="AA262" s="7">
        <f t="shared" si="99"/>
        <v>501443</v>
      </c>
      <c r="AB262" s="7">
        <f t="shared" si="99"/>
        <v>0</v>
      </c>
      <c r="AC262" s="7">
        <f t="shared" si="99"/>
        <v>0</v>
      </c>
      <c r="AD262" s="7">
        <f t="shared" si="99"/>
        <v>0</v>
      </c>
      <c r="AE262" s="7">
        <f t="shared" si="99"/>
        <v>0</v>
      </c>
      <c r="AF262" s="7">
        <f t="shared" si="99"/>
        <v>0</v>
      </c>
      <c r="AG262" s="7">
        <f t="shared" si="99"/>
        <v>1776166</v>
      </c>
      <c r="AH262" s="7">
        <f t="shared" si="99"/>
        <v>2014933</v>
      </c>
      <c r="AI262" s="123">
        <f t="shared" si="99"/>
        <v>238767</v>
      </c>
      <c r="AJ262" s="123">
        <f t="shared" si="99"/>
        <v>35324</v>
      </c>
      <c r="AK262" s="123">
        <f t="shared" si="99"/>
        <v>104959</v>
      </c>
      <c r="AL262" s="123">
        <f t="shared" si="99"/>
        <v>65860</v>
      </c>
      <c r="AM262" s="123">
        <f t="shared" si="99"/>
        <v>32624</v>
      </c>
      <c r="AN262" s="123">
        <f t="shared" si="99"/>
        <v>0</v>
      </c>
      <c r="AO262" s="123">
        <f t="shared" si="99"/>
        <v>0</v>
      </c>
      <c r="AP262" s="123">
        <f t="shared" si="99"/>
        <v>4926798</v>
      </c>
      <c r="AQ262" s="123">
        <f t="shared" si="99"/>
        <v>26666</v>
      </c>
      <c r="AR262" s="7">
        <f t="shared" si="99"/>
        <v>30860</v>
      </c>
      <c r="AS262" s="311">
        <f t="shared" si="99"/>
        <v>4194</v>
      </c>
      <c r="AT262" s="123">
        <f t="shared" si="99"/>
        <v>4403</v>
      </c>
      <c r="AU262" s="123">
        <f t="shared" si="99"/>
        <v>-209</v>
      </c>
      <c r="AV262" s="123">
        <f t="shared" si="99"/>
        <v>0</v>
      </c>
      <c r="AW262" s="123">
        <f t="shared" si="99"/>
        <v>0</v>
      </c>
      <c r="AX262" s="123">
        <f t="shared" si="99"/>
        <v>0</v>
      </c>
      <c r="AY262" s="123">
        <f t="shared" si="99"/>
        <v>0</v>
      </c>
      <c r="AZ262" s="15"/>
      <c r="BA262" s="110"/>
    </row>
    <row r="263" spans="1:53" ht="12.75" hidden="1" thickTop="1" x14ac:dyDescent="0.2">
      <c r="C263" s="16"/>
      <c r="D263" s="17" t="s">
        <v>25</v>
      </c>
      <c r="E263" s="17"/>
      <c r="F263" s="17"/>
      <c r="G263" s="18">
        <f>SUM(G14:G20,G28:G34,G36:G60,G63:G72,G74,G77:G85,G91:G98,G100:G137,G139:G219,G231:G258,G259,G87:G89,G224:G229)</f>
        <v>111533714</v>
      </c>
      <c r="H263" s="18"/>
      <c r="I263" s="18">
        <f>SUM(I14:I20,I28:I34,I36:I60,I63:I72,I74,I77:I85,I91:I98,I100:I137,I139:I219,I231:I258,I259,I87:I89,I224:I229)</f>
        <v>95024685</v>
      </c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>
        <f>SUM(Y14:Y20,Y28:Y34,Y36:Y60,Y63:Y72,Y74,Y77:Y85,Y91:Y98,Y100:Y137,Y139:Y219,Y231:Y258,Y259,Y87:Y89,Y224:Y229)</f>
        <v>9536438</v>
      </c>
      <c r="Z263" s="18"/>
      <c r="AA263" s="18"/>
      <c r="AB263" s="18"/>
      <c r="AC263" s="18"/>
      <c r="AD263" s="18"/>
      <c r="AE263" s="18"/>
      <c r="AF263" s="18"/>
      <c r="AG263" s="18"/>
      <c r="AH263" s="18">
        <f>SUM(AH14:AH20,AH28:AH34,AH36:AH60,AH63:AH72,AH74,AH77:AH85,AH91:AH98,AH100:AH137,AH139:AH219,AH231:AH258,AH259,AH87:AH89,AH224:AH229)</f>
        <v>2014933</v>
      </c>
      <c r="AI263" s="18"/>
      <c r="AJ263" s="18"/>
      <c r="AK263" s="18"/>
      <c r="AL263" s="18"/>
      <c r="AM263" s="18"/>
      <c r="AN263" s="18"/>
      <c r="AO263" s="18"/>
      <c r="AP263" s="18">
        <f>SUM(AP14:AP20,AP28:AP34,AP36:AP60,AP63:AP72,AP74,AP77:AP85,AP91:AP98,AP100:AP137,AP139:AP219,AP231:AP258,AP259,AP87:AP89,AP224:AP229)</f>
        <v>4926798</v>
      </c>
      <c r="AQ263" s="18"/>
      <c r="AR263" s="18">
        <f>SUM(AR14:AR20,AR28:AR34,AR36:AR60,AR63:AR72,AR74,AR77:AR85,AR91:AR98,AR100:AR137,AR139:AR219,AR231:AR258,AR259,AR87:AR89,AR224:AR229)</f>
        <v>30860</v>
      </c>
      <c r="AS263" s="18"/>
      <c r="AT263" s="18"/>
      <c r="AU263" s="18"/>
      <c r="AV263" s="18"/>
      <c r="AW263" s="18"/>
      <c r="AX263" s="18"/>
      <c r="AY263" s="18"/>
      <c r="AZ263" s="19">
        <f>SUM(AZ16:AZ20,AZ29:AZ33,AZ37:AZ60,AZ63:AZ63,AZ77:AZ87,AZ91:AZ95,AZ100:AZ135,AZ142:AZ227,AZ234:AZ257,AZ259)</f>
        <v>0</v>
      </c>
    </row>
    <row r="264" spans="1:53" ht="12.75" hidden="1" thickTop="1" x14ac:dyDescent="0.2">
      <c r="C264" s="16"/>
      <c r="D264" s="17" t="s">
        <v>26</v>
      </c>
      <c r="E264" s="17"/>
      <c r="F264" s="17"/>
      <c r="G264" s="18">
        <f>SUM(G13,G27,G35,G62,G76,G90,G99,G138,G230,G259)</f>
        <v>111609892</v>
      </c>
      <c r="H264" s="18"/>
      <c r="I264" s="18">
        <f>SUM(I13,I27,I35,I62,I76,I90,I99,I138,I230,I259)</f>
        <v>95100863</v>
      </c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>
        <f>SUM(Y13,Y27,Y35,Y62,Y76,Y90,Y99,Y138,Y230,Y259)</f>
        <v>9536438</v>
      </c>
      <c r="Z264" s="18"/>
      <c r="AA264" s="18"/>
      <c r="AB264" s="18"/>
      <c r="AC264" s="18"/>
      <c r="AD264" s="18"/>
      <c r="AE264" s="18"/>
      <c r="AF264" s="18"/>
      <c r="AG264" s="18"/>
      <c r="AH264" s="18">
        <f>SUM(AH13,AH27,AH35,AH62,AH76,AH90,AH99,AH138,AH230,AH259)</f>
        <v>2014933</v>
      </c>
      <c r="AI264" s="18"/>
      <c r="AJ264" s="18"/>
      <c r="AK264" s="18"/>
      <c r="AL264" s="18"/>
      <c r="AM264" s="18"/>
      <c r="AN264" s="18"/>
      <c r="AO264" s="18"/>
      <c r="AP264" s="18">
        <f>SUM(AP13,AP27,AP35,AP62,AP76,AP90,AP99,AP138,AP230,AP259)</f>
        <v>4926798</v>
      </c>
      <c r="AQ264" s="18"/>
      <c r="AR264" s="18">
        <f>SUM(AR13,AR27,AR35,AR62,AR76,AR90,AR99,AR138,AR230,AR259)</f>
        <v>30860</v>
      </c>
      <c r="AS264" s="18"/>
      <c r="AT264" s="18"/>
      <c r="AU264" s="18"/>
      <c r="AV264" s="18"/>
      <c r="AW264" s="18"/>
      <c r="AX264" s="18"/>
      <c r="AY264" s="18"/>
      <c r="AZ264" s="19">
        <f>SUM(AZ13,AZ27,AZ35,AZ62,AZ76,AZ90,AZ99,AZ138,AZ230,AZ259)</f>
        <v>0</v>
      </c>
    </row>
    <row r="265" spans="1:53" ht="12.75" hidden="1" thickTop="1" x14ac:dyDescent="0.2">
      <c r="C265" s="16"/>
      <c r="D265" s="17" t="s">
        <v>27</v>
      </c>
      <c r="E265" s="17"/>
      <c r="F265" s="17"/>
      <c r="G265" s="20" t="str">
        <f>IF(G262=G263=G264,"PROBLEM","")</f>
        <v/>
      </c>
      <c r="H265" s="20"/>
      <c r="I265" s="20" t="str">
        <f>IF(I262=I263=I264,"PROBLEM","")</f>
        <v/>
      </c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 t="str">
        <f>IF(Y262=Y263=Y264,"PROBLEM","")</f>
        <v/>
      </c>
      <c r="Z265" s="20"/>
      <c r="AA265" s="20"/>
      <c r="AB265" s="20"/>
      <c r="AC265" s="20"/>
      <c r="AD265" s="20"/>
      <c r="AE265" s="20"/>
      <c r="AF265" s="20"/>
      <c r="AG265" s="20"/>
      <c r="AH265" s="20" t="str">
        <f>IF(AH262=AH263=AH264,"PROBLEM","")</f>
        <v/>
      </c>
      <c r="AI265" s="20"/>
      <c r="AJ265" s="20"/>
      <c r="AK265" s="20"/>
      <c r="AL265" s="20"/>
      <c r="AM265" s="20"/>
      <c r="AN265" s="20"/>
      <c r="AO265" s="20"/>
      <c r="AP265" s="20" t="str">
        <f>IF(AP262=AP263=AP264,"PROBLEM","")</f>
        <v/>
      </c>
      <c r="AQ265" s="20"/>
      <c r="AR265" s="20" t="str">
        <f>IF(AR262=AR263=AR264,"PROBLEM","")</f>
        <v/>
      </c>
      <c r="AS265" s="20"/>
      <c r="AT265" s="20"/>
      <c r="AU265" s="20"/>
      <c r="AV265" s="20"/>
      <c r="AW265" s="20"/>
      <c r="AX265" s="20"/>
      <c r="AY265" s="20"/>
      <c r="AZ265" s="21" t="str">
        <f>IF(AZ262=AZ263=AZ264,"PROBLEM","")</f>
        <v/>
      </c>
    </row>
    <row r="266" spans="1:53" ht="12.75" hidden="1" thickTop="1" x14ac:dyDescent="0.2">
      <c r="C266" s="16"/>
      <c r="D266" s="12"/>
      <c r="E266" s="12"/>
      <c r="F266" s="12"/>
      <c r="G266" s="12"/>
      <c r="H266" s="12"/>
      <c r="AI266" s="291"/>
    </row>
    <row r="267" spans="1:53" s="24" customFormat="1" ht="12.75" hidden="1" thickTop="1" x14ac:dyDescent="0.2">
      <c r="C267" s="22"/>
      <c r="D267" s="23"/>
      <c r="E267" s="23" t="s">
        <v>600</v>
      </c>
      <c r="F267" s="23"/>
      <c r="G267" s="23"/>
      <c r="H267" s="23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31"/>
      <c r="AU267" s="25"/>
      <c r="AV267" s="25"/>
      <c r="AW267" s="25"/>
      <c r="AX267" s="25"/>
      <c r="AY267" s="25"/>
      <c r="AZ267" s="25"/>
      <c r="BA267" s="25"/>
    </row>
    <row r="268" spans="1:53" ht="12.75" thickTop="1" x14ac:dyDescent="0.2">
      <c r="C268" s="16"/>
      <c r="D268" s="12"/>
      <c r="E268" s="12"/>
      <c r="F268" s="12"/>
      <c r="G268" s="12"/>
      <c r="H268" s="12"/>
      <c r="AI268" s="291"/>
      <c r="AR268" s="231"/>
      <c r="AS268" s="231"/>
      <c r="AT268" s="231"/>
      <c r="AU268" s="231"/>
      <c r="AV268" s="231"/>
      <c r="AW268" s="231"/>
      <c r="AX268" s="231"/>
      <c r="AY268" s="231"/>
    </row>
    <row r="269" spans="1:53" hidden="1" outlineLevel="1" x14ac:dyDescent="0.2">
      <c r="C269" s="16"/>
      <c r="D269" s="12"/>
      <c r="E269" s="12"/>
      <c r="F269" s="12"/>
      <c r="G269" s="12"/>
      <c r="H269" s="290"/>
      <c r="I269" s="324"/>
      <c r="AI269" s="291"/>
      <c r="AR269" s="231"/>
    </row>
    <row r="270" spans="1:53" hidden="1" outlineLevel="1" x14ac:dyDescent="0.2">
      <c r="C270" s="16"/>
      <c r="D270" s="12"/>
      <c r="E270" s="448" t="s">
        <v>600</v>
      </c>
      <c r="F270" s="450">
        <f>Ienemumi!I185-Izdevumi!G262</f>
        <v>0</v>
      </c>
      <c r="G270" s="12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1:53" hidden="1" outlineLevel="1" x14ac:dyDescent="0.2">
      <c r="C271" s="16"/>
      <c r="D271" s="12"/>
      <c r="E271" s="17" t="s">
        <v>25</v>
      </c>
      <c r="F271" s="290">
        <f t="shared" ref="F271:AY271" si="100">SUM(F14:F20,F28:F33,F36:F60,F63:F74,F77:F88,F91:F97,F100:F136,F139:F220,F224:F228,F231:F257,F260)</f>
        <v>109347454.3208452</v>
      </c>
      <c r="G271" s="18">
        <f>SUM(G14:G20,G28:G33,G36:G60,G63:G74,G77:G88,G91:G97,G100:G136,G139:G220,G224:G228,G231:G257,G260)</f>
        <v>111609892</v>
      </c>
      <c r="H271" s="290">
        <f t="shared" si="100"/>
        <v>93786876.370000005</v>
      </c>
      <c r="I271" s="18">
        <f t="shared" si="100"/>
        <v>95100863</v>
      </c>
      <c r="J271" s="290">
        <f t="shared" si="100"/>
        <v>1313986</v>
      </c>
      <c r="K271" s="290">
        <f t="shared" si="100"/>
        <v>0</v>
      </c>
      <c r="L271" s="290">
        <f t="shared" si="100"/>
        <v>0</v>
      </c>
      <c r="M271" s="290">
        <f t="shared" si="100"/>
        <v>7491</v>
      </c>
      <c r="N271" s="290">
        <f t="shared" si="100"/>
        <v>1084388</v>
      </c>
      <c r="O271" s="290">
        <f t="shared" si="100"/>
        <v>0</v>
      </c>
      <c r="P271" s="290">
        <f t="shared" si="100"/>
        <v>181439</v>
      </c>
      <c r="Q271" s="290">
        <f t="shared" si="100"/>
        <v>4000</v>
      </c>
      <c r="R271" s="290">
        <f t="shared" si="100"/>
        <v>36668</v>
      </c>
      <c r="S271" s="290"/>
      <c r="T271" s="290">
        <f t="shared" si="100"/>
        <v>0</v>
      </c>
      <c r="U271" s="290">
        <f t="shared" si="100"/>
        <v>0</v>
      </c>
      <c r="V271" s="290">
        <f t="shared" si="100"/>
        <v>0</v>
      </c>
      <c r="W271" s="290">
        <f t="shared" si="100"/>
        <v>0</v>
      </c>
      <c r="X271" s="290">
        <f t="shared" si="100"/>
        <v>9034995</v>
      </c>
      <c r="Y271" s="18">
        <f t="shared" si="100"/>
        <v>9536438</v>
      </c>
      <c r="Z271" s="290">
        <f t="shared" si="100"/>
        <v>501443</v>
      </c>
      <c r="AA271" s="290">
        <f t="shared" si="100"/>
        <v>501443</v>
      </c>
      <c r="AB271" s="290">
        <f t="shared" si="100"/>
        <v>0</v>
      </c>
      <c r="AC271" s="290">
        <f t="shared" si="100"/>
        <v>0</v>
      </c>
      <c r="AD271" s="290">
        <f t="shared" si="100"/>
        <v>0</v>
      </c>
      <c r="AE271" s="290">
        <f t="shared" si="100"/>
        <v>0</v>
      </c>
      <c r="AF271" s="290">
        <f t="shared" si="100"/>
        <v>0</v>
      </c>
      <c r="AG271" s="290">
        <f t="shared" si="100"/>
        <v>1776166</v>
      </c>
      <c r="AH271" s="18">
        <f t="shared" si="100"/>
        <v>2014933</v>
      </c>
      <c r="AI271" s="290">
        <f t="shared" si="100"/>
        <v>238767</v>
      </c>
      <c r="AJ271" s="290">
        <f t="shared" si="100"/>
        <v>35324</v>
      </c>
      <c r="AK271" s="290">
        <f t="shared" si="100"/>
        <v>104959</v>
      </c>
      <c r="AL271" s="290">
        <f t="shared" si="100"/>
        <v>65860</v>
      </c>
      <c r="AM271" s="290">
        <f t="shared" si="100"/>
        <v>32624</v>
      </c>
      <c r="AN271" s="290">
        <f t="shared" si="100"/>
        <v>0</v>
      </c>
      <c r="AO271" s="290">
        <f t="shared" si="100"/>
        <v>0</v>
      </c>
      <c r="AP271" s="18">
        <f t="shared" si="100"/>
        <v>4926798</v>
      </c>
      <c r="AQ271" s="290">
        <f t="shared" si="100"/>
        <v>26666</v>
      </c>
      <c r="AR271" s="18">
        <f t="shared" si="100"/>
        <v>30860</v>
      </c>
      <c r="AS271" s="290">
        <f t="shared" si="100"/>
        <v>4194</v>
      </c>
      <c r="AT271" s="290">
        <f t="shared" si="100"/>
        <v>4403</v>
      </c>
      <c r="AU271" s="290">
        <f t="shared" si="100"/>
        <v>-209</v>
      </c>
      <c r="AV271" s="290">
        <f t="shared" si="100"/>
        <v>0</v>
      </c>
      <c r="AW271" s="290">
        <f t="shared" si="100"/>
        <v>0</v>
      </c>
      <c r="AX271" s="290">
        <f t="shared" si="100"/>
        <v>0</v>
      </c>
      <c r="AY271" s="290">
        <f t="shared" si="100"/>
        <v>0</v>
      </c>
    </row>
    <row r="272" spans="1:53" hidden="1" outlineLevel="1" x14ac:dyDescent="0.2">
      <c r="C272" s="16"/>
      <c r="D272" s="12"/>
      <c r="E272" s="17" t="s">
        <v>26</v>
      </c>
      <c r="F272" s="290">
        <f t="shared" ref="F272:AY272" si="101">SUM(F13,F27,F35,F62,F76,F90,F99,F138,F230,F259)</f>
        <v>109347454.3208452</v>
      </c>
      <c r="G272" s="18">
        <f>SUM(G13,G27,G35,G62,G76,G90,G99,G138,G230,G259)</f>
        <v>111609892</v>
      </c>
      <c r="H272" s="290">
        <f t="shared" si="101"/>
        <v>93786876.370000005</v>
      </c>
      <c r="I272" s="18">
        <f t="shared" si="101"/>
        <v>95100863</v>
      </c>
      <c r="J272" s="290">
        <f t="shared" si="101"/>
        <v>1313986</v>
      </c>
      <c r="K272" s="290">
        <f t="shared" si="101"/>
        <v>0</v>
      </c>
      <c r="L272" s="290">
        <f t="shared" si="101"/>
        <v>0</v>
      </c>
      <c r="M272" s="290">
        <f t="shared" si="101"/>
        <v>7491</v>
      </c>
      <c r="N272" s="290">
        <f t="shared" si="101"/>
        <v>1084388</v>
      </c>
      <c r="O272" s="290">
        <f t="shared" si="101"/>
        <v>0</v>
      </c>
      <c r="P272" s="290">
        <f t="shared" si="101"/>
        <v>181439</v>
      </c>
      <c r="Q272" s="290">
        <f t="shared" si="101"/>
        <v>4000</v>
      </c>
      <c r="R272" s="290">
        <f t="shared" si="101"/>
        <v>36668</v>
      </c>
      <c r="S272" s="290"/>
      <c r="T272" s="290">
        <f t="shared" si="101"/>
        <v>0</v>
      </c>
      <c r="U272" s="290">
        <f t="shared" si="101"/>
        <v>0</v>
      </c>
      <c r="V272" s="290">
        <f t="shared" si="101"/>
        <v>0</v>
      </c>
      <c r="W272" s="290">
        <f t="shared" si="101"/>
        <v>0</v>
      </c>
      <c r="X272" s="290">
        <f t="shared" si="101"/>
        <v>9034995</v>
      </c>
      <c r="Y272" s="18">
        <f t="shared" si="101"/>
        <v>9536438</v>
      </c>
      <c r="Z272" s="290">
        <f t="shared" si="101"/>
        <v>501443</v>
      </c>
      <c r="AA272" s="290">
        <f t="shared" si="101"/>
        <v>501443</v>
      </c>
      <c r="AB272" s="290">
        <f t="shared" si="101"/>
        <v>0</v>
      </c>
      <c r="AC272" s="290">
        <f t="shared" si="101"/>
        <v>0</v>
      </c>
      <c r="AD272" s="290">
        <f t="shared" si="101"/>
        <v>0</v>
      </c>
      <c r="AE272" s="290">
        <f t="shared" si="101"/>
        <v>0</v>
      </c>
      <c r="AF272" s="290">
        <f t="shared" si="101"/>
        <v>0</v>
      </c>
      <c r="AG272" s="290">
        <f t="shared" si="101"/>
        <v>1776166</v>
      </c>
      <c r="AH272" s="18">
        <f t="shared" si="101"/>
        <v>2014933</v>
      </c>
      <c r="AI272" s="290">
        <f t="shared" si="101"/>
        <v>238767</v>
      </c>
      <c r="AJ272" s="290">
        <f t="shared" si="101"/>
        <v>35324</v>
      </c>
      <c r="AK272" s="290">
        <f t="shared" si="101"/>
        <v>104959</v>
      </c>
      <c r="AL272" s="290">
        <f t="shared" si="101"/>
        <v>65860</v>
      </c>
      <c r="AM272" s="290">
        <f t="shared" si="101"/>
        <v>32624</v>
      </c>
      <c r="AN272" s="290">
        <f t="shared" si="101"/>
        <v>0</v>
      </c>
      <c r="AO272" s="290">
        <f t="shared" si="101"/>
        <v>0</v>
      </c>
      <c r="AP272" s="18">
        <f t="shared" si="101"/>
        <v>4926798</v>
      </c>
      <c r="AQ272" s="290">
        <f t="shared" si="101"/>
        <v>26666</v>
      </c>
      <c r="AR272" s="18">
        <f t="shared" si="101"/>
        <v>30860</v>
      </c>
      <c r="AS272" s="290">
        <f t="shared" si="101"/>
        <v>4194</v>
      </c>
      <c r="AT272" s="290">
        <f t="shared" si="101"/>
        <v>4403</v>
      </c>
      <c r="AU272" s="290">
        <f t="shared" si="101"/>
        <v>-209</v>
      </c>
      <c r="AV272" s="290">
        <f t="shared" si="101"/>
        <v>0</v>
      </c>
      <c r="AW272" s="290">
        <f t="shared" si="101"/>
        <v>0</v>
      </c>
      <c r="AX272" s="290">
        <f t="shared" si="101"/>
        <v>0</v>
      </c>
      <c r="AY272" s="290">
        <f t="shared" si="101"/>
        <v>0</v>
      </c>
    </row>
    <row r="273" spans="3:51" hidden="1" outlineLevel="1" x14ac:dyDescent="0.2">
      <c r="C273" s="16"/>
      <c r="D273" s="12"/>
      <c r="E273" s="17" t="s">
        <v>27</v>
      </c>
      <c r="F273" s="449" t="str">
        <f>IF(F262=F271=F272,"PROBLEM","")</f>
        <v/>
      </c>
      <c r="G273" s="449" t="str">
        <f t="shared" ref="G273:AY273" si="102">IF(G262=G271=G272,"PROBLEM","")</f>
        <v/>
      </c>
      <c r="H273" s="449" t="str">
        <f t="shared" si="102"/>
        <v/>
      </c>
      <c r="I273" s="449" t="str">
        <f t="shared" si="102"/>
        <v/>
      </c>
      <c r="J273" s="449" t="str">
        <f t="shared" si="102"/>
        <v/>
      </c>
      <c r="K273" s="449" t="str">
        <f t="shared" si="102"/>
        <v/>
      </c>
      <c r="L273" s="449" t="str">
        <f t="shared" si="102"/>
        <v/>
      </c>
      <c r="M273" s="449" t="str">
        <f t="shared" si="102"/>
        <v/>
      </c>
      <c r="N273" s="449" t="str">
        <f t="shared" si="102"/>
        <v/>
      </c>
      <c r="O273" s="449" t="str">
        <f t="shared" si="102"/>
        <v/>
      </c>
      <c r="P273" s="449" t="str">
        <f t="shared" si="102"/>
        <v/>
      </c>
      <c r="Q273" s="449" t="str">
        <f t="shared" si="102"/>
        <v/>
      </c>
      <c r="R273" s="449" t="str">
        <f t="shared" si="102"/>
        <v/>
      </c>
      <c r="S273" s="449"/>
      <c r="T273" s="449" t="str">
        <f>IF(T262=T271=T272,"PROBLEM","")</f>
        <v/>
      </c>
      <c r="U273" s="449" t="str">
        <f>IF(U262=U271=U272,"PROBLEM","")</f>
        <v/>
      </c>
      <c r="V273" s="449" t="str">
        <f>IF(V262=V271=V272,"PROBLEM","")</f>
        <v/>
      </c>
      <c r="W273" s="449" t="str">
        <f t="shared" si="102"/>
        <v/>
      </c>
      <c r="X273" s="449" t="str">
        <f t="shared" si="102"/>
        <v/>
      </c>
      <c r="Y273" s="449" t="str">
        <f t="shared" si="102"/>
        <v/>
      </c>
      <c r="Z273" s="449" t="str">
        <f t="shared" si="102"/>
        <v/>
      </c>
      <c r="AA273" s="449" t="str">
        <f t="shared" si="102"/>
        <v/>
      </c>
      <c r="AB273" s="449" t="str">
        <f t="shared" si="102"/>
        <v/>
      </c>
      <c r="AC273" s="449" t="str">
        <f t="shared" si="102"/>
        <v/>
      </c>
      <c r="AD273" s="449" t="str">
        <f t="shared" si="102"/>
        <v/>
      </c>
      <c r="AE273" s="449" t="str">
        <f t="shared" si="102"/>
        <v/>
      </c>
      <c r="AF273" s="449" t="str">
        <f t="shared" si="102"/>
        <v/>
      </c>
      <c r="AG273" s="449" t="str">
        <f t="shared" si="102"/>
        <v/>
      </c>
      <c r="AH273" s="449" t="str">
        <f t="shared" si="102"/>
        <v/>
      </c>
      <c r="AI273" s="449" t="str">
        <f t="shared" si="102"/>
        <v/>
      </c>
      <c r="AJ273" s="449" t="str">
        <f t="shared" si="102"/>
        <v/>
      </c>
      <c r="AK273" s="449" t="str">
        <f t="shared" si="102"/>
        <v/>
      </c>
      <c r="AL273" s="449" t="str">
        <f t="shared" si="102"/>
        <v/>
      </c>
      <c r="AM273" s="449" t="str">
        <f t="shared" si="102"/>
        <v/>
      </c>
      <c r="AN273" s="449" t="str">
        <f t="shared" si="102"/>
        <v/>
      </c>
      <c r="AO273" s="449" t="str">
        <f t="shared" si="102"/>
        <v/>
      </c>
      <c r="AP273" s="449" t="str">
        <f t="shared" si="102"/>
        <v/>
      </c>
      <c r="AQ273" s="449" t="str">
        <f t="shared" si="102"/>
        <v/>
      </c>
      <c r="AR273" s="449" t="str">
        <f t="shared" si="102"/>
        <v/>
      </c>
      <c r="AS273" s="449" t="str">
        <f t="shared" si="102"/>
        <v/>
      </c>
      <c r="AT273" s="449" t="str">
        <f t="shared" si="102"/>
        <v/>
      </c>
      <c r="AU273" s="449" t="str">
        <f t="shared" si="102"/>
        <v/>
      </c>
      <c r="AV273" s="449" t="str">
        <f t="shared" si="102"/>
        <v/>
      </c>
      <c r="AW273" s="449" t="str">
        <f t="shared" si="102"/>
        <v/>
      </c>
      <c r="AX273" s="449" t="str">
        <f t="shared" si="102"/>
        <v/>
      </c>
      <c r="AY273" s="449" t="str">
        <f t="shared" si="102"/>
        <v/>
      </c>
    </row>
    <row r="274" spans="3:51" collapsed="1" x14ac:dyDescent="0.2">
      <c r="C274" s="16"/>
      <c r="D274" s="12"/>
      <c r="E274" s="12"/>
      <c r="F274" s="12"/>
      <c r="G274" s="12"/>
      <c r="H274" s="12"/>
      <c r="AI274" s="291"/>
    </row>
    <row r="275" spans="3:51" x14ac:dyDescent="0.2">
      <c r="C275" s="16"/>
      <c r="D275" s="12"/>
      <c r="E275" s="12"/>
      <c r="F275" s="12"/>
      <c r="G275" s="290"/>
      <c r="H275" s="12"/>
      <c r="AI275" s="291"/>
    </row>
    <row r="276" spans="3:51" x14ac:dyDescent="0.2">
      <c r="C276" s="16"/>
      <c r="D276" s="12"/>
      <c r="E276" s="12"/>
      <c r="F276" s="12"/>
      <c r="G276" s="12"/>
      <c r="H276" s="12"/>
      <c r="AI276" s="291"/>
    </row>
    <row r="277" spans="3:51" x14ac:dyDescent="0.2">
      <c r="C277" s="16"/>
      <c r="D277" s="12"/>
      <c r="E277" s="12"/>
      <c r="F277" s="12"/>
      <c r="G277" s="12"/>
      <c r="H277" s="12"/>
      <c r="AI277" s="291"/>
    </row>
    <row r="278" spans="3:51" x14ac:dyDescent="0.2">
      <c r="C278" s="16"/>
      <c r="D278" s="12"/>
      <c r="E278" s="12"/>
      <c r="F278" s="12"/>
      <c r="G278" s="12"/>
      <c r="H278" s="12"/>
      <c r="AI278" s="291"/>
    </row>
    <row r="279" spans="3:51" x14ac:dyDescent="0.2">
      <c r="C279" s="16"/>
      <c r="D279" s="12"/>
      <c r="E279" s="12"/>
      <c r="F279" s="12"/>
      <c r="G279" s="12"/>
      <c r="H279" s="12"/>
      <c r="AI279" s="291"/>
    </row>
    <row r="280" spans="3:51" x14ac:dyDescent="0.2">
      <c r="C280" s="16"/>
      <c r="D280" s="12"/>
      <c r="E280" s="12"/>
      <c r="F280" s="12"/>
      <c r="G280" s="12"/>
      <c r="H280" s="12"/>
      <c r="AI280" s="291"/>
    </row>
    <row r="281" spans="3:51" x14ac:dyDescent="0.2">
      <c r="C281" s="16"/>
      <c r="D281" s="12"/>
      <c r="E281" s="12"/>
      <c r="F281" s="12"/>
      <c r="G281" s="12"/>
      <c r="H281" s="12"/>
      <c r="AI281" s="291"/>
    </row>
    <row r="282" spans="3:51" x14ac:dyDescent="0.2">
      <c r="C282" s="16"/>
      <c r="D282" s="12"/>
      <c r="E282" s="12"/>
      <c r="F282" s="12"/>
      <c r="G282" s="12"/>
      <c r="H282" s="12"/>
      <c r="AI282" s="291"/>
    </row>
    <row r="283" spans="3:51" x14ac:dyDescent="0.2">
      <c r="C283" s="16"/>
      <c r="D283" s="12"/>
      <c r="E283" s="12"/>
      <c r="F283" s="12"/>
      <c r="G283" s="12"/>
      <c r="H283" s="12"/>
      <c r="AI283" s="291"/>
    </row>
    <row r="284" spans="3:51" x14ac:dyDescent="0.2">
      <c r="C284" s="16"/>
      <c r="D284" s="12"/>
      <c r="E284" s="12"/>
      <c r="F284" s="12"/>
      <c r="G284" s="12"/>
      <c r="H284" s="12"/>
      <c r="AI284" s="291"/>
    </row>
    <row r="285" spans="3:51" x14ac:dyDescent="0.2">
      <c r="C285" s="16"/>
      <c r="D285" s="12"/>
      <c r="E285" s="12"/>
      <c r="F285" s="12"/>
      <c r="G285" s="12"/>
      <c r="H285" s="12"/>
      <c r="AI285" s="291"/>
    </row>
    <row r="286" spans="3:51" x14ac:dyDescent="0.2">
      <c r="C286" s="16"/>
      <c r="D286" s="12"/>
      <c r="E286" s="12"/>
      <c r="F286" s="12"/>
      <c r="G286" s="12"/>
      <c r="H286" s="12"/>
      <c r="AI286" s="291"/>
    </row>
    <row r="287" spans="3:51" x14ac:dyDescent="0.2">
      <c r="C287" s="16"/>
      <c r="D287" s="12"/>
      <c r="E287" s="12"/>
      <c r="F287" s="12"/>
      <c r="G287" s="12"/>
      <c r="H287" s="12"/>
      <c r="AI287" s="291"/>
    </row>
    <row r="288" spans="3:51" x14ac:dyDescent="0.2">
      <c r="C288" s="16"/>
      <c r="D288" s="12"/>
      <c r="E288" s="12"/>
      <c r="F288" s="12"/>
      <c r="G288" s="12"/>
      <c r="H288" s="12"/>
      <c r="AI288" s="291"/>
    </row>
    <row r="289" spans="3:35" x14ac:dyDescent="0.2">
      <c r="C289" s="16"/>
      <c r="D289" s="12"/>
      <c r="E289" s="12"/>
      <c r="F289" s="12"/>
      <c r="G289" s="12"/>
      <c r="H289" s="12"/>
      <c r="AI289" s="291"/>
    </row>
    <row r="290" spans="3:35" x14ac:dyDescent="0.2">
      <c r="C290" s="16"/>
      <c r="D290" s="12"/>
      <c r="E290" s="12"/>
      <c r="F290" s="12"/>
      <c r="G290" s="12"/>
      <c r="H290" s="12"/>
      <c r="AI290" s="291"/>
    </row>
    <row r="291" spans="3:35" x14ac:dyDescent="0.2">
      <c r="C291" s="16"/>
      <c r="D291" s="12"/>
      <c r="E291" s="12"/>
      <c r="F291" s="12"/>
      <c r="G291" s="12"/>
      <c r="H291" s="12"/>
      <c r="AI291" s="291"/>
    </row>
    <row r="292" spans="3:35" x14ac:dyDescent="0.2">
      <c r="C292" s="16"/>
      <c r="D292" s="12"/>
      <c r="E292" s="12"/>
      <c r="F292" s="12"/>
      <c r="G292" s="12"/>
      <c r="H292" s="12"/>
      <c r="AI292" s="291"/>
    </row>
    <row r="293" spans="3:35" x14ac:dyDescent="0.2">
      <c r="C293" s="16"/>
      <c r="D293" s="12"/>
      <c r="E293" s="12"/>
      <c r="F293" s="12"/>
      <c r="G293" s="12"/>
      <c r="H293" s="12"/>
      <c r="AI293" s="291"/>
    </row>
    <row r="294" spans="3:35" x14ac:dyDescent="0.2">
      <c r="C294" s="16"/>
      <c r="D294" s="12"/>
      <c r="E294" s="12"/>
      <c r="F294" s="12"/>
      <c r="G294" s="12"/>
      <c r="H294" s="12"/>
      <c r="AI294" s="291"/>
    </row>
    <row r="295" spans="3:35" x14ac:dyDescent="0.2">
      <c r="C295" s="16"/>
      <c r="D295" s="12"/>
      <c r="E295" s="12"/>
      <c r="F295" s="12"/>
      <c r="G295" s="12"/>
      <c r="H295" s="12"/>
      <c r="AI295" s="291"/>
    </row>
    <row r="296" spans="3:35" x14ac:dyDescent="0.2">
      <c r="C296" s="16"/>
      <c r="D296" s="12"/>
      <c r="E296" s="12"/>
      <c r="F296" s="12"/>
      <c r="G296" s="12"/>
      <c r="H296" s="12"/>
      <c r="AI296" s="291"/>
    </row>
    <row r="297" spans="3:35" x14ac:dyDescent="0.2">
      <c r="C297" s="16"/>
      <c r="D297" s="12"/>
      <c r="E297" s="12"/>
      <c r="F297" s="12"/>
      <c r="G297" s="12"/>
      <c r="H297" s="12"/>
      <c r="AI297" s="291"/>
    </row>
    <row r="298" spans="3:35" x14ac:dyDescent="0.2">
      <c r="C298" s="16"/>
      <c r="D298" s="12"/>
      <c r="E298" s="12"/>
      <c r="F298" s="12"/>
      <c r="G298" s="12"/>
      <c r="H298" s="12"/>
      <c r="AI298" s="291"/>
    </row>
    <row r="299" spans="3:35" x14ac:dyDescent="0.2">
      <c r="C299" s="16"/>
      <c r="D299" s="12"/>
      <c r="E299" s="12"/>
      <c r="F299" s="12"/>
      <c r="G299" s="12"/>
      <c r="H299" s="12"/>
      <c r="AI299" s="291"/>
    </row>
    <row r="300" spans="3:35" x14ac:dyDescent="0.2">
      <c r="C300" s="16"/>
      <c r="D300" s="12"/>
      <c r="E300" s="12"/>
      <c r="F300" s="12"/>
      <c r="G300" s="12"/>
      <c r="H300" s="12"/>
      <c r="AI300" s="291"/>
    </row>
    <row r="301" spans="3:35" x14ac:dyDescent="0.2">
      <c r="C301" s="16"/>
      <c r="D301" s="12"/>
      <c r="E301" s="12"/>
      <c r="F301" s="12"/>
      <c r="G301" s="12"/>
      <c r="H301" s="12"/>
      <c r="AI301" s="291"/>
    </row>
    <row r="302" spans="3:35" x14ac:dyDescent="0.2">
      <c r="C302" s="16"/>
      <c r="D302" s="12"/>
      <c r="E302" s="12"/>
      <c r="F302" s="12"/>
      <c r="G302" s="12"/>
      <c r="H302" s="12"/>
      <c r="AI302" s="291"/>
    </row>
    <row r="303" spans="3:35" x14ac:dyDescent="0.2">
      <c r="C303" s="16"/>
      <c r="D303" s="12"/>
      <c r="E303" s="12"/>
      <c r="F303" s="12"/>
      <c r="G303" s="12"/>
      <c r="H303" s="12"/>
      <c r="AI303" s="291"/>
    </row>
    <row r="304" spans="3:35" x14ac:dyDescent="0.2">
      <c r="C304" s="16"/>
      <c r="D304" s="12"/>
      <c r="E304" s="12"/>
      <c r="F304" s="12"/>
      <c r="G304" s="12"/>
      <c r="H304" s="12"/>
      <c r="AI304" s="291"/>
    </row>
    <row r="305" spans="3:35" x14ac:dyDescent="0.2">
      <c r="C305" s="16"/>
      <c r="D305" s="12"/>
      <c r="E305" s="12"/>
      <c r="F305" s="12"/>
      <c r="G305" s="12"/>
      <c r="H305" s="12"/>
      <c r="AI305" s="291"/>
    </row>
    <row r="306" spans="3:35" x14ac:dyDescent="0.2">
      <c r="C306" s="16"/>
      <c r="D306" s="12"/>
      <c r="E306" s="12"/>
      <c r="F306" s="12"/>
      <c r="G306" s="12"/>
      <c r="H306" s="12"/>
      <c r="AI306" s="291"/>
    </row>
    <row r="307" spans="3:35" x14ac:dyDescent="0.2">
      <c r="C307" s="16"/>
      <c r="D307" s="12"/>
      <c r="E307" s="12"/>
      <c r="F307" s="12"/>
      <c r="G307" s="12"/>
      <c r="H307" s="12"/>
      <c r="AI307" s="291"/>
    </row>
    <row r="308" spans="3:35" x14ac:dyDescent="0.2">
      <c r="C308" s="16"/>
      <c r="D308" s="12"/>
      <c r="E308" s="12"/>
      <c r="F308" s="12"/>
      <c r="G308" s="12"/>
      <c r="H308" s="12"/>
      <c r="AI308" s="291"/>
    </row>
    <row r="309" spans="3:35" x14ac:dyDescent="0.2">
      <c r="C309" s="16"/>
      <c r="D309" s="12"/>
      <c r="E309" s="12"/>
      <c r="F309" s="12"/>
      <c r="G309" s="12"/>
      <c r="H309" s="12"/>
      <c r="AI309" s="291"/>
    </row>
    <row r="310" spans="3:35" x14ac:dyDescent="0.2">
      <c r="C310" s="16"/>
      <c r="D310" s="12"/>
      <c r="E310" s="12"/>
      <c r="F310" s="12"/>
      <c r="G310" s="12"/>
      <c r="H310" s="12"/>
      <c r="AI310" s="291"/>
    </row>
    <row r="311" spans="3:35" x14ac:dyDescent="0.2">
      <c r="C311" s="16"/>
      <c r="D311" s="12"/>
      <c r="E311" s="12"/>
      <c r="F311" s="12"/>
      <c r="G311" s="12"/>
      <c r="H311" s="12"/>
      <c r="AI311" s="291"/>
    </row>
    <row r="312" spans="3:35" x14ac:dyDescent="0.2">
      <c r="C312" s="16"/>
      <c r="D312" s="12"/>
      <c r="E312" s="12"/>
      <c r="F312" s="12"/>
      <c r="G312" s="12"/>
      <c r="H312" s="12"/>
      <c r="AI312" s="291"/>
    </row>
    <row r="313" spans="3:35" x14ac:dyDescent="0.2">
      <c r="C313" s="16"/>
      <c r="D313" s="12"/>
      <c r="E313" s="12"/>
      <c r="F313" s="12"/>
      <c r="G313" s="12"/>
      <c r="H313" s="12"/>
      <c r="AI313" s="291"/>
    </row>
    <row r="314" spans="3:35" x14ac:dyDescent="0.2">
      <c r="C314" s="16"/>
      <c r="D314" s="12"/>
      <c r="E314" s="12"/>
      <c r="F314" s="12"/>
      <c r="G314" s="12"/>
      <c r="H314" s="12"/>
      <c r="AI314" s="291"/>
    </row>
    <row r="315" spans="3:35" x14ac:dyDescent="0.2">
      <c r="C315" s="16"/>
      <c r="D315" s="12"/>
      <c r="E315" s="12"/>
      <c r="F315" s="12"/>
      <c r="G315" s="12"/>
      <c r="H315" s="12"/>
      <c r="AI315" s="291"/>
    </row>
    <row r="316" spans="3:35" x14ac:dyDescent="0.2">
      <c r="C316" s="16"/>
      <c r="D316" s="12"/>
      <c r="E316" s="12"/>
      <c r="F316" s="12"/>
      <c r="G316" s="12"/>
      <c r="H316" s="12"/>
      <c r="AI316" s="291"/>
    </row>
    <row r="317" spans="3:35" x14ac:dyDescent="0.2">
      <c r="C317" s="16"/>
      <c r="D317" s="12"/>
      <c r="E317" s="12"/>
      <c r="F317" s="12"/>
      <c r="G317" s="12"/>
      <c r="H317" s="12"/>
      <c r="AI317" s="291"/>
    </row>
    <row r="318" spans="3:35" x14ac:dyDescent="0.2">
      <c r="C318" s="16"/>
      <c r="D318" s="12"/>
      <c r="E318" s="12"/>
      <c r="F318" s="12"/>
      <c r="G318" s="12"/>
      <c r="H318" s="12"/>
      <c r="AI318" s="291"/>
    </row>
    <row r="319" spans="3:35" x14ac:dyDescent="0.2">
      <c r="C319" s="16"/>
      <c r="D319" s="12"/>
      <c r="E319" s="12"/>
      <c r="F319" s="12"/>
      <c r="G319" s="12"/>
      <c r="H319" s="12"/>
      <c r="AI319" s="291"/>
    </row>
    <row r="320" spans="3:35" x14ac:dyDescent="0.2">
      <c r="C320" s="16"/>
      <c r="D320" s="12"/>
      <c r="E320" s="12"/>
      <c r="F320" s="12"/>
      <c r="G320" s="12"/>
      <c r="H320" s="12"/>
      <c r="AI320" s="291"/>
    </row>
    <row r="321" spans="3:35" x14ac:dyDescent="0.2">
      <c r="C321" s="16"/>
      <c r="D321" s="12"/>
      <c r="E321" s="12"/>
      <c r="F321" s="12"/>
      <c r="G321" s="12"/>
      <c r="H321" s="12"/>
      <c r="AI321" s="291"/>
    </row>
    <row r="322" spans="3:35" x14ac:dyDescent="0.2">
      <c r="C322" s="16"/>
      <c r="D322" s="12"/>
      <c r="E322" s="12"/>
      <c r="F322" s="12"/>
      <c r="G322" s="12"/>
      <c r="H322" s="12"/>
      <c r="AI322" s="291"/>
    </row>
    <row r="323" spans="3:35" x14ac:dyDescent="0.2">
      <c r="C323" s="16"/>
      <c r="D323" s="12"/>
      <c r="E323" s="12"/>
      <c r="F323" s="12"/>
      <c r="G323" s="12"/>
      <c r="H323" s="12"/>
      <c r="AI323" s="291"/>
    </row>
    <row r="324" spans="3:35" x14ac:dyDescent="0.2">
      <c r="C324" s="16"/>
      <c r="D324" s="12"/>
      <c r="E324" s="12"/>
      <c r="F324" s="12"/>
      <c r="G324" s="12"/>
      <c r="H324" s="12"/>
      <c r="AI324" s="291"/>
    </row>
    <row r="325" spans="3:35" x14ac:dyDescent="0.2">
      <c r="C325" s="16"/>
      <c r="D325" s="12"/>
      <c r="E325" s="12"/>
      <c r="F325" s="12"/>
      <c r="G325" s="12"/>
      <c r="H325" s="12"/>
      <c r="AI325" s="291"/>
    </row>
    <row r="326" spans="3:35" x14ac:dyDescent="0.2">
      <c r="C326" s="16"/>
      <c r="D326" s="12"/>
      <c r="E326" s="12"/>
      <c r="F326" s="12"/>
      <c r="G326" s="12"/>
      <c r="H326" s="12"/>
      <c r="AI326" s="291"/>
    </row>
    <row r="327" spans="3:35" x14ac:dyDescent="0.2">
      <c r="C327" s="16"/>
      <c r="D327" s="12"/>
      <c r="E327" s="12"/>
      <c r="F327" s="12"/>
      <c r="G327" s="12"/>
      <c r="H327" s="12"/>
      <c r="AI327" s="291"/>
    </row>
    <row r="328" spans="3:35" x14ac:dyDescent="0.2">
      <c r="C328" s="16"/>
      <c r="D328" s="12"/>
      <c r="E328" s="12"/>
      <c r="F328" s="12"/>
      <c r="G328" s="12"/>
      <c r="H328" s="12"/>
      <c r="AI328" s="291"/>
    </row>
    <row r="329" spans="3:35" x14ac:dyDescent="0.2">
      <c r="C329" s="16"/>
      <c r="D329" s="12"/>
      <c r="E329" s="12"/>
      <c r="F329" s="12"/>
      <c r="G329" s="12"/>
      <c r="H329" s="12"/>
      <c r="AI329" s="291"/>
    </row>
    <row r="330" spans="3:35" x14ac:dyDescent="0.2">
      <c r="C330" s="16"/>
      <c r="D330" s="12"/>
      <c r="E330" s="12"/>
      <c r="F330" s="12"/>
      <c r="G330" s="12"/>
      <c r="H330" s="12"/>
      <c r="AI330" s="291"/>
    </row>
    <row r="331" spans="3:35" x14ac:dyDescent="0.2">
      <c r="C331" s="16"/>
      <c r="D331" s="12"/>
      <c r="E331" s="12"/>
      <c r="F331" s="12"/>
      <c r="G331" s="12"/>
      <c r="H331" s="12"/>
      <c r="AI331" s="291"/>
    </row>
    <row r="332" spans="3:35" x14ac:dyDescent="0.2">
      <c r="C332" s="16"/>
      <c r="D332" s="12"/>
      <c r="E332" s="12"/>
      <c r="F332" s="12"/>
      <c r="G332" s="12"/>
      <c r="H332" s="12"/>
      <c r="AI332" s="291"/>
    </row>
    <row r="333" spans="3:35" x14ac:dyDescent="0.2">
      <c r="C333" s="16"/>
      <c r="D333" s="12"/>
      <c r="E333" s="12"/>
      <c r="F333" s="12"/>
      <c r="G333" s="12"/>
      <c r="H333" s="12"/>
      <c r="AI333" s="291"/>
    </row>
    <row r="334" spans="3:35" x14ac:dyDescent="0.2">
      <c r="C334" s="16"/>
      <c r="D334" s="12"/>
      <c r="E334" s="12"/>
      <c r="F334" s="12"/>
      <c r="G334" s="12"/>
      <c r="H334" s="12"/>
      <c r="AI334" s="291"/>
    </row>
    <row r="335" spans="3:35" x14ac:dyDescent="0.2">
      <c r="C335" s="16"/>
      <c r="D335" s="12"/>
      <c r="E335" s="12"/>
      <c r="F335" s="12"/>
      <c r="G335" s="12"/>
      <c r="H335" s="12"/>
      <c r="AI335" s="291"/>
    </row>
    <row r="336" spans="3:35" x14ac:dyDescent="0.2">
      <c r="C336" s="16"/>
      <c r="D336" s="12"/>
      <c r="E336" s="12"/>
      <c r="F336" s="12"/>
      <c r="G336" s="12"/>
      <c r="H336" s="12"/>
      <c r="AI336" s="291"/>
    </row>
    <row r="337" spans="3:35" x14ac:dyDescent="0.2">
      <c r="C337" s="16"/>
      <c r="D337" s="12"/>
      <c r="E337" s="12"/>
      <c r="F337" s="12"/>
      <c r="G337" s="12"/>
      <c r="H337" s="12"/>
      <c r="AI337" s="291"/>
    </row>
    <row r="338" spans="3:35" x14ac:dyDescent="0.2">
      <c r="C338" s="16"/>
      <c r="D338" s="12"/>
      <c r="E338" s="12"/>
      <c r="F338" s="12"/>
      <c r="G338" s="12"/>
      <c r="H338" s="12"/>
      <c r="AI338" s="291"/>
    </row>
    <row r="339" spans="3:35" x14ac:dyDescent="0.2">
      <c r="C339" s="16"/>
      <c r="D339" s="12"/>
      <c r="E339" s="12"/>
      <c r="F339" s="12"/>
      <c r="G339" s="12"/>
      <c r="H339" s="12"/>
      <c r="AI339" s="291"/>
    </row>
    <row r="340" spans="3:35" x14ac:dyDescent="0.2">
      <c r="C340" s="16"/>
      <c r="D340" s="12"/>
      <c r="E340" s="12"/>
      <c r="F340" s="12"/>
      <c r="G340" s="12"/>
      <c r="H340" s="12"/>
      <c r="AI340" s="291"/>
    </row>
    <row r="341" spans="3:35" x14ac:dyDescent="0.2">
      <c r="C341" s="16"/>
      <c r="D341" s="12"/>
      <c r="E341" s="12"/>
      <c r="F341" s="12"/>
      <c r="G341" s="12"/>
      <c r="H341" s="12"/>
      <c r="AI341" s="291"/>
    </row>
    <row r="342" spans="3:35" x14ac:dyDescent="0.2">
      <c r="C342" s="16"/>
      <c r="D342" s="12"/>
      <c r="E342" s="12"/>
      <c r="F342" s="12"/>
      <c r="G342" s="12"/>
      <c r="H342" s="12"/>
      <c r="AI342" s="291"/>
    </row>
    <row r="343" spans="3:35" x14ac:dyDescent="0.2">
      <c r="C343" s="16"/>
      <c r="D343" s="12"/>
      <c r="E343" s="12"/>
      <c r="F343" s="12"/>
      <c r="G343" s="12"/>
      <c r="H343" s="12"/>
      <c r="AI343" s="291"/>
    </row>
    <row r="344" spans="3:35" x14ac:dyDescent="0.2">
      <c r="C344" s="16"/>
      <c r="D344" s="12"/>
      <c r="E344" s="12"/>
      <c r="F344" s="12"/>
      <c r="G344" s="12"/>
      <c r="H344" s="12"/>
      <c r="AI344" s="291"/>
    </row>
    <row r="345" spans="3:35" x14ac:dyDescent="0.2">
      <c r="C345" s="16"/>
      <c r="D345" s="12"/>
      <c r="E345" s="12"/>
      <c r="F345" s="12"/>
      <c r="G345" s="12"/>
      <c r="H345" s="12"/>
      <c r="AI345" s="291"/>
    </row>
    <row r="346" spans="3:35" x14ac:dyDescent="0.2">
      <c r="C346" s="16"/>
      <c r="D346" s="12"/>
      <c r="E346" s="12"/>
      <c r="F346" s="12"/>
      <c r="G346" s="12"/>
      <c r="H346" s="12"/>
      <c r="AI346" s="291"/>
    </row>
    <row r="347" spans="3:35" x14ac:dyDescent="0.2">
      <c r="C347" s="16"/>
      <c r="D347" s="12"/>
      <c r="E347" s="12"/>
      <c r="F347" s="12"/>
      <c r="G347" s="12"/>
      <c r="H347" s="12"/>
      <c r="AI347" s="291"/>
    </row>
    <row r="348" spans="3:35" x14ac:dyDescent="0.2">
      <c r="C348" s="16"/>
      <c r="D348" s="12"/>
      <c r="E348" s="12"/>
      <c r="F348" s="12"/>
      <c r="G348" s="12"/>
      <c r="H348" s="12"/>
      <c r="AI348" s="291"/>
    </row>
    <row r="349" spans="3:35" x14ac:dyDescent="0.2">
      <c r="C349" s="16"/>
      <c r="D349" s="12"/>
      <c r="E349" s="12"/>
      <c r="F349" s="12"/>
      <c r="G349" s="12"/>
      <c r="H349" s="12"/>
      <c r="AI349" s="291"/>
    </row>
    <row r="350" spans="3:35" x14ac:dyDescent="0.2">
      <c r="C350" s="16"/>
      <c r="D350" s="12"/>
      <c r="E350" s="12"/>
      <c r="F350" s="12"/>
      <c r="G350" s="12"/>
      <c r="H350" s="12"/>
      <c r="AI350" s="291"/>
    </row>
    <row r="351" spans="3:35" x14ac:dyDescent="0.2">
      <c r="C351" s="16"/>
      <c r="D351" s="12"/>
      <c r="E351" s="12"/>
      <c r="F351" s="12"/>
      <c r="G351" s="12"/>
      <c r="H351" s="12"/>
      <c r="AI351" s="291"/>
    </row>
    <row r="352" spans="3:35" x14ac:dyDescent="0.2">
      <c r="C352" s="16"/>
      <c r="D352" s="12"/>
      <c r="E352" s="12"/>
      <c r="F352" s="12"/>
      <c r="G352" s="12"/>
      <c r="H352" s="12"/>
      <c r="AI352" s="291"/>
    </row>
    <row r="353" spans="3:35" x14ac:dyDescent="0.2">
      <c r="C353" s="16"/>
      <c r="D353" s="12"/>
      <c r="E353" s="12"/>
      <c r="F353" s="12"/>
      <c r="G353" s="12"/>
      <c r="H353" s="12"/>
      <c r="AI353" s="291"/>
    </row>
    <row r="354" spans="3:35" x14ac:dyDescent="0.2">
      <c r="C354" s="16"/>
      <c r="D354" s="12"/>
      <c r="E354" s="12"/>
      <c r="F354" s="12"/>
      <c r="G354" s="12"/>
      <c r="H354" s="12"/>
      <c r="AI354" s="291"/>
    </row>
    <row r="355" spans="3:35" x14ac:dyDescent="0.2">
      <c r="C355" s="16"/>
      <c r="D355" s="12"/>
      <c r="E355" s="12"/>
      <c r="F355" s="12"/>
      <c r="G355" s="12"/>
      <c r="H355" s="12"/>
      <c r="AI355" s="291"/>
    </row>
    <row r="356" spans="3:35" x14ac:dyDescent="0.2">
      <c r="C356" s="16"/>
      <c r="D356" s="12"/>
      <c r="E356" s="12"/>
      <c r="F356" s="12"/>
      <c r="G356" s="12"/>
      <c r="H356" s="12"/>
      <c r="AI356" s="291"/>
    </row>
    <row r="357" spans="3:35" x14ac:dyDescent="0.2">
      <c r="C357" s="16"/>
      <c r="D357" s="12"/>
      <c r="E357" s="12"/>
      <c r="F357" s="12"/>
      <c r="G357" s="12"/>
      <c r="H357" s="12"/>
      <c r="AI357" s="291"/>
    </row>
    <row r="358" spans="3:35" x14ac:dyDescent="0.2">
      <c r="C358" s="16"/>
      <c r="D358" s="12"/>
      <c r="E358" s="12"/>
      <c r="F358" s="12"/>
      <c r="G358" s="12"/>
      <c r="H358" s="12"/>
      <c r="AI358" s="291"/>
    </row>
    <row r="359" spans="3:35" x14ac:dyDescent="0.2">
      <c r="C359" s="16"/>
      <c r="D359" s="12"/>
      <c r="E359" s="12"/>
      <c r="F359" s="12"/>
      <c r="G359" s="12"/>
      <c r="H359" s="12"/>
      <c r="AI359" s="291"/>
    </row>
    <row r="360" spans="3:35" x14ac:dyDescent="0.2">
      <c r="C360" s="16"/>
      <c r="D360" s="12"/>
      <c r="E360" s="12"/>
      <c r="F360" s="12"/>
      <c r="G360" s="12"/>
      <c r="H360" s="12"/>
      <c r="AI360" s="291"/>
    </row>
    <row r="361" spans="3:35" x14ac:dyDescent="0.2">
      <c r="C361" s="16"/>
      <c r="D361" s="12"/>
      <c r="E361" s="12"/>
      <c r="F361" s="12"/>
      <c r="G361" s="12"/>
      <c r="H361" s="12"/>
      <c r="AI361" s="291"/>
    </row>
    <row r="362" spans="3:35" x14ac:dyDescent="0.2">
      <c r="C362" s="16"/>
      <c r="D362" s="12"/>
      <c r="E362" s="12"/>
      <c r="F362" s="12"/>
      <c r="G362" s="12"/>
      <c r="H362" s="12"/>
      <c r="AI362" s="291"/>
    </row>
    <row r="363" spans="3:35" x14ac:dyDescent="0.2">
      <c r="C363" s="16"/>
      <c r="D363" s="12"/>
      <c r="E363" s="12"/>
      <c r="F363" s="12"/>
      <c r="G363" s="12"/>
      <c r="H363" s="12"/>
      <c r="AI363" s="291"/>
    </row>
    <row r="364" spans="3:35" x14ac:dyDescent="0.2">
      <c r="C364" s="16"/>
      <c r="D364" s="12"/>
      <c r="E364" s="12"/>
      <c r="F364" s="12"/>
      <c r="G364" s="12"/>
      <c r="H364" s="12"/>
    </row>
    <row r="365" spans="3:35" x14ac:dyDescent="0.2">
      <c r="C365" s="16"/>
      <c r="D365" s="12"/>
      <c r="E365" s="12"/>
      <c r="F365" s="12"/>
      <c r="G365" s="12"/>
      <c r="H365" s="12"/>
    </row>
    <row r="366" spans="3:35" x14ac:dyDescent="0.2">
      <c r="C366" s="16"/>
      <c r="D366" s="12"/>
      <c r="E366" s="12"/>
      <c r="F366" s="12"/>
      <c r="G366" s="12"/>
      <c r="H366" s="12"/>
    </row>
    <row r="367" spans="3:35" x14ac:dyDescent="0.2">
      <c r="C367" s="16"/>
      <c r="D367" s="12"/>
      <c r="E367" s="12"/>
      <c r="F367" s="12"/>
      <c r="G367" s="12"/>
      <c r="H367" s="12"/>
    </row>
    <row r="368" spans="3:35" x14ac:dyDescent="0.2">
      <c r="C368" s="16"/>
      <c r="D368" s="12"/>
      <c r="E368" s="12"/>
      <c r="F368" s="12"/>
      <c r="G368" s="12"/>
      <c r="H368" s="12"/>
    </row>
    <row r="369" spans="3:8" x14ac:dyDescent="0.2">
      <c r="C369" s="16"/>
      <c r="D369" s="12"/>
      <c r="E369" s="12"/>
      <c r="F369" s="12"/>
      <c r="G369" s="12"/>
      <c r="H369" s="12"/>
    </row>
    <row r="370" spans="3:8" x14ac:dyDescent="0.2">
      <c r="C370" s="16"/>
      <c r="D370" s="12"/>
      <c r="E370" s="12"/>
      <c r="F370" s="12"/>
      <c r="G370" s="12"/>
      <c r="H370" s="12"/>
    </row>
    <row r="371" spans="3:8" x14ac:dyDescent="0.2">
      <c r="C371" s="16"/>
      <c r="D371" s="12"/>
      <c r="E371" s="12"/>
      <c r="F371" s="12"/>
      <c r="G371" s="12"/>
      <c r="H371" s="12"/>
    </row>
    <row r="372" spans="3:8" x14ac:dyDescent="0.2">
      <c r="C372" s="16"/>
      <c r="D372" s="12"/>
      <c r="E372" s="12"/>
      <c r="F372" s="12"/>
      <c r="G372" s="12"/>
      <c r="H372" s="12"/>
    </row>
    <row r="373" spans="3:8" x14ac:dyDescent="0.2">
      <c r="C373" s="16"/>
      <c r="D373" s="12"/>
      <c r="E373" s="12"/>
      <c r="F373" s="12"/>
      <c r="G373" s="12"/>
      <c r="H373" s="12"/>
    </row>
    <row r="374" spans="3:8" x14ac:dyDescent="0.2">
      <c r="C374" s="16"/>
      <c r="D374" s="12"/>
      <c r="E374" s="12"/>
      <c r="F374" s="12"/>
      <c r="G374" s="12"/>
      <c r="H374" s="12"/>
    </row>
    <row r="375" spans="3:8" x14ac:dyDescent="0.2">
      <c r="C375" s="16"/>
      <c r="D375" s="12"/>
      <c r="E375" s="12"/>
      <c r="F375" s="12"/>
      <c r="G375" s="12"/>
      <c r="H375" s="12"/>
    </row>
    <row r="376" spans="3:8" x14ac:dyDescent="0.2">
      <c r="C376" s="16"/>
      <c r="D376" s="12"/>
      <c r="E376" s="12"/>
      <c r="F376" s="12"/>
      <c r="G376" s="12"/>
      <c r="H376" s="12"/>
    </row>
    <row r="377" spans="3:8" x14ac:dyDescent="0.2">
      <c r="C377" s="16"/>
      <c r="D377" s="12"/>
      <c r="E377" s="12"/>
      <c r="F377" s="12"/>
      <c r="G377" s="12"/>
      <c r="H377" s="12"/>
    </row>
    <row r="378" spans="3:8" x14ac:dyDescent="0.2">
      <c r="C378" s="16"/>
      <c r="D378" s="12"/>
      <c r="E378" s="12"/>
      <c r="F378" s="12"/>
      <c r="G378" s="12"/>
      <c r="H378" s="12"/>
    </row>
    <row r="379" spans="3:8" x14ac:dyDescent="0.2">
      <c r="C379" s="16"/>
      <c r="D379" s="12"/>
      <c r="E379" s="12"/>
      <c r="F379" s="12"/>
      <c r="G379" s="12"/>
      <c r="H379" s="12"/>
    </row>
    <row r="380" spans="3:8" x14ac:dyDescent="0.2">
      <c r="C380" s="16"/>
      <c r="D380" s="12"/>
      <c r="E380" s="12"/>
      <c r="F380" s="12"/>
      <c r="G380" s="12"/>
      <c r="H380" s="12"/>
    </row>
    <row r="381" spans="3:8" x14ac:dyDescent="0.2">
      <c r="C381" s="16"/>
      <c r="D381" s="12"/>
      <c r="E381" s="12"/>
      <c r="F381" s="12"/>
      <c r="G381" s="12"/>
      <c r="H381" s="12"/>
    </row>
    <row r="382" spans="3:8" x14ac:dyDescent="0.2">
      <c r="C382" s="16"/>
      <c r="D382" s="12"/>
      <c r="E382" s="12"/>
      <c r="F382" s="12"/>
      <c r="G382" s="12"/>
      <c r="H382" s="12"/>
    </row>
    <row r="383" spans="3:8" x14ac:dyDescent="0.2">
      <c r="C383" s="16"/>
      <c r="D383" s="12"/>
      <c r="E383" s="12"/>
      <c r="F383" s="12"/>
      <c r="G383" s="12"/>
      <c r="H383" s="12"/>
    </row>
    <row r="384" spans="3:8" x14ac:dyDescent="0.2">
      <c r="C384" s="16"/>
      <c r="D384" s="12"/>
      <c r="E384" s="12"/>
      <c r="F384" s="12"/>
      <c r="G384" s="12"/>
      <c r="H384" s="12"/>
    </row>
    <row r="385" spans="3:8" x14ac:dyDescent="0.2">
      <c r="C385" s="16"/>
      <c r="D385" s="12"/>
      <c r="E385" s="12"/>
      <c r="F385" s="12"/>
      <c r="G385" s="12"/>
      <c r="H385" s="12"/>
    </row>
    <row r="386" spans="3:8" x14ac:dyDescent="0.2">
      <c r="C386" s="16"/>
      <c r="D386" s="12"/>
      <c r="E386" s="12"/>
      <c r="F386" s="12"/>
      <c r="G386" s="12"/>
      <c r="H386" s="12"/>
    </row>
    <row r="387" spans="3:8" x14ac:dyDescent="0.2">
      <c r="C387" s="16"/>
      <c r="D387" s="12"/>
      <c r="E387" s="12"/>
      <c r="F387" s="12"/>
      <c r="G387" s="12"/>
      <c r="H387" s="12"/>
    </row>
    <row r="388" spans="3:8" x14ac:dyDescent="0.2">
      <c r="C388" s="16"/>
      <c r="D388" s="12"/>
      <c r="E388" s="12"/>
      <c r="F388" s="12"/>
      <c r="G388" s="12"/>
      <c r="H388" s="12"/>
    </row>
    <row r="389" spans="3:8" x14ac:dyDescent="0.2">
      <c r="C389" s="16"/>
      <c r="D389" s="12"/>
      <c r="E389" s="12"/>
      <c r="F389" s="12"/>
      <c r="G389" s="12"/>
      <c r="H389" s="12"/>
    </row>
    <row r="390" spans="3:8" x14ac:dyDescent="0.2">
      <c r="C390" s="16"/>
      <c r="D390" s="12"/>
      <c r="E390" s="12"/>
      <c r="F390" s="12"/>
      <c r="G390" s="12"/>
      <c r="H390" s="12"/>
    </row>
    <row r="391" spans="3:8" x14ac:dyDescent="0.2">
      <c r="C391" s="16"/>
      <c r="D391" s="12"/>
      <c r="E391" s="12"/>
      <c r="F391" s="12"/>
      <c r="G391" s="12"/>
      <c r="H391" s="12"/>
    </row>
    <row r="392" spans="3:8" x14ac:dyDescent="0.2">
      <c r="C392" s="16"/>
      <c r="D392" s="12"/>
      <c r="E392" s="12"/>
      <c r="F392" s="12"/>
      <c r="G392" s="12"/>
      <c r="H392" s="12"/>
    </row>
    <row r="393" spans="3:8" x14ac:dyDescent="0.2">
      <c r="C393" s="16"/>
      <c r="D393" s="12"/>
      <c r="E393" s="12"/>
      <c r="F393" s="12"/>
      <c r="G393" s="12"/>
      <c r="H393" s="12"/>
    </row>
    <row r="394" spans="3:8" x14ac:dyDescent="0.2">
      <c r="C394" s="16"/>
      <c r="D394" s="12"/>
      <c r="E394" s="12"/>
      <c r="F394" s="12"/>
      <c r="G394" s="12"/>
      <c r="H394" s="12"/>
    </row>
    <row r="395" spans="3:8" x14ac:dyDescent="0.2">
      <c r="C395" s="16"/>
      <c r="D395" s="12"/>
      <c r="E395" s="12"/>
      <c r="F395" s="12"/>
      <c r="G395" s="12"/>
      <c r="H395" s="12"/>
    </row>
    <row r="396" spans="3:8" x14ac:dyDescent="0.2">
      <c r="C396" s="16"/>
      <c r="D396" s="12"/>
      <c r="E396" s="12"/>
      <c r="F396" s="12"/>
      <c r="G396" s="12"/>
      <c r="H396" s="12"/>
    </row>
    <row r="397" spans="3:8" x14ac:dyDescent="0.2">
      <c r="C397" s="16"/>
      <c r="D397" s="12"/>
      <c r="E397" s="12"/>
      <c r="F397" s="12"/>
      <c r="G397" s="12"/>
      <c r="H397" s="12"/>
    </row>
    <row r="398" spans="3:8" x14ac:dyDescent="0.2">
      <c r="C398" s="16"/>
      <c r="D398" s="12"/>
      <c r="E398" s="12"/>
      <c r="F398" s="12"/>
      <c r="G398" s="12"/>
      <c r="H398" s="12"/>
    </row>
    <row r="399" spans="3:8" x14ac:dyDescent="0.2">
      <c r="C399" s="16"/>
      <c r="D399" s="12"/>
      <c r="E399" s="12"/>
      <c r="F399" s="12"/>
      <c r="G399" s="12"/>
      <c r="H399" s="12"/>
    </row>
    <row r="400" spans="3:8" x14ac:dyDescent="0.2">
      <c r="C400" s="16"/>
      <c r="D400" s="12"/>
      <c r="E400" s="12"/>
      <c r="F400" s="12"/>
      <c r="G400" s="12"/>
      <c r="H400" s="12"/>
    </row>
    <row r="401" spans="3:8" x14ac:dyDescent="0.2">
      <c r="C401" s="16"/>
      <c r="D401" s="12"/>
      <c r="E401" s="12"/>
      <c r="F401" s="12"/>
      <c r="G401" s="12"/>
      <c r="H401" s="12"/>
    </row>
    <row r="402" spans="3:8" x14ac:dyDescent="0.2">
      <c r="C402" s="16"/>
      <c r="D402" s="12"/>
      <c r="E402" s="12"/>
      <c r="F402" s="12"/>
      <c r="G402" s="12"/>
      <c r="H402" s="12"/>
    </row>
    <row r="403" spans="3:8" x14ac:dyDescent="0.2">
      <c r="C403" s="16"/>
      <c r="D403" s="12"/>
      <c r="E403" s="12"/>
      <c r="F403" s="12"/>
      <c r="G403" s="12"/>
      <c r="H403" s="12"/>
    </row>
    <row r="404" spans="3:8" x14ac:dyDescent="0.2">
      <c r="C404" s="16"/>
      <c r="D404" s="12"/>
      <c r="E404" s="12"/>
      <c r="F404" s="12"/>
      <c r="G404" s="12"/>
      <c r="H404" s="12"/>
    </row>
    <row r="405" spans="3:8" x14ac:dyDescent="0.2">
      <c r="C405" s="16"/>
      <c r="D405" s="12"/>
      <c r="E405" s="12"/>
      <c r="F405" s="12"/>
      <c r="G405" s="12"/>
      <c r="H405" s="12"/>
    </row>
    <row r="406" spans="3:8" x14ac:dyDescent="0.2">
      <c r="C406" s="16"/>
      <c r="D406" s="12"/>
      <c r="E406" s="12"/>
      <c r="F406" s="12"/>
      <c r="G406" s="12"/>
      <c r="H406" s="12"/>
    </row>
    <row r="407" spans="3:8" x14ac:dyDescent="0.2">
      <c r="C407" s="16"/>
      <c r="D407" s="12"/>
      <c r="E407" s="12"/>
      <c r="F407" s="12"/>
      <c r="G407" s="12"/>
      <c r="H407" s="12"/>
    </row>
    <row r="408" spans="3:8" x14ac:dyDescent="0.2">
      <c r="C408" s="16"/>
      <c r="D408" s="12"/>
      <c r="E408" s="12"/>
      <c r="F408" s="12"/>
      <c r="G408" s="12"/>
      <c r="H408" s="12"/>
    </row>
    <row r="409" spans="3:8" x14ac:dyDescent="0.2">
      <c r="C409" s="16"/>
      <c r="D409" s="12"/>
      <c r="E409" s="12"/>
      <c r="F409" s="12"/>
      <c r="G409" s="12"/>
      <c r="H409" s="12"/>
    </row>
    <row r="410" spans="3:8" x14ac:dyDescent="0.2">
      <c r="C410" s="16"/>
      <c r="D410" s="12"/>
      <c r="E410" s="12"/>
      <c r="F410" s="12"/>
      <c r="G410" s="12"/>
      <c r="H410" s="12"/>
    </row>
    <row r="411" spans="3:8" x14ac:dyDescent="0.2">
      <c r="C411" s="16"/>
      <c r="D411" s="12"/>
      <c r="E411" s="12"/>
      <c r="F411" s="12"/>
      <c r="G411" s="12"/>
      <c r="H411" s="12"/>
    </row>
    <row r="412" spans="3:8" x14ac:dyDescent="0.2">
      <c r="C412" s="16"/>
      <c r="D412" s="12"/>
      <c r="E412" s="12"/>
      <c r="F412" s="12"/>
      <c r="G412" s="12"/>
      <c r="H412" s="12"/>
    </row>
    <row r="413" spans="3:8" x14ac:dyDescent="0.2">
      <c r="C413" s="16"/>
      <c r="D413" s="12"/>
      <c r="E413" s="12"/>
      <c r="F413" s="12"/>
      <c r="G413" s="12"/>
      <c r="H413" s="12"/>
    </row>
    <row r="414" spans="3:8" x14ac:dyDescent="0.2">
      <c r="C414" s="16"/>
      <c r="D414" s="12"/>
      <c r="E414" s="12"/>
      <c r="F414" s="12"/>
      <c r="G414" s="12"/>
      <c r="H414" s="12"/>
    </row>
    <row r="415" spans="3:8" x14ac:dyDescent="0.2">
      <c r="C415" s="16"/>
      <c r="D415" s="12"/>
      <c r="E415" s="12"/>
      <c r="F415" s="12"/>
      <c r="G415" s="12"/>
      <c r="H415" s="12"/>
    </row>
    <row r="416" spans="3:8" x14ac:dyDescent="0.2">
      <c r="C416" s="16"/>
      <c r="D416" s="12"/>
      <c r="E416" s="12"/>
      <c r="F416" s="12"/>
      <c r="G416" s="12"/>
      <c r="H416" s="12"/>
    </row>
    <row r="417" spans="3:8" x14ac:dyDescent="0.2">
      <c r="C417" s="16"/>
      <c r="D417" s="12"/>
      <c r="E417" s="12"/>
      <c r="F417" s="12"/>
      <c r="G417" s="12"/>
      <c r="H417" s="12"/>
    </row>
    <row r="418" spans="3:8" x14ac:dyDescent="0.2">
      <c r="C418" s="16"/>
      <c r="D418" s="12"/>
      <c r="E418" s="12"/>
      <c r="F418" s="12"/>
      <c r="G418" s="12"/>
      <c r="H418" s="12"/>
    </row>
    <row r="419" spans="3:8" x14ac:dyDescent="0.2">
      <c r="C419" s="16"/>
      <c r="D419" s="12"/>
      <c r="E419" s="12"/>
      <c r="F419" s="12"/>
      <c r="G419" s="12"/>
      <c r="H419" s="12"/>
    </row>
    <row r="420" spans="3:8" x14ac:dyDescent="0.2">
      <c r="C420" s="16"/>
      <c r="D420" s="12"/>
      <c r="E420" s="12"/>
      <c r="F420" s="12"/>
      <c r="G420" s="12"/>
      <c r="H420" s="12"/>
    </row>
    <row r="421" spans="3:8" x14ac:dyDescent="0.2">
      <c r="C421" s="16"/>
      <c r="D421" s="12"/>
      <c r="E421" s="12"/>
      <c r="F421" s="12"/>
      <c r="G421" s="12"/>
      <c r="H421" s="12"/>
    </row>
    <row r="422" spans="3:8" x14ac:dyDescent="0.2">
      <c r="C422" s="16"/>
      <c r="D422" s="12"/>
      <c r="E422" s="12"/>
      <c r="F422" s="12"/>
      <c r="G422" s="12"/>
      <c r="H422" s="12"/>
    </row>
    <row r="423" spans="3:8" x14ac:dyDescent="0.2">
      <c r="C423" s="16"/>
      <c r="D423" s="12"/>
      <c r="E423" s="12"/>
      <c r="F423" s="12"/>
      <c r="G423" s="12"/>
      <c r="H423" s="12"/>
    </row>
    <row r="424" spans="3:8" x14ac:dyDescent="0.2">
      <c r="C424" s="16"/>
      <c r="D424" s="12"/>
      <c r="E424" s="12"/>
      <c r="F424" s="12"/>
      <c r="G424" s="12"/>
      <c r="H424" s="12"/>
    </row>
    <row r="425" spans="3:8" x14ac:dyDescent="0.2">
      <c r="C425" s="16"/>
      <c r="D425" s="12"/>
      <c r="E425" s="12"/>
      <c r="F425" s="12"/>
      <c r="G425" s="12"/>
      <c r="H425" s="12"/>
    </row>
    <row r="426" spans="3:8" x14ac:dyDescent="0.2">
      <c r="C426" s="16"/>
      <c r="D426" s="12"/>
      <c r="E426" s="12"/>
      <c r="F426" s="12"/>
      <c r="G426" s="12"/>
      <c r="H426" s="12"/>
    </row>
    <row r="427" spans="3:8" x14ac:dyDescent="0.2">
      <c r="C427" s="16"/>
      <c r="D427" s="12"/>
      <c r="E427" s="12"/>
      <c r="F427" s="12"/>
      <c r="G427" s="12"/>
      <c r="H427" s="12"/>
    </row>
    <row r="428" spans="3:8" x14ac:dyDescent="0.2">
      <c r="C428" s="16"/>
      <c r="D428" s="12"/>
      <c r="E428" s="12"/>
      <c r="F428" s="12"/>
      <c r="G428" s="12"/>
      <c r="H428" s="12"/>
    </row>
    <row r="429" spans="3:8" x14ac:dyDescent="0.2">
      <c r="C429" s="16"/>
      <c r="D429" s="12"/>
      <c r="E429" s="12"/>
      <c r="F429" s="12"/>
      <c r="G429" s="12"/>
      <c r="H429" s="12"/>
    </row>
    <row r="430" spans="3:8" x14ac:dyDescent="0.2">
      <c r="C430" s="16"/>
      <c r="D430" s="12"/>
      <c r="E430" s="12"/>
      <c r="F430" s="12"/>
      <c r="G430" s="12"/>
      <c r="H430" s="12"/>
    </row>
    <row r="431" spans="3:8" x14ac:dyDescent="0.2">
      <c r="C431" s="16"/>
      <c r="D431" s="12"/>
      <c r="E431" s="12"/>
      <c r="F431" s="12"/>
      <c r="G431" s="12"/>
      <c r="H431" s="12"/>
    </row>
    <row r="432" spans="3:8" x14ac:dyDescent="0.2">
      <c r="C432" s="16"/>
      <c r="D432" s="12"/>
      <c r="E432" s="12"/>
      <c r="F432" s="12"/>
      <c r="G432" s="12"/>
      <c r="H432" s="12"/>
    </row>
    <row r="433" spans="3:8" x14ac:dyDescent="0.2">
      <c r="C433" s="16"/>
      <c r="D433" s="12"/>
      <c r="E433" s="12"/>
      <c r="F433" s="12"/>
      <c r="G433" s="12"/>
      <c r="H433" s="12"/>
    </row>
    <row r="434" spans="3:8" x14ac:dyDescent="0.2">
      <c r="C434" s="16"/>
      <c r="D434" s="12"/>
      <c r="E434" s="12"/>
      <c r="F434" s="12"/>
      <c r="G434" s="12"/>
      <c r="H434" s="12"/>
    </row>
    <row r="435" spans="3:8" x14ac:dyDescent="0.2">
      <c r="C435" s="16"/>
      <c r="D435" s="12"/>
      <c r="E435" s="12"/>
      <c r="F435" s="12"/>
      <c r="G435" s="12"/>
      <c r="H435" s="12"/>
    </row>
    <row r="436" spans="3:8" x14ac:dyDescent="0.2">
      <c r="C436" s="16"/>
      <c r="D436" s="12"/>
      <c r="E436" s="12"/>
      <c r="F436" s="12"/>
      <c r="G436" s="12"/>
      <c r="H436" s="12"/>
    </row>
    <row r="437" spans="3:8" x14ac:dyDescent="0.2">
      <c r="C437" s="16"/>
      <c r="D437" s="12"/>
      <c r="E437" s="12"/>
      <c r="F437" s="12"/>
      <c r="G437" s="12"/>
      <c r="H437" s="12"/>
    </row>
    <row r="438" spans="3:8" x14ac:dyDescent="0.2">
      <c r="C438" s="16"/>
      <c r="D438" s="12"/>
      <c r="E438" s="12"/>
      <c r="F438" s="12"/>
      <c r="G438" s="12"/>
      <c r="H438" s="12"/>
    </row>
    <row r="439" spans="3:8" x14ac:dyDescent="0.2">
      <c r="C439" s="16"/>
      <c r="D439" s="12"/>
      <c r="E439" s="12"/>
      <c r="F439" s="12"/>
      <c r="G439" s="12"/>
      <c r="H439" s="12"/>
    </row>
    <row r="440" spans="3:8" x14ac:dyDescent="0.2">
      <c r="C440" s="16"/>
      <c r="D440" s="12"/>
      <c r="E440" s="12"/>
      <c r="F440" s="12"/>
      <c r="G440" s="12"/>
      <c r="H440" s="12"/>
    </row>
    <row r="441" spans="3:8" x14ac:dyDescent="0.2">
      <c r="C441" s="16"/>
      <c r="D441" s="12"/>
      <c r="E441" s="12"/>
      <c r="F441" s="12"/>
      <c r="G441" s="12"/>
      <c r="H441" s="12"/>
    </row>
    <row r="442" spans="3:8" x14ac:dyDescent="0.2">
      <c r="C442" s="16"/>
      <c r="D442" s="12"/>
      <c r="E442" s="12"/>
      <c r="F442" s="12"/>
      <c r="G442" s="12"/>
      <c r="H442" s="12"/>
    </row>
    <row r="443" spans="3:8" x14ac:dyDescent="0.2">
      <c r="C443" s="16"/>
      <c r="D443" s="12"/>
      <c r="E443" s="12"/>
      <c r="F443" s="12"/>
      <c r="G443" s="12"/>
      <c r="H443" s="12"/>
    </row>
    <row r="444" spans="3:8" x14ac:dyDescent="0.2">
      <c r="C444" s="16"/>
      <c r="D444" s="12"/>
      <c r="E444" s="12"/>
      <c r="F444" s="12"/>
      <c r="G444" s="12"/>
      <c r="H444" s="12"/>
    </row>
    <row r="445" spans="3:8" x14ac:dyDescent="0.2">
      <c r="C445" s="16"/>
      <c r="D445" s="12"/>
      <c r="E445" s="12"/>
      <c r="F445" s="12"/>
      <c r="G445" s="12"/>
      <c r="H445" s="12"/>
    </row>
    <row r="446" spans="3:8" x14ac:dyDescent="0.2">
      <c r="C446" s="16"/>
      <c r="D446" s="12"/>
      <c r="E446" s="12"/>
      <c r="F446" s="12"/>
      <c r="G446" s="12"/>
      <c r="H446" s="12"/>
    </row>
    <row r="447" spans="3:8" x14ac:dyDescent="0.2">
      <c r="C447" s="16"/>
      <c r="D447" s="12"/>
      <c r="E447" s="12"/>
      <c r="F447" s="12"/>
      <c r="G447" s="12"/>
      <c r="H447" s="12"/>
    </row>
    <row r="448" spans="3:8" x14ac:dyDescent="0.2">
      <c r="C448" s="16"/>
      <c r="D448" s="12"/>
      <c r="E448" s="12"/>
      <c r="F448" s="12"/>
      <c r="G448" s="12"/>
      <c r="H448" s="12"/>
    </row>
    <row r="449" spans="3:8" x14ac:dyDescent="0.2">
      <c r="C449" s="16"/>
      <c r="D449" s="12"/>
      <c r="E449" s="12"/>
      <c r="F449" s="12"/>
      <c r="G449" s="12"/>
      <c r="H449" s="12"/>
    </row>
    <row r="450" spans="3:8" x14ac:dyDescent="0.2">
      <c r="C450" s="16"/>
      <c r="D450" s="12"/>
      <c r="E450" s="12"/>
      <c r="F450" s="12"/>
      <c r="G450" s="12"/>
      <c r="H450" s="12"/>
    </row>
    <row r="451" spans="3:8" x14ac:dyDescent="0.2">
      <c r="C451" s="16"/>
      <c r="D451" s="12"/>
      <c r="E451" s="12"/>
      <c r="F451" s="12"/>
      <c r="G451" s="12"/>
      <c r="H451" s="12"/>
    </row>
    <row r="452" spans="3:8" x14ac:dyDescent="0.2">
      <c r="C452" s="16"/>
      <c r="D452" s="12"/>
      <c r="E452" s="12"/>
      <c r="F452" s="12"/>
      <c r="G452" s="12"/>
      <c r="H452" s="12"/>
    </row>
    <row r="453" spans="3:8" x14ac:dyDescent="0.2">
      <c r="C453" s="16"/>
      <c r="D453" s="12"/>
      <c r="E453" s="12"/>
      <c r="F453" s="12"/>
      <c r="G453" s="12"/>
      <c r="H453" s="12"/>
    </row>
    <row r="454" spans="3:8" x14ac:dyDescent="0.2">
      <c r="C454" s="16"/>
      <c r="D454" s="12"/>
      <c r="E454" s="12"/>
      <c r="F454" s="12"/>
      <c r="G454" s="12"/>
      <c r="H454" s="12"/>
    </row>
    <row r="455" spans="3:8" x14ac:dyDescent="0.2">
      <c r="C455" s="16"/>
      <c r="D455" s="12"/>
      <c r="E455" s="12"/>
      <c r="F455" s="12"/>
      <c r="G455" s="12"/>
      <c r="H455" s="12"/>
    </row>
    <row r="456" spans="3:8" x14ac:dyDescent="0.2">
      <c r="C456" s="16"/>
      <c r="D456" s="12"/>
      <c r="E456" s="12"/>
      <c r="F456" s="12"/>
      <c r="G456" s="12"/>
      <c r="H456" s="12"/>
    </row>
    <row r="457" spans="3:8" x14ac:dyDescent="0.2">
      <c r="C457" s="16"/>
      <c r="D457" s="12"/>
      <c r="E457" s="12"/>
      <c r="F457" s="12"/>
      <c r="G457" s="12"/>
      <c r="H457" s="12"/>
    </row>
    <row r="458" spans="3:8" x14ac:dyDescent="0.2">
      <c r="C458" s="16"/>
      <c r="D458" s="12"/>
      <c r="E458" s="12"/>
      <c r="F458" s="12"/>
      <c r="G458" s="12"/>
      <c r="H458" s="12"/>
    </row>
    <row r="459" spans="3:8" x14ac:dyDescent="0.2">
      <c r="C459" s="16"/>
      <c r="D459" s="12"/>
      <c r="E459" s="12"/>
      <c r="F459" s="12"/>
      <c r="G459" s="12"/>
      <c r="H459" s="12"/>
    </row>
    <row r="460" spans="3:8" x14ac:dyDescent="0.2">
      <c r="C460" s="16"/>
      <c r="D460" s="12"/>
      <c r="E460" s="12"/>
      <c r="F460" s="12"/>
      <c r="G460" s="12"/>
      <c r="H460" s="12"/>
    </row>
    <row r="461" spans="3:8" x14ac:dyDescent="0.2">
      <c r="C461" s="16"/>
      <c r="D461" s="12"/>
      <c r="E461" s="12"/>
      <c r="F461" s="12"/>
      <c r="G461" s="12"/>
      <c r="H461" s="12"/>
    </row>
    <row r="462" spans="3:8" x14ac:dyDescent="0.2">
      <c r="C462" s="16"/>
      <c r="D462" s="12"/>
      <c r="E462" s="12"/>
      <c r="F462" s="12"/>
      <c r="G462" s="12"/>
      <c r="H462" s="12"/>
    </row>
    <row r="463" spans="3:8" x14ac:dyDescent="0.2">
      <c r="C463" s="16"/>
      <c r="D463" s="12"/>
      <c r="E463" s="12"/>
      <c r="F463" s="12"/>
      <c r="G463" s="12"/>
      <c r="H463" s="12"/>
    </row>
    <row r="464" spans="3:8" x14ac:dyDescent="0.2">
      <c r="C464" s="16"/>
      <c r="D464" s="12"/>
      <c r="E464" s="12"/>
      <c r="F464" s="12"/>
      <c r="G464" s="12"/>
      <c r="H464" s="12"/>
    </row>
    <row r="465" spans="3:8" x14ac:dyDescent="0.2">
      <c r="C465" s="16"/>
      <c r="D465" s="12"/>
      <c r="E465" s="12"/>
      <c r="F465" s="12"/>
      <c r="G465" s="12"/>
      <c r="H465" s="12"/>
    </row>
    <row r="466" spans="3:8" x14ac:dyDescent="0.2">
      <c r="C466" s="16"/>
      <c r="D466" s="12"/>
      <c r="E466" s="12"/>
      <c r="F466" s="12"/>
      <c r="G466" s="12"/>
      <c r="H466" s="12"/>
    </row>
    <row r="467" spans="3:8" x14ac:dyDescent="0.2">
      <c r="C467" s="16"/>
      <c r="D467" s="12"/>
      <c r="E467" s="12"/>
      <c r="F467" s="12"/>
      <c r="G467" s="12"/>
      <c r="H467" s="12"/>
    </row>
    <row r="468" spans="3:8" x14ac:dyDescent="0.2">
      <c r="C468" s="16"/>
      <c r="D468" s="12"/>
      <c r="E468" s="12"/>
      <c r="F468" s="12"/>
      <c r="G468" s="12"/>
      <c r="H468" s="12"/>
    </row>
    <row r="469" spans="3:8" x14ac:dyDescent="0.2">
      <c r="C469" s="16"/>
      <c r="D469" s="12"/>
      <c r="E469" s="12"/>
      <c r="F469" s="12"/>
      <c r="G469" s="12"/>
      <c r="H469" s="12"/>
    </row>
    <row r="470" spans="3:8" x14ac:dyDescent="0.2">
      <c r="C470" s="16"/>
      <c r="D470" s="12"/>
      <c r="E470" s="12"/>
      <c r="F470" s="12"/>
      <c r="G470" s="12"/>
      <c r="H470" s="12"/>
    </row>
    <row r="471" spans="3:8" x14ac:dyDescent="0.2">
      <c r="C471" s="16"/>
      <c r="D471" s="12"/>
      <c r="E471" s="12"/>
      <c r="F471" s="12"/>
      <c r="G471" s="12"/>
      <c r="H471" s="12"/>
    </row>
    <row r="472" spans="3:8" x14ac:dyDescent="0.2">
      <c r="C472" s="16"/>
      <c r="D472" s="12"/>
      <c r="E472" s="12"/>
      <c r="F472" s="12"/>
      <c r="G472" s="12"/>
      <c r="H472" s="12"/>
    </row>
    <row r="473" spans="3:8" x14ac:dyDescent="0.2">
      <c r="C473" s="16"/>
      <c r="D473" s="12"/>
      <c r="E473" s="12"/>
      <c r="F473" s="12"/>
      <c r="G473" s="12"/>
      <c r="H473" s="12"/>
    </row>
    <row r="474" spans="3:8" x14ac:dyDescent="0.2">
      <c r="C474" s="16"/>
      <c r="D474" s="12"/>
      <c r="E474" s="12"/>
      <c r="F474" s="12"/>
      <c r="G474" s="12"/>
      <c r="H474" s="12"/>
    </row>
    <row r="475" spans="3:8" x14ac:dyDescent="0.2">
      <c r="C475" s="16"/>
      <c r="D475" s="12"/>
      <c r="E475" s="12"/>
      <c r="F475" s="12"/>
      <c r="G475" s="12"/>
      <c r="H475" s="12"/>
    </row>
    <row r="476" spans="3:8" x14ac:dyDescent="0.2">
      <c r="C476" s="16"/>
      <c r="D476" s="12"/>
      <c r="E476" s="12"/>
      <c r="F476" s="12"/>
      <c r="G476" s="12"/>
      <c r="H476" s="12"/>
    </row>
    <row r="477" spans="3:8" x14ac:dyDescent="0.2">
      <c r="C477" s="16"/>
      <c r="D477" s="12"/>
      <c r="E477" s="12"/>
      <c r="F477" s="12"/>
      <c r="G477" s="12"/>
      <c r="H477" s="12"/>
    </row>
    <row r="478" spans="3:8" x14ac:dyDescent="0.2">
      <c r="C478" s="16"/>
      <c r="D478" s="12"/>
      <c r="E478" s="12"/>
      <c r="F478" s="12"/>
      <c r="G478" s="12"/>
      <c r="H478" s="12"/>
    </row>
    <row r="479" spans="3:8" x14ac:dyDescent="0.2">
      <c r="C479" s="16"/>
      <c r="D479" s="12"/>
      <c r="E479" s="12"/>
      <c r="F479" s="12"/>
      <c r="G479" s="12"/>
      <c r="H479" s="12"/>
    </row>
    <row r="480" spans="3:8" x14ac:dyDescent="0.2">
      <c r="C480" s="16"/>
      <c r="D480" s="12"/>
      <c r="E480" s="12"/>
      <c r="F480" s="12"/>
      <c r="G480" s="12"/>
      <c r="H480" s="12"/>
    </row>
    <row r="481" spans="3:8" x14ac:dyDescent="0.2">
      <c r="C481" s="16"/>
      <c r="D481" s="12"/>
      <c r="E481" s="12"/>
      <c r="F481" s="12"/>
      <c r="G481" s="12"/>
      <c r="H481" s="12"/>
    </row>
    <row r="482" spans="3:8" x14ac:dyDescent="0.2">
      <c r="C482" s="16"/>
      <c r="D482" s="12"/>
      <c r="E482" s="12"/>
      <c r="F482" s="12"/>
      <c r="G482" s="12"/>
      <c r="H482" s="12"/>
    </row>
    <row r="483" spans="3:8" x14ac:dyDescent="0.2">
      <c r="C483" s="16"/>
      <c r="D483" s="12"/>
      <c r="E483" s="12"/>
      <c r="F483" s="12"/>
      <c r="G483" s="12"/>
      <c r="H483" s="12"/>
    </row>
    <row r="484" spans="3:8" x14ac:dyDescent="0.2">
      <c r="C484" s="16"/>
      <c r="D484" s="12"/>
      <c r="E484" s="12"/>
      <c r="F484" s="12"/>
      <c r="G484" s="12"/>
      <c r="H484" s="12"/>
    </row>
    <row r="485" spans="3:8" x14ac:dyDescent="0.2">
      <c r="C485" s="16"/>
      <c r="D485" s="12"/>
      <c r="E485" s="12"/>
      <c r="F485" s="12"/>
      <c r="G485" s="12"/>
      <c r="H485" s="12"/>
    </row>
    <row r="486" spans="3:8" x14ac:dyDescent="0.2">
      <c r="C486" s="16"/>
      <c r="D486" s="12"/>
      <c r="E486" s="12"/>
      <c r="F486" s="12"/>
      <c r="G486" s="12"/>
      <c r="H486" s="12"/>
    </row>
    <row r="487" spans="3:8" x14ac:dyDescent="0.2">
      <c r="C487" s="16"/>
      <c r="D487" s="12"/>
      <c r="E487" s="12"/>
      <c r="F487" s="12"/>
      <c r="G487" s="12"/>
      <c r="H487" s="12"/>
    </row>
    <row r="488" spans="3:8" x14ac:dyDescent="0.2">
      <c r="C488" s="16"/>
      <c r="D488" s="12"/>
      <c r="E488" s="12"/>
      <c r="F488" s="12"/>
      <c r="G488" s="12"/>
      <c r="H488" s="12"/>
    </row>
    <row r="489" spans="3:8" x14ac:dyDescent="0.2">
      <c r="C489" s="16"/>
      <c r="D489" s="12"/>
      <c r="E489" s="12"/>
      <c r="F489" s="12"/>
      <c r="G489" s="12"/>
      <c r="H489" s="12"/>
    </row>
    <row r="490" spans="3:8" x14ac:dyDescent="0.2">
      <c r="C490" s="16"/>
      <c r="D490" s="12"/>
      <c r="E490" s="12"/>
      <c r="F490" s="12"/>
      <c r="G490" s="12"/>
      <c r="H490" s="12"/>
    </row>
    <row r="491" spans="3:8" x14ac:dyDescent="0.2">
      <c r="C491" s="16"/>
      <c r="D491" s="12"/>
      <c r="E491" s="12"/>
      <c r="F491" s="12"/>
      <c r="G491" s="12"/>
      <c r="H491" s="12"/>
    </row>
    <row r="492" spans="3:8" x14ac:dyDescent="0.2">
      <c r="C492" s="16"/>
      <c r="D492" s="12"/>
      <c r="E492" s="12"/>
      <c r="F492" s="12"/>
      <c r="G492" s="12"/>
      <c r="H492" s="12"/>
    </row>
    <row r="493" spans="3:8" x14ac:dyDescent="0.2">
      <c r="C493" s="16"/>
      <c r="D493" s="12"/>
      <c r="E493" s="12"/>
      <c r="F493" s="12"/>
      <c r="G493" s="12"/>
      <c r="H493" s="12"/>
    </row>
    <row r="494" spans="3:8" x14ac:dyDescent="0.2">
      <c r="C494" s="16"/>
      <c r="D494" s="12"/>
      <c r="E494" s="12"/>
      <c r="F494" s="12"/>
      <c r="G494" s="12"/>
      <c r="H494" s="12"/>
    </row>
    <row r="495" spans="3:8" x14ac:dyDescent="0.2">
      <c r="C495" s="16"/>
      <c r="D495" s="12"/>
      <c r="E495" s="12"/>
      <c r="F495" s="12"/>
      <c r="G495" s="12"/>
      <c r="H495" s="12"/>
    </row>
    <row r="496" spans="3:8" x14ac:dyDescent="0.2">
      <c r="C496" s="16"/>
      <c r="D496" s="12"/>
      <c r="E496" s="12"/>
      <c r="F496" s="12"/>
      <c r="G496" s="12"/>
      <c r="H496" s="12"/>
    </row>
    <row r="497" spans="3:8" x14ac:dyDescent="0.2">
      <c r="C497" s="16"/>
      <c r="D497" s="12"/>
      <c r="E497" s="12"/>
      <c r="F497" s="12"/>
      <c r="G497" s="12"/>
      <c r="H497" s="12"/>
    </row>
    <row r="498" spans="3:8" x14ac:dyDescent="0.2">
      <c r="C498" s="16"/>
      <c r="D498" s="12"/>
      <c r="E498" s="12"/>
      <c r="F498" s="12"/>
      <c r="G498" s="12"/>
      <c r="H498" s="12"/>
    </row>
    <row r="499" spans="3:8" x14ac:dyDescent="0.2">
      <c r="C499" s="16"/>
      <c r="D499" s="12"/>
      <c r="E499" s="12"/>
      <c r="F499" s="12"/>
      <c r="G499" s="12"/>
      <c r="H499" s="12"/>
    </row>
    <row r="500" spans="3:8" x14ac:dyDescent="0.2">
      <c r="C500" s="16"/>
      <c r="D500" s="12"/>
      <c r="E500" s="12"/>
      <c r="F500" s="12"/>
      <c r="G500" s="12"/>
      <c r="H500" s="12"/>
    </row>
    <row r="501" spans="3:8" x14ac:dyDescent="0.2">
      <c r="C501" s="16"/>
      <c r="D501" s="12"/>
      <c r="E501" s="12"/>
      <c r="F501" s="12"/>
      <c r="G501" s="12"/>
      <c r="H501" s="12"/>
    </row>
    <row r="502" spans="3:8" x14ac:dyDescent="0.2">
      <c r="C502" s="16"/>
      <c r="D502" s="12"/>
      <c r="E502" s="12"/>
      <c r="F502" s="12"/>
      <c r="G502" s="12"/>
      <c r="H502" s="12"/>
    </row>
    <row r="503" spans="3:8" x14ac:dyDescent="0.2">
      <c r="C503" s="16"/>
      <c r="D503" s="12"/>
      <c r="E503" s="12"/>
      <c r="F503" s="12"/>
      <c r="G503" s="12"/>
      <c r="H503" s="12"/>
    </row>
    <row r="504" spans="3:8" x14ac:dyDescent="0.2">
      <c r="C504" s="16"/>
      <c r="D504" s="12"/>
      <c r="E504" s="12"/>
      <c r="F504" s="12"/>
      <c r="G504" s="12"/>
      <c r="H504" s="12"/>
    </row>
    <row r="505" spans="3:8" x14ac:dyDescent="0.2">
      <c r="C505" s="16"/>
      <c r="D505" s="12"/>
      <c r="E505" s="12"/>
      <c r="F505" s="12"/>
      <c r="G505" s="12"/>
      <c r="H505" s="12"/>
    </row>
    <row r="506" spans="3:8" x14ac:dyDescent="0.2">
      <c r="C506" s="16"/>
      <c r="D506" s="12"/>
      <c r="E506" s="12"/>
      <c r="F506" s="12"/>
      <c r="G506" s="12"/>
      <c r="H506" s="12"/>
    </row>
    <row r="507" spans="3:8" x14ac:dyDescent="0.2">
      <c r="C507" s="16"/>
      <c r="D507" s="12"/>
      <c r="E507" s="12"/>
      <c r="F507" s="12"/>
      <c r="G507" s="12"/>
      <c r="H507" s="12"/>
    </row>
    <row r="508" spans="3:8" x14ac:dyDescent="0.2">
      <c r="C508" s="16"/>
      <c r="D508" s="12"/>
      <c r="E508" s="12"/>
      <c r="F508" s="12"/>
      <c r="G508" s="12"/>
      <c r="H508" s="12"/>
    </row>
    <row r="509" spans="3:8" x14ac:dyDescent="0.2">
      <c r="C509" s="16"/>
      <c r="D509" s="12"/>
      <c r="E509" s="12"/>
      <c r="F509" s="12"/>
      <c r="G509" s="12"/>
      <c r="H509" s="12"/>
    </row>
    <row r="510" spans="3:8" x14ac:dyDescent="0.2">
      <c r="C510" s="16"/>
      <c r="D510" s="12"/>
      <c r="E510" s="12"/>
      <c r="F510" s="12"/>
      <c r="G510" s="12"/>
      <c r="H510" s="12"/>
    </row>
    <row r="511" spans="3:8" x14ac:dyDescent="0.2">
      <c r="C511" s="16"/>
      <c r="D511" s="12"/>
      <c r="E511" s="12"/>
      <c r="F511" s="12"/>
      <c r="G511" s="12"/>
      <c r="H511" s="12"/>
    </row>
    <row r="512" spans="3:8" x14ac:dyDescent="0.2">
      <c r="C512" s="16"/>
      <c r="D512" s="12"/>
      <c r="E512" s="12"/>
      <c r="F512" s="12"/>
      <c r="G512" s="12"/>
      <c r="H512" s="12"/>
    </row>
    <row r="513" spans="3:8" x14ac:dyDescent="0.2">
      <c r="C513" s="16"/>
      <c r="D513" s="12"/>
      <c r="E513" s="12"/>
      <c r="F513" s="12"/>
      <c r="G513" s="12"/>
      <c r="H513" s="12"/>
    </row>
    <row r="514" spans="3:8" x14ac:dyDescent="0.2">
      <c r="C514" s="16"/>
      <c r="D514" s="12"/>
      <c r="E514" s="12"/>
      <c r="F514" s="12"/>
      <c r="G514" s="12"/>
      <c r="H514" s="12"/>
    </row>
    <row r="515" spans="3:8" x14ac:dyDescent="0.2">
      <c r="C515" s="16"/>
      <c r="D515" s="12"/>
      <c r="E515" s="12"/>
      <c r="F515" s="12"/>
      <c r="G515" s="12"/>
      <c r="H515" s="12"/>
    </row>
    <row r="516" spans="3:8" x14ac:dyDescent="0.2">
      <c r="C516" s="16"/>
      <c r="D516" s="12"/>
      <c r="E516" s="12"/>
      <c r="F516" s="12"/>
      <c r="G516" s="12"/>
      <c r="H516" s="12"/>
    </row>
    <row r="517" spans="3:8" x14ac:dyDescent="0.2">
      <c r="C517" s="16"/>
      <c r="D517" s="12"/>
      <c r="E517" s="12"/>
      <c r="F517" s="12"/>
      <c r="G517" s="12"/>
      <c r="H517" s="12"/>
    </row>
    <row r="518" spans="3:8" x14ac:dyDescent="0.2">
      <c r="C518" s="16"/>
      <c r="D518" s="12"/>
      <c r="E518" s="12"/>
      <c r="F518" s="12"/>
      <c r="G518" s="12"/>
      <c r="H518" s="12"/>
    </row>
    <row r="519" spans="3:8" x14ac:dyDescent="0.2">
      <c r="C519" s="16"/>
      <c r="D519" s="12"/>
      <c r="E519" s="12"/>
      <c r="F519" s="12"/>
      <c r="G519" s="12"/>
      <c r="H519" s="12"/>
    </row>
    <row r="520" spans="3:8" x14ac:dyDescent="0.2">
      <c r="C520" s="16"/>
      <c r="D520" s="12"/>
      <c r="E520" s="12"/>
      <c r="F520" s="12"/>
      <c r="G520" s="12"/>
      <c r="H520" s="12"/>
    </row>
    <row r="521" spans="3:8" x14ac:dyDescent="0.2">
      <c r="C521" s="16"/>
      <c r="D521" s="12"/>
      <c r="E521" s="12"/>
      <c r="F521" s="12"/>
      <c r="G521" s="12"/>
      <c r="H521" s="12"/>
    </row>
    <row r="522" spans="3:8" x14ac:dyDescent="0.2">
      <c r="C522" s="16"/>
      <c r="D522" s="12"/>
      <c r="E522" s="12"/>
      <c r="F522" s="12"/>
      <c r="G522" s="12"/>
      <c r="H522" s="12"/>
    </row>
    <row r="523" spans="3:8" x14ac:dyDescent="0.2">
      <c r="C523" s="16"/>
      <c r="D523" s="12"/>
      <c r="E523" s="12"/>
      <c r="F523" s="12"/>
      <c r="G523" s="12"/>
      <c r="H523" s="12"/>
    </row>
    <row r="524" spans="3:8" x14ac:dyDescent="0.2">
      <c r="C524" s="16"/>
      <c r="D524" s="12"/>
      <c r="E524" s="12"/>
      <c r="F524" s="12"/>
      <c r="G524" s="12"/>
      <c r="H524" s="12"/>
    </row>
    <row r="525" spans="3:8" x14ac:dyDescent="0.2">
      <c r="C525" s="16"/>
      <c r="D525" s="12"/>
      <c r="E525" s="12"/>
      <c r="F525" s="12"/>
      <c r="G525" s="12"/>
      <c r="H525" s="12"/>
    </row>
    <row r="526" spans="3:8" x14ac:dyDescent="0.2">
      <c r="C526" s="16"/>
      <c r="D526" s="12"/>
      <c r="E526" s="12"/>
      <c r="F526" s="12"/>
      <c r="G526" s="12"/>
      <c r="H526" s="12"/>
    </row>
    <row r="527" spans="3:8" x14ac:dyDescent="0.2">
      <c r="C527" s="16"/>
      <c r="D527" s="12"/>
      <c r="E527" s="12"/>
      <c r="F527" s="12"/>
      <c r="G527" s="12"/>
      <c r="H527" s="12"/>
    </row>
    <row r="528" spans="3:8" x14ac:dyDescent="0.2">
      <c r="C528" s="16"/>
      <c r="D528" s="12"/>
      <c r="E528" s="12"/>
      <c r="F528" s="12"/>
      <c r="G528" s="12"/>
      <c r="H528" s="12"/>
    </row>
    <row r="529" spans="3:8" x14ac:dyDescent="0.2">
      <c r="C529" s="16"/>
      <c r="D529" s="12"/>
      <c r="E529" s="12"/>
      <c r="F529" s="12"/>
      <c r="G529" s="12"/>
      <c r="H529" s="12"/>
    </row>
    <row r="530" spans="3:8" x14ac:dyDescent="0.2">
      <c r="C530" s="16"/>
      <c r="D530" s="12"/>
      <c r="E530" s="12"/>
      <c r="F530" s="12"/>
      <c r="G530" s="12"/>
      <c r="H530" s="12"/>
    </row>
    <row r="531" spans="3:8" x14ac:dyDescent="0.2">
      <c r="C531" s="16"/>
      <c r="D531" s="12"/>
      <c r="E531" s="12"/>
      <c r="F531" s="12"/>
      <c r="G531" s="12"/>
      <c r="H531" s="12"/>
    </row>
    <row r="532" spans="3:8" x14ac:dyDescent="0.2">
      <c r="C532" s="16"/>
      <c r="D532" s="12"/>
      <c r="E532" s="12"/>
      <c r="F532" s="12"/>
      <c r="G532" s="12"/>
      <c r="H532" s="12"/>
    </row>
    <row r="533" spans="3:8" x14ac:dyDescent="0.2">
      <c r="C533" s="16"/>
      <c r="D533" s="12"/>
      <c r="E533" s="12"/>
      <c r="F533" s="12"/>
      <c r="G533" s="12"/>
      <c r="H533" s="12"/>
    </row>
    <row r="534" spans="3:8" x14ac:dyDescent="0.2">
      <c r="C534" s="16"/>
      <c r="D534" s="12"/>
      <c r="E534" s="12"/>
      <c r="F534" s="12"/>
      <c r="G534" s="12"/>
      <c r="H534" s="12"/>
    </row>
    <row r="535" spans="3:8" x14ac:dyDescent="0.2">
      <c r="C535" s="16"/>
      <c r="D535" s="12"/>
      <c r="E535" s="12"/>
      <c r="F535" s="12"/>
      <c r="G535" s="12"/>
      <c r="H535" s="12"/>
    </row>
    <row r="536" spans="3:8" x14ac:dyDescent="0.2">
      <c r="C536" s="16"/>
      <c r="D536" s="12"/>
      <c r="E536" s="12"/>
      <c r="F536" s="12"/>
      <c r="G536" s="12"/>
      <c r="H536" s="12"/>
    </row>
    <row r="537" spans="3:8" x14ac:dyDescent="0.2">
      <c r="C537" s="16"/>
      <c r="D537" s="12"/>
      <c r="E537" s="12"/>
      <c r="F537" s="12"/>
      <c r="G537" s="12"/>
      <c r="H537" s="12"/>
    </row>
    <row r="538" spans="3:8" x14ac:dyDescent="0.2">
      <c r="C538" s="16"/>
      <c r="D538" s="12"/>
      <c r="E538" s="12"/>
      <c r="F538" s="12"/>
      <c r="G538" s="12"/>
      <c r="H538" s="12"/>
    </row>
    <row r="539" spans="3:8" x14ac:dyDescent="0.2">
      <c r="C539" s="16"/>
      <c r="D539" s="12"/>
      <c r="E539" s="12"/>
      <c r="F539" s="12"/>
      <c r="G539" s="12"/>
      <c r="H539" s="12"/>
    </row>
    <row r="540" spans="3:8" x14ac:dyDescent="0.2">
      <c r="C540" s="16"/>
      <c r="D540" s="12"/>
      <c r="E540" s="12"/>
      <c r="F540" s="12"/>
      <c r="G540" s="12"/>
      <c r="H540" s="12"/>
    </row>
    <row r="541" spans="3:8" x14ac:dyDescent="0.2">
      <c r="C541" s="16"/>
      <c r="D541" s="12"/>
      <c r="E541" s="12"/>
      <c r="F541" s="12"/>
      <c r="G541" s="12"/>
      <c r="H541" s="12"/>
    </row>
    <row r="542" spans="3:8" x14ac:dyDescent="0.2">
      <c r="C542" s="16"/>
      <c r="D542" s="12"/>
      <c r="E542" s="12"/>
      <c r="F542" s="12"/>
      <c r="G542" s="12"/>
      <c r="H542" s="12"/>
    </row>
    <row r="543" spans="3:8" x14ac:dyDescent="0.2">
      <c r="C543" s="16"/>
      <c r="D543" s="12"/>
      <c r="E543" s="12"/>
      <c r="F543" s="12"/>
      <c r="G543" s="12"/>
      <c r="H543" s="12"/>
    </row>
    <row r="544" spans="3:8" x14ac:dyDescent="0.2">
      <c r="C544" s="16"/>
      <c r="D544" s="12"/>
      <c r="E544" s="12"/>
      <c r="F544" s="12"/>
      <c r="G544" s="12"/>
      <c r="H544" s="12"/>
    </row>
    <row r="545" spans="3:8" x14ac:dyDescent="0.2">
      <c r="C545" s="16"/>
      <c r="D545" s="12"/>
      <c r="E545" s="12"/>
      <c r="F545" s="12"/>
      <c r="G545" s="12"/>
      <c r="H545" s="12"/>
    </row>
    <row r="546" spans="3:8" x14ac:dyDescent="0.2">
      <c r="C546" s="16"/>
      <c r="D546" s="12"/>
      <c r="E546" s="12"/>
      <c r="F546" s="12"/>
      <c r="G546" s="12"/>
      <c r="H546" s="12"/>
    </row>
    <row r="547" spans="3:8" x14ac:dyDescent="0.2">
      <c r="C547" s="16"/>
      <c r="D547" s="12"/>
      <c r="E547" s="12"/>
      <c r="F547" s="12"/>
      <c r="G547" s="12"/>
      <c r="H547" s="12"/>
    </row>
    <row r="548" spans="3:8" x14ac:dyDescent="0.2">
      <c r="C548" s="16"/>
      <c r="D548" s="12"/>
      <c r="E548" s="12"/>
      <c r="F548" s="12"/>
      <c r="G548" s="12"/>
      <c r="H548" s="12"/>
    </row>
    <row r="549" spans="3:8" x14ac:dyDescent="0.2">
      <c r="C549" s="16"/>
      <c r="D549" s="12"/>
      <c r="E549" s="12"/>
      <c r="F549" s="12"/>
      <c r="G549" s="12"/>
      <c r="H549" s="12"/>
    </row>
    <row r="550" spans="3:8" x14ac:dyDescent="0.2">
      <c r="C550" s="16"/>
      <c r="D550" s="12"/>
      <c r="E550" s="12"/>
      <c r="F550" s="12"/>
      <c r="G550" s="12"/>
      <c r="H550" s="12"/>
    </row>
    <row r="551" spans="3:8" x14ac:dyDescent="0.2">
      <c r="C551" s="16"/>
      <c r="D551" s="12"/>
      <c r="E551" s="12"/>
      <c r="F551" s="12"/>
      <c r="G551" s="12"/>
      <c r="H551" s="12"/>
    </row>
    <row r="552" spans="3:8" x14ac:dyDescent="0.2">
      <c r="C552" s="16"/>
      <c r="D552" s="12"/>
      <c r="E552" s="12"/>
      <c r="F552" s="12"/>
      <c r="G552" s="12"/>
      <c r="H552" s="12"/>
    </row>
    <row r="553" spans="3:8" x14ac:dyDescent="0.2">
      <c r="C553" s="16"/>
      <c r="D553" s="12"/>
      <c r="E553" s="12"/>
      <c r="F553" s="12"/>
      <c r="G553" s="12"/>
      <c r="H553" s="12"/>
    </row>
    <row r="554" spans="3:8" x14ac:dyDescent="0.2">
      <c r="C554" s="16"/>
      <c r="D554" s="12"/>
      <c r="E554" s="12"/>
      <c r="F554" s="12"/>
      <c r="G554" s="12"/>
      <c r="H554" s="12"/>
    </row>
    <row r="555" spans="3:8" x14ac:dyDescent="0.2">
      <c r="C555" s="16"/>
      <c r="D555" s="12"/>
      <c r="E555" s="12"/>
      <c r="F555" s="12"/>
      <c r="G555" s="12"/>
      <c r="H555" s="12"/>
    </row>
    <row r="556" spans="3:8" x14ac:dyDescent="0.2">
      <c r="C556" s="16"/>
      <c r="D556" s="12"/>
      <c r="E556" s="12"/>
      <c r="F556" s="12"/>
      <c r="G556" s="12"/>
      <c r="H556" s="12"/>
    </row>
    <row r="557" spans="3:8" x14ac:dyDescent="0.2">
      <c r="C557" s="16"/>
      <c r="D557" s="12"/>
      <c r="E557" s="12"/>
      <c r="F557" s="12"/>
      <c r="G557" s="12"/>
      <c r="H557" s="12"/>
    </row>
    <row r="558" spans="3:8" x14ac:dyDescent="0.2">
      <c r="C558" s="16"/>
      <c r="D558" s="12"/>
      <c r="E558" s="12"/>
      <c r="F558" s="12"/>
      <c r="G558" s="12"/>
      <c r="H558" s="12"/>
    </row>
    <row r="559" spans="3:8" x14ac:dyDescent="0.2">
      <c r="C559" s="16"/>
      <c r="D559" s="12"/>
      <c r="E559" s="12"/>
      <c r="F559" s="12"/>
      <c r="G559" s="12"/>
      <c r="H559" s="12"/>
    </row>
    <row r="560" spans="3:8" x14ac:dyDescent="0.2">
      <c r="C560" s="16"/>
      <c r="D560" s="12"/>
      <c r="E560" s="12"/>
      <c r="F560" s="12"/>
      <c r="G560" s="12"/>
      <c r="H560" s="12"/>
    </row>
    <row r="561" spans="3:8" x14ac:dyDescent="0.2">
      <c r="C561" s="16"/>
      <c r="D561" s="12"/>
      <c r="E561" s="12"/>
      <c r="F561" s="12"/>
      <c r="G561" s="12"/>
      <c r="H561" s="12"/>
    </row>
    <row r="562" spans="3:8" x14ac:dyDescent="0.2">
      <c r="C562" s="16"/>
      <c r="D562" s="12"/>
      <c r="E562" s="12"/>
      <c r="F562" s="12"/>
      <c r="G562" s="12"/>
      <c r="H562" s="12"/>
    </row>
    <row r="563" spans="3:8" x14ac:dyDescent="0.2">
      <c r="C563" s="16"/>
      <c r="D563" s="12"/>
      <c r="E563" s="12"/>
      <c r="F563" s="12"/>
      <c r="G563" s="12"/>
      <c r="H563" s="12"/>
    </row>
    <row r="564" spans="3:8" x14ac:dyDescent="0.2">
      <c r="C564" s="16"/>
      <c r="D564" s="12"/>
      <c r="E564" s="12"/>
      <c r="F564" s="12"/>
      <c r="G564" s="12"/>
      <c r="H564" s="12"/>
    </row>
    <row r="565" spans="3:8" x14ac:dyDescent="0.2">
      <c r="C565" s="16"/>
      <c r="D565" s="12"/>
      <c r="E565" s="12"/>
      <c r="F565" s="12"/>
      <c r="G565" s="12"/>
      <c r="H565" s="12"/>
    </row>
    <row r="566" spans="3:8" x14ac:dyDescent="0.2">
      <c r="C566" s="16"/>
      <c r="D566" s="12"/>
      <c r="E566" s="12"/>
      <c r="F566" s="12"/>
      <c r="G566" s="12"/>
      <c r="H566" s="12"/>
    </row>
    <row r="567" spans="3:8" x14ac:dyDescent="0.2">
      <c r="C567" s="16"/>
      <c r="D567" s="12"/>
      <c r="E567" s="12"/>
      <c r="F567" s="12"/>
      <c r="G567" s="12"/>
      <c r="H567" s="12"/>
    </row>
    <row r="568" spans="3:8" x14ac:dyDescent="0.2">
      <c r="C568" s="16"/>
      <c r="D568" s="12"/>
      <c r="E568" s="12"/>
      <c r="F568" s="12"/>
      <c r="G568" s="12"/>
      <c r="H568" s="12"/>
    </row>
    <row r="569" spans="3:8" x14ac:dyDescent="0.2">
      <c r="C569" s="16"/>
      <c r="D569" s="12"/>
      <c r="E569" s="12"/>
      <c r="F569" s="12"/>
      <c r="G569" s="12"/>
      <c r="H569" s="12"/>
    </row>
    <row r="570" spans="3:8" x14ac:dyDescent="0.2">
      <c r="C570" s="16"/>
      <c r="D570" s="12"/>
      <c r="E570" s="12"/>
      <c r="F570" s="12"/>
      <c r="G570" s="12"/>
      <c r="H570" s="12"/>
    </row>
    <row r="571" spans="3:8" x14ac:dyDescent="0.2">
      <c r="C571" s="16"/>
      <c r="D571" s="12"/>
      <c r="E571" s="12"/>
      <c r="F571" s="12"/>
      <c r="G571" s="12"/>
      <c r="H571" s="12"/>
    </row>
    <row r="572" spans="3:8" x14ac:dyDescent="0.2">
      <c r="C572" s="16"/>
      <c r="D572" s="12"/>
      <c r="E572" s="12"/>
      <c r="F572" s="12"/>
      <c r="G572" s="12"/>
      <c r="H572" s="12"/>
    </row>
    <row r="573" spans="3:8" x14ac:dyDescent="0.2">
      <c r="C573" s="16"/>
      <c r="D573" s="12"/>
      <c r="E573" s="12"/>
      <c r="F573" s="12"/>
      <c r="G573" s="12"/>
      <c r="H573" s="12"/>
    </row>
    <row r="574" spans="3:8" x14ac:dyDescent="0.2">
      <c r="C574" s="16"/>
      <c r="D574" s="12"/>
      <c r="E574" s="12"/>
      <c r="F574" s="12"/>
      <c r="G574" s="12"/>
      <c r="H574" s="12"/>
    </row>
    <row r="575" spans="3:8" x14ac:dyDescent="0.2">
      <c r="C575" s="16"/>
      <c r="D575" s="12"/>
      <c r="E575" s="12"/>
      <c r="F575" s="12"/>
      <c r="G575" s="12"/>
      <c r="H575" s="12"/>
    </row>
    <row r="576" spans="3:8" x14ac:dyDescent="0.2">
      <c r="C576" s="16"/>
      <c r="D576" s="12"/>
      <c r="E576" s="12"/>
      <c r="F576" s="12"/>
      <c r="G576" s="12"/>
      <c r="H576" s="12"/>
    </row>
    <row r="577" spans="3:8" x14ac:dyDescent="0.2">
      <c r="C577" s="16"/>
      <c r="D577" s="12"/>
      <c r="E577" s="12"/>
      <c r="F577" s="12"/>
      <c r="G577" s="12"/>
      <c r="H577" s="12"/>
    </row>
    <row r="578" spans="3:8" x14ac:dyDescent="0.2">
      <c r="C578" s="16"/>
      <c r="D578" s="12"/>
      <c r="E578" s="12"/>
      <c r="F578" s="12"/>
      <c r="G578" s="12"/>
      <c r="H578" s="12"/>
    </row>
    <row r="579" spans="3:8" x14ac:dyDescent="0.2">
      <c r="C579" s="16"/>
      <c r="D579" s="12"/>
      <c r="E579" s="12"/>
      <c r="F579" s="12"/>
      <c r="G579" s="12"/>
      <c r="H579" s="12"/>
    </row>
    <row r="580" spans="3:8" x14ac:dyDescent="0.2">
      <c r="C580" s="16"/>
      <c r="D580" s="12"/>
      <c r="E580" s="12"/>
      <c r="F580" s="12"/>
      <c r="G580" s="12"/>
      <c r="H580" s="12"/>
    </row>
    <row r="581" spans="3:8" x14ac:dyDescent="0.2">
      <c r="C581" s="16"/>
      <c r="D581" s="12"/>
      <c r="E581" s="12"/>
      <c r="F581" s="12"/>
      <c r="G581" s="12"/>
      <c r="H581" s="12"/>
    </row>
    <row r="582" spans="3:8" x14ac:dyDescent="0.2">
      <c r="C582" s="16"/>
      <c r="D582" s="12"/>
      <c r="E582" s="12"/>
      <c r="F582" s="12"/>
      <c r="G582" s="12"/>
      <c r="H582" s="12"/>
    </row>
    <row r="583" spans="3:8" x14ac:dyDescent="0.2">
      <c r="C583" s="16"/>
      <c r="D583" s="12"/>
      <c r="E583" s="12"/>
      <c r="F583" s="12"/>
      <c r="G583" s="12"/>
      <c r="H583" s="12"/>
    </row>
    <row r="584" spans="3:8" x14ac:dyDescent="0.2">
      <c r="C584" s="16"/>
      <c r="D584" s="12"/>
      <c r="E584" s="12"/>
      <c r="F584" s="12"/>
      <c r="G584" s="12"/>
      <c r="H584" s="12"/>
    </row>
    <row r="585" spans="3:8" x14ac:dyDescent="0.2">
      <c r="C585" s="16"/>
      <c r="D585" s="12"/>
      <c r="E585" s="12"/>
      <c r="F585" s="12"/>
      <c r="G585" s="12"/>
      <c r="H585" s="12"/>
    </row>
    <row r="586" spans="3:8" x14ac:dyDescent="0.2">
      <c r="C586" s="16"/>
      <c r="D586" s="12"/>
      <c r="E586" s="12"/>
      <c r="F586" s="12"/>
      <c r="G586" s="12"/>
      <c r="H586" s="12"/>
    </row>
    <row r="587" spans="3:8" x14ac:dyDescent="0.2">
      <c r="C587" s="16"/>
      <c r="D587" s="12"/>
      <c r="E587" s="12"/>
      <c r="F587" s="12"/>
      <c r="G587" s="12"/>
      <c r="H587" s="12"/>
    </row>
    <row r="588" spans="3:8" x14ac:dyDescent="0.2">
      <c r="C588" s="16"/>
      <c r="D588" s="12"/>
      <c r="E588" s="12"/>
      <c r="F588" s="12"/>
      <c r="G588" s="12"/>
      <c r="H588" s="12"/>
    </row>
    <row r="589" spans="3:8" x14ac:dyDescent="0.2">
      <c r="C589" s="16"/>
      <c r="D589" s="12"/>
      <c r="E589" s="12"/>
      <c r="F589" s="12"/>
      <c r="G589" s="12"/>
      <c r="H589" s="12"/>
    </row>
    <row r="590" spans="3:8" x14ac:dyDescent="0.2">
      <c r="C590" s="16"/>
      <c r="D590" s="12"/>
      <c r="E590" s="12"/>
      <c r="F590" s="12"/>
      <c r="G590" s="12"/>
      <c r="H590" s="12"/>
    </row>
    <row r="591" spans="3:8" x14ac:dyDescent="0.2">
      <c r="C591" s="16"/>
      <c r="D591" s="12"/>
      <c r="E591" s="12"/>
      <c r="F591" s="12"/>
      <c r="G591" s="12"/>
      <c r="H591" s="12"/>
    </row>
    <row r="592" spans="3:8" x14ac:dyDescent="0.2">
      <c r="C592" s="16"/>
      <c r="D592" s="12"/>
      <c r="E592" s="12"/>
      <c r="F592" s="12"/>
      <c r="G592" s="12"/>
      <c r="H592" s="12"/>
    </row>
    <row r="593" spans="3:8" x14ac:dyDescent="0.2">
      <c r="C593" s="16"/>
      <c r="D593" s="12"/>
      <c r="E593" s="12"/>
      <c r="F593" s="12"/>
      <c r="G593" s="12"/>
      <c r="H593" s="12"/>
    </row>
    <row r="594" spans="3:8" x14ac:dyDescent="0.2">
      <c r="C594" s="16"/>
      <c r="D594" s="12"/>
      <c r="E594" s="12"/>
      <c r="F594" s="12"/>
      <c r="G594" s="12"/>
      <c r="H594" s="12"/>
    </row>
    <row r="595" spans="3:8" x14ac:dyDescent="0.2">
      <c r="C595" s="16"/>
      <c r="D595" s="12"/>
      <c r="E595" s="12"/>
      <c r="F595" s="12"/>
      <c r="G595" s="12"/>
      <c r="H595" s="12"/>
    </row>
    <row r="596" spans="3:8" x14ac:dyDescent="0.2">
      <c r="C596" s="16"/>
      <c r="D596" s="12"/>
      <c r="E596" s="12"/>
      <c r="F596" s="12"/>
      <c r="G596" s="12"/>
      <c r="H596" s="12"/>
    </row>
    <row r="597" spans="3:8" x14ac:dyDescent="0.2">
      <c r="C597" s="16"/>
      <c r="D597" s="12"/>
      <c r="E597" s="12"/>
      <c r="F597" s="12"/>
      <c r="G597" s="12"/>
      <c r="H597" s="12"/>
    </row>
    <row r="598" spans="3:8" x14ac:dyDescent="0.2">
      <c r="C598" s="16"/>
      <c r="D598" s="12"/>
      <c r="E598" s="12"/>
      <c r="F598" s="12"/>
      <c r="G598" s="12"/>
      <c r="H598" s="12"/>
    </row>
    <row r="599" spans="3:8" x14ac:dyDescent="0.2">
      <c r="C599" s="16"/>
      <c r="D599" s="12"/>
      <c r="E599" s="12"/>
      <c r="F599" s="12"/>
      <c r="G599" s="12"/>
      <c r="H599" s="12"/>
    </row>
    <row r="600" spans="3:8" x14ac:dyDescent="0.2">
      <c r="C600" s="16"/>
      <c r="D600" s="12"/>
      <c r="E600" s="12"/>
      <c r="F600" s="12"/>
      <c r="G600" s="12"/>
      <c r="H600" s="12"/>
    </row>
    <row r="601" spans="3:8" x14ac:dyDescent="0.2">
      <c r="C601" s="16"/>
      <c r="D601" s="12"/>
      <c r="E601" s="12"/>
      <c r="F601" s="12"/>
      <c r="G601" s="12"/>
      <c r="H601" s="12"/>
    </row>
    <row r="602" spans="3:8" x14ac:dyDescent="0.2">
      <c r="C602" s="16"/>
      <c r="D602" s="12"/>
      <c r="E602" s="12"/>
      <c r="F602" s="12"/>
      <c r="G602" s="12"/>
      <c r="H602" s="12"/>
    </row>
    <row r="603" spans="3:8" x14ac:dyDescent="0.2">
      <c r="C603" s="16"/>
      <c r="D603" s="12"/>
      <c r="E603" s="12"/>
      <c r="F603" s="12"/>
      <c r="G603" s="12"/>
      <c r="H603" s="12"/>
    </row>
    <row r="604" spans="3:8" x14ac:dyDescent="0.2">
      <c r="C604" s="16"/>
      <c r="D604" s="12"/>
      <c r="E604" s="12"/>
      <c r="F604" s="12"/>
      <c r="G604" s="12"/>
      <c r="H604" s="12"/>
    </row>
    <row r="605" spans="3:8" x14ac:dyDescent="0.2">
      <c r="C605" s="16"/>
      <c r="D605" s="12"/>
      <c r="E605" s="12"/>
      <c r="F605" s="12"/>
      <c r="G605" s="12"/>
      <c r="H605" s="12"/>
    </row>
    <row r="606" spans="3:8" x14ac:dyDescent="0.2">
      <c r="C606" s="16"/>
      <c r="D606" s="12"/>
      <c r="E606" s="12"/>
      <c r="F606" s="12"/>
      <c r="G606" s="12"/>
      <c r="H606" s="12"/>
    </row>
    <row r="607" spans="3:8" x14ac:dyDescent="0.2">
      <c r="C607" s="16"/>
      <c r="D607" s="12"/>
      <c r="E607" s="12"/>
      <c r="F607" s="12"/>
      <c r="G607" s="12"/>
      <c r="H607" s="12"/>
    </row>
    <row r="608" spans="3:8" x14ac:dyDescent="0.2">
      <c r="C608" s="16"/>
      <c r="D608" s="12"/>
      <c r="E608" s="12"/>
      <c r="F608" s="12"/>
      <c r="G608" s="12"/>
      <c r="H608" s="12"/>
    </row>
    <row r="609" spans="3:8" x14ac:dyDescent="0.2">
      <c r="C609" s="16"/>
      <c r="D609" s="12"/>
      <c r="E609" s="12"/>
      <c r="F609" s="12"/>
      <c r="G609" s="12"/>
      <c r="H609" s="12"/>
    </row>
    <row r="610" spans="3:8" x14ac:dyDescent="0.2">
      <c r="C610" s="16"/>
      <c r="D610" s="12"/>
      <c r="E610" s="12"/>
      <c r="F610" s="12"/>
      <c r="G610" s="12"/>
      <c r="H610" s="12"/>
    </row>
    <row r="611" spans="3:8" x14ac:dyDescent="0.2">
      <c r="C611" s="16"/>
      <c r="D611" s="12"/>
      <c r="E611" s="12"/>
      <c r="F611" s="12"/>
      <c r="G611" s="12"/>
      <c r="H611" s="12"/>
    </row>
    <row r="612" spans="3:8" x14ac:dyDescent="0.2">
      <c r="C612" s="16"/>
      <c r="D612" s="12"/>
      <c r="E612" s="12"/>
      <c r="F612" s="12"/>
      <c r="G612" s="12"/>
      <c r="H612" s="12"/>
    </row>
    <row r="613" spans="3:8" x14ac:dyDescent="0.2">
      <c r="C613" s="16"/>
      <c r="D613" s="12"/>
      <c r="E613" s="12"/>
      <c r="F613" s="12"/>
      <c r="G613" s="12"/>
      <c r="H613" s="12"/>
    </row>
    <row r="614" spans="3:8" x14ac:dyDescent="0.2">
      <c r="C614" s="16"/>
      <c r="D614" s="12"/>
      <c r="E614" s="12"/>
      <c r="F614" s="12"/>
      <c r="G614" s="12"/>
      <c r="H614" s="12"/>
    </row>
    <row r="615" spans="3:8" x14ac:dyDescent="0.2">
      <c r="C615" s="16"/>
      <c r="D615" s="12"/>
      <c r="E615" s="12"/>
      <c r="F615" s="12"/>
      <c r="G615" s="12"/>
      <c r="H615" s="12"/>
    </row>
    <row r="616" spans="3:8" x14ac:dyDescent="0.2">
      <c r="C616" s="16"/>
      <c r="D616" s="12"/>
      <c r="E616" s="12"/>
      <c r="F616" s="12"/>
      <c r="G616" s="12"/>
      <c r="H616" s="12"/>
    </row>
    <row r="617" spans="3:8" x14ac:dyDescent="0.2">
      <c r="C617" s="16"/>
      <c r="D617" s="12"/>
      <c r="E617" s="12"/>
      <c r="F617" s="12"/>
      <c r="G617" s="12"/>
      <c r="H617" s="12"/>
    </row>
    <row r="618" spans="3:8" x14ac:dyDescent="0.2">
      <c r="C618" s="16"/>
      <c r="D618" s="12"/>
      <c r="E618" s="12"/>
      <c r="F618" s="12"/>
      <c r="G618" s="12"/>
      <c r="H618" s="12"/>
    </row>
    <row r="619" spans="3:8" x14ac:dyDescent="0.2">
      <c r="C619" s="16"/>
      <c r="D619" s="12"/>
      <c r="E619" s="12"/>
      <c r="F619" s="12"/>
      <c r="G619" s="12"/>
      <c r="H619" s="12"/>
    </row>
    <row r="620" spans="3:8" x14ac:dyDescent="0.2">
      <c r="C620" s="16"/>
      <c r="D620" s="12"/>
      <c r="E620" s="12"/>
      <c r="F620" s="12"/>
      <c r="G620" s="12"/>
      <c r="H620" s="12"/>
    </row>
    <row r="621" spans="3:8" x14ac:dyDescent="0.2">
      <c r="C621" s="16"/>
      <c r="D621" s="12"/>
      <c r="E621" s="12"/>
      <c r="F621" s="12"/>
      <c r="G621" s="12"/>
      <c r="H621" s="12"/>
    </row>
    <row r="622" spans="3:8" x14ac:dyDescent="0.2">
      <c r="C622" s="16"/>
      <c r="D622" s="12"/>
      <c r="E622" s="12"/>
      <c r="F622" s="12"/>
      <c r="G622" s="12"/>
      <c r="H622" s="12"/>
    </row>
    <row r="623" spans="3:8" x14ac:dyDescent="0.2">
      <c r="C623" s="16"/>
      <c r="D623" s="12"/>
      <c r="E623" s="12"/>
      <c r="F623" s="12"/>
      <c r="G623" s="12"/>
      <c r="H623" s="12"/>
    </row>
    <row r="624" spans="3:8" x14ac:dyDescent="0.2">
      <c r="C624" s="16"/>
      <c r="D624" s="12"/>
      <c r="E624" s="12"/>
      <c r="F624" s="12"/>
      <c r="G624" s="12"/>
      <c r="H624" s="12"/>
    </row>
    <row r="625" spans="3:8" x14ac:dyDescent="0.2">
      <c r="C625" s="16"/>
      <c r="D625" s="12"/>
      <c r="E625" s="12"/>
      <c r="F625" s="12"/>
      <c r="G625" s="12"/>
      <c r="H625" s="12"/>
    </row>
    <row r="626" spans="3:8" x14ac:dyDescent="0.2">
      <c r="C626" s="16"/>
      <c r="D626" s="12"/>
      <c r="E626" s="12"/>
      <c r="F626" s="12"/>
      <c r="G626" s="12"/>
      <c r="H626" s="12"/>
    </row>
    <row r="627" spans="3:8" x14ac:dyDescent="0.2">
      <c r="C627" s="16"/>
      <c r="D627" s="12"/>
      <c r="E627" s="12"/>
      <c r="F627" s="12"/>
      <c r="G627" s="12"/>
      <c r="H627" s="12"/>
    </row>
    <row r="628" spans="3:8" x14ac:dyDescent="0.2">
      <c r="C628" s="16"/>
      <c r="D628" s="12"/>
      <c r="E628" s="12"/>
      <c r="F628" s="12"/>
      <c r="G628" s="12"/>
      <c r="H628" s="12"/>
    </row>
    <row r="629" spans="3:8" x14ac:dyDescent="0.2">
      <c r="C629" s="16"/>
      <c r="D629" s="12"/>
      <c r="E629" s="12"/>
      <c r="F629" s="12"/>
      <c r="G629" s="12"/>
      <c r="H629" s="12"/>
    </row>
    <row r="630" spans="3:8" x14ac:dyDescent="0.2">
      <c r="C630" s="16"/>
      <c r="D630" s="12"/>
      <c r="E630" s="12"/>
      <c r="F630" s="12"/>
      <c r="G630" s="12"/>
      <c r="H630" s="12"/>
    </row>
    <row r="631" spans="3:8" x14ac:dyDescent="0.2">
      <c r="C631" s="16"/>
      <c r="D631" s="12"/>
      <c r="E631" s="12"/>
      <c r="F631" s="12"/>
      <c r="G631" s="12"/>
      <c r="H631" s="12"/>
    </row>
    <row r="632" spans="3:8" x14ac:dyDescent="0.2">
      <c r="C632" s="16"/>
      <c r="D632" s="12"/>
      <c r="E632" s="12"/>
      <c r="F632" s="12"/>
      <c r="G632" s="12"/>
      <c r="H632" s="12"/>
    </row>
    <row r="633" spans="3:8" x14ac:dyDescent="0.2">
      <c r="C633" s="16"/>
      <c r="D633" s="12"/>
      <c r="E633" s="12"/>
      <c r="F633" s="12"/>
      <c r="G633" s="12"/>
      <c r="H633" s="12"/>
    </row>
    <row r="634" spans="3:8" x14ac:dyDescent="0.2">
      <c r="C634" s="16"/>
      <c r="D634" s="12"/>
      <c r="E634" s="12"/>
      <c r="F634" s="12"/>
      <c r="G634" s="12"/>
      <c r="H634" s="12"/>
    </row>
    <row r="635" spans="3:8" x14ac:dyDescent="0.2">
      <c r="C635" s="16"/>
      <c r="D635" s="12"/>
      <c r="E635" s="12"/>
      <c r="F635" s="12"/>
      <c r="G635" s="12"/>
      <c r="H635" s="12"/>
    </row>
    <row r="636" spans="3:8" x14ac:dyDescent="0.2">
      <c r="C636" s="16"/>
      <c r="D636" s="12"/>
      <c r="E636" s="12"/>
      <c r="F636" s="12"/>
      <c r="G636" s="12"/>
      <c r="H636" s="12"/>
    </row>
    <row r="637" spans="3:8" x14ac:dyDescent="0.2">
      <c r="C637" s="16"/>
      <c r="D637" s="12"/>
      <c r="E637" s="12"/>
      <c r="F637" s="12"/>
      <c r="G637" s="12"/>
      <c r="H637" s="12"/>
    </row>
    <row r="638" spans="3:8" x14ac:dyDescent="0.2">
      <c r="C638" s="16"/>
      <c r="D638" s="12"/>
      <c r="E638" s="12"/>
      <c r="F638" s="12"/>
      <c r="G638" s="12"/>
      <c r="H638" s="12"/>
    </row>
    <row r="639" spans="3:8" x14ac:dyDescent="0.2">
      <c r="C639" s="16"/>
      <c r="D639" s="12"/>
      <c r="E639" s="12"/>
      <c r="F639" s="12"/>
      <c r="G639" s="12"/>
      <c r="H639" s="12"/>
    </row>
    <row r="640" spans="3:8" x14ac:dyDescent="0.2">
      <c r="C640" s="16"/>
      <c r="D640" s="12"/>
      <c r="E640" s="12"/>
      <c r="F640" s="12"/>
      <c r="G640" s="12"/>
      <c r="H640" s="12"/>
    </row>
    <row r="641" spans="3:8" x14ac:dyDescent="0.2">
      <c r="C641" s="16"/>
      <c r="D641" s="12"/>
      <c r="E641" s="12"/>
      <c r="F641" s="12"/>
      <c r="G641" s="12"/>
      <c r="H641" s="12"/>
    </row>
    <row r="642" spans="3:8" x14ac:dyDescent="0.2">
      <c r="C642" s="16"/>
      <c r="D642" s="12"/>
      <c r="E642" s="12"/>
      <c r="F642" s="12"/>
      <c r="G642" s="12"/>
      <c r="H642" s="12"/>
    </row>
    <row r="643" spans="3:8" x14ac:dyDescent="0.2">
      <c r="C643" s="16"/>
      <c r="D643" s="12"/>
      <c r="E643" s="12"/>
      <c r="F643" s="12"/>
      <c r="G643" s="12"/>
      <c r="H643" s="12"/>
    </row>
    <row r="644" spans="3:8" x14ac:dyDescent="0.2">
      <c r="C644" s="16"/>
      <c r="D644" s="12"/>
      <c r="E644" s="12"/>
      <c r="F644" s="12"/>
      <c r="G644" s="12"/>
      <c r="H644" s="12"/>
    </row>
    <row r="645" spans="3:8" x14ac:dyDescent="0.2">
      <c r="C645" s="16"/>
      <c r="D645" s="12"/>
      <c r="E645" s="12"/>
      <c r="F645" s="12"/>
      <c r="G645" s="12"/>
      <c r="H645" s="12"/>
    </row>
    <row r="646" spans="3:8" x14ac:dyDescent="0.2">
      <c r="C646" s="16"/>
      <c r="D646" s="12"/>
      <c r="E646" s="12"/>
      <c r="F646" s="12"/>
      <c r="G646" s="12"/>
      <c r="H646" s="12"/>
    </row>
    <row r="647" spans="3:8" x14ac:dyDescent="0.2">
      <c r="C647" s="16"/>
      <c r="D647" s="12"/>
      <c r="E647" s="12"/>
      <c r="F647" s="12"/>
      <c r="G647" s="12"/>
      <c r="H647" s="12"/>
    </row>
    <row r="648" spans="3:8" x14ac:dyDescent="0.2">
      <c r="C648" s="16"/>
      <c r="D648" s="12"/>
      <c r="E648" s="12"/>
      <c r="F648" s="12"/>
      <c r="G648" s="12"/>
      <c r="H648" s="12"/>
    </row>
    <row r="649" spans="3:8" x14ac:dyDescent="0.2">
      <c r="C649" s="16"/>
      <c r="D649" s="12"/>
      <c r="E649" s="12"/>
      <c r="F649" s="12"/>
      <c r="G649" s="12"/>
      <c r="H649" s="12"/>
    </row>
    <row r="650" spans="3:8" x14ac:dyDescent="0.2">
      <c r="C650" s="16"/>
      <c r="D650" s="12"/>
      <c r="E650" s="12"/>
      <c r="F650" s="12"/>
      <c r="G650" s="12"/>
      <c r="H650" s="12"/>
    </row>
    <row r="651" spans="3:8" x14ac:dyDescent="0.2">
      <c r="C651" s="16"/>
      <c r="D651" s="12"/>
      <c r="E651" s="12"/>
      <c r="F651" s="12"/>
      <c r="G651" s="12"/>
      <c r="H651" s="12"/>
    </row>
    <row r="652" spans="3:8" x14ac:dyDescent="0.2">
      <c r="C652" s="16"/>
      <c r="D652" s="12"/>
      <c r="E652" s="12"/>
      <c r="F652" s="12"/>
      <c r="G652" s="12"/>
      <c r="H652" s="12"/>
    </row>
    <row r="653" spans="3:8" x14ac:dyDescent="0.2">
      <c r="C653" s="16"/>
      <c r="D653" s="12"/>
      <c r="E653" s="12"/>
      <c r="F653" s="12"/>
      <c r="G653" s="12"/>
      <c r="H653" s="12"/>
    </row>
    <row r="654" spans="3:8" x14ac:dyDescent="0.2">
      <c r="C654" s="16"/>
      <c r="D654" s="12"/>
      <c r="E654" s="12"/>
      <c r="F654" s="12"/>
      <c r="G654" s="12"/>
      <c r="H654" s="12"/>
    </row>
    <row r="655" spans="3:8" x14ac:dyDescent="0.2">
      <c r="C655" s="16"/>
      <c r="D655" s="12"/>
      <c r="E655" s="12"/>
      <c r="F655" s="12"/>
      <c r="G655" s="12"/>
      <c r="H655" s="12"/>
    </row>
    <row r="656" spans="3:8" x14ac:dyDescent="0.2">
      <c r="C656" s="16"/>
      <c r="D656" s="12"/>
      <c r="E656" s="12"/>
      <c r="F656" s="12"/>
      <c r="G656" s="12"/>
      <c r="H656" s="12"/>
    </row>
    <row r="657" spans="3:8" x14ac:dyDescent="0.2">
      <c r="C657" s="16"/>
      <c r="D657" s="12"/>
      <c r="E657" s="12"/>
      <c r="F657" s="12"/>
      <c r="G657" s="12"/>
      <c r="H657" s="12"/>
    </row>
    <row r="658" spans="3:8" x14ac:dyDescent="0.2">
      <c r="C658" s="16"/>
      <c r="D658" s="12"/>
      <c r="E658" s="12"/>
      <c r="F658" s="12"/>
      <c r="G658" s="12"/>
      <c r="H658" s="12"/>
    </row>
    <row r="659" spans="3:8" x14ac:dyDescent="0.2">
      <c r="C659" s="16"/>
      <c r="D659" s="12"/>
      <c r="E659" s="12"/>
      <c r="F659" s="12"/>
      <c r="G659" s="12"/>
      <c r="H659" s="12"/>
    </row>
    <row r="660" spans="3:8" x14ac:dyDescent="0.2">
      <c r="C660" s="16"/>
      <c r="D660" s="12"/>
      <c r="E660" s="12"/>
      <c r="F660" s="12"/>
      <c r="G660" s="12"/>
      <c r="H660" s="12"/>
    </row>
    <row r="661" spans="3:8" x14ac:dyDescent="0.2">
      <c r="C661" s="16"/>
      <c r="D661" s="12"/>
      <c r="E661" s="12"/>
      <c r="F661" s="12"/>
      <c r="G661" s="12"/>
      <c r="H661" s="12"/>
    </row>
    <row r="662" spans="3:8" x14ac:dyDescent="0.2">
      <c r="C662" s="16"/>
      <c r="D662" s="12"/>
      <c r="E662" s="12"/>
      <c r="F662" s="12"/>
      <c r="G662" s="12"/>
      <c r="H662" s="12"/>
    </row>
    <row r="663" spans="3:8" x14ac:dyDescent="0.2">
      <c r="C663" s="16"/>
      <c r="D663" s="12"/>
      <c r="E663" s="12"/>
      <c r="F663" s="12"/>
      <c r="G663" s="12"/>
      <c r="H663" s="12"/>
    </row>
    <row r="664" spans="3:8" x14ac:dyDescent="0.2">
      <c r="C664" s="16"/>
      <c r="D664" s="12"/>
      <c r="E664" s="12"/>
      <c r="F664" s="12"/>
      <c r="G664" s="12"/>
      <c r="H664" s="12"/>
    </row>
    <row r="665" spans="3:8" x14ac:dyDescent="0.2">
      <c r="C665" s="16"/>
      <c r="D665" s="12"/>
      <c r="E665" s="12"/>
      <c r="F665" s="12"/>
      <c r="G665" s="12"/>
      <c r="H665" s="12"/>
    </row>
    <row r="666" spans="3:8" x14ac:dyDescent="0.2">
      <c r="C666" s="16"/>
      <c r="D666" s="12"/>
      <c r="E666" s="12"/>
      <c r="F666" s="12"/>
      <c r="G666" s="12"/>
      <c r="H666" s="12"/>
    </row>
    <row r="667" spans="3:8" x14ac:dyDescent="0.2">
      <c r="C667" s="16"/>
      <c r="D667" s="12"/>
      <c r="E667" s="12"/>
      <c r="F667" s="12"/>
      <c r="G667" s="12"/>
      <c r="H667" s="12"/>
    </row>
    <row r="668" spans="3:8" x14ac:dyDescent="0.2">
      <c r="C668" s="16"/>
      <c r="D668" s="12"/>
      <c r="E668" s="12"/>
      <c r="F668" s="12"/>
      <c r="G668" s="12"/>
      <c r="H668" s="12"/>
    </row>
    <row r="669" spans="3:8" x14ac:dyDescent="0.2">
      <c r="C669" s="16"/>
      <c r="D669" s="12"/>
      <c r="E669" s="12"/>
      <c r="F669" s="12"/>
      <c r="G669" s="12"/>
      <c r="H669" s="12"/>
    </row>
    <row r="670" spans="3:8" x14ac:dyDescent="0.2">
      <c r="C670" s="16"/>
      <c r="D670" s="12"/>
      <c r="E670" s="12"/>
      <c r="F670" s="12"/>
      <c r="G670" s="12"/>
      <c r="H670" s="12"/>
    </row>
    <row r="671" spans="3:8" x14ac:dyDescent="0.2">
      <c r="C671" s="16"/>
      <c r="D671" s="12"/>
      <c r="E671" s="12"/>
      <c r="F671" s="12"/>
      <c r="G671" s="12"/>
      <c r="H671" s="12"/>
    </row>
    <row r="672" spans="3:8" x14ac:dyDescent="0.2">
      <c r="C672" s="16"/>
      <c r="D672" s="12"/>
      <c r="E672" s="12"/>
      <c r="F672" s="12"/>
      <c r="G672" s="12"/>
      <c r="H672" s="12"/>
    </row>
    <row r="673" spans="3:8" x14ac:dyDescent="0.2">
      <c r="C673" s="16"/>
      <c r="D673" s="12"/>
      <c r="E673" s="12"/>
      <c r="F673" s="12"/>
      <c r="G673" s="12"/>
      <c r="H673" s="12"/>
    </row>
    <row r="674" spans="3:8" x14ac:dyDescent="0.2">
      <c r="C674" s="16"/>
      <c r="D674" s="12"/>
      <c r="E674" s="12"/>
      <c r="F674" s="12"/>
      <c r="G674" s="12"/>
      <c r="H674" s="12"/>
    </row>
    <row r="675" spans="3:8" x14ac:dyDescent="0.2">
      <c r="C675" s="16"/>
      <c r="D675" s="12"/>
      <c r="E675" s="12"/>
      <c r="F675" s="12"/>
      <c r="G675" s="12"/>
      <c r="H675" s="12"/>
    </row>
    <row r="676" spans="3:8" x14ac:dyDescent="0.2">
      <c r="C676" s="16"/>
      <c r="D676" s="12"/>
      <c r="E676" s="12"/>
      <c r="F676" s="12"/>
      <c r="G676" s="12"/>
      <c r="H676" s="12"/>
    </row>
    <row r="677" spans="3:8" x14ac:dyDescent="0.2">
      <c r="C677" s="16"/>
      <c r="D677" s="12"/>
      <c r="E677" s="12"/>
      <c r="F677" s="12"/>
      <c r="G677" s="12"/>
      <c r="H677" s="12"/>
    </row>
    <row r="678" spans="3:8" x14ac:dyDescent="0.2">
      <c r="C678" s="16"/>
      <c r="D678" s="12"/>
      <c r="E678" s="12"/>
      <c r="F678" s="12"/>
      <c r="G678" s="12"/>
      <c r="H678" s="12"/>
    </row>
    <row r="679" spans="3:8" x14ac:dyDescent="0.2">
      <c r="C679" s="16"/>
      <c r="D679" s="12"/>
      <c r="E679" s="12"/>
      <c r="F679" s="12"/>
      <c r="G679" s="12"/>
      <c r="H679" s="12"/>
    </row>
    <row r="680" spans="3:8" x14ac:dyDescent="0.2">
      <c r="C680" s="16"/>
      <c r="D680" s="12"/>
      <c r="E680" s="12"/>
      <c r="F680" s="12"/>
      <c r="G680" s="12"/>
      <c r="H680" s="12"/>
    </row>
    <row r="681" spans="3:8" x14ac:dyDescent="0.2">
      <c r="C681" s="16"/>
      <c r="D681" s="12"/>
      <c r="E681" s="12"/>
      <c r="F681" s="12"/>
      <c r="G681" s="12"/>
      <c r="H681" s="12"/>
    </row>
    <row r="682" spans="3:8" x14ac:dyDescent="0.2">
      <c r="C682" s="16"/>
      <c r="D682" s="12"/>
      <c r="E682" s="12"/>
      <c r="F682" s="12"/>
      <c r="G682" s="12"/>
      <c r="H682" s="12"/>
    </row>
    <row r="683" spans="3:8" x14ac:dyDescent="0.2">
      <c r="C683" s="16"/>
      <c r="D683" s="12"/>
      <c r="E683" s="12"/>
      <c r="F683" s="12"/>
      <c r="G683" s="12"/>
      <c r="H683" s="12"/>
    </row>
    <row r="684" spans="3:8" x14ac:dyDescent="0.2">
      <c r="C684" s="16"/>
      <c r="D684" s="12"/>
      <c r="E684" s="12"/>
      <c r="F684" s="12"/>
      <c r="G684" s="12"/>
      <c r="H684" s="12"/>
    </row>
    <row r="685" spans="3:8" x14ac:dyDescent="0.2">
      <c r="C685" s="16"/>
      <c r="D685" s="12"/>
      <c r="E685" s="12"/>
      <c r="F685" s="12"/>
      <c r="G685" s="12"/>
      <c r="H685" s="12"/>
    </row>
    <row r="686" spans="3:8" x14ac:dyDescent="0.2">
      <c r="C686" s="16"/>
      <c r="D686" s="12"/>
      <c r="E686" s="12"/>
      <c r="F686" s="12"/>
      <c r="G686" s="12"/>
      <c r="H686" s="12"/>
    </row>
    <row r="687" spans="3:8" x14ac:dyDescent="0.2">
      <c r="C687" s="16"/>
      <c r="D687" s="12"/>
      <c r="E687" s="12"/>
      <c r="F687" s="12"/>
      <c r="G687" s="12"/>
      <c r="H687" s="12"/>
    </row>
    <row r="688" spans="3:8" x14ac:dyDescent="0.2">
      <c r="C688" s="16"/>
      <c r="D688" s="12"/>
      <c r="E688" s="12"/>
      <c r="F688" s="12"/>
      <c r="G688" s="12"/>
      <c r="H688" s="12"/>
    </row>
    <row r="689" spans="3:8" x14ac:dyDescent="0.2">
      <c r="C689" s="16"/>
      <c r="D689" s="12"/>
      <c r="E689" s="12"/>
      <c r="F689" s="12"/>
      <c r="G689" s="12"/>
      <c r="H689" s="12"/>
    </row>
    <row r="690" spans="3:8" x14ac:dyDescent="0.2">
      <c r="C690" s="16"/>
      <c r="D690" s="12"/>
      <c r="E690" s="12"/>
      <c r="F690" s="12"/>
      <c r="G690" s="12"/>
      <c r="H690" s="12"/>
    </row>
    <row r="691" spans="3:8" x14ac:dyDescent="0.2">
      <c r="C691" s="16"/>
      <c r="D691" s="12"/>
      <c r="E691" s="12"/>
      <c r="F691" s="12"/>
      <c r="G691" s="12"/>
      <c r="H691" s="12"/>
    </row>
    <row r="692" spans="3:8" x14ac:dyDescent="0.2">
      <c r="C692" s="16"/>
      <c r="D692" s="12"/>
      <c r="E692" s="12"/>
      <c r="F692" s="12"/>
      <c r="G692" s="12"/>
      <c r="H692" s="12"/>
    </row>
    <row r="693" spans="3:8" x14ac:dyDescent="0.2">
      <c r="C693" s="16"/>
      <c r="D693" s="12"/>
      <c r="E693" s="12"/>
      <c r="F693" s="12"/>
      <c r="G693" s="12"/>
      <c r="H693" s="12"/>
    </row>
    <row r="694" spans="3:8" x14ac:dyDescent="0.2">
      <c r="C694" s="16"/>
      <c r="D694" s="12"/>
      <c r="E694" s="12"/>
      <c r="F694" s="12"/>
      <c r="G694" s="12"/>
      <c r="H694" s="12"/>
    </row>
    <row r="695" spans="3:8" x14ac:dyDescent="0.2">
      <c r="C695" s="16"/>
      <c r="D695" s="12"/>
      <c r="E695" s="12"/>
      <c r="F695" s="12"/>
      <c r="G695" s="12"/>
      <c r="H695" s="12"/>
    </row>
    <row r="696" spans="3:8" x14ac:dyDescent="0.2">
      <c r="C696" s="16"/>
      <c r="D696" s="12"/>
      <c r="E696" s="12"/>
      <c r="F696" s="12"/>
      <c r="G696" s="12"/>
      <c r="H696" s="12"/>
    </row>
    <row r="697" spans="3:8" x14ac:dyDescent="0.2">
      <c r="C697" s="16"/>
      <c r="D697" s="12"/>
      <c r="E697" s="12"/>
      <c r="F697" s="12"/>
      <c r="G697" s="12"/>
      <c r="H697" s="12"/>
    </row>
    <row r="698" spans="3:8" x14ac:dyDescent="0.2">
      <c r="C698" s="16"/>
      <c r="D698" s="12"/>
      <c r="E698" s="12"/>
      <c r="F698" s="12"/>
      <c r="G698" s="12"/>
      <c r="H698" s="12"/>
    </row>
    <row r="699" spans="3:8" x14ac:dyDescent="0.2">
      <c r="C699" s="16"/>
      <c r="D699" s="12"/>
      <c r="E699" s="12"/>
      <c r="F699" s="12"/>
      <c r="G699" s="12"/>
      <c r="H699" s="12"/>
    </row>
    <row r="700" spans="3:8" x14ac:dyDescent="0.2">
      <c r="C700" s="16"/>
      <c r="D700" s="12"/>
      <c r="E700" s="12"/>
      <c r="F700" s="12"/>
      <c r="G700" s="12"/>
      <c r="H700" s="12"/>
    </row>
    <row r="701" spans="3:8" x14ac:dyDescent="0.2">
      <c r="C701" s="16"/>
      <c r="D701" s="12"/>
      <c r="E701" s="12"/>
      <c r="F701" s="12"/>
      <c r="G701" s="12"/>
      <c r="H701" s="12"/>
    </row>
    <row r="702" spans="3:8" x14ac:dyDescent="0.2">
      <c r="C702" s="16"/>
      <c r="D702" s="12"/>
      <c r="E702" s="12"/>
      <c r="F702" s="12"/>
      <c r="G702" s="12"/>
      <c r="H702" s="12"/>
    </row>
    <row r="703" spans="3:8" x14ac:dyDescent="0.2">
      <c r="C703" s="16"/>
      <c r="D703" s="12"/>
      <c r="E703" s="12"/>
      <c r="F703" s="12"/>
      <c r="G703" s="12"/>
      <c r="H703" s="12"/>
    </row>
    <row r="704" spans="3:8" x14ac:dyDescent="0.2">
      <c r="C704" s="16"/>
      <c r="D704" s="12"/>
      <c r="E704" s="12"/>
      <c r="F704" s="12"/>
      <c r="G704" s="12"/>
      <c r="H704" s="12"/>
    </row>
    <row r="705" spans="3:8" x14ac:dyDescent="0.2">
      <c r="C705" s="16"/>
      <c r="D705" s="12"/>
      <c r="E705" s="12"/>
      <c r="F705" s="12"/>
      <c r="G705" s="12"/>
      <c r="H705" s="12"/>
    </row>
    <row r="706" spans="3:8" x14ac:dyDescent="0.2">
      <c r="C706" s="16"/>
      <c r="D706" s="12"/>
      <c r="E706" s="12"/>
      <c r="F706" s="12"/>
      <c r="G706" s="12"/>
      <c r="H706" s="12"/>
    </row>
    <row r="707" spans="3:8" x14ac:dyDescent="0.2">
      <c r="C707" s="16"/>
      <c r="D707" s="12"/>
      <c r="E707" s="12"/>
      <c r="F707" s="12"/>
      <c r="G707" s="12"/>
      <c r="H707" s="12"/>
    </row>
    <row r="708" spans="3:8" x14ac:dyDescent="0.2">
      <c r="C708" s="16"/>
      <c r="D708" s="12"/>
      <c r="E708" s="12"/>
      <c r="F708" s="12"/>
      <c r="G708" s="12"/>
      <c r="H708" s="12"/>
    </row>
    <row r="709" spans="3:8" x14ac:dyDescent="0.2">
      <c r="C709" s="16"/>
      <c r="D709" s="12"/>
      <c r="E709" s="12"/>
      <c r="F709" s="12"/>
      <c r="G709" s="12"/>
      <c r="H709" s="12"/>
    </row>
    <row r="710" spans="3:8" x14ac:dyDescent="0.2">
      <c r="C710" s="16"/>
      <c r="D710" s="12"/>
      <c r="E710" s="12"/>
      <c r="F710" s="12"/>
      <c r="G710" s="12"/>
      <c r="H710" s="12"/>
    </row>
    <row r="711" spans="3:8" x14ac:dyDescent="0.2">
      <c r="C711" s="16"/>
      <c r="D711" s="12"/>
      <c r="E711" s="12"/>
      <c r="F711" s="12"/>
      <c r="G711" s="12"/>
      <c r="H711" s="12"/>
    </row>
    <row r="712" spans="3:8" x14ac:dyDescent="0.2">
      <c r="C712" s="16"/>
      <c r="D712" s="12"/>
      <c r="E712" s="12"/>
      <c r="F712" s="12"/>
      <c r="G712" s="12"/>
      <c r="H712" s="12"/>
    </row>
    <row r="713" spans="3:8" x14ac:dyDescent="0.2">
      <c r="C713" s="16"/>
      <c r="D713" s="12"/>
      <c r="E713" s="12"/>
      <c r="F713" s="12"/>
      <c r="G713" s="12"/>
      <c r="H713" s="12"/>
    </row>
    <row r="714" spans="3:8" x14ac:dyDescent="0.2">
      <c r="C714" s="16"/>
      <c r="D714" s="12"/>
      <c r="E714" s="12"/>
      <c r="F714" s="12"/>
      <c r="G714" s="12"/>
      <c r="H714" s="12"/>
    </row>
    <row r="715" spans="3:8" x14ac:dyDescent="0.2">
      <c r="C715" s="16"/>
      <c r="D715" s="12"/>
      <c r="E715" s="12"/>
      <c r="F715" s="12"/>
      <c r="G715" s="12"/>
      <c r="H715" s="12"/>
    </row>
    <row r="716" spans="3:8" x14ac:dyDescent="0.2">
      <c r="C716" s="16"/>
      <c r="D716" s="12"/>
      <c r="E716" s="12"/>
      <c r="F716" s="12"/>
      <c r="G716" s="12"/>
      <c r="H716" s="12"/>
    </row>
    <row r="717" spans="3:8" x14ac:dyDescent="0.2">
      <c r="C717" s="16"/>
      <c r="D717" s="12"/>
      <c r="E717" s="12"/>
      <c r="F717" s="12"/>
      <c r="G717" s="12"/>
      <c r="H717" s="12"/>
    </row>
    <row r="718" spans="3:8" x14ac:dyDescent="0.2">
      <c r="C718" s="16"/>
      <c r="D718" s="12"/>
      <c r="E718" s="12"/>
      <c r="F718" s="12"/>
      <c r="G718" s="12"/>
      <c r="H718" s="12"/>
    </row>
    <row r="719" spans="3:8" x14ac:dyDescent="0.2">
      <c r="C719" s="16"/>
      <c r="D719" s="12"/>
      <c r="E719" s="12"/>
      <c r="F719" s="12"/>
      <c r="G719" s="12"/>
      <c r="H719" s="12"/>
    </row>
    <row r="720" spans="3:8" x14ac:dyDescent="0.2">
      <c r="C720" s="16"/>
      <c r="D720" s="12"/>
      <c r="E720" s="12"/>
      <c r="F720" s="12"/>
      <c r="G720" s="12"/>
      <c r="H720" s="12"/>
    </row>
    <row r="721" spans="3:8" x14ac:dyDescent="0.2">
      <c r="C721" s="16"/>
      <c r="D721" s="12"/>
      <c r="E721" s="12"/>
      <c r="F721" s="12"/>
      <c r="G721" s="12"/>
      <c r="H721" s="12"/>
    </row>
    <row r="722" spans="3:8" x14ac:dyDescent="0.2">
      <c r="C722" s="16"/>
      <c r="D722" s="12"/>
      <c r="E722" s="12"/>
      <c r="F722" s="12"/>
      <c r="G722" s="12"/>
      <c r="H722" s="12"/>
    </row>
    <row r="723" spans="3:8" x14ac:dyDescent="0.2">
      <c r="C723" s="16"/>
      <c r="D723" s="12"/>
      <c r="E723" s="12"/>
      <c r="F723" s="12"/>
      <c r="G723" s="12"/>
      <c r="H723" s="12"/>
    </row>
    <row r="724" spans="3:8" x14ac:dyDescent="0.2">
      <c r="C724" s="16"/>
      <c r="D724" s="12"/>
      <c r="E724" s="12"/>
      <c r="F724" s="12"/>
      <c r="G724" s="12"/>
      <c r="H724" s="12"/>
    </row>
    <row r="725" spans="3:8" x14ac:dyDescent="0.2">
      <c r="C725" s="16"/>
      <c r="D725" s="12"/>
      <c r="E725" s="12"/>
      <c r="F725" s="12"/>
      <c r="G725" s="12"/>
      <c r="H725" s="12"/>
    </row>
    <row r="726" spans="3:8" x14ac:dyDescent="0.2">
      <c r="C726" s="16"/>
      <c r="D726" s="12"/>
      <c r="E726" s="12"/>
      <c r="F726" s="12"/>
      <c r="G726" s="12"/>
      <c r="H726" s="12"/>
    </row>
    <row r="727" spans="3:8" x14ac:dyDescent="0.2">
      <c r="C727" s="16"/>
      <c r="D727" s="12"/>
      <c r="E727" s="12"/>
      <c r="F727" s="12"/>
      <c r="G727" s="12"/>
      <c r="H727" s="12"/>
    </row>
    <row r="728" spans="3:8" x14ac:dyDescent="0.2">
      <c r="C728" s="16"/>
      <c r="D728" s="12"/>
      <c r="E728" s="12"/>
      <c r="F728" s="12"/>
      <c r="G728" s="12"/>
      <c r="H728" s="12"/>
    </row>
    <row r="729" spans="3:8" x14ac:dyDescent="0.2">
      <c r="C729" s="16"/>
      <c r="D729" s="12"/>
      <c r="E729" s="12"/>
      <c r="F729" s="12"/>
      <c r="G729" s="12"/>
      <c r="H729" s="12"/>
    </row>
    <row r="730" spans="3:8" x14ac:dyDescent="0.2">
      <c r="C730" s="16"/>
      <c r="D730" s="12"/>
      <c r="E730" s="12"/>
      <c r="F730" s="12"/>
      <c r="G730" s="12"/>
      <c r="H730" s="12"/>
    </row>
    <row r="731" spans="3:8" x14ac:dyDescent="0.2">
      <c r="C731" s="16"/>
      <c r="D731" s="12"/>
      <c r="E731" s="12"/>
      <c r="F731" s="12"/>
      <c r="G731" s="12"/>
      <c r="H731" s="12"/>
    </row>
    <row r="732" spans="3:8" x14ac:dyDescent="0.2">
      <c r="C732" s="16"/>
      <c r="D732" s="12"/>
      <c r="E732" s="12"/>
      <c r="F732" s="12"/>
      <c r="G732" s="12"/>
      <c r="H732" s="12"/>
    </row>
    <row r="733" spans="3:8" x14ac:dyDescent="0.2">
      <c r="C733" s="16"/>
      <c r="D733" s="12"/>
      <c r="E733" s="12"/>
      <c r="F733" s="12"/>
      <c r="G733" s="12"/>
      <c r="H733" s="12"/>
    </row>
    <row r="734" spans="3:8" x14ac:dyDescent="0.2">
      <c r="C734" s="16"/>
      <c r="D734" s="12"/>
      <c r="E734" s="12"/>
      <c r="F734" s="12"/>
      <c r="G734" s="12"/>
      <c r="H734" s="12"/>
    </row>
    <row r="735" spans="3:8" x14ac:dyDescent="0.2">
      <c r="C735" s="16"/>
      <c r="D735" s="12"/>
      <c r="E735" s="12"/>
      <c r="F735" s="12"/>
      <c r="G735" s="12"/>
      <c r="H735" s="12"/>
    </row>
    <row r="736" spans="3:8" x14ac:dyDescent="0.2">
      <c r="C736" s="16"/>
      <c r="D736" s="12"/>
      <c r="E736" s="12"/>
      <c r="F736" s="12"/>
      <c r="G736" s="12"/>
      <c r="H736" s="12"/>
    </row>
    <row r="737" spans="3:8" x14ac:dyDescent="0.2">
      <c r="C737" s="16"/>
      <c r="D737" s="12"/>
      <c r="E737" s="12"/>
      <c r="F737" s="12"/>
      <c r="G737" s="12"/>
      <c r="H737" s="12"/>
    </row>
    <row r="738" spans="3:8" x14ac:dyDescent="0.2">
      <c r="C738" s="16"/>
      <c r="D738" s="12"/>
      <c r="E738" s="12"/>
      <c r="F738" s="12"/>
      <c r="G738" s="12"/>
      <c r="H738" s="12"/>
    </row>
    <row r="739" spans="3:8" x14ac:dyDescent="0.2">
      <c r="C739" s="16"/>
      <c r="D739" s="12"/>
      <c r="E739" s="12"/>
      <c r="F739" s="12"/>
      <c r="G739" s="12"/>
      <c r="H739" s="12"/>
    </row>
    <row r="740" spans="3:8" x14ac:dyDescent="0.2">
      <c r="C740" s="16"/>
      <c r="D740" s="12"/>
      <c r="E740" s="12"/>
      <c r="F740" s="12"/>
      <c r="G740" s="12"/>
      <c r="H740" s="12"/>
    </row>
    <row r="741" spans="3:8" x14ac:dyDescent="0.2">
      <c r="C741" s="16"/>
      <c r="D741" s="12"/>
      <c r="E741" s="12"/>
      <c r="F741" s="12"/>
      <c r="G741" s="12"/>
      <c r="H741" s="12"/>
    </row>
    <row r="742" spans="3:8" x14ac:dyDescent="0.2">
      <c r="C742" s="16"/>
      <c r="D742" s="12"/>
      <c r="E742" s="12"/>
      <c r="F742" s="12"/>
      <c r="G742" s="12"/>
      <c r="H742" s="12"/>
    </row>
    <row r="743" spans="3:8" x14ac:dyDescent="0.2">
      <c r="C743" s="16"/>
      <c r="D743" s="12"/>
      <c r="E743" s="12"/>
      <c r="F743" s="12"/>
      <c r="G743" s="12"/>
      <c r="H743" s="12"/>
    </row>
    <row r="744" spans="3:8" x14ac:dyDescent="0.2">
      <c r="C744" s="16"/>
      <c r="D744" s="12"/>
      <c r="E744" s="12"/>
      <c r="F744" s="12"/>
      <c r="G744" s="12"/>
      <c r="H744" s="12"/>
    </row>
    <row r="745" spans="3:8" x14ac:dyDescent="0.2">
      <c r="C745" s="16"/>
      <c r="D745" s="12"/>
      <c r="E745" s="12"/>
      <c r="F745" s="12"/>
      <c r="G745" s="12"/>
      <c r="H745" s="12"/>
    </row>
    <row r="746" spans="3:8" x14ac:dyDescent="0.2">
      <c r="C746" s="16"/>
      <c r="D746" s="12"/>
      <c r="E746" s="12"/>
      <c r="F746" s="12"/>
      <c r="G746" s="12"/>
      <c r="H746" s="12"/>
    </row>
    <row r="747" spans="3:8" x14ac:dyDescent="0.2">
      <c r="C747" s="16"/>
      <c r="D747" s="12"/>
      <c r="E747" s="12"/>
      <c r="F747" s="12"/>
      <c r="G747" s="12"/>
      <c r="H747" s="12"/>
    </row>
    <row r="748" spans="3:8" x14ac:dyDescent="0.2">
      <c r="C748" s="16"/>
      <c r="D748" s="12"/>
      <c r="E748" s="12"/>
      <c r="F748" s="12"/>
      <c r="G748" s="12"/>
      <c r="H748" s="12"/>
    </row>
    <row r="749" spans="3:8" x14ac:dyDescent="0.2">
      <c r="C749" s="16"/>
      <c r="D749" s="12"/>
      <c r="E749" s="12"/>
      <c r="F749" s="12"/>
      <c r="G749" s="12"/>
      <c r="H749" s="12"/>
    </row>
    <row r="750" spans="3:8" x14ac:dyDescent="0.2">
      <c r="C750" s="16"/>
      <c r="D750" s="12"/>
      <c r="E750" s="12"/>
      <c r="F750" s="12"/>
      <c r="G750" s="12"/>
      <c r="H750" s="12"/>
    </row>
    <row r="751" spans="3:8" x14ac:dyDescent="0.2">
      <c r="C751" s="16"/>
      <c r="D751" s="12"/>
      <c r="E751" s="12"/>
      <c r="F751" s="12"/>
      <c r="G751" s="12"/>
      <c r="H751" s="12"/>
    </row>
    <row r="752" spans="3:8" x14ac:dyDescent="0.2">
      <c r="C752" s="16"/>
      <c r="D752" s="12"/>
      <c r="E752" s="12"/>
      <c r="F752" s="12"/>
      <c r="G752" s="12"/>
      <c r="H752" s="12"/>
    </row>
    <row r="753" spans="3:8" x14ac:dyDescent="0.2">
      <c r="C753" s="16"/>
      <c r="D753" s="12"/>
      <c r="E753" s="12"/>
      <c r="F753" s="12"/>
      <c r="G753" s="12"/>
      <c r="H753" s="12"/>
    </row>
    <row r="754" spans="3:8" x14ac:dyDescent="0.2">
      <c r="C754" s="16"/>
      <c r="D754" s="12"/>
      <c r="E754" s="12"/>
      <c r="F754" s="12"/>
      <c r="G754" s="12"/>
      <c r="H754" s="12"/>
    </row>
    <row r="755" spans="3:8" x14ac:dyDescent="0.2">
      <c r="C755" s="16"/>
      <c r="D755" s="12"/>
      <c r="E755" s="12"/>
      <c r="F755" s="12"/>
      <c r="G755" s="12"/>
      <c r="H755" s="12"/>
    </row>
    <row r="756" spans="3:8" x14ac:dyDescent="0.2">
      <c r="C756" s="16"/>
      <c r="D756" s="12"/>
      <c r="E756" s="12"/>
      <c r="F756" s="12"/>
      <c r="G756" s="12"/>
      <c r="H756" s="12"/>
    </row>
    <row r="757" spans="3:8" x14ac:dyDescent="0.2">
      <c r="C757" s="16"/>
      <c r="D757" s="12"/>
      <c r="E757" s="12"/>
      <c r="F757" s="12"/>
      <c r="G757" s="12"/>
      <c r="H757" s="12"/>
    </row>
    <row r="758" spans="3:8" x14ac:dyDescent="0.2">
      <c r="C758" s="16"/>
      <c r="D758" s="12"/>
      <c r="E758" s="12"/>
      <c r="F758" s="12"/>
      <c r="G758" s="12"/>
      <c r="H758" s="12"/>
    </row>
    <row r="759" spans="3:8" x14ac:dyDescent="0.2">
      <c r="C759" s="16"/>
      <c r="D759" s="12"/>
      <c r="E759" s="12"/>
      <c r="F759" s="12"/>
      <c r="G759" s="12"/>
      <c r="H759" s="12"/>
    </row>
    <row r="760" spans="3:8" x14ac:dyDescent="0.2">
      <c r="C760" s="16"/>
      <c r="D760" s="12"/>
      <c r="E760" s="12"/>
      <c r="F760" s="12"/>
      <c r="G760" s="12"/>
      <c r="H760" s="12"/>
    </row>
    <row r="761" spans="3:8" x14ac:dyDescent="0.2">
      <c r="C761" s="16"/>
      <c r="D761" s="12"/>
      <c r="E761" s="12"/>
      <c r="F761" s="12"/>
      <c r="G761" s="12"/>
      <c r="H761" s="12"/>
    </row>
    <row r="762" spans="3:8" x14ac:dyDescent="0.2">
      <c r="C762" s="16"/>
      <c r="D762" s="12"/>
      <c r="E762" s="12"/>
      <c r="F762" s="12"/>
      <c r="G762" s="12"/>
      <c r="H762" s="12"/>
    </row>
    <row r="763" spans="3:8" x14ac:dyDescent="0.2">
      <c r="C763" s="16"/>
      <c r="D763" s="12"/>
      <c r="E763" s="12"/>
      <c r="F763" s="12"/>
      <c r="G763" s="12"/>
      <c r="H763" s="12"/>
    </row>
    <row r="764" spans="3:8" x14ac:dyDescent="0.2">
      <c r="C764" s="16"/>
      <c r="D764" s="12"/>
      <c r="E764" s="12"/>
      <c r="F764" s="12"/>
      <c r="G764" s="12"/>
      <c r="H764" s="12"/>
    </row>
    <row r="765" spans="3:8" x14ac:dyDescent="0.2">
      <c r="C765" s="16"/>
      <c r="D765" s="12"/>
      <c r="E765" s="12"/>
      <c r="F765" s="12"/>
      <c r="G765" s="12"/>
      <c r="H765" s="12"/>
    </row>
    <row r="766" spans="3:8" x14ac:dyDescent="0.2">
      <c r="C766" s="16"/>
      <c r="D766" s="12"/>
      <c r="E766" s="12"/>
      <c r="F766" s="12"/>
      <c r="G766" s="12"/>
      <c r="H766" s="12"/>
    </row>
    <row r="767" spans="3:8" x14ac:dyDescent="0.2">
      <c r="C767" s="16"/>
      <c r="D767" s="12"/>
      <c r="E767" s="12"/>
      <c r="F767" s="12"/>
      <c r="G767" s="12"/>
      <c r="H767" s="12"/>
    </row>
    <row r="768" spans="3:8" x14ac:dyDescent="0.2">
      <c r="C768" s="16"/>
      <c r="D768" s="12"/>
      <c r="E768" s="12"/>
      <c r="F768" s="12"/>
      <c r="G768" s="12"/>
      <c r="H768" s="12"/>
    </row>
    <row r="769" spans="3:8" x14ac:dyDescent="0.2">
      <c r="C769" s="16"/>
      <c r="D769" s="12"/>
      <c r="E769" s="12"/>
      <c r="F769" s="12"/>
      <c r="G769" s="12"/>
      <c r="H769" s="12"/>
    </row>
    <row r="770" spans="3:8" x14ac:dyDescent="0.2">
      <c r="C770" s="16"/>
      <c r="D770" s="12"/>
      <c r="E770" s="12"/>
      <c r="F770" s="12"/>
      <c r="G770" s="12"/>
      <c r="H770" s="12"/>
    </row>
    <row r="771" spans="3:8" x14ac:dyDescent="0.2">
      <c r="C771" s="16"/>
      <c r="D771" s="12"/>
      <c r="E771" s="12"/>
      <c r="F771" s="12"/>
      <c r="G771" s="12"/>
      <c r="H771" s="12"/>
    </row>
    <row r="772" spans="3:8" x14ac:dyDescent="0.2">
      <c r="C772" s="16"/>
      <c r="D772" s="12"/>
      <c r="E772" s="12"/>
      <c r="F772" s="12"/>
      <c r="G772" s="12"/>
      <c r="H772" s="12"/>
    </row>
    <row r="773" spans="3:8" x14ac:dyDescent="0.2">
      <c r="C773" s="16"/>
      <c r="D773" s="12"/>
      <c r="E773" s="12"/>
      <c r="F773" s="12"/>
      <c r="G773" s="12"/>
      <c r="H773" s="12"/>
    </row>
    <row r="774" spans="3:8" x14ac:dyDescent="0.2">
      <c r="C774" s="16"/>
      <c r="D774" s="12"/>
      <c r="E774" s="12"/>
      <c r="F774" s="12"/>
      <c r="G774" s="12"/>
      <c r="H774" s="12"/>
    </row>
    <row r="775" spans="3:8" x14ac:dyDescent="0.2">
      <c r="C775" s="16"/>
      <c r="D775" s="12"/>
      <c r="E775" s="12"/>
      <c r="F775" s="12"/>
      <c r="G775" s="12"/>
      <c r="H775" s="12"/>
    </row>
    <row r="776" spans="3:8" x14ac:dyDescent="0.2">
      <c r="C776" s="16"/>
      <c r="D776" s="12"/>
      <c r="E776" s="12"/>
      <c r="F776" s="12"/>
      <c r="G776" s="12"/>
      <c r="H776" s="12"/>
    </row>
    <row r="777" spans="3:8" x14ac:dyDescent="0.2">
      <c r="C777" s="16"/>
      <c r="D777" s="12"/>
      <c r="E777" s="12"/>
      <c r="F777" s="12"/>
      <c r="G777" s="12"/>
      <c r="H777" s="12"/>
    </row>
    <row r="778" spans="3:8" x14ac:dyDescent="0.2">
      <c r="C778" s="16"/>
      <c r="D778" s="12"/>
      <c r="E778" s="12"/>
      <c r="F778" s="12"/>
      <c r="G778" s="12"/>
      <c r="H778" s="12"/>
    </row>
    <row r="779" spans="3:8" x14ac:dyDescent="0.2">
      <c r="C779" s="16"/>
      <c r="D779" s="12"/>
      <c r="E779" s="12"/>
      <c r="F779" s="12"/>
      <c r="G779" s="12"/>
      <c r="H779" s="12"/>
    </row>
    <row r="780" spans="3:8" x14ac:dyDescent="0.2">
      <c r="C780" s="16"/>
      <c r="D780" s="12"/>
      <c r="E780" s="12"/>
      <c r="F780" s="12"/>
      <c r="G780" s="12"/>
      <c r="H780" s="12"/>
    </row>
    <row r="781" spans="3:8" x14ac:dyDescent="0.2">
      <c r="C781" s="16"/>
      <c r="D781" s="12"/>
      <c r="E781" s="12"/>
      <c r="F781" s="12"/>
      <c r="G781" s="12"/>
      <c r="H781" s="12"/>
    </row>
    <row r="782" spans="3:8" x14ac:dyDescent="0.2">
      <c r="C782" s="16"/>
      <c r="D782" s="12"/>
      <c r="E782" s="12"/>
      <c r="F782" s="12"/>
      <c r="G782" s="12"/>
      <c r="H782" s="12"/>
    </row>
    <row r="783" spans="3:8" x14ac:dyDescent="0.2">
      <c r="C783" s="16"/>
      <c r="D783" s="12"/>
      <c r="E783" s="12"/>
      <c r="F783" s="12"/>
      <c r="G783" s="12"/>
      <c r="H783" s="12"/>
    </row>
    <row r="784" spans="3:8" x14ac:dyDescent="0.2">
      <c r="C784" s="16"/>
      <c r="D784" s="12"/>
      <c r="E784" s="12"/>
      <c r="F784" s="12"/>
      <c r="G784" s="12"/>
      <c r="H784" s="12"/>
    </row>
    <row r="785" spans="3:8" x14ac:dyDescent="0.2">
      <c r="C785" s="16"/>
      <c r="D785" s="12"/>
      <c r="E785" s="12"/>
      <c r="F785" s="12"/>
      <c r="G785" s="12"/>
      <c r="H785" s="12"/>
    </row>
    <row r="786" spans="3:8" x14ac:dyDescent="0.2">
      <c r="C786" s="16"/>
      <c r="D786" s="12"/>
      <c r="E786" s="12"/>
      <c r="F786" s="12"/>
      <c r="G786" s="12"/>
      <c r="H786" s="12"/>
    </row>
    <row r="787" spans="3:8" x14ac:dyDescent="0.2">
      <c r="C787" s="16"/>
      <c r="D787" s="12"/>
      <c r="E787" s="12"/>
      <c r="F787" s="12"/>
      <c r="G787" s="12"/>
      <c r="H787" s="12"/>
    </row>
    <row r="788" spans="3:8" x14ac:dyDescent="0.2">
      <c r="C788" s="16"/>
      <c r="D788" s="12"/>
      <c r="E788" s="12"/>
      <c r="F788" s="12"/>
      <c r="G788" s="12"/>
      <c r="H788" s="12"/>
    </row>
    <row r="789" spans="3:8" x14ac:dyDescent="0.2">
      <c r="C789" s="16"/>
      <c r="D789" s="12"/>
      <c r="E789" s="12"/>
      <c r="F789" s="12"/>
      <c r="G789" s="12"/>
      <c r="H789" s="12"/>
    </row>
    <row r="790" spans="3:8" x14ac:dyDescent="0.2">
      <c r="C790" s="16"/>
      <c r="D790" s="12"/>
      <c r="E790" s="12"/>
      <c r="F790" s="12"/>
      <c r="G790" s="12"/>
      <c r="H790" s="12"/>
    </row>
    <row r="791" spans="3:8" x14ac:dyDescent="0.2">
      <c r="C791" s="16"/>
      <c r="D791" s="12"/>
      <c r="E791" s="12"/>
      <c r="F791" s="12"/>
      <c r="G791" s="12"/>
      <c r="H791" s="12"/>
    </row>
    <row r="792" spans="3:8" x14ac:dyDescent="0.2">
      <c r="C792" s="16"/>
      <c r="D792" s="12"/>
      <c r="E792" s="12"/>
      <c r="F792" s="12"/>
      <c r="G792" s="12"/>
      <c r="H792" s="12"/>
    </row>
    <row r="793" spans="3:8" x14ac:dyDescent="0.2">
      <c r="C793" s="16"/>
      <c r="D793" s="12"/>
      <c r="E793" s="12"/>
      <c r="F793" s="12"/>
      <c r="G793" s="12"/>
      <c r="H793" s="12"/>
    </row>
    <row r="794" spans="3:8" x14ac:dyDescent="0.2">
      <c r="C794" s="16"/>
      <c r="D794" s="12"/>
      <c r="E794" s="12"/>
      <c r="F794" s="12"/>
      <c r="G794" s="12"/>
      <c r="H794" s="12"/>
    </row>
    <row r="795" spans="3:8" x14ac:dyDescent="0.2">
      <c r="C795" s="16"/>
      <c r="D795" s="12"/>
      <c r="E795" s="12"/>
      <c r="F795" s="12"/>
      <c r="G795" s="12"/>
      <c r="H795" s="12"/>
    </row>
    <row r="796" spans="3:8" x14ac:dyDescent="0.2">
      <c r="C796" s="16"/>
      <c r="D796" s="12"/>
      <c r="E796" s="12"/>
      <c r="F796" s="12"/>
      <c r="G796" s="12"/>
      <c r="H796" s="12"/>
    </row>
    <row r="797" spans="3:8" x14ac:dyDescent="0.2">
      <c r="C797" s="16"/>
      <c r="D797" s="12"/>
      <c r="E797" s="12"/>
      <c r="F797" s="12"/>
      <c r="G797" s="12"/>
      <c r="H797" s="12"/>
    </row>
    <row r="798" spans="3:8" x14ac:dyDescent="0.2">
      <c r="C798" s="16"/>
      <c r="D798" s="12"/>
      <c r="E798" s="12"/>
      <c r="F798" s="12"/>
      <c r="G798" s="12"/>
      <c r="H798" s="12"/>
    </row>
    <row r="799" spans="3:8" x14ac:dyDescent="0.2">
      <c r="C799" s="16"/>
      <c r="D799" s="12"/>
      <c r="E799" s="12"/>
      <c r="F799" s="12"/>
      <c r="G799" s="12"/>
      <c r="H799" s="12"/>
    </row>
    <row r="800" spans="3:8" x14ac:dyDescent="0.2">
      <c r="C800" s="16"/>
      <c r="D800" s="12"/>
      <c r="E800" s="12"/>
      <c r="F800" s="12"/>
      <c r="G800" s="12"/>
      <c r="H800" s="12"/>
    </row>
    <row r="801" spans="3:8" x14ac:dyDescent="0.2">
      <c r="C801" s="16"/>
      <c r="D801" s="12"/>
      <c r="E801" s="12"/>
      <c r="F801" s="12"/>
      <c r="G801" s="12"/>
      <c r="H801" s="12"/>
    </row>
    <row r="802" spans="3:8" x14ac:dyDescent="0.2">
      <c r="C802" s="16"/>
      <c r="D802" s="12"/>
      <c r="E802" s="12"/>
      <c r="F802" s="12"/>
      <c r="G802" s="12"/>
      <c r="H802" s="12"/>
    </row>
    <row r="803" spans="3:8" x14ac:dyDescent="0.2">
      <c r="C803" s="16"/>
      <c r="D803" s="12"/>
      <c r="E803" s="12"/>
      <c r="F803" s="12"/>
      <c r="G803" s="12"/>
      <c r="H803" s="12"/>
    </row>
    <row r="804" spans="3:8" x14ac:dyDescent="0.2">
      <c r="C804" s="16"/>
      <c r="D804" s="12"/>
      <c r="E804" s="12"/>
      <c r="F804" s="12"/>
      <c r="G804" s="12"/>
      <c r="H804" s="12"/>
    </row>
    <row r="805" spans="3:8" x14ac:dyDescent="0.2">
      <c r="C805" s="16"/>
      <c r="D805" s="12"/>
      <c r="E805" s="12"/>
      <c r="F805" s="12"/>
      <c r="G805" s="12"/>
      <c r="H805" s="12"/>
    </row>
    <row r="806" spans="3:8" x14ac:dyDescent="0.2">
      <c r="C806" s="16"/>
      <c r="D806" s="12"/>
      <c r="E806" s="12"/>
      <c r="F806" s="12"/>
      <c r="G806" s="12"/>
      <c r="H806" s="12"/>
    </row>
    <row r="807" spans="3:8" x14ac:dyDescent="0.2">
      <c r="C807" s="16"/>
      <c r="D807" s="12"/>
      <c r="E807" s="12"/>
      <c r="F807" s="12"/>
      <c r="G807" s="12"/>
      <c r="H807" s="12"/>
    </row>
    <row r="808" spans="3:8" x14ac:dyDescent="0.2">
      <c r="C808" s="16"/>
      <c r="D808" s="12"/>
      <c r="E808" s="12"/>
      <c r="F808" s="12"/>
      <c r="G808" s="12"/>
      <c r="H808" s="12"/>
    </row>
    <row r="809" spans="3:8" x14ac:dyDescent="0.2">
      <c r="C809" s="16"/>
      <c r="D809" s="12"/>
      <c r="E809" s="12"/>
      <c r="F809" s="12"/>
      <c r="G809" s="12"/>
      <c r="H809" s="12"/>
    </row>
    <row r="810" spans="3:8" x14ac:dyDescent="0.2">
      <c r="C810" s="16"/>
      <c r="D810" s="12"/>
      <c r="E810" s="12"/>
      <c r="F810" s="12"/>
      <c r="G810" s="12"/>
      <c r="H810" s="12"/>
    </row>
    <row r="811" spans="3:8" x14ac:dyDescent="0.2">
      <c r="C811" s="16"/>
      <c r="D811" s="12"/>
      <c r="E811" s="12"/>
      <c r="F811" s="12"/>
      <c r="G811" s="12"/>
      <c r="H811" s="12"/>
    </row>
    <row r="812" spans="3:8" x14ac:dyDescent="0.2">
      <c r="C812" s="16"/>
      <c r="D812" s="12"/>
      <c r="E812" s="12"/>
      <c r="F812" s="12"/>
      <c r="G812" s="12"/>
      <c r="H812" s="12"/>
    </row>
    <row r="813" spans="3:8" x14ac:dyDescent="0.2">
      <c r="C813" s="16"/>
      <c r="D813" s="12"/>
      <c r="E813" s="12"/>
      <c r="F813" s="12"/>
      <c r="G813" s="12"/>
      <c r="H813" s="12"/>
    </row>
    <row r="814" spans="3:8" x14ac:dyDescent="0.2">
      <c r="C814" s="16"/>
      <c r="D814" s="12"/>
      <c r="E814" s="12"/>
      <c r="F814" s="12"/>
      <c r="G814" s="12"/>
      <c r="H814" s="12"/>
    </row>
    <row r="815" spans="3:8" x14ac:dyDescent="0.2">
      <c r="C815" s="16"/>
      <c r="D815" s="12"/>
      <c r="E815" s="12"/>
      <c r="F815" s="12"/>
      <c r="G815" s="12"/>
      <c r="H815" s="12"/>
    </row>
    <row r="816" spans="3:8" x14ac:dyDescent="0.2">
      <c r="C816" s="16"/>
      <c r="D816" s="12"/>
      <c r="E816" s="12"/>
      <c r="F816" s="12"/>
      <c r="G816" s="12"/>
      <c r="H816" s="12"/>
    </row>
    <row r="817" spans="3:8" x14ac:dyDescent="0.2">
      <c r="C817" s="16"/>
      <c r="D817" s="12"/>
      <c r="E817" s="12"/>
      <c r="F817" s="12"/>
      <c r="G817" s="12"/>
      <c r="H817" s="12"/>
    </row>
    <row r="818" spans="3:8" x14ac:dyDescent="0.2">
      <c r="C818" s="16"/>
      <c r="D818" s="12"/>
      <c r="E818" s="12"/>
      <c r="F818" s="12"/>
      <c r="G818" s="12"/>
      <c r="H818" s="12"/>
    </row>
    <row r="819" spans="3:8" x14ac:dyDescent="0.2">
      <c r="C819" s="16"/>
      <c r="D819" s="12"/>
      <c r="E819" s="12"/>
      <c r="F819" s="12"/>
      <c r="G819" s="12"/>
      <c r="H819" s="12"/>
    </row>
    <row r="820" spans="3:8" x14ac:dyDescent="0.2">
      <c r="C820" s="16"/>
      <c r="D820" s="12"/>
      <c r="E820" s="12"/>
      <c r="F820" s="12"/>
      <c r="G820" s="12"/>
      <c r="H820" s="12"/>
    </row>
    <row r="821" spans="3:8" x14ac:dyDescent="0.2">
      <c r="C821" s="16"/>
      <c r="D821" s="12"/>
      <c r="E821" s="12"/>
      <c r="F821" s="12"/>
      <c r="G821" s="12"/>
      <c r="H821" s="12"/>
    </row>
    <row r="822" spans="3:8" x14ac:dyDescent="0.2">
      <c r="C822" s="16"/>
      <c r="D822" s="12"/>
      <c r="E822" s="12"/>
      <c r="F822" s="12"/>
      <c r="G822" s="12"/>
      <c r="H822" s="12"/>
    </row>
    <row r="823" spans="3:8" x14ac:dyDescent="0.2">
      <c r="C823" s="16"/>
      <c r="D823" s="12"/>
      <c r="E823" s="12"/>
      <c r="F823" s="12"/>
      <c r="G823" s="12"/>
      <c r="H823" s="12"/>
    </row>
    <row r="824" spans="3:8" x14ac:dyDescent="0.2">
      <c r="C824" s="16"/>
      <c r="D824" s="12"/>
      <c r="E824" s="12"/>
      <c r="F824" s="12"/>
      <c r="G824" s="12"/>
      <c r="H824" s="12"/>
    </row>
    <row r="825" spans="3:8" x14ac:dyDescent="0.2">
      <c r="C825" s="16"/>
      <c r="D825" s="12"/>
      <c r="E825" s="12"/>
      <c r="F825" s="12"/>
      <c r="G825" s="12"/>
      <c r="H825" s="12"/>
    </row>
    <row r="826" spans="3:8" x14ac:dyDescent="0.2">
      <c r="C826" s="16"/>
      <c r="D826" s="12"/>
      <c r="E826" s="12"/>
      <c r="F826" s="12"/>
      <c r="G826" s="12"/>
      <c r="H826" s="12"/>
    </row>
    <row r="827" spans="3:8" x14ac:dyDescent="0.2">
      <c r="C827" s="16"/>
      <c r="D827" s="12"/>
      <c r="E827" s="12"/>
      <c r="F827" s="12"/>
      <c r="G827" s="12"/>
      <c r="H827" s="12"/>
    </row>
    <row r="828" spans="3:8" x14ac:dyDescent="0.2">
      <c r="C828" s="16"/>
      <c r="D828" s="12"/>
      <c r="E828" s="12"/>
      <c r="F828" s="12"/>
      <c r="G828" s="12"/>
      <c r="H828" s="12"/>
    </row>
    <row r="829" spans="3:8" x14ac:dyDescent="0.2">
      <c r="C829" s="16"/>
      <c r="D829" s="12"/>
      <c r="E829" s="12"/>
      <c r="F829" s="12"/>
      <c r="G829" s="12"/>
      <c r="H829" s="12"/>
    </row>
    <row r="830" spans="3:8" x14ac:dyDescent="0.2">
      <c r="C830" s="16"/>
      <c r="D830" s="12"/>
      <c r="E830" s="12"/>
      <c r="F830" s="12"/>
      <c r="G830" s="12"/>
      <c r="H830" s="12"/>
    </row>
    <row r="831" spans="3:8" x14ac:dyDescent="0.2">
      <c r="C831" s="16"/>
      <c r="D831" s="12"/>
      <c r="E831" s="12"/>
      <c r="F831" s="12"/>
      <c r="G831" s="12"/>
      <c r="H831" s="12"/>
    </row>
    <row r="832" spans="3:8" x14ac:dyDescent="0.2">
      <c r="C832" s="16"/>
      <c r="D832" s="12"/>
      <c r="E832" s="12"/>
      <c r="F832" s="12"/>
      <c r="G832" s="12"/>
      <c r="H832" s="12"/>
    </row>
    <row r="833" spans="3:8" x14ac:dyDescent="0.2">
      <c r="C833" s="16"/>
      <c r="D833" s="12"/>
      <c r="E833" s="12"/>
      <c r="F833" s="12"/>
      <c r="G833" s="12"/>
      <c r="H833" s="12"/>
    </row>
    <row r="834" spans="3:8" x14ac:dyDescent="0.2">
      <c r="C834" s="16"/>
      <c r="D834" s="12"/>
      <c r="E834" s="12"/>
      <c r="F834" s="12"/>
      <c r="G834" s="12"/>
      <c r="H834" s="12"/>
    </row>
    <row r="835" spans="3:8" x14ac:dyDescent="0.2">
      <c r="C835" s="16"/>
      <c r="D835" s="12"/>
      <c r="E835" s="12"/>
      <c r="F835" s="12"/>
      <c r="G835" s="12"/>
      <c r="H835" s="12"/>
    </row>
    <row r="836" spans="3:8" x14ac:dyDescent="0.2">
      <c r="C836" s="16"/>
      <c r="D836" s="12"/>
      <c r="E836" s="12"/>
      <c r="F836" s="12"/>
      <c r="G836" s="12"/>
      <c r="H836" s="12"/>
    </row>
    <row r="837" spans="3:8" x14ac:dyDescent="0.2">
      <c r="C837" s="16"/>
      <c r="D837" s="12"/>
      <c r="E837" s="12"/>
      <c r="F837" s="12"/>
      <c r="G837" s="12"/>
      <c r="H837" s="12"/>
    </row>
    <row r="838" spans="3:8" x14ac:dyDescent="0.2">
      <c r="C838" s="16"/>
      <c r="D838" s="12"/>
      <c r="E838" s="12"/>
      <c r="F838" s="12"/>
      <c r="G838" s="12"/>
      <c r="H838" s="12"/>
    </row>
    <row r="839" spans="3:8" x14ac:dyDescent="0.2">
      <c r="C839" s="16"/>
      <c r="D839" s="12"/>
      <c r="E839" s="12"/>
      <c r="F839" s="12"/>
      <c r="G839" s="12"/>
      <c r="H839" s="12"/>
    </row>
    <row r="840" spans="3:8" x14ac:dyDescent="0.2">
      <c r="C840" s="16"/>
      <c r="D840" s="12"/>
      <c r="E840" s="12"/>
      <c r="F840" s="12"/>
      <c r="G840" s="12"/>
      <c r="H840" s="12"/>
    </row>
    <row r="841" spans="3:8" x14ac:dyDescent="0.2">
      <c r="C841" s="16"/>
      <c r="D841" s="12"/>
      <c r="E841" s="12"/>
      <c r="F841" s="12"/>
      <c r="G841" s="12"/>
      <c r="H841" s="12"/>
    </row>
    <row r="842" spans="3:8" x14ac:dyDescent="0.2">
      <c r="C842" s="16"/>
      <c r="D842" s="12"/>
      <c r="E842" s="12"/>
      <c r="F842" s="12"/>
      <c r="G842" s="12"/>
      <c r="H842" s="12"/>
    </row>
    <row r="843" spans="3:8" x14ac:dyDescent="0.2">
      <c r="C843" s="16"/>
      <c r="D843" s="12"/>
      <c r="E843" s="12"/>
      <c r="F843" s="12"/>
      <c r="G843" s="12"/>
      <c r="H843" s="12"/>
    </row>
    <row r="844" spans="3:8" x14ac:dyDescent="0.2">
      <c r="C844" s="16"/>
      <c r="D844" s="12"/>
      <c r="E844" s="12"/>
      <c r="F844" s="12"/>
      <c r="G844" s="12"/>
      <c r="H844" s="12"/>
    </row>
    <row r="845" spans="3:8" x14ac:dyDescent="0.2">
      <c r="C845" s="16"/>
      <c r="D845" s="12"/>
      <c r="E845" s="12"/>
      <c r="F845" s="12"/>
      <c r="G845" s="12"/>
      <c r="H845" s="12"/>
    </row>
    <row r="846" spans="3:8" x14ac:dyDescent="0.2">
      <c r="C846" s="16"/>
      <c r="D846" s="12"/>
      <c r="E846" s="12"/>
      <c r="F846" s="12"/>
      <c r="G846" s="12"/>
      <c r="H846" s="12"/>
    </row>
    <row r="847" spans="3:8" x14ac:dyDescent="0.2">
      <c r="C847" s="16"/>
      <c r="D847" s="12"/>
      <c r="E847" s="12"/>
      <c r="F847" s="12"/>
      <c r="G847" s="12"/>
      <c r="H847" s="12"/>
    </row>
    <row r="848" spans="3:8" x14ac:dyDescent="0.2">
      <c r="C848" s="16"/>
      <c r="D848" s="12"/>
      <c r="E848" s="12"/>
      <c r="F848" s="12"/>
      <c r="G848" s="12"/>
      <c r="H848" s="12"/>
    </row>
    <row r="849" spans="3:8" x14ac:dyDescent="0.2">
      <c r="C849" s="16"/>
      <c r="D849" s="12"/>
      <c r="E849" s="12"/>
      <c r="F849" s="12"/>
      <c r="G849" s="12"/>
      <c r="H849" s="12"/>
    </row>
    <row r="850" spans="3:8" x14ac:dyDescent="0.2">
      <c r="C850" s="16"/>
      <c r="D850" s="12"/>
      <c r="E850" s="12"/>
      <c r="F850" s="12"/>
      <c r="G850" s="12"/>
      <c r="H850" s="12"/>
    </row>
    <row r="851" spans="3:8" x14ac:dyDescent="0.2">
      <c r="C851" s="16"/>
      <c r="D851" s="12"/>
      <c r="E851" s="12"/>
      <c r="F851" s="12"/>
      <c r="G851" s="12"/>
      <c r="H851" s="12"/>
    </row>
    <row r="852" spans="3:8" x14ac:dyDescent="0.2">
      <c r="C852" s="16"/>
      <c r="D852" s="12"/>
      <c r="E852" s="12"/>
      <c r="F852" s="12"/>
      <c r="G852" s="12"/>
      <c r="H852" s="12"/>
    </row>
    <row r="853" spans="3:8" x14ac:dyDescent="0.2">
      <c r="C853" s="16"/>
      <c r="D853" s="12"/>
      <c r="E853" s="12"/>
      <c r="F853" s="12"/>
      <c r="G853" s="12"/>
      <c r="H853" s="12"/>
    </row>
    <row r="854" spans="3:8" x14ac:dyDescent="0.2">
      <c r="C854" s="16"/>
      <c r="D854" s="12"/>
      <c r="E854" s="12"/>
      <c r="F854" s="12"/>
      <c r="G854" s="12"/>
      <c r="H854" s="12"/>
    </row>
    <row r="855" spans="3:8" x14ac:dyDescent="0.2">
      <c r="C855" s="16"/>
      <c r="D855" s="12"/>
      <c r="E855" s="12"/>
      <c r="F855" s="12"/>
      <c r="G855" s="12"/>
      <c r="H855" s="12"/>
    </row>
    <row r="856" spans="3:8" x14ac:dyDescent="0.2">
      <c r="C856" s="16"/>
      <c r="D856" s="12"/>
      <c r="E856" s="12"/>
      <c r="F856" s="12"/>
      <c r="G856" s="12"/>
      <c r="H856" s="12"/>
    </row>
    <row r="857" spans="3:8" x14ac:dyDescent="0.2">
      <c r="C857" s="16"/>
      <c r="D857" s="12"/>
      <c r="E857" s="12"/>
      <c r="F857" s="12"/>
      <c r="G857" s="12"/>
      <c r="H857" s="12"/>
    </row>
    <row r="858" spans="3:8" x14ac:dyDescent="0.2">
      <c r="C858" s="16"/>
      <c r="D858" s="12"/>
      <c r="E858" s="12"/>
      <c r="F858" s="12"/>
      <c r="G858" s="12"/>
      <c r="H858" s="12"/>
    </row>
    <row r="859" spans="3:8" x14ac:dyDescent="0.2">
      <c r="C859" s="16"/>
      <c r="D859" s="12"/>
      <c r="E859" s="12"/>
      <c r="F859" s="12"/>
      <c r="G859" s="12"/>
      <c r="H859" s="12"/>
    </row>
    <row r="860" spans="3:8" x14ac:dyDescent="0.2">
      <c r="C860" s="16"/>
      <c r="D860" s="12"/>
      <c r="E860" s="12"/>
      <c r="F860" s="12"/>
      <c r="G860" s="12"/>
      <c r="H860" s="12"/>
    </row>
    <row r="861" spans="3:8" x14ac:dyDescent="0.2">
      <c r="C861" s="16"/>
      <c r="D861" s="12"/>
      <c r="E861" s="12"/>
      <c r="F861" s="12"/>
      <c r="G861" s="12"/>
      <c r="H861" s="12"/>
    </row>
    <row r="862" spans="3:8" x14ac:dyDescent="0.2">
      <c r="C862" s="16"/>
      <c r="D862" s="12"/>
      <c r="E862" s="12"/>
      <c r="F862" s="12"/>
      <c r="G862" s="12"/>
      <c r="H862" s="12"/>
    </row>
    <row r="863" spans="3:8" x14ac:dyDescent="0.2">
      <c r="C863" s="16"/>
      <c r="D863" s="12"/>
      <c r="E863" s="12"/>
      <c r="F863" s="12"/>
      <c r="G863" s="12"/>
      <c r="H863" s="12"/>
    </row>
    <row r="864" spans="3:8" x14ac:dyDescent="0.2">
      <c r="C864" s="16"/>
      <c r="D864" s="12"/>
      <c r="E864" s="12"/>
      <c r="F864" s="12"/>
      <c r="G864" s="12"/>
      <c r="H864" s="12"/>
    </row>
    <row r="865" spans="3:8" x14ac:dyDescent="0.2">
      <c r="C865" s="16"/>
      <c r="D865" s="12"/>
      <c r="E865" s="12"/>
      <c r="F865" s="12"/>
      <c r="G865" s="12"/>
      <c r="H865" s="12"/>
    </row>
    <row r="866" spans="3:8" x14ac:dyDescent="0.2">
      <c r="C866" s="16"/>
      <c r="D866" s="12"/>
      <c r="E866" s="12"/>
      <c r="F866" s="12"/>
      <c r="G866" s="12"/>
      <c r="H866" s="12"/>
    </row>
    <row r="867" spans="3:8" x14ac:dyDescent="0.2">
      <c r="C867" s="16"/>
      <c r="D867" s="12"/>
      <c r="E867" s="12"/>
      <c r="F867" s="12"/>
      <c r="G867" s="12"/>
      <c r="H867" s="12"/>
    </row>
    <row r="868" spans="3:8" x14ac:dyDescent="0.2">
      <c r="C868" s="16"/>
      <c r="D868" s="12"/>
      <c r="E868" s="12"/>
      <c r="F868" s="12"/>
      <c r="G868" s="12"/>
      <c r="H868" s="12"/>
    </row>
    <row r="869" spans="3:8" x14ac:dyDescent="0.2">
      <c r="C869" s="16"/>
      <c r="D869" s="12"/>
      <c r="E869" s="12"/>
      <c r="F869" s="12"/>
      <c r="G869" s="12"/>
      <c r="H869" s="12"/>
    </row>
    <row r="870" spans="3:8" x14ac:dyDescent="0.2">
      <c r="C870" s="16"/>
      <c r="D870" s="12"/>
      <c r="E870" s="12"/>
      <c r="F870" s="12"/>
      <c r="G870" s="12"/>
      <c r="H870" s="12"/>
    </row>
    <row r="871" spans="3:8" x14ac:dyDescent="0.2">
      <c r="C871" s="16"/>
      <c r="D871" s="12"/>
      <c r="E871" s="12"/>
      <c r="F871" s="12"/>
      <c r="G871" s="12"/>
      <c r="H871" s="12"/>
    </row>
    <row r="872" spans="3:8" x14ac:dyDescent="0.2">
      <c r="C872" s="16"/>
      <c r="D872" s="12"/>
      <c r="E872" s="12"/>
      <c r="F872" s="12"/>
      <c r="G872" s="12"/>
      <c r="H872" s="12"/>
    </row>
    <row r="873" spans="3:8" x14ac:dyDescent="0.2">
      <c r="C873" s="16"/>
      <c r="D873" s="12"/>
      <c r="E873" s="12"/>
      <c r="F873" s="12"/>
      <c r="G873" s="12"/>
      <c r="H873" s="12"/>
    </row>
    <row r="874" spans="3:8" x14ac:dyDescent="0.2">
      <c r="C874" s="16"/>
      <c r="D874" s="12"/>
      <c r="E874" s="12"/>
      <c r="F874" s="12"/>
      <c r="G874" s="12"/>
      <c r="H874" s="12"/>
    </row>
    <row r="875" spans="3:8" x14ac:dyDescent="0.2">
      <c r="C875" s="16"/>
      <c r="D875" s="12"/>
      <c r="E875" s="12"/>
      <c r="F875" s="12"/>
      <c r="G875" s="12"/>
      <c r="H875" s="12"/>
    </row>
    <row r="876" spans="3:8" x14ac:dyDescent="0.2">
      <c r="C876" s="16"/>
      <c r="D876" s="12"/>
      <c r="E876" s="12"/>
      <c r="F876" s="12"/>
      <c r="G876" s="12"/>
      <c r="H876" s="12"/>
    </row>
    <row r="877" spans="3:8" x14ac:dyDescent="0.2">
      <c r="C877" s="16"/>
      <c r="D877" s="12"/>
      <c r="E877" s="12"/>
      <c r="F877" s="12"/>
      <c r="G877" s="12"/>
      <c r="H877" s="12"/>
    </row>
    <row r="878" spans="3:8" x14ac:dyDescent="0.2">
      <c r="C878" s="16"/>
      <c r="D878" s="12"/>
      <c r="E878" s="12"/>
      <c r="F878" s="12"/>
      <c r="G878" s="12"/>
      <c r="H878" s="12"/>
    </row>
    <row r="879" spans="3:8" x14ac:dyDescent="0.2">
      <c r="C879" s="16"/>
      <c r="D879" s="12"/>
      <c r="E879" s="12"/>
      <c r="F879" s="12"/>
      <c r="G879" s="12"/>
      <c r="H879" s="12"/>
    </row>
    <row r="880" spans="3:8" x14ac:dyDescent="0.2">
      <c r="C880" s="16"/>
      <c r="D880" s="12"/>
      <c r="E880" s="12"/>
      <c r="F880" s="12"/>
      <c r="G880" s="12"/>
      <c r="H880" s="12"/>
    </row>
    <row r="881" spans="3:8" x14ac:dyDescent="0.2">
      <c r="C881" s="16"/>
      <c r="D881" s="12"/>
      <c r="E881" s="12"/>
      <c r="F881" s="12"/>
      <c r="G881" s="12"/>
      <c r="H881" s="12"/>
    </row>
    <row r="882" spans="3:8" x14ac:dyDescent="0.2">
      <c r="C882" s="16"/>
      <c r="D882" s="12"/>
      <c r="E882" s="12"/>
      <c r="F882" s="12"/>
      <c r="G882" s="12"/>
      <c r="H882" s="12"/>
    </row>
    <row r="883" spans="3:8" x14ac:dyDescent="0.2">
      <c r="C883" s="16"/>
      <c r="D883" s="12"/>
      <c r="E883" s="12"/>
      <c r="F883" s="12"/>
      <c r="G883" s="12"/>
      <c r="H883" s="12"/>
    </row>
    <row r="884" spans="3:8" x14ac:dyDescent="0.2">
      <c r="C884" s="16"/>
      <c r="D884" s="12"/>
      <c r="E884" s="12"/>
      <c r="F884" s="12"/>
      <c r="G884" s="12"/>
      <c r="H884" s="12"/>
    </row>
    <row r="885" spans="3:8" x14ac:dyDescent="0.2">
      <c r="C885" s="16"/>
      <c r="D885" s="12"/>
      <c r="E885" s="12"/>
      <c r="F885" s="12"/>
      <c r="G885" s="12"/>
      <c r="H885" s="12"/>
    </row>
    <row r="886" spans="3:8" x14ac:dyDescent="0.2">
      <c r="C886" s="16"/>
      <c r="D886" s="12"/>
      <c r="E886" s="12"/>
      <c r="F886" s="12"/>
      <c r="G886" s="12"/>
      <c r="H886" s="12"/>
    </row>
    <row r="887" spans="3:8" x14ac:dyDescent="0.2">
      <c r="C887" s="16"/>
      <c r="D887" s="12"/>
      <c r="E887" s="12"/>
      <c r="F887" s="12"/>
      <c r="G887" s="12"/>
      <c r="H887" s="12"/>
    </row>
    <row r="888" spans="3:8" x14ac:dyDescent="0.2">
      <c r="C888" s="16"/>
      <c r="D888" s="12"/>
      <c r="E888" s="12"/>
      <c r="F888" s="12"/>
      <c r="G888" s="12"/>
      <c r="H888" s="12"/>
    </row>
    <row r="889" spans="3:8" x14ac:dyDescent="0.2">
      <c r="C889" s="16"/>
      <c r="D889" s="12"/>
      <c r="E889" s="12"/>
      <c r="F889" s="12"/>
      <c r="G889" s="12"/>
      <c r="H889" s="12"/>
    </row>
    <row r="890" spans="3:8" x14ac:dyDescent="0.2">
      <c r="C890" s="16"/>
      <c r="D890" s="12"/>
      <c r="E890" s="12"/>
      <c r="F890" s="12"/>
      <c r="G890" s="12"/>
      <c r="H890" s="12"/>
    </row>
    <row r="891" spans="3:8" x14ac:dyDescent="0.2">
      <c r="C891" s="16"/>
      <c r="D891" s="12"/>
      <c r="E891" s="12"/>
      <c r="F891" s="12"/>
      <c r="G891" s="12"/>
      <c r="H891" s="12"/>
    </row>
    <row r="892" spans="3:8" x14ac:dyDescent="0.2">
      <c r="C892" s="16"/>
      <c r="D892" s="12"/>
      <c r="E892" s="12"/>
      <c r="F892" s="12"/>
      <c r="G892" s="12"/>
      <c r="H892" s="12"/>
    </row>
    <row r="893" spans="3:8" x14ac:dyDescent="0.2">
      <c r="C893" s="16"/>
      <c r="D893" s="12"/>
      <c r="E893" s="12"/>
      <c r="F893" s="12"/>
      <c r="G893" s="12"/>
      <c r="H893" s="12"/>
    </row>
    <row r="894" spans="3:8" x14ac:dyDescent="0.2">
      <c r="C894" s="16"/>
      <c r="D894" s="12"/>
      <c r="E894" s="12"/>
      <c r="F894" s="12"/>
      <c r="G894" s="12"/>
      <c r="H894" s="12"/>
    </row>
    <row r="895" spans="3:8" x14ac:dyDescent="0.2">
      <c r="C895" s="16"/>
      <c r="D895" s="12"/>
      <c r="E895" s="12"/>
      <c r="F895" s="12"/>
      <c r="G895" s="12"/>
      <c r="H895" s="12"/>
    </row>
    <row r="896" spans="3:8" x14ac:dyDescent="0.2">
      <c r="C896" s="16"/>
      <c r="D896" s="12"/>
      <c r="E896" s="12"/>
      <c r="F896" s="12"/>
      <c r="G896" s="12"/>
      <c r="H896" s="12"/>
    </row>
    <row r="897" spans="3:8" x14ac:dyDescent="0.2">
      <c r="C897" s="16"/>
      <c r="D897" s="12"/>
      <c r="E897" s="12"/>
      <c r="F897" s="12"/>
      <c r="G897" s="12"/>
      <c r="H897" s="12"/>
    </row>
    <row r="898" spans="3:8" x14ac:dyDescent="0.2">
      <c r="C898" s="16"/>
      <c r="D898" s="12"/>
      <c r="E898" s="12"/>
      <c r="F898" s="12"/>
      <c r="G898" s="12"/>
      <c r="H898" s="12"/>
    </row>
    <row r="899" spans="3:8" x14ac:dyDescent="0.2">
      <c r="C899" s="16"/>
      <c r="D899" s="12"/>
      <c r="E899" s="12"/>
      <c r="F899" s="12"/>
      <c r="G899" s="12"/>
      <c r="H899" s="12"/>
    </row>
    <row r="900" spans="3:8" x14ac:dyDescent="0.2">
      <c r="C900" s="16"/>
      <c r="D900" s="12"/>
      <c r="E900" s="12"/>
      <c r="F900" s="12"/>
      <c r="G900" s="12"/>
      <c r="H900" s="12"/>
    </row>
    <row r="901" spans="3:8" x14ac:dyDescent="0.2">
      <c r="C901" s="16"/>
      <c r="D901" s="12"/>
      <c r="E901" s="12"/>
      <c r="F901" s="12"/>
      <c r="G901" s="12"/>
      <c r="H901" s="12"/>
    </row>
    <row r="902" spans="3:8" x14ac:dyDescent="0.2">
      <c r="C902" s="16"/>
      <c r="D902" s="12"/>
      <c r="E902" s="12"/>
      <c r="F902" s="12"/>
      <c r="G902" s="12"/>
      <c r="H902" s="12"/>
    </row>
    <row r="903" spans="3:8" x14ac:dyDescent="0.2">
      <c r="C903" s="16"/>
      <c r="D903" s="12"/>
      <c r="E903" s="12"/>
      <c r="F903" s="12"/>
      <c r="G903" s="12"/>
      <c r="H903" s="12"/>
    </row>
    <row r="904" spans="3:8" x14ac:dyDescent="0.2">
      <c r="C904" s="16"/>
      <c r="D904" s="12"/>
      <c r="E904" s="12"/>
      <c r="F904" s="12"/>
      <c r="G904" s="12"/>
      <c r="H904" s="12"/>
    </row>
    <row r="905" spans="3:8" x14ac:dyDescent="0.2">
      <c r="C905" s="16"/>
      <c r="D905" s="12"/>
      <c r="E905" s="12"/>
      <c r="F905" s="12"/>
      <c r="G905" s="12"/>
      <c r="H905" s="12"/>
    </row>
    <row r="906" spans="3:8" x14ac:dyDescent="0.2">
      <c r="C906" s="16"/>
      <c r="D906" s="12"/>
      <c r="E906" s="12"/>
      <c r="F906" s="12"/>
      <c r="G906" s="12"/>
      <c r="H906" s="12"/>
    </row>
    <row r="907" spans="3:8" x14ac:dyDescent="0.2">
      <c r="C907" s="16"/>
      <c r="D907" s="12"/>
      <c r="E907" s="12"/>
      <c r="F907" s="12"/>
      <c r="G907" s="12"/>
      <c r="H907" s="12"/>
    </row>
    <row r="908" spans="3:8" x14ac:dyDescent="0.2">
      <c r="C908" s="16"/>
      <c r="D908" s="12"/>
      <c r="E908" s="12"/>
      <c r="F908" s="12"/>
      <c r="G908" s="12"/>
      <c r="H908" s="12"/>
    </row>
    <row r="909" spans="3:8" x14ac:dyDescent="0.2">
      <c r="C909" s="16"/>
      <c r="D909" s="12"/>
      <c r="E909" s="12"/>
      <c r="F909" s="12"/>
      <c r="G909" s="12"/>
      <c r="H909" s="12"/>
    </row>
    <row r="910" spans="3:8" x14ac:dyDescent="0.2">
      <c r="C910" s="16"/>
      <c r="D910" s="12"/>
      <c r="E910" s="12"/>
      <c r="F910" s="12"/>
      <c r="G910" s="12"/>
      <c r="H910" s="12"/>
    </row>
    <row r="911" spans="3:8" x14ac:dyDescent="0.2">
      <c r="C911" s="16"/>
      <c r="D911" s="12"/>
      <c r="E911" s="12"/>
      <c r="F911" s="12"/>
      <c r="G911" s="12"/>
      <c r="H911" s="12"/>
    </row>
    <row r="912" spans="3:8" x14ac:dyDescent="0.2">
      <c r="C912" s="16"/>
      <c r="D912" s="12"/>
      <c r="E912" s="12"/>
      <c r="F912" s="12"/>
      <c r="G912" s="12"/>
      <c r="H912" s="12"/>
    </row>
    <row r="913" spans="3:8" x14ac:dyDescent="0.2">
      <c r="C913" s="16"/>
      <c r="D913" s="12"/>
      <c r="E913" s="12"/>
      <c r="F913" s="12"/>
      <c r="G913" s="12"/>
      <c r="H913" s="12"/>
    </row>
    <row r="914" spans="3:8" x14ac:dyDescent="0.2">
      <c r="C914" s="16"/>
      <c r="D914" s="12"/>
      <c r="E914" s="12"/>
      <c r="F914" s="12"/>
      <c r="G914" s="12"/>
      <c r="H914" s="12"/>
    </row>
    <row r="915" spans="3:8" x14ac:dyDescent="0.2">
      <c r="C915" s="16"/>
      <c r="D915" s="12"/>
      <c r="E915" s="12"/>
      <c r="F915" s="12"/>
      <c r="G915" s="12"/>
      <c r="H915" s="12"/>
    </row>
    <row r="916" spans="3:8" x14ac:dyDescent="0.2">
      <c r="C916" s="16"/>
      <c r="D916" s="12"/>
      <c r="E916" s="12"/>
      <c r="F916" s="12"/>
      <c r="G916" s="12"/>
      <c r="H916" s="12"/>
    </row>
    <row r="917" spans="3:8" x14ac:dyDescent="0.2">
      <c r="C917" s="16"/>
      <c r="D917" s="12"/>
      <c r="E917" s="12"/>
      <c r="F917" s="12"/>
      <c r="G917" s="12"/>
      <c r="H917" s="12"/>
    </row>
    <row r="918" spans="3:8" x14ac:dyDescent="0.2">
      <c r="C918" s="16"/>
      <c r="D918" s="12"/>
      <c r="E918" s="12"/>
      <c r="F918" s="12"/>
      <c r="G918" s="12"/>
      <c r="H918" s="12"/>
    </row>
    <row r="919" spans="3:8" x14ac:dyDescent="0.2">
      <c r="C919" s="16"/>
      <c r="D919" s="12"/>
      <c r="E919" s="12"/>
      <c r="F919" s="12"/>
      <c r="G919" s="12"/>
      <c r="H919" s="12"/>
    </row>
    <row r="920" spans="3:8" x14ac:dyDescent="0.2">
      <c r="C920" s="16"/>
      <c r="D920" s="12"/>
      <c r="E920" s="12"/>
      <c r="F920" s="12"/>
      <c r="G920" s="12"/>
      <c r="H920" s="12"/>
    </row>
    <row r="921" spans="3:8" x14ac:dyDescent="0.2">
      <c r="C921" s="16"/>
      <c r="D921" s="12"/>
      <c r="E921" s="12"/>
      <c r="F921" s="12"/>
      <c r="G921" s="12"/>
      <c r="H921" s="12"/>
    </row>
    <row r="922" spans="3:8" x14ac:dyDescent="0.2">
      <c r="C922" s="16"/>
      <c r="D922" s="12"/>
      <c r="E922" s="12"/>
      <c r="F922" s="12"/>
      <c r="G922" s="12"/>
      <c r="H922" s="12"/>
    </row>
    <row r="923" spans="3:8" x14ac:dyDescent="0.2">
      <c r="C923" s="16"/>
      <c r="D923" s="12"/>
      <c r="E923" s="12"/>
      <c r="F923" s="12"/>
      <c r="G923" s="12"/>
      <c r="H923" s="12"/>
    </row>
    <row r="924" spans="3:8" x14ac:dyDescent="0.2">
      <c r="C924" s="16"/>
      <c r="D924" s="12"/>
      <c r="E924" s="12"/>
      <c r="F924" s="12"/>
      <c r="G924" s="12"/>
      <c r="H924" s="12"/>
    </row>
    <row r="925" spans="3:8" x14ac:dyDescent="0.2">
      <c r="C925" s="16"/>
      <c r="D925" s="12"/>
      <c r="E925" s="12"/>
      <c r="F925" s="12"/>
      <c r="G925" s="12"/>
      <c r="H925" s="12"/>
    </row>
    <row r="926" spans="3:8" x14ac:dyDescent="0.2">
      <c r="C926" s="16"/>
      <c r="D926" s="12"/>
      <c r="E926" s="12"/>
      <c r="F926" s="12"/>
      <c r="G926" s="12"/>
      <c r="H926" s="12"/>
    </row>
    <row r="927" spans="3:8" x14ac:dyDescent="0.2">
      <c r="C927" s="16"/>
      <c r="D927" s="12"/>
      <c r="E927" s="12"/>
      <c r="F927" s="12"/>
      <c r="G927" s="12"/>
      <c r="H927" s="12"/>
    </row>
    <row r="928" spans="3:8" x14ac:dyDescent="0.2">
      <c r="C928" s="16"/>
      <c r="D928" s="12"/>
      <c r="E928" s="12"/>
      <c r="F928" s="12"/>
      <c r="G928" s="12"/>
      <c r="H928" s="12"/>
    </row>
    <row r="929" spans="3:8" x14ac:dyDescent="0.2">
      <c r="C929" s="16"/>
      <c r="D929" s="12"/>
      <c r="E929" s="12"/>
      <c r="F929" s="12"/>
      <c r="G929" s="12"/>
      <c r="H929" s="12"/>
    </row>
    <row r="930" spans="3:8" x14ac:dyDescent="0.2">
      <c r="C930" s="16"/>
      <c r="D930" s="12"/>
      <c r="E930" s="12"/>
      <c r="F930" s="12"/>
      <c r="G930" s="12"/>
      <c r="H930" s="12"/>
    </row>
    <row r="931" spans="3:8" x14ac:dyDescent="0.2">
      <c r="C931" s="16"/>
      <c r="D931" s="12"/>
      <c r="E931" s="12"/>
      <c r="F931" s="12"/>
      <c r="G931" s="12"/>
      <c r="H931" s="12"/>
    </row>
    <row r="932" spans="3:8" x14ac:dyDescent="0.2">
      <c r="C932" s="16"/>
      <c r="D932" s="12"/>
      <c r="E932" s="12"/>
      <c r="F932" s="12"/>
      <c r="G932" s="12"/>
      <c r="H932" s="12"/>
    </row>
    <row r="933" spans="3:8" x14ac:dyDescent="0.2">
      <c r="C933" s="16"/>
      <c r="D933" s="12"/>
      <c r="E933" s="12"/>
      <c r="F933" s="12"/>
      <c r="G933" s="12"/>
      <c r="H933" s="12"/>
    </row>
    <row r="934" spans="3:8" x14ac:dyDescent="0.2">
      <c r="C934" s="16"/>
      <c r="D934" s="12"/>
      <c r="E934" s="12"/>
      <c r="F934" s="12"/>
      <c r="G934" s="12"/>
      <c r="H934" s="12"/>
    </row>
    <row r="935" spans="3:8" x14ac:dyDescent="0.2">
      <c r="C935" s="16"/>
      <c r="D935" s="12"/>
      <c r="E935" s="12"/>
      <c r="F935" s="12"/>
      <c r="G935" s="12"/>
      <c r="H935" s="12"/>
    </row>
    <row r="936" spans="3:8" x14ac:dyDescent="0.2">
      <c r="C936" s="16"/>
      <c r="D936" s="12"/>
      <c r="E936" s="12"/>
      <c r="F936" s="12"/>
      <c r="G936" s="12"/>
      <c r="H936" s="12"/>
    </row>
    <row r="937" spans="3:8" x14ac:dyDescent="0.2">
      <c r="C937" s="16"/>
      <c r="D937" s="12"/>
      <c r="E937" s="12"/>
      <c r="F937" s="12"/>
      <c r="G937" s="12"/>
      <c r="H937" s="12"/>
    </row>
    <row r="938" spans="3:8" x14ac:dyDescent="0.2">
      <c r="C938" s="16"/>
      <c r="D938" s="12"/>
      <c r="E938" s="12"/>
      <c r="F938" s="12"/>
      <c r="G938" s="12"/>
      <c r="H938" s="12"/>
    </row>
    <row r="939" spans="3:8" x14ac:dyDescent="0.2">
      <c r="C939" s="16"/>
      <c r="D939" s="12"/>
      <c r="E939" s="12"/>
      <c r="F939" s="12"/>
      <c r="G939" s="12"/>
      <c r="H939" s="12"/>
    </row>
    <row r="940" spans="3:8" x14ac:dyDescent="0.2">
      <c r="C940" s="16"/>
      <c r="D940" s="12"/>
      <c r="E940" s="12"/>
      <c r="F940" s="12"/>
      <c r="G940" s="12"/>
      <c r="H940" s="12"/>
    </row>
    <row r="941" spans="3:8" x14ac:dyDescent="0.2">
      <c r="C941" s="16"/>
      <c r="D941" s="12"/>
      <c r="E941" s="12"/>
      <c r="F941" s="12"/>
      <c r="G941" s="12"/>
      <c r="H941" s="12"/>
    </row>
    <row r="942" spans="3:8" x14ac:dyDescent="0.2">
      <c r="C942" s="16"/>
      <c r="D942" s="12"/>
      <c r="E942" s="12"/>
      <c r="F942" s="12"/>
      <c r="G942" s="12"/>
      <c r="H942" s="12"/>
    </row>
    <row r="943" spans="3:8" x14ac:dyDescent="0.2">
      <c r="C943" s="16"/>
      <c r="D943" s="12"/>
      <c r="E943" s="12"/>
      <c r="F943" s="12"/>
      <c r="G943" s="12"/>
      <c r="H943" s="12"/>
    </row>
    <row r="944" spans="3:8" x14ac:dyDescent="0.2">
      <c r="C944" s="16"/>
      <c r="D944" s="12"/>
      <c r="E944" s="12"/>
      <c r="F944" s="12"/>
      <c r="G944" s="12"/>
      <c r="H944" s="12"/>
    </row>
    <row r="945" spans="3:8" x14ac:dyDescent="0.2">
      <c r="C945" s="16"/>
      <c r="D945" s="12"/>
      <c r="E945" s="12"/>
      <c r="F945" s="12"/>
      <c r="G945" s="12"/>
      <c r="H945" s="12"/>
    </row>
    <row r="946" spans="3:8" x14ac:dyDescent="0.2">
      <c r="C946" s="16"/>
      <c r="D946" s="12"/>
      <c r="E946" s="12"/>
      <c r="F946" s="12"/>
      <c r="G946" s="12"/>
      <c r="H946" s="12"/>
    </row>
    <row r="947" spans="3:8" x14ac:dyDescent="0.2">
      <c r="C947" s="16"/>
      <c r="D947" s="12"/>
      <c r="E947" s="12"/>
      <c r="F947" s="12"/>
      <c r="G947" s="12"/>
      <c r="H947" s="12"/>
    </row>
    <row r="948" spans="3:8" x14ac:dyDescent="0.2">
      <c r="C948" s="16"/>
      <c r="D948" s="12"/>
      <c r="E948" s="12"/>
      <c r="F948" s="12"/>
      <c r="G948" s="12"/>
      <c r="H948" s="12"/>
    </row>
    <row r="949" spans="3:8" x14ac:dyDescent="0.2">
      <c r="C949" s="16"/>
      <c r="D949" s="12"/>
      <c r="E949" s="12"/>
      <c r="F949" s="12"/>
      <c r="G949" s="12"/>
      <c r="H949" s="12"/>
    </row>
    <row r="950" spans="3:8" x14ac:dyDescent="0.2">
      <c r="C950" s="16"/>
      <c r="D950" s="12"/>
      <c r="E950" s="12"/>
      <c r="F950" s="12"/>
      <c r="G950" s="12"/>
      <c r="H950" s="12"/>
    </row>
    <row r="951" spans="3:8" x14ac:dyDescent="0.2">
      <c r="C951" s="16"/>
      <c r="D951" s="12"/>
      <c r="E951" s="12"/>
      <c r="F951" s="12"/>
      <c r="G951" s="12"/>
      <c r="H951" s="12"/>
    </row>
    <row r="952" spans="3:8" x14ac:dyDescent="0.2">
      <c r="C952" s="16"/>
      <c r="D952" s="12"/>
      <c r="E952" s="12"/>
      <c r="F952" s="12"/>
      <c r="G952" s="12"/>
      <c r="H952" s="12"/>
    </row>
    <row r="953" spans="3:8" x14ac:dyDescent="0.2">
      <c r="C953" s="16"/>
      <c r="D953" s="12"/>
      <c r="E953" s="12"/>
      <c r="F953" s="12"/>
      <c r="G953" s="12"/>
      <c r="H953" s="12"/>
    </row>
    <row r="954" spans="3:8" x14ac:dyDescent="0.2">
      <c r="C954" s="16"/>
      <c r="D954" s="12"/>
      <c r="E954" s="12"/>
      <c r="F954" s="12"/>
      <c r="G954" s="12"/>
      <c r="H954" s="12"/>
    </row>
    <row r="955" spans="3:8" x14ac:dyDescent="0.2">
      <c r="C955" s="16"/>
      <c r="D955" s="12"/>
      <c r="E955" s="12"/>
      <c r="F955" s="12"/>
      <c r="G955" s="12"/>
      <c r="H955" s="12"/>
    </row>
    <row r="956" spans="3:8" x14ac:dyDescent="0.2">
      <c r="C956" s="16"/>
      <c r="D956" s="12"/>
      <c r="E956" s="12"/>
      <c r="F956" s="12"/>
      <c r="G956" s="12"/>
      <c r="H956" s="12"/>
    </row>
    <row r="957" spans="3:8" x14ac:dyDescent="0.2">
      <c r="C957" s="16"/>
      <c r="D957" s="12"/>
      <c r="E957" s="12"/>
      <c r="F957" s="12"/>
      <c r="G957" s="12"/>
      <c r="H957" s="12"/>
    </row>
    <row r="958" spans="3:8" x14ac:dyDescent="0.2">
      <c r="C958" s="16"/>
      <c r="D958" s="12"/>
      <c r="E958" s="12"/>
      <c r="F958" s="12"/>
      <c r="G958" s="12"/>
      <c r="H958" s="12"/>
    </row>
    <row r="959" spans="3:8" x14ac:dyDescent="0.2">
      <c r="C959" s="16"/>
      <c r="D959" s="12"/>
      <c r="E959" s="12"/>
      <c r="F959" s="12"/>
      <c r="G959" s="12"/>
      <c r="H959" s="12"/>
    </row>
    <row r="960" spans="3:8" x14ac:dyDescent="0.2">
      <c r="C960" s="16"/>
      <c r="D960" s="12"/>
      <c r="E960" s="12"/>
      <c r="F960" s="12"/>
      <c r="G960" s="12"/>
      <c r="H960" s="12"/>
    </row>
    <row r="961" spans="3:8" x14ac:dyDescent="0.2">
      <c r="C961" s="16"/>
      <c r="D961" s="12"/>
      <c r="E961" s="12"/>
      <c r="F961" s="12"/>
      <c r="G961" s="12"/>
      <c r="H961" s="12"/>
    </row>
    <row r="962" spans="3:8" x14ac:dyDescent="0.2">
      <c r="C962" s="16"/>
      <c r="D962" s="12"/>
      <c r="E962" s="12"/>
      <c r="F962" s="12"/>
      <c r="G962" s="12"/>
      <c r="H962" s="12"/>
    </row>
    <row r="963" spans="3:8" x14ac:dyDescent="0.2">
      <c r="C963" s="16"/>
      <c r="D963" s="12"/>
      <c r="E963" s="12"/>
      <c r="F963" s="12"/>
      <c r="G963" s="12"/>
      <c r="H963" s="12"/>
    </row>
    <row r="964" spans="3:8" x14ac:dyDescent="0.2">
      <c r="C964" s="16"/>
      <c r="D964" s="12"/>
      <c r="E964" s="12"/>
      <c r="F964" s="12"/>
      <c r="G964" s="12"/>
      <c r="H964" s="12"/>
    </row>
    <row r="965" spans="3:8" x14ac:dyDescent="0.2">
      <c r="C965" s="16"/>
      <c r="D965" s="12"/>
      <c r="E965" s="12"/>
      <c r="F965" s="12"/>
      <c r="G965" s="12"/>
      <c r="H965" s="12"/>
    </row>
    <row r="966" spans="3:8" x14ac:dyDescent="0.2">
      <c r="C966" s="16"/>
      <c r="D966" s="12"/>
      <c r="E966" s="12"/>
      <c r="F966" s="12"/>
      <c r="G966" s="12"/>
      <c r="H966" s="12"/>
    </row>
    <row r="967" spans="3:8" x14ac:dyDescent="0.2">
      <c r="C967" s="16"/>
      <c r="D967" s="12"/>
      <c r="E967" s="12"/>
      <c r="F967" s="12"/>
      <c r="G967" s="12"/>
      <c r="H967" s="12"/>
    </row>
    <row r="968" spans="3:8" x14ac:dyDescent="0.2">
      <c r="C968" s="16"/>
      <c r="D968" s="12"/>
      <c r="E968" s="12"/>
      <c r="F968" s="12"/>
      <c r="G968" s="12"/>
      <c r="H968" s="12"/>
    </row>
    <row r="969" spans="3:8" x14ac:dyDescent="0.2">
      <c r="C969" s="16"/>
      <c r="D969" s="12"/>
      <c r="E969" s="12"/>
      <c r="F969" s="12"/>
      <c r="G969" s="12"/>
      <c r="H969" s="12"/>
    </row>
    <row r="970" spans="3:8" x14ac:dyDescent="0.2">
      <c r="C970" s="16"/>
      <c r="D970" s="12"/>
      <c r="E970" s="12"/>
      <c r="F970" s="12"/>
      <c r="G970" s="12"/>
      <c r="H970" s="12"/>
    </row>
    <row r="971" spans="3:8" x14ac:dyDescent="0.2">
      <c r="C971" s="16"/>
      <c r="D971" s="12"/>
      <c r="E971" s="12"/>
      <c r="F971" s="12"/>
      <c r="G971" s="12"/>
      <c r="H971" s="12"/>
    </row>
    <row r="972" spans="3:8" x14ac:dyDescent="0.2">
      <c r="C972" s="16"/>
      <c r="D972" s="12"/>
      <c r="E972" s="12"/>
      <c r="F972" s="12"/>
      <c r="G972" s="12"/>
      <c r="H972" s="12"/>
    </row>
    <row r="973" spans="3:8" x14ac:dyDescent="0.2">
      <c r="C973" s="16"/>
      <c r="D973" s="12"/>
      <c r="E973" s="12"/>
      <c r="F973" s="12"/>
      <c r="G973" s="12"/>
      <c r="H973" s="12"/>
    </row>
    <row r="974" spans="3:8" x14ac:dyDescent="0.2">
      <c r="C974" s="16"/>
      <c r="D974" s="12"/>
      <c r="E974" s="12"/>
      <c r="F974" s="12"/>
      <c r="G974" s="12"/>
      <c r="H974" s="12"/>
    </row>
    <row r="975" spans="3:8" x14ac:dyDescent="0.2">
      <c r="C975" s="16"/>
      <c r="D975" s="12"/>
      <c r="E975" s="12"/>
      <c r="F975" s="12"/>
      <c r="G975" s="12"/>
      <c r="H975" s="12"/>
    </row>
    <row r="976" spans="3:8" x14ac:dyDescent="0.2">
      <c r="C976" s="16"/>
      <c r="D976" s="12"/>
      <c r="E976" s="12"/>
      <c r="F976" s="12"/>
      <c r="G976" s="12"/>
      <c r="H976" s="12"/>
    </row>
    <row r="977" spans="3:8" x14ac:dyDescent="0.2">
      <c r="C977" s="16"/>
      <c r="D977" s="12"/>
      <c r="E977" s="12"/>
      <c r="F977" s="12"/>
      <c r="G977" s="12"/>
      <c r="H977" s="12"/>
    </row>
    <row r="978" spans="3:8" x14ac:dyDescent="0.2">
      <c r="C978" s="16"/>
      <c r="D978" s="12"/>
      <c r="E978" s="12"/>
      <c r="F978" s="12"/>
      <c r="G978" s="12"/>
      <c r="H978" s="12"/>
    </row>
    <row r="979" spans="3:8" x14ac:dyDescent="0.2">
      <c r="C979" s="16"/>
      <c r="D979" s="12"/>
      <c r="E979" s="12"/>
      <c r="F979" s="12"/>
      <c r="G979" s="12"/>
      <c r="H979" s="12"/>
    </row>
    <row r="980" spans="3:8" x14ac:dyDescent="0.2">
      <c r="C980" s="16"/>
      <c r="D980" s="12"/>
      <c r="E980" s="12"/>
      <c r="F980" s="12"/>
      <c r="G980" s="12"/>
      <c r="H980" s="12"/>
    </row>
    <row r="981" spans="3:8" x14ac:dyDescent="0.2">
      <c r="C981" s="16"/>
      <c r="D981" s="12"/>
      <c r="E981" s="12"/>
      <c r="F981" s="12"/>
      <c r="G981" s="12"/>
      <c r="H981" s="12"/>
    </row>
    <row r="982" spans="3:8" x14ac:dyDescent="0.2">
      <c r="C982" s="16"/>
      <c r="D982" s="12"/>
      <c r="E982" s="12"/>
      <c r="F982" s="12"/>
      <c r="G982" s="12"/>
      <c r="H982" s="12"/>
    </row>
    <row r="983" spans="3:8" x14ac:dyDescent="0.2">
      <c r="C983" s="16"/>
      <c r="D983" s="12"/>
      <c r="E983" s="12"/>
      <c r="F983" s="12"/>
      <c r="G983" s="12"/>
      <c r="H983" s="12"/>
    </row>
    <row r="984" spans="3:8" x14ac:dyDescent="0.2">
      <c r="C984" s="16"/>
      <c r="D984" s="12"/>
      <c r="E984" s="12"/>
      <c r="F984" s="12"/>
      <c r="G984" s="12"/>
      <c r="H984" s="12"/>
    </row>
    <row r="985" spans="3:8" x14ac:dyDescent="0.2">
      <c r="C985" s="16"/>
      <c r="D985" s="12"/>
      <c r="E985" s="12"/>
      <c r="F985" s="12"/>
      <c r="G985" s="12"/>
      <c r="H985" s="12"/>
    </row>
    <row r="986" spans="3:8" x14ac:dyDescent="0.2">
      <c r="C986" s="16"/>
      <c r="D986" s="12"/>
      <c r="E986" s="12"/>
      <c r="F986" s="12"/>
      <c r="G986" s="12"/>
      <c r="H986" s="12"/>
    </row>
    <row r="987" spans="3:8" x14ac:dyDescent="0.2">
      <c r="C987" s="16"/>
      <c r="D987" s="12"/>
      <c r="E987" s="12"/>
      <c r="F987" s="12"/>
      <c r="G987" s="12"/>
      <c r="H987" s="12"/>
    </row>
    <row r="988" spans="3:8" x14ac:dyDescent="0.2">
      <c r="C988" s="16"/>
      <c r="D988" s="12"/>
      <c r="E988" s="12"/>
      <c r="F988" s="12"/>
      <c r="G988" s="12"/>
      <c r="H988" s="12"/>
    </row>
    <row r="989" spans="3:8" x14ac:dyDescent="0.2">
      <c r="C989" s="16"/>
      <c r="D989" s="12"/>
      <c r="E989" s="12"/>
      <c r="F989" s="12"/>
      <c r="G989" s="12"/>
      <c r="H989" s="12"/>
    </row>
    <row r="990" spans="3:8" x14ac:dyDescent="0.2">
      <c r="C990" s="16"/>
      <c r="D990" s="12"/>
      <c r="E990" s="12"/>
      <c r="F990" s="12"/>
      <c r="G990" s="12"/>
      <c r="H990" s="12"/>
    </row>
    <row r="991" spans="3:8" x14ac:dyDescent="0.2">
      <c r="C991" s="16"/>
      <c r="D991" s="12"/>
      <c r="E991" s="12"/>
      <c r="F991" s="12"/>
      <c r="G991" s="12"/>
      <c r="H991" s="12"/>
    </row>
    <row r="992" spans="3:8" x14ac:dyDescent="0.2">
      <c r="C992" s="16"/>
      <c r="D992" s="12"/>
      <c r="E992" s="12"/>
      <c r="F992" s="12"/>
      <c r="G992" s="12"/>
      <c r="H992" s="12"/>
    </row>
    <row r="993" spans="3:8" x14ac:dyDescent="0.2">
      <c r="C993" s="16"/>
      <c r="D993" s="12"/>
      <c r="E993" s="12"/>
      <c r="F993" s="12"/>
      <c r="G993" s="12"/>
      <c r="H993" s="12"/>
    </row>
    <row r="994" spans="3:8" x14ac:dyDescent="0.2">
      <c r="C994" s="16"/>
      <c r="D994" s="12"/>
      <c r="E994" s="12"/>
      <c r="F994" s="12"/>
      <c r="G994" s="12"/>
      <c r="H994" s="12"/>
    </row>
    <row r="995" spans="3:8" x14ac:dyDescent="0.2">
      <c r="C995" s="16"/>
      <c r="D995" s="12"/>
      <c r="E995" s="12"/>
      <c r="F995" s="12"/>
      <c r="G995" s="12"/>
      <c r="H995" s="12"/>
    </row>
    <row r="996" spans="3:8" x14ac:dyDescent="0.2">
      <c r="C996" s="16"/>
      <c r="D996" s="12"/>
      <c r="E996" s="12"/>
      <c r="F996" s="12"/>
      <c r="G996" s="12"/>
      <c r="H996" s="12"/>
    </row>
    <row r="997" spans="3:8" x14ac:dyDescent="0.2">
      <c r="C997" s="16"/>
      <c r="D997" s="12"/>
      <c r="E997" s="12"/>
      <c r="F997" s="12"/>
      <c r="G997" s="12"/>
      <c r="H997" s="12"/>
    </row>
    <row r="998" spans="3:8" x14ac:dyDescent="0.2">
      <c r="C998" s="16"/>
      <c r="D998" s="12"/>
      <c r="E998" s="12"/>
      <c r="F998" s="12"/>
      <c r="G998" s="12"/>
      <c r="H998" s="12"/>
    </row>
    <row r="999" spans="3:8" x14ac:dyDescent="0.2">
      <c r="C999" s="16"/>
      <c r="D999" s="12"/>
      <c r="E999" s="12"/>
      <c r="F999" s="12"/>
      <c r="G999" s="12"/>
      <c r="H999" s="12"/>
    </row>
    <row r="1000" spans="3:8" x14ac:dyDescent="0.2">
      <c r="C1000" s="16"/>
      <c r="D1000" s="12"/>
      <c r="E1000" s="12"/>
      <c r="F1000" s="12"/>
      <c r="G1000" s="12"/>
      <c r="H1000" s="12"/>
    </row>
    <row r="1001" spans="3:8" x14ac:dyDescent="0.2">
      <c r="C1001" s="16"/>
      <c r="D1001" s="12"/>
      <c r="E1001" s="12"/>
      <c r="F1001" s="12"/>
      <c r="G1001" s="12"/>
      <c r="H1001" s="12"/>
    </row>
    <row r="1002" spans="3:8" x14ac:dyDescent="0.2">
      <c r="C1002" s="16"/>
      <c r="D1002" s="12"/>
      <c r="E1002" s="12"/>
      <c r="F1002" s="12"/>
      <c r="G1002" s="12"/>
      <c r="H1002" s="12"/>
    </row>
    <row r="1003" spans="3:8" x14ac:dyDescent="0.2">
      <c r="C1003" s="16"/>
      <c r="D1003" s="12"/>
      <c r="E1003" s="12"/>
      <c r="F1003" s="12"/>
      <c r="G1003" s="12"/>
      <c r="H1003" s="12"/>
    </row>
    <row r="1004" spans="3:8" x14ac:dyDescent="0.2">
      <c r="C1004" s="16"/>
      <c r="D1004" s="12"/>
      <c r="E1004" s="12"/>
      <c r="F1004" s="12"/>
      <c r="G1004" s="12"/>
      <c r="H1004" s="12"/>
    </row>
    <row r="1005" spans="3:8" x14ac:dyDescent="0.2">
      <c r="C1005" s="16"/>
      <c r="D1005" s="12"/>
      <c r="E1005" s="12"/>
      <c r="F1005" s="12"/>
      <c r="G1005" s="12"/>
      <c r="H1005" s="12"/>
    </row>
    <row r="1006" spans="3:8" x14ac:dyDescent="0.2">
      <c r="C1006" s="16"/>
      <c r="D1006" s="12"/>
      <c r="E1006" s="12"/>
      <c r="F1006" s="12"/>
      <c r="G1006" s="12"/>
      <c r="H1006" s="12"/>
    </row>
    <row r="1007" spans="3:8" x14ac:dyDescent="0.2">
      <c r="C1007" s="16"/>
      <c r="D1007" s="12"/>
      <c r="E1007" s="12"/>
      <c r="F1007" s="12"/>
      <c r="G1007" s="12"/>
      <c r="H1007" s="12"/>
    </row>
    <row r="1008" spans="3:8" x14ac:dyDescent="0.2">
      <c r="C1008" s="16"/>
      <c r="D1008" s="12"/>
      <c r="E1008" s="12"/>
      <c r="F1008" s="12"/>
      <c r="G1008" s="12"/>
      <c r="H1008" s="12"/>
    </row>
    <row r="1009" spans="3:8" x14ac:dyDescent="0.2">
      <c r="C1009" s="16"/>
      <c r="D1009" s="12"/>
      <c r="E1009" s="12"/>
      <c r="F1009" s="12"/>
      <c r="G1009" s="12"/>
      <c r="H1009" s="12"/>
    </row>
    <row r="1010" spans="3:8" x14ac:dyDescent="0.2">
      <c r="C1010" s="16"/>
      <c r="D1010" s="12"/>
      <c r="E1010" s="12"/>
      <c r="F1010" s="12"/>
      <c r="G1010" s="12"/>
      <c r="H1010" s="12"/>
    </row>
    <row r="1011" spans="3:8" x14ac:dyDescent="0.2">
      <c r="C1011" s="16"/>
      <c r="D1011" s="12"/>
      <c r="E1011" s="12"/>
      <c r="F1011" s="12"/>
      <c r="G1011" s="12"/>
      <c r="H1011" s="12"/>
    </row>
    <row r="1012" spans="3:8" x14ac:dyDescent="0.2">
      <c r="C1012" s="16"/>
      <c r="D1012" s="12"/>
      <c r="E1012" s="12"/>
      <c r="F1012" s="12"/>
      <c r="G1012" s="12"/>
      <c r="H1012" s="12"/>
    </row>
    <row r="1013" spans="3:8" x14ac:dyDescent="0.2">
      <c r="C1013" s="16"/>
      <c r="D1013" s="12"/>
      <c r="E1013" s="12"/>
      <c r="F1013" s="12"/>
      <c r="G1013" s="12"/>
      <c r="H1013" s="12"/>
    </row>
    <row r="1014" spans="3:8" x14ac:dyDescent="0.2">
      <c r="C1014" s="16"/>
      <c r="D1014" s="12"/>
      <c r="E1014" s="12"/>
      <c r="F1014" s="12"/>
      <c r="G1014" s="12"/>
      <c r="H1014" s="12"/>
    </row>
    <row r="1015" spans="3:8" x14ac:dyDescent="0.2">
      <c r="C1015" s="16"/>
      <c r="D1015" s="12"/>
      <c r="E1015" s="12"/>
      <c r="F1015" s="12"/>
      <c r="G1015" s="12"/>
      <c r="H1015" s="12"/>
    </row>
    <row r="1016" spans="3:8" x14ac:dyDescent="0.2">
      <c r="C1016" s="16"/>
      <c r="D1016" s="12"/>
      <c r="E1016" s="12"/>
      <c r="F1016" s="12"/>
      <c r="G1016" s="12"/>
      <c r="H1016" s="12"/>
    </row>
    <row r="1017" spans="3:8" x14ac:dyDescent="0.2">
      <c r="C1017" s="16"/>
      <c r="D1017" s="12"/>
      <c r="E1017" s="12"/>
      <c r="F1017" s="12"/>
      <c r="G1017" s="12"/>
      <c r="H1017" s="12"/>
    </row>
    <row r="1018" spans="3:8" x14ac:dyDescent="0.2">
      <c r="C1018" s="16"/>
      <c r="D1018" s="12"/>
      <c r="E1018" s="12"/>
      <c r="F1018" s="12"/>
      <c r="G1018" s="12"/>
      <c r="H1018" s="12"/>
    </row>
    <row r="1019" spans="3:8" x14ac:dyDescent="0.2">
      <c r="C1019" s="16"/>
      <c r="D1019" s="12"/>
      <c r="E1019" s="12"/>
      <c r="F1019" s="12"/>
      <c r="G1019" s="12"/>
      <c r="H1019" s="12"/>
    </row>
    <row r="1020" spans="3:8" x14ac:dyDescent="0.2">
      <c r="C1020" s="16"/>
      <c r="D1020" s="12"/>
      <c r="E1020" s="12"/>
      <c r="F1020" s="12"/>
      <c r="G1020" s="12"/>
      <c r="H1020" s="12"/>
    </row>
    <row r="1021" spans="3:8" x14ac:dyDescent="0.2">
      <c r="C1021" s="16"/>
      <c r="D1021" s="12"/>
      <c r="E1021" s="12"/>
      <c r="F1021" s="12"/>
      <c r="G1021" s="12"/>
      <c r="H1021" s="12"/>
    </row>
    <row r="1022" spans="3:8" x14ac:dyDescent="0.2">
      <c r="C1022" s="16"/>
      <c r="D1022" s="12"/>
      <c r="E1022" s="12"/>
      <c r="F1022" s="12"/>
      <c r="G1022" s="12"/>
      <c r="H1022" s="12"/>
    </row>
    <row r="1023" spans="3:8" x14ac:dyDescent="0.2">
      <c r="C1023" s="16"/>
      <c r="D1023" s="12"/>
      <c r="E1023" s="12"/>
      <c r="F1023" s="12"/>
      <c r="G1023" s="12"/>
      <c r="H1023" s="12"/>
    </row>
    <row r="1024" spans="3:8" x14ac:dyDescent="0.2">
      <c r="C1024" s="16"/>
      <c r="D1024" s="12"/>
      <c r="E1024" s="12"/>
      <c r="F1024" s="12"/>
      <c r="G1024" s="12"/>
      <c r="H1024" s="12"/>
    </row>
    <row r="1025" spans="3:8" x14ac:dyDescent="0.2">
      <c r="C1025" s="16"/>
      <c r="D1025" s="12"/>
      <c r="E1025" s="12"/>
      <c r="F1025" s="12"/>
      <c r="G1025" s="12"/>
      <c r="H1025" s="12"/>
    </row>
    <row r="1026" spans="3:8" x14ac:dyDescent="0.2">
      <c r="C1026" s="16"/>
      <c r="D1026" s="12"/>
      <c r="E1026" s="12"/>
      <c r="F1026" s="12"/>
      <c r="G1026" s="12"/>
      <c r="H1026" s="12"/>
    </row>
    <row r="1027" spans="3:8" x14ac:dyDescent="0.2">
      <c r="C1027" s="16"/>
      <c r="D1027" s="12"/>
      <c r="E1027" s="12"/>
      <c r="F1027" s="12"/>
      <c r="G1027" s="12"/>
      <c r="H1027" s="12"/>
    </row>
    <row r="1028" spans="3:8" x14ac:dyDescent="0.2">
      <c r="C1028" s="16"/>
      <c r="D1028" s="12"/>
      <c r="E1028" s="12"/>
      <c r="F1028" s="12"/>
      <c r="G1028" s="12"/>
      <c r="H1028" s="12"/>
    </row>
    <row r="1029" spans="3:8" x14ac:dyDescent="0.2">
      <c r="C1029" s="16"/>
      <c r="D1029" s="12"/>
      <c r="E1029" s="12"/>
      <c r="F1029" s="12"/>
      <c r="G1029" s="12"/>
      <c r="H1029" s="12"/>
    </row>
    <row r="1030" spans="3:8" x14ac:dyDescent="0.2">
      <c r="C1030" s="16"/>
      <c r="D1030" s="12"/>
      <c r="E1030" s="12"/>
      <c r="F1030" s="12"/>
      <c r="G1030" s="12"/>
      <c r="H1030" s="12"/>
    </row>
    <row r="1031" spans="3:8" x14ac:dyDescent="0.2">
      <c r="C1031" s="16"/>
      <c r="D1031" s="12"/>
      <c r="E1031" s="12"/>
      <c r="F1031" s="12"/>
      <c r="G1031" s="12"/>
      <c r="H1031" s="12"/>
    </row>
    <row r="1032" spans="3:8" x14ac:dyDescent="0.2">
      <c r="C1032" s="16"/>
      <c r="D1032" s="12"/>
      <c r="E1032" s="12"/>
      <c r="F1032" s="12"/>
      <c r="G1032" s="12"/>
      <c r="H1032" s="12"/>
    </row>
    <row r="1033" spans="3:8" x14ac:dyDescent="0.2">
      <c r="C1033" s="16"/>
      <c r="D1033" s="12"/>
      <c r="E1033" s="12"/>
      <c r="F1033" s="12"/>
      <c r="G1033" s="12"/>
      <c r="H1033" s="12"/>
    </row>
    <row r="1034" spans="3:8" x14ac:dyDescent="0.2">
      <c r="C1034" s="16"/>
      <c r="D1034" s="12"/>
      <c r="E1034" s="12"/>
      <c r="F1034" s="12"/>
      <c r="G1034" s="12"/>
      <c r="H1034" s="12"/>
    </row>
    <row r="1035" spans="3:8" x14ac:dyDescent="0.2">
      <c r="C1035" s="16"/>
      <c r="D1035" s="12"/>
      <c r="E1035" s="12"/>
      <c r="F1035" s="12"/>
      <c r="G1035" s="12"/>
      <c r="H1035" s="12"/>
    </row>
    <row r="1036" spans="3:8" x14ac:dyDescent="0.2">
      <c r="C1036" s="16"/>
      <c r="D1036" s="12"/>
      <c r="E1036" s="12"/>
      <c r="F1036" s="12"/>
      <c r="G1036" s="12"/>
      <c r="H1036" s="12"/>
    </row>
    <row r="1037" spans="3:8" x14ac:dyDescent="0.2">
      <c r="C1037" s="16"/>
      <c r="D1037" s="12"/>
      <c r="E1037" s="12"/>
      <c r="F1037" s="12"/>
      <c r="G1037" s="12"/>
      <c r="H1037" s="12"/>
    </row>
    <row r="1038" spans="3:8" x14ac:dyDescent="0.2">
      <c r="C1038" s="16"/>
      <c r="D1038" s="12"/>
      <c r="E1038" s="12"/>
      <c r="F1038" s="12"/>
      <c r="G1038" s="12"/>
      <c r="H1038" s="12"/>
    </row>
    <row r="1039" spans="3:8" x14ac:dyDescent="0.2">
      <c r="C1039" s="16"/>
      <c r="D1039" s="12"/>
      <c r="E1039" s="12"/>
      <c r="F1039" s="12"/>
      <c r="G1039" s="12"/>
      <c r="H1039" s="12"/>
    </row>
    <row r="1040" spans="3:8" x14ac:dyDescent="0.2">
      <c r="C1040" s="16"/>
      <c r="D1040" s="12"/>
      <c r="E1040" s="12"/>
      <c r="F1040" s="12"/>
      <c r="G1040" s="12"/>
      <c r="H1040" s="12"/>
    </row>
    <row r="1041" spans="3:8" x14ac:dyDescent="0.2">
      <c r="C1041" s="16"/>
      <c r="D1041" s="12"/>
      <c r="E1041" s="12"/>
      <c r="F1041" s="12"/>
      <c r="G1041" s="12"/>
      <c r="H1041" s="12"/>
    </row>
    <row r="1042" spans="3:8" x14ac:dyDescent="0.2">
      <c r="C1042" s="16"/>
      <c r="D1042" s="12"/>
      <c r="E1042" s="12"/>
      <c r="F1042" s="12"/>
      <c r="G1042" s="12"/>
      <c r="H1042" s="12"/>
    </row>
    <row r="1043" spans="3:8" x14ac:dyDescent="0.2">
      <c r="C1043" s="16"/>
      <c r="D1043" s="12"/>
      <c r="E1043" s="12"/>
      <c r="F1043" s="12"/>
      <c r="G1043" s="12"/>
      <c r="H1043" s="12"/>
    </row>
    <row r="1044" spans="3:8" x14ac:dyDescent="0.2">
      <c r="C1044" s="16"/>
      <c r="D1044" s="12"/>
      <c r="E1044" s="12"/>
      <c r="F1044" s="12"/>
      <c r="G1044" s="12"/>
      <c r="H1044" s="12"/>
    </row>
    <row r="1045" spans="3:8" x14ac:dyDescent="0.2">
      <c r="C1045" s="16"/>
      <c r="D1045" s="12"/>
      <c r="E1045" s="12"/>
      <c r="F1045" s="12"/>
      <c r="G1045" s="12"/>
      <c r="H1045" s="12"/>
    </row>
    <row r="1046" spans="3:8" x14ac:dyDescent="0.2">
      <c r="C1046" s="16"/>
      <c r="D1046" s="12"/>
      <c r="E1046" s="12"/>
      <c r="F1046" s="12"/>
      <c r="G1046" s="12"/>
      <c r="H1046" s="12"/>
    </row>
    <row r="1047" spans="3:8" x14ac:dyDescent="0.2">
      <c r="C1047" s="16"/>
      <c r="D1047" s="12"/>
      <c r="E1047" s="12"/>
      <c r="F1047" s="12"/>
      <c r="G1047" s="12"/>
      <c r="H1047" s="12"/>
    </row>
    <row r="1048" spans="3:8" x14ac:dyDescent="0.2">
      <c r="C1048" s="16"/>
      <c r="D1048" s="12"/>
      <c r="E1048" s="12"/>
      <c r="F1048" s="12"/>
      <c r="G1048" s="12"/>
      <c r="H1048" s="12"/>
    </row>
    <row r="1049" spans="3:8" x14ac:dyDescent="0.2">
      <c r="C1049" s="16"/>
      <c r="D1049" s="12"/>
      <c r="E1049" s="12"/>
      <c r="F1049" s="12"/>
      <c r="G1049" s="12"/>
      <c r="H1049" s="12"/>
    </row>
    <row r="1050" spans="3:8" x14ac:dyDescent="0.2">
      <c r="C1050" s="16"/>
      <c r="D1050" s="12"/>
      <c r="E1050" s="12"/>
      <c r="F1050" s="12"/>
      <c r="G1050" s="12"/>
      <c r="H1050" s="12"/>
    </row>
    <row r="1051" spans="3:8" x14ac:dyDescent="0.2">
      <c r="C1051" s="16"/>
      <c r="D1051" s="12"/>
      <c r="E1051" s="12"/>
      <c r="F1051" s="12"/>
      <c r="G1051" s="12"/>
      <c r="H1051" s="12"/>
    </row>
    <row r="1052" spans="3:8" x14ac:dyDescent="0.2">
      <c r="C1052" s="16"/>
      <c r="D1052" s="12"/>
      <c r="E1052" s="12"/>
      <c r="F1052" s="12"/>
      <c r="G1052" s="12"/>
      <c r="H1052" s="12"/>
    </row>
    <row r="1053" spans="3:8" x14ac:dyDescent="0.2">
      <c r="C1053" s="16"/>
      <c r="D1053" s="12"/>
      <c r="E1053" s="12"/>
      <c r="F1053" s="12"/>
      <c r="G1053" s="12"/>
      <c r="H1053" s="12"/>
    </row>
    <row r="1054" spans="3:8" x14ac:dyDescent="0.2">
      <c r="C1054" s="16"/>
      <c r="D1054" s="12"/>
      <c r="E1054" s="12"/>
      <c r="F1054" s="12"/>
      <c r="G1054" s="12"/>
      <c r="H1054" s="12"/>
    </row>
    <row r="1055" spans="3:8" x14ac:dyDescent="0.2">
      <c r="C1055" s="16"/>
      <c r="D1055" s="12"/>
      <c r="E1055" s="12"/>
      <c r="F1055" s="12"/>
      <c r="G1055" s="12"/>
      <c r="H1055" s="12"/>
    </row>
    <row r="1056" spans="3:8" x14ac:dyDescent="0.2">
      <c r="C1056" s="16"/>
      <c r="D1056" s="12"/>
      <c r="E1056" s="12"/>
      <c r="F1056" s="12"/>
      <c r="G1056" s="12"/>
      <c r="H1056" s="12"/>
    </row>
    <row r="1057" spans="3:8" x14ac:dyDescent="0.2">
      <c r="C1057" s="16"/>
      <c r="D1057" s="12"/>
      <c r="E1057" s="12"/>
      <c r="F1057" s="12"/>
      <c r="G1057" s="12"/>
      <c r="H1057" s="12"/>
    </row>
    <row r="1058" spans="3:8" x14ac:dyDescent="0.2">
      <c r="C1058" s="16"/>
      <c r="D1058" s="12"/>
      <c r="E1058" s="12"/>
      <c r="F1058" s="12"/>
      <c r="G1058" s="12"/>
      <c r="H1058" s="12"/>
    </row>
    <row r="1059" spans="3:8" x14ac:dyDescent="0.2">
      <c r="C1059" s="16"/>
      <c r="D1059" s="12"/>
      <c r="E1059" s="12"/>
      <c r="F1059" s="12"/>
      <c r="G1059" s="12"/>
      <c r="H1059" s="12"/>
    </row>
    <row r="1060" spans="3:8" x14ac:dyDescent="0.2">
      <c r="C1060" s="16"/>
      <c r="D1060" s="12"/>
      <c r="E1060" s="12"/>
      <c r="F1060" s="12"/>
      <c r="G1060" s="12"/>
      <c r="H1060" s="12"/>
    </row>
    <row r="1061" spans="3:8" x14ac:dyDescent="0.2">
      <c r="C1061" s="16"/>
      <c r="D1061" s="12"/>
      <c r="E1061" s="12"/>
      <c r="F1061" s="12"/>
      <c r="G1061" s="12"/>
      <c r="H1061" s="12"/>
    </row>
    <row r="1062" spans="3:8" x14ac:dyDescent="0.2">
      <c r="C1062" s="16"/>
      <c r="D1062" s="12"/>
      <c r="E1062" s="12"/>
      <c r="F1062" s="12"/>
      <c r="G1062" s="12"/>
      <c r="H1062" s="12"/>
    </row>
    <row r="1063" spans="3:8" x14ac:dyDescent="0.2">
      <c r="C1063" s="16"/>
      <c r="D1063" s="12"/>
      <c r="E1063" s="12"/>
      <c r="F1063" s="12"/>
      <c r="G1063" s="12"/>
      <c r="H1063" s="12"/>
    </row>
    <row r="1064" spans="3:8" x14ac:dyDescent="0.2">
      <c r="C1064" s="16"/>
      <c r="D1064" s="12"/>
      <c r="E1064" s="12"/>
      <c r="F1064" s="12"/>
      <c r="G1064" s="12"/>
      <c r="H1064" s="12"/>
    </row>
    <row r="1065" spans="3:8" x14ac:dyDescent="0.2">
      <c r="C1065" s="16"/>
      <c r="D1065" s="12"/>
      <c r="E1065" s="12"/>
      <c r="F1065" s="12"/>
      <c r="G1065" s="12"/>
      <c r="H1065" s="12"/>
    </row>
    <row r="1066" spans="3:8" x14ac:dyDescent="0.2">
      <c r="C1066" s="16"/>
      <c r="D1066" s="12"/>
      <c r="E1066" s="12"/>
      <c r="F1066" s="12"/>
      <c r="G1066" s="12"/>
      <c r="H1066" s="12"/>
    </row>
    <row r="1067" spans="3:8" x14ac:dyDescent="0.2">
      <c r="C1067" s="16"/>
      <c r="D1067" s="12"/>
      <c r="E1067" s="12"/>
      <c r="F1067" s="12"/>
      <c r="G1067" s="12"/>
      <c r="H1067" s="12"/>
    </row>
    <row r="1068" spans="3:8" x14ac:dyDescent="0.2">
      <c r="C1068" s="16"/>
      <c r="D1068" s="12"/>
      <c r="E1068" s="12"/>
      <c r="F1068" s="12"/>
      <c r="G1068" s="12"/>
      <c r="H1068" s="12"/>
    </row>
    <row r="1069" spans="3:8" x14ac:dyDescent="0.2">
      <c r="C1069" s="16"/>
      <c r="D1069" s="12"/>
      <c r="E1069" s="12"/>
      <c r="F1069" s="12"/>
      <c r="G1069" s="12"/>
      <c r="H1069" s="12"/>
    </row>
    <row r="1070" spans="3:8" x14ac:dyDescent="0.2">
      <c r="C1070" s="16"/>
      <c r="D1070" s="12"/>
      <c r="E1070" s="12"/>
      <c r="F1070" s="12"/>
      <c r="G1070" s="12"/>
      <c r="H1070" s="12"/>
    </row>
    <row r="1071" spans="3:8" x14ac:dyDescent="0.2">
      <c r="C1071" s="16"/>
      <c r="D1071" s="12"/>
      <c r="E1071" s="12"/>
      <c r="F1071" s="12"/>
      <c r="G1071" s="12"/>
      <c r="H1071" s="12"/>
    </row>
    <row r="1072" spans="3:8" x14ac:dyDescent="0.2">
      <c r="C1072" s="16"/>
      <c r="D1072" s="12"/>
      <c r="E1072" s="12"/>
      <c r="F1072" s="12"/>
      <c r="G1072" s="12"/>
      <c r="H1072" s="12"/>
    </row>
    <row r="1073" spans="3:8" x14ac:dyDescent="0.2">
      <c r="C1073" s="16"/>
      <c r="D1073" s="12"/>
      <c r="E1073" s="12"/>
      <c r="F1073" s="12"/>
      <c r="G1073" s="12"/>
      <c r="H1073" s="12"/>
    </row>
    <row r="1074" spans="3:8" x14ac:dyDescent="0.2">
      <c r="C1074" s="16"/>
      <c r="D1074" s="12"/>
      <c r="E1074" s="12"/>
      <c r="F1074" s="12"/>
      <c r="G1074" s="12"/>
      <c r="H1074" s="12"/>
    </row>
    <row r="1075" spans="3:8" x14ac:dyDescent="0.2">
      <c r="C1075" s="16"/>
      <c r="D1075" s="12"/>
      <c r="E1075" s="12"/>
      <c r="F1075" s="12"/>
      <c r="G1075" s="12"/>
      <c r="H1075" s="12"/>
    </row>
    <row r="1076" spans="3:8" x14ac:dyDescent="0.2">
      <c r="C1076" s="16"/>
      <c r="D1076" s="12"/>
      <c r="E1076" s="12"/>
      <c r="F1076" s="12"/>
      <c r="G1076" s="12"/>
      <c r="H1076" s="12"/>
    </row>
    <row r="1077" spans="3:8" x14ac:dyDescent="0.2">
      <c r="C1077" s="16"/>
      <c r="D1077" s="12"/>
      <c r="E1077" s="12"/>
      <c r="F1077" s="12"/>
      <c r="G1077" s="12"/>
      <c r="H1077" s="12"/>
    </row>
    <row r="1078" spans="3:8" x14ac:dyDescent="0.2">
      <c r="C1078" s="16"/>
      <c r="D1078" s="12"/>
      <c r="E1078" s="12"/>
      <c r="F1078" s="12"/>
      <c r="G1078" s="12"/>
      <c r="H1078" s="12"/>
    </row>
    <row r="1079" spans="3:8" x14ac:dyDescent="0.2">
      <c r="C1079" s="16"/>
      <c r="D1079" s="12"/>
      <c r="E1079" s="12"/>
      <c r="F1079" s="12"/>
      <c r="G1079" s="12"/>
      <c r="H1079" s="12"/>
    </row>
    <row r="1080" spans="3:8" x14ac:dyDescent="0.2">
      <c r="C1080" s="16"/>
      <c r="D1080" s="12"/>
      <c r="E1080" s="12"/>
      <c r="F1080" s="12"/>
      <c r="G1080" s="12"/>
      <c r="H1080" s="12"/>
    </row>
    <row r="1081" spans="3:8" x14ac:dyDescent="0.2">
      <c r="C1081" s="16"/>
      <c r="D1081" s="12"/>
      <c r="E1081" s="12"/>
      <c r="F1081" s="12"/>
      <c r="G1081" s="12"/>
      <c r="H1081" s="12"/>
    </row>
    <row r="1082" spans="3:8" x14ac:dyDescent="0.2">
      <c r="C1082" s="16"/>
      <c r="D1082" s="12"/>
      <c r="E1082" s="12"/>
      <c r="F1082" s="12"/>
      <c r="G1082" s="12"/>
      <c r="H1082" s="12"/>
    </row>
    <row r="1083" spans="3:8" x14ac:dyDescent="0.2">
      <c r="C1083" s="16"/>
      <c r="D1083" s="12"/>
      <c r="E1083" s="12"/>
      <c r="F1083" s="12"/>
      <c r="G1083" s="12"/>
      <c r="H1083" s="12"/>
    </row>
    <row r="1084" spans="3:8" x14ac:dyDescent="0.2">
      <c r="C1084" s="16"/>
      <c r="D1084" s="12"/>
      <c r="E1084" s="12"/>
      <c r="F1084" s="12"/>
      <c r="G1084" s="12"/>
      <c r="H1084" s="12"/>
    </row>
    <row r="1085" spans="3:8" x14ac:dyDescent="0.2">
      <c r="C1085" s="16"/>
      <c r="D1085" s="12"/>
      <c r="E1085" s="12"/>
      <c r="F1085" s="12"/>
      <c r="G1085" s="12"/>
      <c r="H1085" s="12"/>
    </row>
    <row r="1086" spans="3:8" x14ac:dyDescent="0.2">
      <c r="C1086" s="16"/>
      <c r="D1086" s="12"/>
      <c r="E1086" s="12"/>
      <c r="F1086" s="12"/>
      <c r="G1086" s="12"/>
      <c r="H1086" s="12"/>
    </row>
    <row r="1087" spans="3:8" x14ac:dyDescent="0.2">
      <c r="C1087" s="16"/>
      <c r="D1087" s="12"/>
      <c r="E1087" s="12"/>
      <c r="F1087" s="12"/>
      <c r="G1087" s="12"/>
      <c r="H1087" s="12"/>
    </row>
    <row r="1088" spans="3:8" x14ac:dyDescent="0.2">
      <c r="C1088" s="16"/>
      <c r="D1088" s="12"/>
      <c r="E1088" s="12"/>
      <c r="F1088" s="12"/>
      <c r="G1088" s="12"/>
      <c r="H1088" s="12"/>
    </row>
    <row r="1089" spans="3:8" x14ac:dyDescent="0.2">
      <c r="C1089" s="16"/>
      <c r="D1089" s="12"/>
      <c r="E1089" s="12"/>
      <c r="F1089" s="12"/>
      <c r="G1089" s="12"/>
      <c r="H1089" s="12"/>
    </row>
    <row r="1090" spans="3:8" x14ac:dyDescent="0.2">
      <c r="C1090" s="16"/>
      <c r="D1090" s="12"/>
      <c r="E1090" s="12"/>
      <c r="F1090" s="12"/>
      <c r="G1090" s="12"/>
      <c r="H1090" s="12"/>
    </row>
    <row r="1091" spans="3:8" x14ac:dyDescent="0.2">
      <c r="C1091" s="16"/>
      <c r="D1091" s="12"/>
      <c r="E1091" s="12"/>
      <c r="F1091" s="12"/>
      <c r="G1091" s="12"/>
      <c r="H1091" s="12"/>
    </row>
    <row r="1092" spans="3:8" x14ac:dyDescent="0.2">
      <c r="C1092" s="16"/>
      <c r="D1092" s="12"/>
      <c r="E1092" s="12"/>
      <c r="F1092" s="12"/>
      <c r="G1092" s="12"/>
      <c r="H1092" s="12"/>
    </row>
    <row r="1093" spans="3:8" x14ac:dyDescent="0.2">
      <c r="C1093" s="16"/>
      <c r="D1093" s="12"/>
      <c r="E1093" s="12"/>
      <c r="F1093" s="12"/>
      <c r="G1093" s="12"/>
      <c r="H1093" s="12"/>
    </row>
    <row r="1094" spans="3:8" x14ac:dyDescent="0.2">
      <c r="C1094" s="16"/>
      <c r="D1094" s="12"/>
      <c r="E1094" s="12"/>
      <c r="F1094" s="12"/>
      <c r="G1094" s="12"/>
      <c r="H1094" s="12"/>
    </row>
    <row r="1095" spans="3:8" x14ac:dyDescent="0.2">
      <c r="C1095" s="16"/>
      <c r="D1095" s="12"/>
      <c r="E1095" s="12"/>
      <c r="F1095" s="12"/>
      <c r="G1095" s="12"/>
      <c r="H1095" s="12"/>
    </row>
    <row r="1096" spans="3:8" x14ac:dyDescent="0.2">
      <c r="C1096" s="16"/>
      <c r="D1096" s="12"/>
      <c r="E1096" s="12"/>
      <c r="F1096" s="12"/>
      <c r="G1096" s="12"/>
      <c r="H1096" s="12"/>
    </row>
    <row r="1097" spans="3:8" x14ac:dyDescent="0.2">
      <c r="C1097" s="16"/>
      <c r="D1097" s="12"/>
      <c r="E1097" s="12"/>
      <c r="F1097" s="12"/>
      <c r="G1097" s="12"/>
      <c r="H1097" s="12"/>
    </row>
    <row r="1098" spans="3:8" x14ac:dyDescent="0.2">
      <c r="C1098" s="16"/>
      <c r="D1098" s="12"/>
      <c r="E1098" s="12"/>
      <c r="F1098" s="12"/>
      <c r="G1098" s="12"/>
      <c r="H1098" s="12"/>
    </row>
    <row r="1099" spans="3:8" x14ac:dyDescent="0.2">
      <c r="C1099" s="16"/>
      <c r="D1099" s="12"/>
      <c r="E1099" s="12"/>
      <c r="F1099" s="12"/>
      <c r="G1099" s="12"/>
      <c r="H1099" s="12"/>
    </row>
    <row r="1100" spans="3:8" x14ac:dyDescent="0.2">
      <c r="C1100" s="16"/>
      <c r="D1100" s="12"/>
      <c r="E1100" s="12"/>
      <c r="F1100" s="12"/>
      <c r="G1100" s="12"/>
      <c r="H1100" s="12"/>
    </row>
    <row r="1101" spans="3:8" x14ac:dyDescent="0.2">
      <c r="C1101" s="16"/>
      <c r="D1101" s="12"/>
      <c r="E1101" s="12"/>
      <c r="F1101" s="12"/>
      <c r="G1101" s="12"/>
      <c r="H1101" s="12"/>
    </row>
    <row r="1102" spans="3:8" x14ac:dyDescent="0.2">
      <c r="C1102" s="16"/>
      <c r="D1102" s="12"/>
      <c r="E1102" s="12"/>
      <c r="F1102" s="12"/>
      <c r="G1102" s="12"/>
      <c r="H1102" s="12"/>
    </row>
    <row r="1103" spans="3:8" x14ac:dyDescent="0.2">
      <c r="C1103" s="16"/>
      <c r="D1103" s="12"/>
      <c r="E1103" s="12"/>
      <c r="F1103" s="12"/>
      <c r="G1103" s="12"/>
      <c r="H1103" s="12"/>
    </row>
    <row r="1104" spans="3:8" x14ac:dyDescent="0.2">
      <c r="C1104" s="16"/>
      <c r="D1104" s="12"/>
      <c r="E1104" s="12"/>
      <c r="F1104" s="12"/>
      <c r="G1104" s="12"/>
      <c r="H1104" s="12"/>
    </row>
    <row r="1105" spans="3:8" x14ac:dyDescent="0.2">
      <c r="C1105" s="16"/>
      <c r="D1105" s="12"/>
      <c r="E1105" s="12"/>
      <c r="F1105" s="12"/>
      <c r="G1105" s="12"/>
      <c r="H1105" s="12"/>
    </row>
    <row r="1106" spans="3:8" x14ac:dyDescent="0.2">
      <c r="C1106" s="16"/>
      <c r="D1106" s="12"/>
      <c r="E1106" s="12"/>
      <c r="F1106" s="12"/>
      <c r="G1106" s="12"/>
      <c r="H1106" s="12"/>
    </row>
    <row r="1107" spans="3:8" x14ac:dyDescent="0.2">
      <c r="C1107" s="16"/>
      <c r="D1107" s="12"/>
      <c r="E1107" s="12"/>
      <c r="F1107" s="12"/>
      <c r="G1107" s="12"/>
      <c r="H1107" s="12"/>
    </row>
    <row r="1108" spans="3:8" x14ac:dyDescent="0.2">
      <c r="C1108" s="16"/>
      <c r="D1108" s="12"/>
      <c r="E1108" s="12"/>
      <c r="F1108" s="12"/>
      <c r="G1108" s="12"/>
      <c r="H1108" s="12"/>
    </row>
    <row r="1109" spans="3:8" x14ac:dyDescent="0.2">
      <c r="C1109" s="16"/>
      <c r="D1109" s="12"/>
      <c r="E1109" s="12"/>
      <c r="F1109" s="12"/>
      <c r="G1109" s="12"/>
      <c r="H1109" s="12"/>
    </row>
    <row r="1110" spans="3:8" x14ac:dyDescent="0.2">
      <c r="C1110" s="16"/>
      <c r="D1110" s="12"/>
      <c r="E1110" s="12"/>
      <c r="F1110" s="12"/>
      <c r="G1110" s="12"/>
      <c r="H1110" s="12"/>
    </row>
    <row r="1111" spans="3:8" x14ac:dyDescent="0.2">
      <c r="C1111" s="16"/>
      <c r="D1111" s="12"/>
      <c r="E1111" s="12"/>
      <c r="F1111" s="12"/>
      <c r="G1111" s="12"/>
      <c r="H1111" s="12"/>
    </row>
    <row r="1112" spans="3:8" x14ac:dyDescent="0.2">
      <c r="C1112" s="16"/>
      <c r="D1112" s="12"/>
      <c r="E1112" s="12"/>
      <c r="F1112" s="12"/>
      <c r="G1112" s="12"/>
      <c r="H1112" s="12"/>
    </row>
    <row r="1113" spans="3:8" x14ac:dyDescent="0.2">
      <c r="C1113" s="16"/>
      <c r="D1113" s="12"/>
      <c r="E1113" s="12"/>
      <c r="F1113" s="12"/>
      <c r="G1113" s="12"/>
      <c r="H1113" s="12"/>
    </row>
    <row r="1114" spans="3:8" x14ac:dyDescent="0.2">
      <c r="C1114" s="16"/>
      <c r="D1114" s="12"/>
      <c r="E1114" s="12"/>
      <c r="F1114" s="12"/>
      <c r="G1114" s="12"/>
      <c r="H1114" s="12"/>
    </row>
    <row r="1115" spans="3:8" x14ac:dyDescent="0.2">
      <c r="C1115" s="16"/>
      <c r="D1115" s="12"/>
      <c r="E1115" s="12"/>
      <c r="F1115" s="12"/>
      <c r="G1115" s="12"/>
      <c r="H1115" s="12"/>
    </row>
    <row r="1116" spans="3:8" x14ac:dyDescent="0.2">
      <c r="C1116" s="16"/>
      <c r="D1116" s="12"/>
      <c r="E1116" s="12"/>
      <c r="F1116" s="12"/>
      <c r="G1116" s="12"/>
      <c r="H1116" s="12"/>
    </row>
    <row r="1117" spans="3:8" x14ac:dyDescent="0.2">
      <c r="C1117" s="16"/>
      <c r="D1117" s="12"/>
      <c r="E1117" s="12"/>
      <c r="F1117" s="12"/>
      <c r="G1117" s="12"/>
      <c r="H1117" s="12"/>
    </row>
    <row r="1118" spans="3:8" x14ac:dyDescent="0.2">
      <c r="C1118" s="16"/>
      <c r="D1118" s="12"/>
      <c r="E1118" s="12"/>
      <c r="F1118" s="12"/>
      <c r="G1118" s="12"/>
      <c r="H1118" s="12"/>
    </row>
    <row r="1119" spans="3:8" x14ac:dyDescent="0.2">
      <c r="C1119" s="16"/>
      <c r="D1119" s="12"/>
      <c r="E1119" s="12"/>
      <c r="F1119" s="12"/>
      <c r="G1119" s="12"/>
      <c r="H1119" s="12"/>
    </row>
    <row r="1120" spans="3:8" x14ac:dyDescent="0.2">
      <c r="C1120" s="16"/>
      <c r="D1120" s="12"/>
      <c r="E1120" s="12"/>
      <c r="F1120" s="12"/>
      <c r="G1120" s="12"/>
      <c r="H1120" s="12"/>
    </row>
    <row r="1121" spans="3:8" x14ac:dyDescent="0.2">
      <c r="C1121" s="16"/>
      <c r="D1121" s="12"/>
      <c r="E1121" s="12"/>
      <c r="F1121" s="12"/>
      <c r="G1121" s="12"/>
      <c r="H1121" s="12"/>
    </row>
    <row r="1122" spans="3:8" x14ac:dyDescent="0.2">
      <c r="C1122" s="16"/>
      <c r="D1122" s="12"/>
      <c r="E1122" s="12"/>
      <c r="F1122" s="12"/>
      <c r="G1122" s="12"/>
      <c r="H1122" s="12"/>
    </row>
    <row r="1123" spans="3:8" x14ac:dyDescent="0.2">
      <c r="C1123" s="16"/>
      <c r="D1123" s="12"/>
      <c r="E1123" s="12"/>
      <c r="F1123" s="12"/>
      <c r="G1123" s="12"/>
      <c r="H1123" s="12"/>
    </row>
    <row r="1124" spans="3:8" x14ac:dyDescent="0.2">
      <c r="C1124" s="16"/>
      <c r="D1124" s="12"/>
      <c r="E1124" s="12"/>
      <c r="F1124" s="12"/>
      <c r="G1124" s="12"/>
      <c r="H1124" s="12"/>
    </row>
    <row r="1125" spans="3:8" x14ac:dyDescent="0.2">
      <c r="C1125" s="16"/>
      <c r="D1125" s="12"/>
      <c r="E1125" s="12"/>
      <c r="F1125" s="12"/>
      <c r="G1125" s="12"/>
      <c r="H1125" s="12"/>
    </row>
    <row r="1126" spans="3:8" x14ac:dyDescent="0.2">
      <c r="C1126" s="16"/>
      <c r="D1126" s="12"/>
      <c r="E1126" s="12"/>
      <c r="F1126" s="12"/>
      <c r="G1126" s="12"/>
      <c r="H1126" s="12"/>
    </row>
    <row r="1127" spans="3:8" x14ac:dyDescent="0.2">
      <c r="C1127" s="16"/>
      <c r="D1127" s="12"/>
      <c r="E1127" s="12"/>
      <c r="F1127" s="12"/>
      <c r="G1127" s="12"/>
      <c r="H1127" s="12"/>
    </row>
    <row r="1128" spans="3:8" x14ac:dyDescent="0.2">
      <c r="C1128" s="16"/>
      <c r="D1128" s="12"/>
      <c r="E1128" s="12"/>
      <c r="F1128" s="12"/>
      <c r="G1128" s="12"/>
      <c r="H1128" s="12"/>
    </row>
    <row r="1129" spans="3:8" x14ac:dyDescent="0.2">
      <c r="C1129" s="16"/>
      <c r="D1129" s="12"/>
      <c r="E1129" s="12"/>
      <c r="F1129" s="12"/>
      <c r="G1129" s="12"/>
      <c r="H1129" s="12"/>
    </row>
    <row r="1130" spans="3:8" x14ac:dyDescent="0.2">
      <c r="C1130" s="16"/>
      <c r="D1130" s="12"/>
      <c r="E1130" s="12"/>
      <c r="F1130" s="12"/>
      <c r="G1130" s="12"/>
      <c r="H1130" s="12"/>
    </row>
    <row r="1131" spans="3:8" x14ac:dyDescent="0.2">
      <c r="C1131" s="16"/>
      <c r="D1131" s="12"/>
      <c r="E1131" s="12"/>
      <c r="F1131" s="12"/>
      <c r="G1131" s="12"/>
      <c r="H1131" s="12"/>
    </row>
    <row r="1132" spans="3:8" x14ac:dyDescent="0.2">
      <c r="C1132" s="16"/>
      <c r="D1132" s="12"/>
      <c r="E1132" s="12"/>
      <c r="F1132" s="12"/>
      <c r="G1132" s="12"/>
      <c r="H1132" s="12"/>
    </row>
    <row r="1133" spans="3:8" x14ac:dyDescent="0.2">
      <c r="C1133" s="16"/>
      <c r="D1133" s="12"/>
      <c r="E1133" s="12"/>
      <c r="F1133" s="12"/>
      <c r="G1133" s="12"/>
      <c r="H1133" s="12"/>
    </row>
    <row r="1134" spans="3:8" x14ac:dyDescent="0.2">
      <c r="C1134" s="16"/>
      <c r="D1134" s="12"/>
      <c r="E1134" s="12"/>
      <c r="F1134" s="12"/>
      <c r="G1134" s="12"/>
      <c r="H1134" s="12"/>
    </row>
    <row r="1135" spans="3:8" x14ac:dyDescent="0.2">
      <c r="C1135" s="16"/>
      <c r="D1135" s="12"/>
      <c r="E1135" s="12"/>
      <c r="F1135" s="12"/>
      <c r="G1135" s="12"/>
      <c r="H1135" s="12"/>
    </row>
    <row r="1136" spans="3:8" x14ac:dyDescent="0.2">
      <c r="C1136" s="16"/>
      <c r="D1136" s="12"/>
      <c r="E1136" s="12"/>
      <c r="F1136" s="12"/>
      <c r="G1136" s="12"/>
      <c r="H1136" s="12"/>
    </row>
    <row r="1137" spans="3:8" x14ac:dyDescent="0.2">
      <c r="C1137" s="16"/>
      <c r="D1137" s="12"/>
      <c r="E1137" s="12"/>
      <c r="F1137" s="12"/>
      <c r="G1137" s="12"/>
      <c r="H1137" s="12"/>
    </row>
    <row r="1138" spans="3:8" x14ac:dyDescent="0.2">
      <c r="C1138" s="16"/>
      <c r="D1138" s="12"/>
      <c r="E1138" s="12"/>
      <c r="F1138" s="12"/>
      <c r="G1138" s="12"/>
      <c r="H1138" s="12"/>
    </row>
    <row r="1139" spans="3:8" x14ac:dyDescent="0.2">
      <c r="C1139" s="16"/>
      <c r="D1139" s="12"/>
      <c r="E1139" s="12"/>
      <c r="F1139" s="12"/>
      <c r="G1139" s="12"/>
      <c r="H1139" s="12"/>
    </row>
    <row r="1140" spans="3:8" x14ac:dyDescent="0.2">
      <c r="C1140" s="16"/>
      <c r="D1140" s="12"/>
      <c r="E1140" s="12"/>
      <c r="F1140" s="12"/>
      <c r="G1140" s="12"/>
      <c r="H1140" s="12"/>
    </row>
    <row r="1141" spans="3:8" x14ac:dyDescent="0.2">
      <c r="C1141" s="16"/>
      <c r="D1141" s="12"/>
      <c r="E1141" s="12"/>
      <c r="F1141" s="12"/>
      <c r="G1141" s="12"/>
      <c r="H1141" s="12"/>
    </row>
    <row r="1142" spans="3:8" x14ac:dyDescent="0.2">
      <c r="C1142" s="16"/>
      <c r="D1142" s="12"/>
      <c r="E1142" s="12"/>
      <c r="F1142" s="12"/>
      <c r="G1142" s="12"/>
      <c r="H1142" s="12"/>
    </row>
    <row r="1143" spans="3:8" x14ac:dyDescent="0.2">
      <c r="C1143" s="16"/>
      <c r="D1143" s="12"/>
      <c r="E1143" s="12"/>
      <c r="F1143" s="12"/>
      <c r="G1143" s="12"/>
      <c r="H1143" s="12"/>
    </row>
    <row r="1144" spans="3:8" x14ac:dyDescent="0.2">
      <c r="C1144" s="16"/>
      <c r="D1144" s="12"/>
      <c r="E1144" s="12"/>
      <c r="F1144" s="12"/>
      <c r="G1144" s="12"/>
      <c r="H1144" s="12"/>
    </row>
    <row r="1145" spans="3:8" x14ac:dyDescent="0.2">
      <c r="C1145" s="16"/>
      <c r="D1145" s="12"/>
      <c r="E1145" s="12"/>
      <c r="F1145" s="12"/>
      <c r="G1145" s="12"/>
      <c r="H1145" s="12"/>
    </row>
    <row r="1146" spans="3:8" x14ac:dyDescent="0.2">
      <c r="C1146" s="16"/>
      <c r="D1146" s="12"/>
      <c r="E1146" s="12"/>
      <c r="F1146" s="12"/>
      <c r="G1146" s="12"/>
      <c r="H1146" s="12"/>
    </row>
    <row r="1147" spans="3:8" x14ac:dyDescent="0.2">
      <c r="C1147" s="16"/>
      <c r="D1147" s="12"/>
      <c r="E1147" s="12"/>
      <c r="F1147" s="12"/>
      <c r="G1147" s="12"/>
      <c r="H1147" s="12"/>
    </row>
    <row r="1148" spans="3:8" x14ac:dyDescent="0.2">
      <c r="C1148" s="16"/>
      <c r="D1148" s="12"/>
      <c r="E1148" s="12"/>
      <c r="F1148" s="12"/>
      <c r="G1148" s="12"/>
      <c r="H1148" s="12"/>
    </row>
    <row r="1149" spans="3:8" x14ac:dyDescent="0.2">
      <c r="C1149" s="16"/>
      <c r="D1149" s="12"/>
      <c r="E1149" s="12"/>
      <c r="F1149" s="12"/>
      <c r="G1149" s="12"/>
      <c r="H1149" s="12"/>
    </row>
    <row r="1150" spans="3:8" x14ac:dyDescent="0.2">
      <c r="C1150" s="16"/>
      <c r="D1150" s="12"/>
      <c r="E1150" s="12"/>
      <c r="F1150" s="12"/>
      <c r="G1150" s="12"/>
      <c r="H1150" s="12"/>
    </row>
    <row r="1151" spans="3:8" x14ac:dyDescent="0.2">
      <c r="C1151" s="16"/>
      <c r="D1151" s="12"/>
      <c r="E1151" s="12"/>
      <c r="F1151" s="12"/>
      <c r="G1151" s="12"/>
      <c r="H1151" s="12"/>
    </row>
    <row r="1152" spans="3:8" x14ac:dyDescent="0.2">
      <c r="C1152" s="16"/>
      <c r="D1152" s="12"/>
      <c r="E1152" s="12"/>
      <c r="F1152" s="12"/>
      <c r="G1152" s="12"/>
      <c r="H1152" s="12"/>
    </row>
    <row r="1153" spans="3:8" x14ac:dyDescent="0.2">
      <c r="C1153" s="16"/>
      <c r="D1153" s="12"/>
      <c r="E1153" s="12"/>
      <c r="F1153" s="12"/>
      <c r="G1153" s="12"/>
      <c r="H1153" s="12"/>
    </row>
    <row r="1154" spans="3:8" x14ac:dyDescent="0.2">
      <c r="C1154" s="16"/>
      <c r="D1154" s="12"/>
      <c r="E1154" s="12"/>
      <c r="F1154" s="12"/>
      <c r="G1154" s="12"/>
      <c r="H1154" s="12"/>
    </row>
    <row r="1155" spans="3:8" x14ac:dyDescent="0.2">
      <c r="C1155" s="16"/>
      <c r="D1155" s="12"/>
      <c r="E1155" s="12"/>
      <c r="F1155" s="12"/>
      <c r="G1155" s="12"/>
      <c r="H1155" s="12"/>
    </row>
    <row r="1156" spans="3:8" x14ac:dyDescent="0.2">
      <c r="C1156" s="16"/>
      <c r="D1156" s="12"/>
      <c r="E1156" s="12"/>
      <c r="F1156" s="12"/>
      <c r="G1156" s="12"/>
      <c r="H1156" s="12"/>
    </row>
    <row r="1157" spans="3:8" x14ac:dyDescent="0.2">
      <c r="C1157" s="16"/>
      <c r="D1157" s="12"/>
      <c r="E1157" s="12"/>
      <c r="F1157" s="12"/>
      <c r="G1157" s="12"/>
      <c r="H1157" s="12"/>
    </row>
    <row r="1158" spans="3:8" x14ac:dyDescent="0.2">
      <c r="C1158" s="16"/>
      <c r="D1158" s="12"/>
      <c r="E1158" s="12"/>
      <c r="F1158" s="12"/>
      <c r="G1158" s="12"/>
      <c r="H1158" s="12"/>
    </row>
    <row r="1159" spans="3:8" x14ac:dyDescent="0.2">
      <c r="C1159" s="16"/>
      <c r="D1159" s="12"/>
      <c r="E1159" s="12"/>
      <c r="F1159" s="12"/>
      <c r="G1159" s="12"/>
      <c r="H1159" s="12"/>
    </row>
    <row r="1160" spans="3:8" x14ac:dyDescent="0.2">
      <c r="C1160" s="16"/>
      <c r="D1160" s="12"/>
      <c r="E1160" s="12"/>
      <c r="F1160" s="12"/>
      <c r="G1160" s="12"/>
      <c r="H1160" s="12"/>
    </row>
    <row r="1161" spans="3:8" x14ac:dyDescent="0.2">
      <c r="C1161" s="16"/>
      <c r="D1161" s="12"/>
      <c r="E1161" s="12"/>
      <c r="F1161" s="12"/>
      <c r="G1161" s="12"/>
      <c r="H1161" s="12"/>
    </row>
    <row r="1162" spans="3:8" x14ac:dyDescent="0.2">
      <c r="C1162" s="16"/>
      <c r="D1162" s="12"/>
      <c r="E1162" s="12"/>
      <c r="F1162" s="12"/>
      <c r="G1162" s="12"/>
      <c r="H1162" s="12"/>
    </row>
    <row r="1163" spans="3:8" x14ac:dyDescent="0.2">
      <c r="C1163" s="16"/>
      <c r="D1163" s="12"/>
      <c r="E1163" s="12"/>
      <c r="F1163" s="12"/>
      <c r="G1163" s="12"/>
      <c r="H1163" s="12"/>
    </row>
    <row r="1164" spans="3:8" x14ac:dyDescent="0.2">
      <c r="C1164" s="16"/>
      <c r="D1164" s="12"/>
      <c r="E1164" s="12"/>
      <c r="F1164" s="12"/>
      <c r="G1164" s="12"/>
      <c r="H1164" s="12"/>
    </row>
    <row r="1165" spans="3:8" x14ac:dyDescent="0.2">
      <c r="C1165" s="16"/>
      <c r="D1165" s="12"/>
      <c r="E1165" s="12"/>
      <c r="F1165" s="12"/>
      <c r="G1165" s="12"/>
      <c r="H1165" s="12"/>
    </row>
    <row r="1166" spans="3:8" x14ac:dyDescent="0.2">
      <c r="C1166" s="16"/>
      <c r="D1166" s="12"/>
      <c r="E1166" s="12"/>
      <c r="F1166" s="12"/>
      <c r="G1166" s="12"/>
      <c r="H1166" s="12"/>
    </row>
    <row r="1167" spans="3:8" x14ac:dyDescent="0.2">
      <c r="C1167" s="16"/>
      <c r="D1167" s="12"/>
      <c r="E1167" s="12"/>
      <c r="F1167" s="12"/>
      <c r="G1167" s="12"/>
      <c r="H1167" s="12"/>
    </row>
    <row r="1168" spans="3:8" x14ac:dyDescent="0.2">
      <c r="C1168" s="16"/>
      <c r="D1168" s="12"/>
      <c r="E1168" s="12"/>
      <c r="F1168" s="12"/>
      <c r="G1168" s="12"/>
      <c r="H1168" s="12"/>
    </row>
    <row r="1169" spans="3:8" x14ac:dyDescent="0.2">
      <c r="C1169" s="16"/>
      <c r="D1169" s="12"/>
      <c r="E1169" s="12"/>
      <c r="F1169" s="12"/>
      <c r="G1169" s="12"/>
      <c r="H1169" s="12"/>
    </row>
    <row r="1170" spans="3:8" x14ac:dyDescent="0.2">
      <c r="C1170" s="16"/>
      <c r="D1170" s="12"/>
      <c r="E1170" s="12"/>
      <c r="F1170" s="12"/>
      <c r="G1170" s="12"/>
      <c r="H1170" s="12"/>
    </row>
    <row r="1171" spans="3:8" x14ac:dyDescent="0.2">
      <c r="C1171" s="16"/>
      <c r="D1171" s="12"/>
      <c r="E1171" s="12"/>
      <c r="F1171" s="12"/>
      <c r="G1171" s="12"/>
      <c r="H1171" s="12"/>
    </row>
    <row r="1172" spans="3:8" x14ac:dyDescent="0.2">
      <c r="C1172" s="16"/>
      <c r="D1172" s="12"/>
      <c r="E1172" s="12"/>
      <c r="F1172" s="12"/>
      <c r="G1172" s="12"/>
      <c r="H1172" s="12"/>
    </row>
    <row r="1173" spans="3:8" x14ac:dyDescent="0.2">
      <c r="C1173" s="16"/>
      <c r="D1173" s="12"/>
      <c r="E1173" s="12"/>
      <c r="F1173" s="12"/>
      <c r="G1173" s="12"/>
      <c r="H1173" s="12"/>
    </row>
    <row r="1174" spans="3:8" x14ac:dyDescent="0.2">
      <c r="C1174" s="16"/>
      <c r="D1174" s="12"/>
      <c r="E1174" s="12"/>
      <c r="F1174" s="12"/>
      <c r="G1174" s="12"/>
      <c r="H1174" s="12"/>
    </row>
    <row r="1175" spans="3:8" x14ac:dyDescent="0.2">
      <c r="C1175" s="16"/>
      <c r="D1175" s="12"/>
      <c r="E1175" s="12"/>
      <c r="F1175" s="12"/>
      <c r="G1175" s="12"/>
      <c r="H1175" s="12"/>
    </row>
    <row r="1176" spans="3:8" x14ac:dyDescent="0.2">
      <c r="C1176" s="16"/>
      <c r="D1176" s="12"/>
      <c r="E1176" s="12"/>
      <c r="F1176" s="12"/>
      <c r="G1176" s="12"/>
      <c r="H1176" s="12"/>
    </row>
    <row r="1177" spans="3:8" x14ac:dyDescent="0.2">
      <c r="C1177" s="16"/>
      <c r="D1177" s="12"/>
      <c r="E1177" s="12"/>
      <c r="F1177" s="12"/>
      <c r="G1177" s="12"/>
      <c r="H1177" s="12"/>
    </row>
    <row r="1178" spans="3:8" x14ac:dyDescent="0.2">
      <c r="C1178" s="16"/>
      <c r="D1178" s="12"/>
      <c r="E1178" s="12"/>
      <c r="F1178" s="12"/>
      <c r="G1178" s="12"/>
      <c r="H1178" s="12"/>
    </row>
    <row r="1179" spans="3:8" x14ac:dyDescent="0.2">
      <c r="C1179" s="16"/>
      <c r="D1179" s="12"/>
      <c r="E1179" s="12"/>
      <c r="F1179" s="12"/>
      <c r="G1179" s="12"/>
      <c r="H1179" s="12"/>
    </row>
    <row r="1180" spans="3:8" x14ac:dyDescent="0.2">
      <c r="C1180" s="16"/>
      <c r="D1180" s="12"/>
      <c r="E1180" s="12"/>
      <c r="F1180" s="12"/>
      <c r="G1180" s="12"/>
      <c r="H1180" s="12"/>
    </row>
    <row r="1181" spans="3:8" x14ac:dyDescent="0.2">
      <c r="C1181" s="16"/>
      <c r="D1181" s="12"/>
      <c r="E1181" s="12"/>
      <c r="F1181" s="12"/>
      <c r="G1181" s="12"/>
      <c r="H1181" s="12"/>
    </row>
    <row r="1182" spans="3:8" x14ac:dyDescent="0.2">
      <c r="C1182" s="16"/>
      <c r="D1182" s="12"/>
      <c r="E1182" s="12"/>
      <c r="F1182" s="12"/>
      <c r="G1182" s="12"/>
      <c r="H1182" s="12"/>
    </row>
    <row r="1183" spans="3:8" x14ac:dyDescent="0.2">
      <c r="C1183" s="16"/>
      <c r="D1183" s="12"/>
      <c r="E1183" s="12"/>
      <c r="F1183" s="12"/>
      <c r="G1183" s="12"/>
      <c r="H1183" s="12"/>
    </row>
    <row r="1184" spans="3:8" x14ac:dyDescent="0.2">
      <c r="C1184" s="16"/>
      <c r="D1184" s="12"/>
      <c r="E1184" s="12"/>
      <c r="F1184" s="12"/>
      <c r="G1184" s="12"/>
      <c r="H1184" s="12"/>
    </row>
    <row r="1185" spans="3:8" x14ac:dyDescent="0.2">
      <c r="C1185" s="16"/>
      <c r="D1185" s="12"/>
      <c r="E1185" s="12"/>
      <c r="F1185" s="12"/>
      <c r="G1185" s="12"/>
      <c r="H1185" s="12"/>
    </row>
    <row r="1186" spans="3:8" x14ac:dyDescent="0.2">
      <c r="C1186" s="16"/>
      <c r="D1186" s="12"/>
      <c r="E1186" s="12"/>
      <c r="F1186" s="12"/>
      <c r="G1186" s="12"/>
      <c r="H1186" s="12"/>
    </row>
    <row r="1187" spans="3:8" x14ac:dyDescent="0.2">
      <c r="C1187" s="16"/>
      <c r="D1187" s="12"/>
      <c r="E1187" s="12"/>
      <c r="F1187" s="12"/>
      <c r="G1187" s="12"/>
      <c r="H1187" s="12"/>
    </row>
    <row r="1188" spans="3:8" x14ac:dyDescent="0.2">
      <c r="C1188" s="16"/>
      <c r="D1188" s="12"/>
      <c r="E1188" s="12"/>
      <c r="F1188" s="12"/>
      <c r="G1188" s="12"/>
      <c r="H1188" s="12"/>
    </row>
    <row r="1189" spans="3:8" x14ac:dyDescent="0.2">
      <c r="C1189" s="16"/>
      <c r="D1189" s="12"/>
      <c r="E1189" s="12"/>
      <c r="F1189" s="12"/>
      <c r="G1189" s="12"/>
      <c r="H1189" s="12"/>
    </row>
    <row r="1190" spans="3:8" x14ac:dyDescent="0.2">
      <c r="C1190" s="16"/>
      <c r="D1190" s="12"/>
      <c r="E1190" s="12"/>
      <c r="F1190" s="12"/>
      <c r="G1190" s="12"/>
      <c r="H1190" s="12"/>
    </row>
    <row r="1191" spans="3:8" x14ac:dyDescent="0.2">
      <c r="C1191" s="16"/>
      <c r="D1191" s="12"/>
      <c r="E1191" s="12"/>
      <c r="F1191" s="12"/>
      <c r="G1191" s="12"/>
      <c r="H1191" s="12"/>
    </row>
    <row r="1192" spans="3:8" x14ac:dyDescent="0.2">
      <c r="C1192" s="16"/>
      <c r="D1192" s="12"/>
      <c r="E1192" s="12"/>
      <c r="F1192" s="12"/>
      <c r="G1192" s="12"/>
      <c r="H1192" s="12"/>
    </row>
    <row r="1193" spans="3:8" x14ac:dyDescent="0.2">
      <c r="C1193" s="16"/>
      <c r="D1193" s="12"/>
      <c r="E1193" s="12"/>
      <c r="F1193" s="12"/>
      <c r="G1193" s="12"/>
      <c r="H1193" s="12"/>
    </row>
    <row r="1194" spans="3:8" x14ac:dyDescent="0.2">
      <c r="C1194" s="16"/>
      <c r="D1194" s="12"/>
      <c r="E1194" s="12"/>
      <c r="F1194" s="12"/>
      <c r="G1194" s="12"/>
      <c r="H1194" s="12"/>
    </row>
    <row r="1195" spans="3:8" x14ac:dyDescent="0.2">
      <c r="C1195" s="16"/>
      <c r="D1195" s="12"/>
      <c r="E1195" s="12"/>
      <c r="F1195" s="12"/>
      <c r="G1195" s="12"/>
      <c r="H1195" s="12"/>
    </row>
    <row r="1196" spans="3:8" x14ac:dyDescent="0.2">
      <c r="C1196" s="16"/>
      <c r="D1196" s="12"/>
      <c r="E1196" s="12"/>
      <c r="F1196" s="12"/>
      <c r="G1196" s="12"/>
      <c r="H1196" s="12"/>
    </row>
    <row r="1197" spans="3:8" x14ac:dyDescent="0.2">
      <c r="C1197" s="16"/>
      <c r="D1197" s="12"/>
      <c r="E1197" s="12"/>
      <c r="F1197" s="12"/>
      <c r="G1197" s="12"/>
      <c r="H1197" s="12"/>
    </row>
    <row r="1198" spans="3:8" x14ac:dyDescent="0.2">
      <c r="C1198" s="16"/>
      <c r="D1198" s="12"/>
      <c r="E1198" s="12"/>
      <c r="F1198" s="12"/>
      <c r="G1198" s="12"/>
      <c r="H1198" s="12"/>
    </row>
    <row r="1199" spans="3:8" x14ac:dyDescent="0.2">
      <c r="C1199" s="16"/>
      <c r="D1199" s="12"/>
      <c r="E1199" s="12"/>
      <c r="F1199" s="12"/>
      <c r="G1199" s="12"/>
      <c r="H1199" s="12"/>
    </row>
    <row r="1200" spans="3:8" x14ac:dyDescent="0.2">
      <c r="C1200" s="16"/>
      <c r="D1200" s="12"/>
      <c r="E1200" s="12"/>
      <c r="F1200" s="12"/>
      <c r="G1200" s="12"/>
      <c r="H1200" s="12"/>
    </row>
    <row r="1201" spans="3:8" x14ac:dyDescent="0.2">
      <c r="C1201" s="16"/>
      <c r="D1201" s="12"/>
      <c r="E1201" s="12"/>
      <c r="F1201" s="12"/>
      <c r="G1201" s="12"/>
      <c r="H1201" s="12"/>
    </row>
    <row r="1202" spans="3:8" x14ac:dyDescent="0.2">
      <c r="C1202" s="16"/>
      <c r="D1202" s="12"/>
      <c r="E1202" s="12"/>
      <c r="F1202" s="12"/>
      <c r="G1202" s="12"/>
      <c r="H1202" s="12"/>
    </row>
    <row r="1203" spans="3:8" x14ac:dyDescent="0.2">
      <c r="C1203" s="16"/>
      <c r="D1203" s="12"/>
      <c r="E1203" s="12"/>
      <c r="F1203" s="12"/>
      <c r="G1203" s="12"/>
      <c r="H1203" s="12"/>
    </row>
    <row r="1204" spans="3:8" x14ac:dyDescent="0.2">
      <c r="C1204" s="16"/>
      <c r="D1204" s="12"/>
      <c r="E1204" s="12"/>
      <c r="F1204" s="12"/>
      <c r="G1204" s="12"/>
      <c r="H1204" s="12"/>
    </row>
    <row r="1205" spans="3:8" x14ac:dyDescent="0.2">
      <c r="C1205" s="16"/>
      <c r="D1205" s="12"/>
      <c r="E1205" s="12"/>
      <c r="F1205" s="12"/>
      <c r="G1205" s="12"/>
      <c r="H1205" s="12"/>
    </row>
    <row r="1206" spans="3:8" x14ac:dyDescent="0.2">
      <c r="C1206" s="16"/>
      <c r="D1206" s="12"/>
      <c r="E1206" s="12"/>
      <c r="F1206" s="12"/>
      <c r="G1206" s="12"/>
      <c r="H1206" s="12"/>
    </row>
    <row r="1207" spans="3:8" x14ac:dyDescent="0.2">
      <c r="C1207" s="16"/>
      <c r="D1207" s="12"/>
      <c r="E1207" s="12"/>
      <c r="F1207" s="12"/>
      <c r="G1207" s="12"/>
      <c r="H1207" s="12"/>
    </row>
    <row r="1208" spans="3:8" x14ac:dyDescent="0.2">
      <c r="C1208" s="16"/>
      <c r="D1208" s="12"/>
      <c r="E1208" s="12"/>
      <c r="F1208" s="12"/>
      <c r="G1208" s="12"/>
      <c r="H1208" s="12"/>
    </row>
    <row r="1209" spans="3:8" x14ac:dyDescent="0.2">
      <c r="C1209" s="16"/>
      <c r="D1209" s="12"/>
      <c r="E1209" s="12"/>
      <c r="F1209" s="12"/>
      <c r="G1209" s="12"/>
      <c r="H1209" s="12"/>
    </row>
    <row r="1210" spans="3:8" x14ac:dyDescent="0.2">
      <c r="C1210" s="16"/>
      <c r="D1210" s="12"/>
      <c r="E1210" s="12"/>
      <c r="F1210" s="12"/>
      <c r="G1210" s="12"/>
      <c r="H1210" s="12"/>
    </row>
    <row r="1211" spans="3:8" x14ac:dyDescent="0.2">
      <c r="C1211" s="16"/>
      <c r="D1211" s="12"/>
      <c r="E1211" s="12"/>
      <c r="F1211" s="12"/>
      <c r="G1211" s="12"/>
      <c r="H1211" s="12"/>
    </row>
    <row r="1212" spans="3:8" x14ac:dyDescent="0.2">
      <c r="C1212" s="16"/>
      <c r="D1212" s="12"/>
      <c r="E1212" s="12"/>
      <c r="F1212" s="12"/>
      <c r="G1212" s="12"/>
      <c r="H1212" s="12"/>
    </row>
    <row r="1213" spans="3:8" x14ac:dyDescent="0.2">
      <c r="C1213" s="16"/>
      <c r="D1213" s="12"/>
      <c r="E1213" s="12"/>
      <c r="F1213" s="12"/>
      <c r="G1213" s="12"/>
      <c r="H1213" s="12"/>
    </row>
    <row r="1214" spans="3:8" x14ac:dyDescent="0.2">
      <c r="C1214" s="16"/>
      <c r="D1214" s="12"/>
      <c r="E1214" s="12"/>
      <c r="F1214" s="12"/>
      <c r="G1214" s="12"/>
      <c r="H1214" s="12"/>
    </row>
    <row r="1215" spans="3:8" x14ac:dyDescent="0.2">
      <c r="C1215" s="16"/>
      <c r="D1215" s="12"/>
      <c r="E1215" s="12"/>
      <c r="F1215" s="12"/>
      <c r="G1215" s="12"/>
      <c r="H1215" s="12"/>
    </row>
    <row r="1216" spans="3:8" x14ac:dyDescent="0.2">
      <c r="C1216" s="16"/>
      <c r="D1216" s="12"/>
      <c r="E1216" s="12"/>
      <c r="F1216" s="12"/>
      <c r="G1216" s="12"/>
      <c r="H1216" s="12"/>
    </row>
    <row r="1217" spans="3:8" x14ac:dyDescent="0.2">
      <c r="C1217" s="16"/>
      <c r="D1217" s="12"/>
      <c r="E1217" s="12"/>
      <c r="F1217" s="12"/>
      <c r="G1217" s="12"/>
      <c r="H1217" s="12"/>
    </row>
    <row r="1218" spans="3:8" x14ac:dyDescent="0.2">
      <c r="C1218" s="16"/>
      <c r="D1218" s="12"/>
      <c r="E1218" s="12"/>
      <c r="F1218" s="12"/>
      <c r="G1218" s="12"/>
      <c r="H1218" s="12"/>
    </row>
    <row r="1219" spans="3:8" x14ac:dyDescent="0.2">
      <c r="C1219" s="16"/>
      <c r="D1219" s="12"/>
      <c r="E1219" s="12"/>
      <c r="F1219" s="12"/>
      <c r="G1219" s="12"/>
      <c r="H1219" s="12"/>
    </row>
    <row r="1220" spans="3:8" x14ac:dyDescent="0.2">
      <c r="C1220" s="16"/>
      <c r="D1220" s="12"/>
      <c r="E1220" s="12"/>
      <c r="F1220" s="12"/>
      <c r="G1220" s="12"/>
      <c r="H1220" s="12"/>
    </row>
    <row r="1221" spans="3:8" x14ac:dyDescent="0.2">
      <c r="C1221" s="16"/>
      <c r="D1221" s="12"/>
      <c r="E1221" s="12"/>
      <c r="F1221" s="12"/>
      <c r="G1221" s="12"/>
      <c r="H1221" s="12"/>
    </row>
    <row r="1222" spans="3:8" x14ac:dyDescent="0.2">
      <c r="C1222" s="16"/>
      <c r="D1222" s="12"/>
      <c r="E1222" s="12"/>
      <c r="F1222" s="12"/>
      <c r="G1222" s="12"/>
      <c r="H1222" s="12"/>
    </row>
    <row r="1223" spans="3:8" x14ac:dyDescent="0.2">
      <c r="C1223" s="16"/>
      <c r="D1223" s="12"/>
      <c r="E1223" s="12"/>
      <c r="F1223" s="12"/>
      <c r="G1223" s="12"/>
      <c r="H1223" s="12"/>
    </row>
    <row r="1224" spans="3:8" x14ac:dyDescent="0.2">
      <c r="C1224" s="16"/>
      <c r="D1224" s="12"/>
      <c r="E1224" s="12"/>
      <c r="F1224" s="12"/>
      <c r="G1224" s="12"/>
      <c r="H1224" s="12"/>
    </row>
    <row r="1225" spans="3:8" x14ac:dyDescent="0.2">
      <c r="C1225" s="16"/>
      <c r="D1225" s="12"/>
      <c r="E1225" s="12"/>
      <c r="F1225" s="12"/>
      <c r="G1225" s="12"/>
      <c r="H1225" s="12"/>
    </row>
    <row r="1226" spans="3:8" x14ac:dyDescent="0.2">
      <c r="C1226" s="16"/>
      <c r="D1226" s="12"/>
      <c r="E1226" s="12"/>
      <c r="F1226" s="12"/>
      <c r="G1226" s="12"/>
      <c r="H1226" s="12"/>
    </row>
    <row r="1227" spans="3:8" x14ac:dyDescent="0.2">
      <c r="C1227" s="16"/>
      <c r="D1227" s="12"/>
      <c r="E1227" s="12"/>
      <c r="F1227" s="12"/>
      <c r="G1227" s="12"/>
      <c r="H1227" s="12"/>
    </row>
    <row r="1228" spans="3:8" x14ac:dyDescent="0.2">
      <c r="C1228" s="16"/>
      <c r="D1228" s="12"/>
      <c r="E1228" s="12"/>
      <c r="F1228" s="12"/>
      <c r="G1228" s="12"/>
      <c r="H1228" s="12"/>
    </row>
    <row r="1229" spans="3:8" x14ac:dyDescent="0.2">
      <c r="C1229" s="16"/>
      <c r="D1229" s="12"/>
      <c r="E1229" s="12"/>
      <c r="F1229" s="12"/>
      <c r="G1229" s="12"/>
      <c r="H1229" s="12"/>
    </row>
    <row r="1230" spans="3:8" x14ac:dyDescent="0.2">
      <c r="C1230" s="16"/>
      <c r="D1230" s="12"/>
      <c r="E1230" s="12"/>
      <c r="F1230" s="12"/>
      <c r="G1230" s="12"/>
      <c r="H1230" s="12"/>
    </row>
    <row r="1231" spans="3:8" x14ac:dyDescent="0.2">
      <c r="C1231" s="16"/>
      <c r="D1231" s="12"/>
      <c r="E1231" s="12"/>
      <c r="F1231" s="12"/>
      <c r="G1231" s="12"/>
      <c r="H1231" s="12"/>
    </row>
    <row r="1232" spans="3:8" x14ac:dyDescent="0.2">
      <c r="C1232" s="16"/>
      <c r="D1232" s="12"/>
      <c r="E1232" s="12"/>
      <c r="F1232" s="12"/>
      <c r="G1232" s="12"/>
      <c r="H1232" s="12"/>
    </row>
    <row r="1233" spans="3:8" x14ac:dyDescent="0.2">
      <c r="C1233" s="16"/>
      <c r="D1233" s="12"/>
      <c r="E1233" s="12"/>
      <c r="F1233" s="12"/>
      <c r="G1233" s="12"/>
      <c r="H1233" s="12"/>
    </row>
    <row r="1234" spans="3:8" x14ac:dyDescent="0.2">
      <c r="C1234" s="16"/>
      <c r="D1234" s="12"/>
      <c r="E1234" s="12"/>
      <c r="F1234" s="12"/>
      <c r="G1234" s="12"/>
      <c r="H1234" s="12"/>
    </row>
    <row r="1235" spans="3:8" x14ac:dyDescent="0.2">
      <c r="C1235" s="16"/>
      <c r="D1235" s="12"/>
      <c r="E1235" s="12"/>
      <c r="F1235" s="12"/>
      <c r="G1235" s="12"/>
      <c r="H1235" s="12"/>
    </row>
    <row r="1236" spans="3:8" x14ac:dyDescent="0.2">
      <c r="C1236" s="16"/>
      <c r="D1236" s="12"/>
      <c r="E1236" s="12"/>
      <c r="F1236" s="12"/>
      <c r="G1236" s="12"/>
      <c r="H1236" s="12"/>
    </row>
    <row r="1237" spans="3:8" x14ac:dyDescent="0.2">
      <c r="C1237" s="16"/>
      <c r="D1237" s="12"/>
      <c r="E1237" s="12"/>
      <c r="F1237" s="12"/>
      <c r="G1237" s="12"/>
      <c r="H1237" s="12"/>
    </row>
    <row r="1238" spans="3:8" x14ac:dyDescent="0.2">
      <c r="C1238" s="16"/>
      <c r="D1238" s="12"/>
      <c r="E1238" s="12"/>
      <c r="F1238" s="12"/>
      <c r="G1238" s="12"/>
      <c r="H1238" s="12"/>
    </row>
    <row r="1239" spans="3:8" x14ac:dyDescent="0.2">
      <c r="C1239" s="16"/>
      <c r="D1239" s="12"/>
      <c r="E1239" s="12"/>
      <c r="F1239" s="12"/>
      <c r="G1239" s="12"/>
      <c r="H1239" s="12"/>
    </row>
    <row r="1240" spans="3:8" x14ac:dyDescent="0.2">
      <c r="C1240" s="16"/>
      <c r="D1240" s="12"/>
      <c r="E1240" s="12"/>
      <c r="F1240" s="12"/>
      <c r="G1240" s="12"/>
      <c r="H1240" s="12"/>
    </row>
    <row r="1241" spans="3:8" x14ac:dyDescent="0.2">
      <c r="C1241" s="16"/>
      <c r="D1241" s="12"/>
      <c r="E1241" s="12"/>
      <c r="F1241" s="12"/>
      <c r="G1241" s="12"/>
      <c r="H1241" s="12"/>
    </row>
    <row r="1242" spans="3:8" x14ac:dyDescent="0.2">
      <c r="C1242" s="16"/>
      <c r="D1242" s="12"/>
      <c r="E1242" s="12"/>
      <c r="F1242" s="12"/>
      <c r="G1242" s="12"/>
      <c r="H1242" s="12"/>
    </row>
    <row r="1243" spans="3:8" x14ac:dyDescent="0.2">
      <c r="C1243" s="16"/>
      <c r="D1243" s="12"/>
      <c r="E1243" s="12"/>
      <c r="F1243" s="12"/>
      <c r="G1243" s="12"/>
      <c r="H1243" s="12"/>
    </row>
    <row r="1244" spans="3:8" x14ac:dyDescent="0.2">
      <c r="C1244" s="16"/>
      <c r="D1244" s="12"/>
      <c r="E1244" s="12"/>
      <c r="F1244" s="12"/>
      <c r="G1244" s="12"/>
      <c r="H1244" s="12"/>
    </row>
    <row r="1245" spans="3:8" x14ac:dyDescent="0.2">
      <c r="C1245" s="16"/>
      <c r="D1245" s="12"/>
      <c r="E1245" s="12"/>
      <c r="F1245" s="12"/>
      <c r="G1245" s="12"/>
      <c r="H1245" s="12"/>
    </row>
    <row r="1246" spans="3:8" x14ac:dyDescent="0.2">
      <c r="C1246" s="16"/>
      <c r="D1246" s="12"/>
      <c r="E1246" s="12"/>
      <c r="F1246" s="12"/>
      <c r="G1246" s="12"/>
      <c r="H1246" s="12"/>
    </row>
    <row r="1247" spans="3:8" x14ac:dyDescent="0.2">
      <c r="C1247" s="16"/>
      <c r="D1247" s="12"/>
      <c r="E1247" s="12"/>
      <c r="F1247" s="12"/>
      <c r="G1247" s="12"/>
      <c r="H1247" s="12"/>
    </row>
    <row r="1248" spans="3:8" x14ac:dyDescent="0.2">
      <c r="C1248" s="16"/>
      <c r="D1248" s="12"/>
      <c r="E1248" s="12"/>
      <c r="F1248" s="12"/>
      <c r="G1248" s="12"/>
      <c r="H1248" s="12"/>
    </row>
    <row r="1249" spans="3:8" x14ac:dyDescent="0.2">
      <c r="C1249" s="16"/>
      <c r="D1249" s="12"/>
      <c r="E1249" s="12"/>
      <c r="F1249" s="12"/>
      <c r="G1249" s="12"/>
      <c r="H1249" s="12"/>
    </row>
    <row r="1250" spans="3:8" x14ac:dyDescent="0.2">
      <c r="C1250" s="16"/>
      <c r="D1250" s="12"/>
      <c r="E1250" s="12"/>
      <c r="F1250" s="12"/>
      <c r="G1250" s="12"/>
      <c r="H1250" s="12"/>
    </row>
    <row r="1251" spans="3:8" x14ac:dyDescent="0.2">
      <c r="C1251" s="16"/>
      <c r="D1251" s="12"/>
      <c r="E1251" s="12"/>
      <c r="F1251" s="12"/>
      <c r="G1251" s="12"/>
      <c r="H1251" s="12"/>
    </row>
    <row r="1252" spans="3:8" x14ac:dyDescent="0.2">
      <c r="C1252" s="16"/>
      <c r="D1252" s="12"/>
      <c r="E1252" s="12"/>
      <c r="F1252" s="12"/>
      <c r="G1252" s="12"/>
      <c r="H1252" s="12"/>
    </row>
    <row r="1253" spans="3:8" x14ac:dyDescent="0.2">
      <c r="C1253" s="16"/>
      <c r="D1253" s="12"/>
      <c r="E1253" s="12"/>
      <c r="F1253" s="12"/>
      <c r="G1253" s="12"/>
      <c r="H1253" s="12"/>
    </row>
    <row r="1254" spans="3:8" x14ac:dyDescent="0.2">
      <c r="C1254" s="16"/>
      <c r="D1254" s="12"/>
      <c r="E1254" s="12"/>
      <c r="F1254" s="12"/>
      <c r="G1254" s="12"/>
      <c r="H1254" s="12"/>
    </row>
    <row r="1255" spans="3:8" x14ac:dyDescent="0.2">
      <c r="C1255" s="16"/>
      <c r="D1255" s="12"/>
      <c r="E1255" s="12"/>
      <c r="F1255" s="12"/>
      <c r="G1255" s="12"/>
      <c r="H1255" s="12"/>
    </row>
    <row r="1256" spans="3:8" x14ac:dyDescent="0.2">
      <c r="C1256" s="16"/>
      <c r="D1256" s="12"/>
      <c r="E1256" s="12"/>
      <c r="F1256" s="12"/>
      <c r="G1256" s="12"/>
      <c r="H1256" s="12"/>
    </row>
    <row r="1257" spans="3:8" x14ac:dyDescent="0.2">
      <c r="C1257" s="16"/>
      <c r="D1257" s="12"/>
      <c r="E1257" s="12"/>
      <c r="F1257" s="12"/>
      <c r="G1257" s="12"/>
      <c r="H1257" s="12"/>
    </row>
    <row r="1258" spans="3:8" x14ac:dyDescent="0.2">
      <c r="C1258" s="16"/>
      <c r="D1258" s="12"/>
      <c r="E1258" s="12"/>
      <c r="F1258" s="12"/>
      <c r="G1258" s="12"/>
      <c r="H1258" s="12"/>
    </row>
    <row r="1259" spans="3:8" x14ac:dyDescent="0.2">
      <c r="C1259" s="16"/>
      <c r="D1259" s="12"/>
      <c r="E1259" s="12"/>
      <c r="F1259" s="12"/>
      <c r="G1259" s="12"/>
      <c r="H1259" s="12"/>
    </row>
    <row r="1260" spans="3:8" x14ac:dyDescent="0.2">
      <c r="C1260" s="16"/>
      <c r="D1260" s="12"/>
      <c r="E1260" s="12"/>
      <c r="F1260" s="12"/>
      <c r="G1260" s="12"/>
      <c r="H1260" s="12"/>
    </row>
    <row r="1261" spans="3:8" x14ac:dyDescent="0.2">
      <c r="C1261" s="16"/>
      <c r="D1261" s="12"/>
      <c r="E1261" s="12"/>
      <c r="F1261" s="12"/>
      <c r="G1261" s="12"/>
      <c r="H1261" s="12"/>
    </row>
    <row r="1262" spans="3:8" x14ac:dyDescent="0.2">
      <c r="C1262" s="16"/>
      <c r="D1262" s="12"/>
      <c r="E1262" s="12"/>
      <c r="F1262" s="12"/>
      <c r="G1262" s="12"/>
      <c r="H1262" s="12"/>
    </row>
    <row r="1263" spans="3:8" x14ac:dyDescent="0.2">
      <c r="C1263" s="16"/>
      <c r="D1263" s="12"/>
      <c r="E1263" s="12"/>
      <c r="F1263" s="12"/>
      <c r="G1263" s="12"/>
      <c r="H1263" s="12"/>
    </row>
    <row r="1264" spans="3:8" x14ac:dyDescent="0.2">
      <c r="C1264" s="16"/>
      <c r="D1264" s="12"/>
      <c r="E1264" s="12"/>
      <c r="F1264" s="12"/>
      <c r="G1264" s="12"/>
      <c r="H1264" s="12"/>
    </row>
    <row r="1265" spans="3:8" x14ac:dyDescent="0.2">
      <c r="C1265" s="16"/>
      <c r="D1265" s="12"/>
      <c r="E1265" s="12"/>
      <c r="F1265" s="12"/>
      <c r="G1265" s="12"/>
      <c r="H1265" s="12"/>
    </row>
    <row r="1266" spans="3:8" x14ac:dyDescent="0.2">
      <c r="C1266" s="16"/>
      <c r="D1266" s="12"/>
      <c r="E1266" s="12"/>
      <c r="F1266" s="12"/>
      <c r="G1266" s="12"/>
      <c r="H1266" s="12"/>
    </row>
    <row r="1267" spans="3:8" x14ac:dyDescent="0.2">
      <c r="C1267" s="16"/>
      <c r="D1267" s="12"/>
      <c r="E1267" s="12"/>
      <c r="F1267" s="12"/>
      <c r="G1267" s="12"/>
      <c r="H1267" s="12"/>
    </row>
    <row r="1268" spans="3:8" x14ac:dyDescent="0.2">
      <c r="C1268" s="16"/>
      <c r="D1268" s="12"/>
      <c r="E1268" s="12"/>
      <c r="F1268" s="12"/>
      <c r="G1268" s="12"/>
      <c r="H1268" s="12"/>
    </row>
    <row r="1269" spans="3:8" x14ac:dyDescent="0.2">
      <c r="C1269" s="16"/>
      <c r="D1269" s="12"/>
      <c r="E1269" s="12"/>
      <c r="F1269" s="12"/>
      <c r="G1269" s="12"/>
      <c r="H1269" s="12"/>
    </row>
    <row r="1270" spans="3:8" x14ac:dyDescent="0.2">
      <c r="C1270" s="16"/>
      <c r="D1270" s="12"/>
      <c r="E1270" s="12"/>
      <c r="F1270" s="12"/>
      <c r="G1270" s="12"/>
      <c r="H1270" s="12"/>
    </row>
    <row r="1271" spans="3:8" x14ac:dyDescent="0.2">
      <c r="C1271" s="16"/>
      <c r="D1271" s="12"/>
      <c r="E1271" s="12"/>
      <c r="F1271" s="12"/>
      <c r="G1271" s="12"/>
      <c r="H1271" s="12"/>
    </row>
    <row r="1272" spans="3:8" x14ac:dyDescent="0.2">
      <c r="C1272" s="16"/>
      <c r="D1272" s="12"/>
      <c r="E1272" s="12"/>
      <c r="F1272" s="12"/>
      <c r="G1272" s="12"/>
      <c r="H1272" s="12"/>
    </row>
    <row r="1273" spans="3:8" x14ac:dyDescent="0.2">
      <c r="C1273" s="16"/>
      <c r="D1273" s="12"/>
      <c r="E1273" s="12"/>
      <c r="F1273" s="12"/>
      <c r="G1273" s="12"/>
      <c r="H1273" s="12"/>
    </row>
    <row r="1274" spans="3:8" x14ac:dyDescent="0.2">
      <c r="C1274" s="16"/>
      <c r="D1274" s="12"/>
      <c r="E1274" s="12"/>
      <c r="F1274" s="12"/>
      <c r="G1274" s="12"/>
      <c r="H1274" s="12"/>
    </row>
    <row r="1275" spans="3:8" x14ac:dyDescent="0.2">
      <c r="C1275" s="16"/>
      <c r="D1275" s="12"/>
      <c r="E1275" s="12"/>
      <c r="F1275" s="12"/>
      <c r="G1275" s="12"/>
      <c r="H1275" s="12"/>
    </row>
    <row r="1276" spans="3:8" x14ac:dyDescent="0.2">
      <c r="C1276" s="16"/>
      <c r="D1276" s="12"/>
      <c r="E1276" s="12"/>
      <c r="F1276" s="12"/>
      <c r="G1276" s="12"/>
      <c r="H1276" s="12"/>
    </row>
    <row r="1277" spans="3:8" x14ac:dyDescent="0.2">
      <c r="C1277" s="16"/>
      <c r="D1277" s="12"/>
      <c r="E1277" s="12"/>
      <c r="F1277" s="12"/>
      <c r="G1277" s="12"/>
      <c r="H1277" s="12"/>
    </row>
    <row r="1278" spans="3:8" x14ac:dyDescent="0.2">
      <c r="C1278" s="16"/>
      <c r="D1278" s="12"/>
      <c r="E1278" s="12"/>
      <c r="F1278" s="12"/>
      <c r="G1278" s="12"/>
      <c r="H1278" s="12"/>
    </row>
    <row r="1279" spans="3:8" x14ac:dyDescent="0.2">
      <c r="C1279" s="16"/>
      <c r="D1279" s="12"/>
      <c r="E1279" s="12"/>
      <c r="F1279" s="12"/>
      <c r="G1279" s="12"/>
      <c r="H1279" s="12"/>
    </row>
    <row r="1280" spans="3:8" x14ac:dyDescent="0.2">
      <c r="C1280" s="16"/>
      <c r="D1280" s="12"/>
      <c r="E1280" s="12"/>
      <c r="F1280" s="12"/>
      <c r="G1280" s="12"/>
      <c r="H1280" s="12"/>
    </row>
    <row r="1281" spans="3:8" x14ac:dyDescent="0.2">
      <c r="C1281" s="16"/>
      <c r="D1281" s="12"/>
      <c r="E1281" s="12"/>
      <c r="F1281" s="12"/>
      <c r="G1281" s="12"/>
      <c r="H1281" s="12"/>
    </row>
    <row r="1282" spans="3:8" x14ac:dyDescent="0.2">
      <c r="C1282" s="16"/>
      <c r="D1282" s="12"/>
      <c r="E1282" s="12"/>
      <c r="F1282" s="12"/>
      <c r="G1282" s="12"/>
      <c r="H1282" s="12"/>
    </row>
    <row r="1283" spans="3:8" x14ac:dyDescent="0.2">
      <c r="C1283" s="16"/>
      <c r="D1283" s="12"/>
      <c r="E1283" s="12"/>
      <c r="F1283" s="12"/>
      <c r="G1283" s="12"/>
      <c r="H1283" s="12"/>
    </row>
    <row r="1284" spans="3:8" x14ac:dyDescent="0.2">
      <c r="C1284" s="16"/>
      <c r="D1284" s="12"/>
      <c r="E1284" s="12"/>
      <c r="F1284" s="12"/>
      <c r="G1284" s="12"/>
      <c r="H1284" s="12"/>
    </row>
    <row r="1285" spans="3:8" x14ac:dyDescent="0.2">
      <c r="C1285" s="16"/>
      <c r="D1285" s="12"/>
      <c r="E1285" s="12"/>
      <c r="F1285" s="12"/>
      <c r="G1285" s="12"/>
      <c r="H1285" s="12"/>
    </row>
    <row r="1286" spans="3:8" x14ac:dyDescent="0.2">
      <c r="C1286" s="16"/>
      <c r="D1286" s="12"/>
      <c r="E1286" s="12"/>
      <c r="F1286" s="12"/>
      <c r="G1286" s="12"/>
      <c r="H1286" s="12"/>
    </row>
    <row r="1287" spans="3:8" x14ac:dyDescent="0.2">
      <c r="C1287" s="16"/>
      <c r="D1287" s="12"/>
      <c r="E1287" s="12"/>
      <c r="F1287" s="12"/>
      <c r="G1287" s="12"/>
      <c r="H1287" s="12"/>
    </row>
    <row r="1288" spans="3:8" x14ac:dyDescent="0.2">
      <c r="C1288" s="16"/>
      <c r="D1288" s="12"/>
      <c r="E1288" s="12"/>
      <c r="F1288" s="12"/>
      <c r="G1288" s="12"/>
      <c r="H1288" s="12"/>
    </row>
    <row r="1289" spans="3:8" x14ac:dyDescent="0.2">
      <c r="C1289" s="16"/>
      <c r="D1289" s="12"/>
      <c r="E1289" s="12"/>
      <c r="F1289" s="12"/>
      <c r="G1289" s="12"/>
      <c r="H1289" s="12"/>
    </row>
    <row r="1290" spans="3:8" x14ac:dyDescent="0.2">
      <c r="C1290" s="16"/>
      <c r="D1290" s="12"/>
      <c r="E1290" s="12"/>
      <c r="F1290" s="12"/>
      <c r="G1290" s="12"/>
      <c r="H1290" s="12"/>
    </row>
    <row r="1291" spans="3:8" x14ac:dyDescent="0.2">
      <c r="C1291" s="16"/>
      <c r="D1291" s="12"/>
      <c r="E1291" s="12"/>
      <c r="F1291" s="12"/>
      <c r="G1291" s="12"/>
      <c r="H1291" s="12"/>
    </row>
    <row r="1292" spans="3:8" x14ac:dyDescent="0.2">
      <c r="C1292" s="16"/>
      <c r="D1292" s="12"/>
      <c r="E1292" s="12"/>
      <c r="F1292" s="12"/>
      <c r="G1292" s="12"/>
      <c r="H1292" s="12"/>
    </row>
    <row r="1293" spans="3:8" x14ac:dyDescent="0.2">
      <c r="C1293" s="16"/>
      <c r="D1293" s="12"/>
      <c r="E1293" s="12"/>
      <c r="F1293" s="12"/>
      <c r="G1293" s="12"/>
      <c r="H1293" s="12"/>
    </row>
    <row r="1294" spans="3:8" x14ac:dyDescent="0.2">
      <c r="C1294" s="16"/>
      <c r="D1294" s="12"/>
      <c r="E1294" s="12"/>
      <c r="F1294" s="12"/>
      <c r="G1294" s="12"/>
      <c r="H1294" s="12"/>
    </row>
    <row r="1295" spans="3:8" x14ac:dyDescent="0.2">
      <c r="C1295" s="16"/>
      <c r="D1295" s="12"/>
      <c r="E1295" s="12"/>
      <c r="F1295" s="12"/>
      <c r="G1295" s="12"/>
      <c r="H1295" s="12"/>
    </row>
    <row r="1296" spans="3:8" x14ac:dyDescent="0.2">
      <c r="C1296" s="16"/>
      <c r="D1296" s="12"/>
      <c r="E1296" s="12"/>
      <c r="F1296" s="12"/>
      <c r="G1296" s="12"/>
      <c r="H1296" s="12"/>
    </row>
    <row r="1297" spans="3:8" x14ac:dyDescent="0.2">
      <c r="C1297" s="16"/>
      <c r="D1297" s="12"/>
      <c r="E1297" s="12"/>
      <c r="F1297" s="12"/>
      <c r="G1297" s="12"/>
      <c r="H1297" s="12"/>
    </row>
    <row r="1298" spans="3:8" x14ac:dyDescent="0.2">
      <c r="C1298" s="16"/>
      <c r="D1298" s="12"/>
      <c r="E1298" s="12"/>
      <c r="F1298" s="12"/>
      <c r="G1298" s="12"/>
      <c r="H1298" s="12"/>
    </row>
    <row r="1299" spans="3:8" x14ac:dyDescent="0.2">
      <c r="C1299" s="16"/>
      <c r="D1299" s="12"/>
      <c r="E1299" s="12"/>
      <c r="F1299" s="12"/>
      <c r="G1299" s="12"/>
      <c r="H1299" s="12"/>
    </row>
    <row r="1300" spans="3:8" x14ac:dyDescent="0.2">
      <c r="C1300" s="16"/>
      <c r="D1300" s="12"/>
      <c r="E1300" s="12"/>
      <c r="F1300" s="12"/>
      <c r="G1300" s="12"/>
      <c r="H1300" s="12"/>
    </row>
    <row r="1301" spans="3:8" x14ac:dyDescent="0.2">
      <c r="C1301" s="16"/>
      <c r="D1301" s="12"/>
      <c r="E1301" s="12"/>
      <c r="F1301" s="12"/>
      <c r="G1301" s="12"/>
      <c r="H1301" s="12"/>
    </row>
    <row r="1302" spans="3:8" x14ac:dyDescent="0.2">
      <c r="C1302" s="16"/>
      <c r="D1302" s="12"/>
      <c r="E1302" s="12"/>
      <c r="F1302" s="12"/>
      <c r="G1302" s="12"/>
      <c r="H1302" s="12"/>
    </row>
    <row r="1303" spans="3:8" x14ac:dyDescent="0.2">
      <c r="C1303" s="16"/>
      <c r="D1303" s="12"/>
      <c r="E1303" s="12"/>
      <c r="F1303" s="12"/>
      <c r="G1303" s="12"/>
      <c r="H1303" s="12"/>
    </row>
    <row r="1304" spans="3:8" x14ac:dyDescent="0.2">
      <c r="C1304" s="16"/>
      <c r="D1304" s="12"/>
      <c r="E1304" s="12"/>
      <c r="F1304" s="12"/>
      <c r="G1304" s="12"/>
      <c r="H1304" s="12"/>
    </row>
    <row r="1305" spans="3:8" x14ac:dyDescent="0.2">
      <c r="C1305" s="16"/>
      <c r="D1305" s="12"/>
      <c r="E1305" s="12"/>
      <c r="F1305" s="12"/>
      <c r="G1305" s="12"/>
      <c r="H1305" s="12"/>
    </row>
    <row r="1306" spans="3:8" x14ac:dyDescent="0.2">
      <c r="C1306" s="16"/>
      <c r="D1306" s="12"/>
      <c r="E1306" s="12"/>
      <c r="F1306" s="12"/>
      <c r="G1306" s="12"/>
      <c r="H1306" s="12"/>
    </row>
    <row r="1307" spans="3:8" x14ac:dyDescent="0.2">
      <c r="C1307" s="16"/>
      <c r="D1307" s="12"/>
      <c r="E1307" s="12"/>
      <c r="F1307" s="12"/>
      <c r="G1307" s="12"/>
      <c r="H1307" s="12"/>
    </row>
    <row r="1308" spans="3:8" x14ac:dyDescent="0.2">
      <c r="C1308" s="16"/>
      <c r="D1308" s="12"/>
      <c r="E1308" s="12"/>
      <c r="F1308" s="12"/>
      <c r="G1308" s="12"/>
      <c r="H1308" s="12"/>
    </row>
    <row r="1309" spans="3:8" x14ac:dyDescent="0.2">
      <c r="C1309" s="16"/>
      <c r="D1309" s="12"/>
      <c r="E1309" s="12"/>
      <c r="F1309" s="12"/>
      <c r="G1309" s="12"/>
      <c r="H1309" s="12"/>
    </row>
    <row r="1310" spans="3:8" x14ac:dyDescent="0.2">
      <c r="C1310" s="16"/>
      <c r="D1310" s="12"/>
      <c r="E1310" s="12"/>
      <c r="F1310" s="12"/>
      <c r="G1310" s="12"/>
      <c r="H1310" s="12"/>
    </row>
    <row r="1311" spans="3:8" x14ac:dyDescent="0.2">
      <c r="C1311" s="16"/>
      <c r="D1311" s="12"/>
      <c r="E1311" s="12"/>
      <c r="F1311" s="12"/>
      <c r="G1311" s="12"/>
      <c r="H1311" s="12"/>
    </row>
    <row r="1312" spans="3:8" x14ac:dyDescent="0.2">
      <c r="C1312" s="16"/>
      <c r="D1312" s="12"/>
      <c r="E1312" s="12"/>
      <c r="F1312" s="12"/>
      <c r="G1312" s="12"/>
      <c r="H1312" s="12"/>
    </row>
    <row r="1313" spans="3:8" x14ac:dyDescent="0.2">
      <c r="C1313" s="16"/>
      <c r="D1313" s="12"/>
      <c r="E1313" s="12"/>
      <c r="F1313" s="12"/>
      <c r="G1313" s="12"/>
      <c r="H1313" s="12"/>
    </row>
    <row r="1314" spans="3:8" x14ac:dyDescent="0.2">
      <c r="C1314" s="16"/>
      <c r="D1314" s="12"/>
      <c r="E1314" s="12"/>
      <c r="F1314" s="12"/>
      <c r="G1314" s="12"/>
      <c r="H1314" s="12"/>
    </row>
    <row r="1315" spans="3:8" x14ac:dyDescent="0.2">
      <c r="C1315" s="16"/>
      <c r="D1315" s="12"/>
      <c r="E1315" s="12"/>
      <c r="F1315" s="12"/>
      <c r="G1315" s="12"/>
      <c r="H1315" s="12"/>
    </row>
    <row r="1316" spans="3:8" x14ac:dyDescent="0.2">
      <c r="C1316" s="16"/>
      <c r="D1316" s="12"/>
      <c r="E1316" s="12"/>
      <c r="F1316" s="12"/>
      <c r="G1316" s="12"/>
      <c r="H1316" s="12"/>
    </row>
    <row r="1317" spans="3:8" x14ac:dyDescent="0.2">
      <c r="C1317" s="16"/>
      <c r="D1317" s="12"/>
      <c r="E1317" s="12"/>
      <c r="F1317" s="12"/>
      <c r="G1317" s="12"/>
      <c r="H1317" s="12"/>
    </row>
    <row r="1318" spans="3:8" x14ac:dyDescent="0.2">
      <c r="C1318" s="16"/>
      <c r="D1318" s="12"/>
      <c r="E1318" s="12"/>
      <c r="F1318" s="12"/>
      <c r="G1318" s="12"/>
      <c r="H1318" s="12"/>
    </row>
    <row r="1319" spans="3:8" x14ac:dyDescent="0.2">
      <c r="C1319" s="16"/>
      <c r="D1319" s="12"/>
      <c r="E1319" s="12"/>
      <c r="F1319" s="12"/>
      <c r="G1319" s="12"/>
      <c r="H1319" s="12"/>
    </row>
    <row r="1320" spans="3:8" x14ac:dyDescent="0.2">
      <c r="C1320" s="16"/>
      <c r="D1320" s="12"/>
      <c r="E1320" s="12"/>
      <c r="F1320" s="12"/>
      <c r="G1320" s="12"/>
      <c r="H1320" s="12"/>
    </row>
    <row r="1321" spans="3:8" x14ac:dyDescent="0.2">
      <c r="C1321" s="16"/>
      <c r="D1321" s="12"/>
      <c r="E1321" s="12"/>
      <c r="F1321" s="12"/>
      <c r="G1321" s="12"/>
      <c r="H1321" s="12"/>
    </row>
    <row r="1322" spans="3:8" x14ac:dyDescent="0.2">
      <c r="C1322" s="16"/>
      <c r="D1322" s="12"/>
      <c r="E1322" s="12"/>
      <c r="F1322" s="12"/>
      <c r="G1322" s="12"/>
      <c r="H1322" s="12"/>
    </row>
    <row r="1323" spans="3:8" x14ac:dyDescent="0.2">
      <c r="C1323" s="16"/>
      <c r="D1323" s="12"/>
      <c r="E1323" s="12"/>
      <c r="F1323" s="12"/>
      <c r="G1323" s="12"/>
      <c r="H1323" s="12"/>
    </row>
    <row r="1324" spans="3:8" x14ac:dyDescent="0.2">
      <c r="C1324" s="16"/>
      <c r="D1324" s="12"/>
      <c r="E1324" s="12"/>
      <c r="F1324" s="12"/>
      <c r="G1324" s="12"/>
      <c r="H1324" s="12"/>
    </row>
    <row r="1325" spans="3:8" x14ac:dyDescent="0.2">
      <c r="C1325" s="16"/>
      <c r="D1325" s="12"/>
      <c r="E1325" s="12"/>
      <c r="F1325" s="12"/>
      <c r="G1325" s="12"/>
      <c r="H1325" s="12"/>
    </row>
    <row r="1326" spans="3:8" x14ac:dyDescent="0.2">
      <c r="C1326" s="16"/>
      <c r="D1326" s="12"/>
      <c r="E1326" s="12"/>
      <c r="F1326" s="12"/>
      <c r="G1326" s="12"/>
      <c r="H1326" s="12"/>
    </row>
    <row r="1327" spans="3:8" x14ac:dyDescent="0.2">
      <c r="C1327" s="16"/>
      <c r="D1327" s="12"/>
      <c r="E1327" s="12"/>
      <c r="F1327" s="12"/>
      <c r="G1327" s="12"/>
      <c r="H1327" s="12"/>
    </row>
    <row r="1328" spans="3:8" x14ac:dyDescent="0.2">
      <c r="C1328" s="16"/>
      <c r="D1328" s="12"/>
      <c r="E1328" s="12"/>
      <c r="F1328" s="12"/>
      <c r="G1328" s="12"/>
      <c r="H1328" s="12"/>
    </row>
    <row r="1329" spans="3:8" x14ac:dyDescent="0.2">
      <c r="C1329" s="16"/>
      <c r="D1329" s="12"/>
      <c r="E1329" s="12"/>
      <c r="F1329" s="12"/>
      <c r="G1329" s="12"/>
      <c r="H1329" s="12"/>
    </row>
    <row r="1330" spans="3:8" x14ac:dyDescent="0.2">
      <c r="C1330" s="16"/>
      <c r="D1330" s="12"/>
      <c r="E1330" s="12"/>
      <c r="F1330" s="12"/>
      <c r="G1330" s="12"/>
      <c r="H1330" s="12"/>
    </row>
    <row r="1331" spans="3:8" x14ac:dyDescent="0.2">
      <c r="C1331" s="16"/>
      <c r="D1331" s="12"/>
      <c r="E1331" s="12"/>
      <c r="F1331" s="12"/>
      <c r="G1331" s="12"/>
      <c r="H1331" s="12"/>
    </row>
    <row r="1332" spans="3:8" x14ac:dyDescent="0.2">
      <c r="C1332" s="16"/>
      <c r="D1332" s="12"/>
      <c r="E1332" s="12"/>
      <c r="F1332" s="12"/>
      <c r="G1332" s="12"/>
      <c r="H1332" s="12"/>
    </row>
    <row r="1333" spans="3:8" x14ac:dyDescent="0.2">
      <c r="C1333" s="16"/>
      <c r="D1333" s="12"/>
      <c r="E1333" s="12"/>
      <c r="F1333" s="12"/>
      <c r="G1333" s="12"/>
      <c r="H1333" s="12"/>
    </row>
    <row r="1334" spans="3:8" x14ac:dyDescent="0.2">
      <c r="C1334" s="16"/>
      <c r="D1334" s="12"/>
      <c r="E1334" s="12"/>
      <c r="F1334" s="12"/>
      <c r="G1334" s="12"/>
      <c r="H1334" s="12"/>
    </row>
    <row r="1335" spans="3:8" x14ac:dyDescent="0.2">
      <c r="C1335" s="16"/>
      <c r="D1335" s="12"/>
      <c r="E1335" s="12"/>
      <c r="F1335" s="12"/>
      <c r="G1335" s="12"/>
      <c r="H1335" s="12"/>
    </row>
    <row r="1336" spans="3:8" x14ac:dyDescent="0.2">
      <c r="C1336" s="16"/>
      <c r="D1336" s="12"/>
      <c r="E1336" s="12"/>
      <c r="F1336" s="12"/>
      <c r="G1336" s="12"/>
      <c r="H1336" s="12"/>
    </row>
    <row r="1337" spans="3:8" x14ac:dyDescent="0.2">
      <c r="C1337" s="16"/>
      <c r="D1337" s="12"/>
      <c r="E1337" s="12"/>
      <c r="F1337" s="12"/>
      <c r="G1337" s="12"/>
      <c r="H1337" s="12"/>
    </row>
    <row r="1338" spans="3:8" x14ac:dyDescent="0.2">
      <c r="C1338" s="16"/>
      <c r="D1338" s="12"/>
      <c r="E1338" s="12"/>
      <c r="F1338" s="12"/>
      <c r="G1338" s="12"/>
      <c r="H1338" s="12"/>
    </row>
    <row r="1339" spans="3:8" x14ac:dyDescent="0.2">
      <c r="C1339" s="16"/>
      <c r="D1339" s="12"/>
      <c r="E1339" s="12"/>
      <c r="F1339" s="12"/>
      <c r="G1339" s="12"/>
      <c r="H1339" s="12"/>
    </row>
    <row r="1340" spans="3:8" x14ac:dyDescent="0.2">
      <c r="C1340" s="16"/>
      <c r="D1340" s="12"/>
      <c r="E1340" s="12"/>
      <c r="F1340" s="12"/>
      <c r="G1340" s="12"/>
      <c r="H1340" s="12"/>
    </row>
    <row r="1341" spans="3:8" x14ac:dyDescent="0.2">
      <c r="C1341" s="16"/>
      <c r="D1341" s="12"/>
      <c r="E1341" s="12"/>
      <c r="F1341" s="12"/>
      <c r="G1341" s="12"/>
      <c r="H1341" s="12"/>
    </row>
    <row r="1342" spans="3:8" x14ac:dyDescent="0.2">
      <c r="C1342" s="16"/>
      <c r="D1342" s="12"/>
      <c r="E1342" s="12"/>
      <c r="F1342" s="12"/>
      <c r="G1342" s="12"/>
      <c r="H1342" s="12"/>
    </row>
    <row r="1343" spans="3:8" x14ac:dyDescent="0.2">
      <c r="C1343" s="16"/>
      <c r="D1343" s="12"/>
      <c r="E1343" s="12"/>
      <c r="F1343" s="12"/>
      <c r="G1343" s="12"/>
      <c r="H1343" s="12"/>
    </row>
    <row r="1344" spans="3:8" x14ac:dyDescent="0.2">
      <c r="C1344" s="16"/>
      <c r="D1344" s="12"/>
      <c r="E1344" s="12"/>
      <c r="F1344" s="12"/>
      <c r="G1344" s="12"/>
      <c r="H1344" s="12"/>
    </row>
    <row r="1345" spans="3:8" x14ac:dyDescent="0.2">
      <c r="C1345" s="16"/>
      <c r="D1345" s="12"/>
      <c r="E1345" s="12"/>
      <c r="F1345" s="12"/>
      <c r="G1345" s="12"/>
      <c r="H1345" s="12"/>
    </row>
    <row r="1346" spans="3:8" x14ac:dyDescent="0.2">
      <c r="C1346" s="16"/>
      <c r="D1346" s="12"/>
      <c r="E1346" s="12"/>
      <c r="F1346" s="12"/>
      <c r="G1346" s="12"/>
      <c r="H1346" s="12"/>
    </row>
    <row r="1347" spans="3:8" x14ac:dyDescent="0.2">
      <c r="C1347" s="16"/>
      <c r="D1347" s="12"/>
      <c r="E1347" s="12"/>
      <c r="F1347" s="12"/>
      <c r="G1347" s="12"/>
      <c r="H1347" s="12"/>
    </row>
    <row r="1348" spans="3:8" x14ac:dyDescent="0.2">
      <c r="C1348" s="16"/>
      <c r="D1348" s="12"/>
      <c r="E1348" s="12"/>
      <c r="F1348" s="12"/>
      <c r="G1348" s="12"/>
      <c r="H1348" s="12"/>
    </row>
    <row r="1349" spans="3:8" x14ac:dyDescent="0.2">
      <c r="C1349" s="16"/>
      <c r="D1349" s="12"/>
      <c r="E1349" s="12"/>
      <c r="F1349" s="12"/>
      <c r="G1349" s="12"/>
      <c r="H1349" s="12"/>
    </row>
    <row r="1350" spans="3:8" x14ac:dyDescent="0.2">
      <c r="C1350" s="16"/>
      <c r="D1350" s="12"/>
      <c r="E1350" s="12"/>
      <c r="F1350" s="12"/>
      <c r="G1350" s="12"/>
      <c r="H1350" s="12"/>
    </row>
    <row r="1351" spans="3:8" x14ac:dyDescent="0.2">
      <c r="C1351" s="16"/>
      <c r="D1351" s="12"/>
      <c r="E1351" s="12"/>
      <c r="F1351" s="12"/>
      <c r="G1351" s="12"/>
      <c r="H1351" s="12"/>
    </row>
    <row r="1352" spans="3:8" x14ac:dyDescent="0.2">
      <c r="C1352" s="16"/>
      <c r="D1352" s="12"/>
      <c r="E1352" s="12"/>
      <c r="F1352" s="12"/>
      <c r="G1352" s="12"/>
      <c r="H1352" s="12"/>
    </row>
    <row r="1353" spans="3:8" x14ac:dyDescent="0.2">
      <c r="C1353" s="16"/>
      <c r="D1353" s="12"/>
      <c r="E1353" s="12"/>
      <c r="F1353" s="12"/>
      <c r="G1353" s="12"/>
      <c r="H1353" s="12"/>
    </row>
    <row r="1354" spans="3:8" x14ac:dyDescent="0.2">
      <c r="C1354" s="16"/>
      <c r="D1354" s="12"/>
      <c r="E1354" s="12"/>
      <c r="F1354" s="12"/>
      <c r="G1354" s="12"/>
      <c r="H1354" s="12"/>
    </row>
    <row r="1355" spans="3:8" x14ac:dyDescent="0.2">
      <c r="C1355" s="16"/>
      <c r="D1355" s="12"/>
      <c r="E1355" s="12"/>
      <c r="F1355" s="12"/>
      <c r="G1355" s="12"/>
      <c r="H1355" s="12"/>
    </row>
    <row r="1356" spans="3:8" x14ac:dyDescent="0.2">
      <c r="C1356" s="16"/>
      <c r="D1356" s="12"/>
      <c r="E1356" s="12"/>
      <c r="F1356" s="12"/>
      <c r="G1356" s="12"/>
      <c r="H1356" s="12"/>
    </row>
    <row r="1357" spans="3:8" x14ac:dyDescent="0.2">
      <c r="C1357" s="16"/>
      <c r="D1357" s="12"/>
      <c r="E1357" s="12"/>
      <c r="F1357" s="12"/>
      <c r="G1357" s="12"/>
      <c r="H1357" s="12"/>
    </row>
    <row r="1358" spans="3:8" x14ac:dyDescent="0.2">
      <c r="C1358" s="16"/>
      <c r="D1358" s="12"/>
      <c r="E1358" s="12"/>
      <c r="F1358" s="12"/>
      <c r="G1358" s="12"/>
      <c r="H1358" s="12"/>
    </row>
    <row r="1359" spans="3:8" x14ac:dyDescent="0.2">
      <c r="C1359" s="16"/>
      <c r="D1359" s="12"/>
      <c r="E1359" s="12"/>
      <c r="F1359" s="12"/>
      <c r="G1359" s="12"/>
      <c r="H1359" s="12"/>
    </row>
    <row r="1360" spans="3:8" x14ac:dyDescent="0.2">
      <c r="C1360" s="16"/>
      <c r="D1360" s="12"/>
      <c r="E1360" s="12"/>
      <c r="F1360" s="12"/>
      <c r="G1360" s="12"/>
      <c r="H1360" s="12"/>
    </row>
    <row r="1361" spans="3:8" x14ac:dyDescent="0.2">
      <c r="C1361" s="16"/>
      <c r="D1361" s="12"/>
      <c r="E1361" s="12"/>
      <c r="F1361" s="12"/>
      <c r="G1361" s="12"/>
      <c r="H1361" s="12"/>
    </row>
    <row r="1362" spans="3:8" x14ac:dyDescent="0.2">
      <c r="C1362" s="16"/>
      <c r="D1362" s="12"/>
      <c r="E1362" s="12"/>
      <c r="F1362" s="12"/>
      <c r="G1362" s="12"/>
      <c r="H1362" s="12"/>
    </row>
    <row r="1363" spans="3:8" x14ac:dyDescent="0.2">
      <c r="C1363" s="16"/>
      <c r="D1363" s="12"/>
      <c r="E1363" s="12"/>
      <c r="F1363" s="12"/>
      <c r="G1363" s="12"/>
      <c r="H1363" s="12"/>
    </row>
    <row r="1364" spans="3:8" x14ac:dyDescent="0.2">
      <c r="C1364" s="16"/>
      <c r="D1364" s="12"/>
      <c r="E1364" s="12"/>
      <c r="F1364" s="12"/>
      <c r="G1364" s="12"/>
      <c r="H1364" s="12"/>
    </row>
    <row r="1365" spans="3:8" x14ac:dyDescent="0.2">
      <c r="C1365" s="16"/>
      <c r="D1365" s="12"/>
      <c r="E1365" s="12"/>
      <c r="F1365" s="12"/>
      <c r="G1365" s="12"/>
      <c r="H1365" s="12"/>
    </row>
    <row r="1366" spans="3:8" x14ac:dyDescent="0.2">
      <c r="C1366" s="16"/>
      <c r="D1366" s="12"/>
      <c r="E1366" s="12"/>
      <c r="F1366" s="12"/>
      <c r="G1366" s="12"/>
      <c r="H1366" s="12"/>
    </row>
    <row r="1367" spans="3:8" x14ac:dyDescent="0.2">
      <c r="C1367" s="16"/>
      <c r="D1367" s="12"/>
      <c r="E1367" s="12"/>
      <c r="F1367" s="12"/>
      <c r="G1367" s="12"/>
      <c r="H1367" s="12"/>
    </row>
    <row r="1368" spans="3:8" x14ac:dyDescent="0.2">
      <c r="C1368" s="16"/>
      <c r="D1368" s="12"/>
      <c r="E1368" s="12"/>
      <c r="F1368" s="12"/>
      <c r="G1368" s="12"/>
      <c r="H1368" s="12"/>
    </row>
    <row r="1369" spans="3:8" x14ac:dyDescent="0.2">
      <c r="C1369" s="16"/>
      <c r="D1369" s="12"/>
      <c r="E1369" s="12"/>
      <c r="F1369" s="12"/>
      <c r="G1369" s="12"/>
      <c r="H1369" s="12"/>
    </row>
    <row r="1370" spans="3:8" x14ac:dyDescent="0.2">
      <c r="C1370" s="16"/>
      <c r="D1370" s="12"/>
      <c r="E1370" s="12"/>
      <c r="F1370" s="12"/>
      <c r="G1370" s="12"/>
      <c r="H1370" s="12"/>
    </row>
    <row r="1371" spans="3:8" x14ac:dyDescent="0.2">
      <c r="C1371" s="16"/>
      <c r="D1371" s="12"/>
      <c r="E1371" s="12"/>
      <c r="F1371" s="12"/>
      <c r="G1371" s="12"/>
      <c r="H1371" s="12"/>
    </row>
    <row r="1372" spans="3:8" x14ac:dyDescent="0.2">
      <c r="C1372" s="16"/>
      <c r="D1372" s="12"/>
      <c r="E1372" s="12"/>
      <c r="F1372" s="12"/>
      <c r="G1372" s="12"/>
      <c r="H1372" s="12"/>
    </row>
    <row r="1373" spans="3:8" x14ac:dyDescent="0.2">
      <c r="C1373" s="16"/>
      <c r="D1373" s="12"/>
      <c r="E1373" s="12"/>
      <c r="F1373" s="12"/>
      <c r="G1373" s="12"/>
      <c r="H1373" s="12"/>
    </row>
    <row r="1374" spans="3:8" x14ac:dyDescent="0.2">
      <c r="C1374" s="16"/>
      <c r="D1374" s="12"/>
      <c r="E1374" s="12"/>
      <c r="F1374" s="12"/>
      <c r="G1374" s="12"/>
      <c r="H1374" s="12"/>
    </row>
    <row r="1375" spans="3:8" x14ac:dyDescent="0.2">
      <c r="C1375" s="16"/>
      <c r="D1375" s="12"/>
      <c r="E1375" s="12"/>
      <c r="F1375" s="12"/>
      <c r="G1375" s="12"/>
      <c r="H1375" s="12"/>
    </row>
    <row r="1376" spans="3:8" x14ac:dyDescent="0.2">
      <c r="C1376" s="16"/>
      <c r="D1376" s="12"/>
      <c r="E1376" s="12"/>
      <c r="F1376" s="12"/>
      <c r="G1376" s="12"/>
      <c r="H1376" s="12"/>
    </row>
    <row r="1377" spans="3:8" x14ac:dyDescent="0.2">
      <c r="C1377" s="16"/>
      <c r="D1377" s="12"/>
      <c r="E1377" s="12"/>
      <c r="F1377" s="12"/>
      <c r="G1377" s="12"/>
      <c r="H1377" s="12"/>
    </row>
    <row r="1378" spans="3:8" x14ac:dyDescent="0.2">
      <c r="C1378" s="16"/>
      <c r="D1378" s="12"/>
      <c r="E1378" s="12"/>
      <c r="F1378" s="12"/>
      <c r="G1378" s="12"/>
      <c r="H1378" s="12"/>
    </row>
    <row r="1379" spans="3:8" x14ac:dyDescent="0.2">
      <c r="C1379" s="16"/>
      <c r="D1379" s="12"/>
      <c r="E1379" s="12"/>
      <c r="F1379" s="12"/>
      <c r="G1379" s="12"/>
      <c r="H1379" s="12"/>
    </row>
    <row r="1380" spans="3:8" x14ac:dyDescent="0.2">
      <c r="C1380" s="16"/>
      <c r="D1380" s="12"/>
      <c r="E1380" s="12"/>
      <c r="F1380" s="12"/>
      <c r="G1380" s="12"/>
      <c r="H1380" s="12"/>
    </row>
    <row r="1381" spans="3:8" x14ac:dyDescent="0.2">
      <c r="C1381" s="16"/>
      <c r="D1381" s="12"/>
      <c r="E1381" s="12"/>
      <c r="F1381" s="12"/>
      <c r="G1381" s="12"/>
      <c r="H1381" s="12"/>
    </row>
    <row r="1382" spans="3:8" x14ac:dyDescent="0.2">
      <c r="C1382" s="16"/>
      <c r="D1382" s="12"/>
      <c r="E1382" s="12"/>
      <c r="F1382" s="12"/>
      <c r="G1382" s="12"/>
      <c r="H1382" s="12"/>
    </row>
    <row r="1383" spans="3:8" x14ac:dyDescent="0.2">
      <c r="C1383" s="16"/>
      <c r="D1383" s="12"/>
      <c r="E1383" s="12"/>
      <c r="F1383" s="12"/>
      <c r="G1383" s="12"/>
      <c r="H1383" s="12"/>
    </row>
    <row r="1384" spans="3:8" x14ac:dyDescent="0.2">
      <c r="C1384" s="16"/>
      <c r="D1384" s="12"/>
      <c r="E1384" s="12"/>
      <c r="F1384" s="12"/>
      <c r="G1384" s="12"/>
      <c r="H1384" s="12"/>
    </row>
    <row r="1385" spans="3:8" x14ac:dyDescent="0.2">
      <c r="C1385" s="16"/>
      <c r="D1385" s="12"/>
      <c r="E1385" s="12"/>
      <c r="F1385" s="12"/>
      <c r="G1385" s="12"/>
      <c r="H1385" s="12"/>
    </row>
    <row r="1386" spans="3:8" x14ac:dyDescent="0.2">
      <c r="C1386" s="16"/>
      <c r="D1386" s="12"/>
      <c r="E1386" s="12"/>
      <c r="F1386" s="12"/>
      <c r="G1386" s="12"/>
      <c r="H1386" s="12"/>
    </row>
    <row r="1387" spans="3:8" x14ac:dyDescent="0.2">
      <c r="C1387" s="16"/>
      <c r="D1387" s="12"/>
      <c r="E1387" s="12"/>
      <c r="F1387" s="12"/>
      <c r="G1387" s="12"/>
      <c r="H1387" s="12"/>
    </row>
    <row r="1388" spans="3:8" x14ac:dyDescent="0.2">
      <c r="C1388" s="16"/>
      <c r="D1388" s="12"/>
      <c r="E1388" s="12"/>
      <c r="F1388" s="12"/>
      <c r="G1388" s="12"/>
      <c r="H1388" s="12"/>
    </row>
    <row r="1389" spans="3:8" x14ac:dyDescent="0.2">
      <c r="C1389" s="16"/>
      <c r="D1389" s="12"/>
      <c r="E1389" s="12"/>
      <c r="F1389" s="12"/>
      <c r="G1389" s="12"/>
      <c r="H1389" s="12"/>
    </row>
    <row r="1390" spans="3:8" x14ac:dyDescent="0.2">
      <c r="C1390" s="16"/>
      <c r="D1390" s="12"/>
      <c r="E1390" s="12"/>
      <c r="F1390" s="12"/>
      <c r="G1390" s="12"/>
      <c r="H1390" s="12"/>
    </row>
    <row r="1391" spans="3:8" x14ac:dyDescent="0.2">
      <c r="C1391" s="16"/>
      <c r="D1391" s="12"/>
      <c r="E1391" s="12"/>
      <c r="F1391" s="12"/>
      <c r="G1391" s="12"/>
      <c r="H1391" s="12"/>
    </row>
    <row r="1392" spans="3:8" x14ac:dyDescent="0.2">
      <c r="C1392" s="16"/>
      <c r="D1392" s="12"/>
      <c r="E1392" s="12"/>
      <c r="F1392" s="12"/>
      <c r="G1392" s="12"/>
      <c r="H1392" s="12"/>
    </row>
    <row r="1393" spans="3:8" x14ac:dyDescent="0.2">
      <c r="C1393" s="16"/>
      <c r="D1393" s="12"/>
      <c r="E1393" s="12"/>
      <c r="F1393" s="12"/>
      <c r="G1393" s="12"/>
      <c r="H1393" s="12"/>
    </row>
    <row r="1394" spans="3:8" x14ac:dyDescent="0.2">
      <c r="C1394" s="16"/>
      <c r="D1394" s="12"/>
      <c r="E1394" s="12"/>
      <c r="F1394" s="12"/>
      <c r="G1394" s="12"/>
      <c r="H1394" s="12"/>
    </row>
    <row r="1395" spans="3:8" x14ac:dyDescent="0.2">
      <c r="C1395" s="16"/>
      <c r="D1395" s="12"/>
      <c r="E1395" s="12"/>
      <c r="F1395" s="12"/>
      <c r="G1395" s="12"/>
      <c r="H1395" s="12"/>
    </row>
    <row r="1396" spans="3:8" x14ac:dyDescent="0.2">
      <c r="C1396" s="16"/>
      <c r="D1396" s="12"/>
      <c r="E1396" s="12"/>
      <c r="F1396" s="12"/>
      <c r="G1396" s="12"/>
      <c r="H1396" s="12"/>
    </row>
    <row r="1397" spans="3:8" x14ac:dyDescent="0.2">
      <c r="C1397" s="16"/>
      <c r="D1397" s="12"/>
      <c r="E1397" s="12"/>
      <c r="F1397" s="12"/>
      <c r="G1397" s="12"/>
      <c r="H1397" s="12"/>
    </row>
    <row r="1398" spans="3:8" x14ac:dyDescent="0.2">
      <c r="C1398" s="16"/>
      <c r="D1398" s="12"/>
      <c r="E1398" s="12"/>
      <c r="F1398" s="12"/>
      <c r="G1398" s="12"/>
      <c r="H1398" s="12"/>
    </row>
    <row r="1399" spans="3:8" x14ac:dyDescent="0.2">
      <c r="C1399" s="16"/>
      <c r="D1399" s="12"/>
      <c r="E1399" s="12"/>
      <c r="F1399" s="12"/>
      <c r="G1399" s="12"/>
      <c r="H1399" s="12"/>
    </row>
  </sheetData>
  <sheetProtection algorithmName="SHA-512" hashValue="9amKQiROkDuyjRb1Yq+VOXz7WznRej2tVqB52gWqucCsVjMVvitCu+ANBHs5aWqeWlzLWg9A65gL9nua2PIP8w==" saltValue="JkB3BM28LvVPBjucF799KA==" spinCount="100000" sheet="1" objects="1" scenarios="1"/>
  <customSheetViews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120">
    <mergeCell ref="Q9:R9"/>
    <mergeCell ref="O9:P9"/>
    <mergeCell ref="C96:D96"/>
    <mergeCell ref="B35:C35"/>
    <mergeCell ref="C87:D87"/>
    <mergeCell ref="C34:D34"/>
    <mergeCell ref="G9:G10"/>
    <mergeCell ref="C20:D20"/>
    <mergeCell ref="B12:D12"/>
    <mergeCell ref="C14:D14"/>
    <mergeCell ref="C32:D32"/>
    <mergeCell ref="C31:D31"/>
    <mergeCell ref="B13:C13"/>
    <mergeCell ref="B11:D11"/>
    <mergeCell ref="C75:D75"/>
    <mergeCell ref="C26:D26"/>
    <mergeCell ref="B27:C27"/>
    <mergeCell ref="C28:D28"/>
    <mergeCell ref="C68:D68"/>
    <mergeCell ref="C33:D33"/>
    <mergeCell ref="C61:D61"/>
    <mergeCell ref="C54:D54"/>
    <mergeCell ref="C36:D36"/>
    <mergeCell ref="C63:D63"/>
    <mergeCell ref="C55:D55"/>
    <mergeCell ref="B62:C62"/>
    <mergeCell ref="C74:D74"/>
    <mergeCell ref="C160:D160"/>
    <mergeCell ref="C156:D156"/>
    <mergeCell ref="B99:C99"/>
    <mergeCell ref="B76:C76"/>
    <mergeCell ref="C83:D83"/>
    <mergeCell ref="C77:D77"/>
    <mergeCell ref="C153:D153"/>
    <mergeCell ref="B138:C138"/>
    <mergeCell ref="C137:D137"/>
    <mergeCell ref="C119:D119"/>
    <mergeCell ref="C98:D98"/>
    <mergeCell ref="C111:D111"/>
    <mergeCell ref="C100:D100"/>
    <mergeCell ref="C133:D133"/>
    <mergeCell ref="C126:D126"/>
    <mergeCell ref="C94:D94"/>
    <mergeCell ref="C122:D122"/>
    <mergeCell ref="C121:D121"/>
    <mergeCell ref="C118:D118"/>
    <mergeCell ref="B90:C90"/>
    <mergeCell ref="C84:D84"/>
    <mergeCell ref="C89:D89"/>
    <mergeCell ref="C86:D86"/>
    <mergeCell ref="B262:D262"/>
    <mergeCell ref="C260:D260"/>
    <mergeCell ref="C258:D258"/>
    <mergeCell ref="B259:D259"/>
    <mergeCell ref="B261:D261"/>
    <mergeCell ref="C255:D255"/>
    <mergeCell ref="C139:D139"/>
    <mergeCell ref="C151:D151"/>
    <mergeCell ref="C199:D199"/>
    <mergeCell ref="B230:C230"/>
    <mergeCell ref="C224:D224"/>
    <mergeCell ref="C164:D164"/>
    <mergeCell ref="C229:D229"/>
    <mergeCell ref="C214:D214"/>
    <mergeCell ref="C166:D166"/>
    <mergeCell ref="C188:D188"/>
    <mergeCell ref="C195:D195"/>
    <mergeCell ref="C168:D168"/>
    <mergeCell ref="C209:D209"/>
    <mergeCell ref="C190:D190"/>
    <mergeCell ref="C212:D212"/>
    <mergeCell ref="C211:D211"/>
    <mergeCell ref="C205:D205"/>
    <mergeCell ref="C233:D233"/>
    <mergeCell ref="C207:D207"/>
    <mergeCell ref="C197:D197"/>
    <mergeCell ref="C217:D217"/>
    <mergeCell ref="C231:D231"/>
    <mergeCell ref="C256:D256"/>
    <mergeCell ref="C254:D254"/>
    <mergeCell ref="C252:D252"/>
    <mergeCell ref="C242:D242"/>
    <mergeCell ref="C219:D219"/>
    <mergeCell ref="C220:D220"/>
    <mergeCell ref="C170:D170"/>
    <mergeCell ref="C174:D174"/>
    <mergeCell ref="C176:D176"/>
    <mergeCell ref="C182:D182"/>
    <mergeCell ref="C194:D194"/>
    <mergeCell ref="C203:D203"/>
    <mergeCell ref="C184:D184"/>
    <mergeCell ref="C173:D173"/>
    <mergeCell ref="C177:D177"/>
    <mergeCell ref="C186:D186"/>
    <mergeCell ref="C192:D192"/>
    <mergeCell ref="C180:D180"/>
    <mergeCell ref="C130:D130"/>
    <mergeCell ref="AH1:BA1"/>
    <mergeCell ref="A8:A10"/>
    <mergeCell ref="B6:BA6"/>
    <mergeCell ref="Y9:Y10"/>
    <mergeCell ref="I9:I10"/>
    <mergeCell ref="BA8:BA10"/>
    <mergeCell ref="AZ8:AZ10"/>
    <mergeCell ref="AR9:AR10"/>
    <mergeCell ref="AP9:AP10"/>
    <mergeCell ref="B8:D10"/>
    <mergeCell ref="AH9:AH10"/>
    <mergeCell ref="E8:E10"/>
    <mergeCell ref="J9:J10"/>
    <mergeCell ref="Z9:Z10"/>
    <mergeCell ref="AI9:AI10"/>
    <mergeCell ref="H9:H10"/>
    <mergeCell ref="X9:X10"/>
    <mergeCell ref="AG9:AG10"/>
    <mergeCell ref="AQ9:AQ10"/>
    <mergeCell ref="AS9:AS10"/>
    <mergeCell ref="F9:F10"/>
    <mergeCell ref="F8:AR8"/>
    <mergeCell ref="C91:D91"/>
  </mergeCells>
  <phoneticPr fontId="1" type="noConversion"/>
  <printOptions horizontalCentered="1"/>
  <pageMargins left="0.19685039370078741" right="0.11811023622047245" top="0.39370078740157483" bottom="0.35433070866141736" header="0.11811023622047245" footer="0.15748031496062992"/>
  <pageSetup paperSize="9" scale="55" orientation="portrait" horizontalDpi="300" verticalDpi="300" r:id="rId3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C1:U189"/>
  <sheetViews>
    <sheetView tabSelected="1" view="pageLayout" zoomScaleNormal="100" workbookViewId="0">
      <selection activeCell="D1" sqref="D1:I1"/>
    </sheetView>
  </sheetViews>
  <sheetFormatPr defaultRowHeight="12" outlineLevelRow="1" outlineLevelCol="1" x14ac:dyDescent="0.2"/>
  <cols>
    <col min="1" max="3" width="9.140625" style="26"/>
    <col min="4" max="4" width="1.42578125" style="83" customWidth="1"/>
    <col min="5" max="5" width="3" style="83" customWidth="1"/>
    <col min="6" max="6" width="9.140625" style="83" customWidth="1"/>
    <col min="7" max="7" width="40.7109375" style="83" customWidth="1"/>
    <col min="8" max="8" width="10.5703125" style="83" hidden="1" customWidth="1" outlineLevel="1"/>
    <col min="9" max="9" width="10" style="83" customWidth="1" collapsed="1"/>
    <col min="10" max="10" width="10" style="370" hidden="1" customWidth="1" outlineLevel="1"/>
    <col min="11" max="11" width="7.42578125" style="370" hidden="1" customWidth="1" outlineLevel="1"/>
    <col min="12" max="20" width="9.140625" style="371" hidden="1" customWidth="1" outlineLevel="1"/>
    <col min="21" max="21" width="9.140625" style="26" collapsed="1"/>
    <col min="22" max="16384" width="9.140625" style="26"/>
  </cols>
  <sheetData>
    <row r="1" spans="3:21" ht="16.5" x14ac:dyDescent="0.25">
      <c r="D1" s="488" t="s">
        <v>714</v>
      </c>
      <c r="E1" s="488"/>
      <c r="F1" s="488"/>
      <c r="G1" s="488"/>
      <c r="H1" s="488"/>
      <c r="I1" s="488"/>
      <c r="J1" s="482"/>
      <c r="K1" s="482"/>
      <c r="L1" s="483"/>
      <c r="M1" s="483"/>
      <c r="N1" s="483"/>
      <c r="O1" s="483"/>
      <c r="P1" s="483"/>
      <c r="Q1" s="483"/>
      <c r="R1" s="483"/>
      <c r="S1" s="483"/>
      <c r="T1" s="483"/>
      <c r="U1" s="484"/>
    </row>
    <row r="2" spans="3:21" ht="16.5" x14ac:dyDescent="0.25">
      <c r="D2" s="479"/>
      <c r="E2" s="479"/>
      <c r="F2" s="479"/>
      <c r="G2" s="479"/>
      <c r="H2" s="479"/>
      <c r="I2" s="480" t="s">
        <v>789</v>
      </c>
      <c r="J2" s="482"/>
      <c r="K2" s="482"/>
      <c r="L2" s="483"/>
      <c r="M2" s="483"/>
      <c r="N2" s="483"/>
      <c r="O2" s="483"/>
      <c r="P2" s="483"/>
      <c r="Q2" s="483"/>
      <c r="R2" s="483"/>
      <c r="S2" s="483"/>
      <c r="T2" s="483"/>
      <c r="U2" s="484"/>
    </row>
    <row r="3" spans="3:21" ht="16.5" x14ac:dyDescent="0.25">
      <c r="D3" s="479"/>
      <c r="E3" s="479"/>
      <c r="F3" s="479"/>
      <c r="G3" s="479"/>
      <c r="H3" s="479"/>
      <c r="I3" s="480" t="s">
        <v>790</v>
      </c>
      <c r="J3" s="482"/>
      <c r="K3" s="482"/>
      <c r="L3" s="483"/>
      <c r="M3" s="483"/>
      <c r="N3" s="483"/>
      <c r="O3" s="483"/>
      <c r="P3" s="483"/>
      <c r="Q3" s="483"/>
      <c r="R3" s="483"/>
      <c r="S3" s="483"/>
      <c r="T3" s="483"/>
      <c r="U3" s="484"/>
    </row>
    <row r="4" spans="3:21" x14ac:dyDescent="0.2">
      <c r="D4" s="485"/>
      <c r="E4" s="485"/>
      <c r="F4" s="485"/>
      <c r="G4" s="485"/>
      <c r="H4" s="485"/>
      <c r="I4" s="485"/>
      <c r="J4" s="482"/>
      <c r="K4" s="482"/>
      <c r="L4" s="483"/>
      <c r="M4" s="483"/>
      <c r="N4" s="483"/>
      <c r="O4" s="483"/>
      <c r="P4" s="483"/>
      <c r="Q4" s="483"/>
      <c r="R4" s="483"/>
      <c r="S4" s="483"/>
      <c r="T4" s="483"/>
      <c r="U4" s="484"/>
    </row>
    <row r="5" spans="3:21" x14ac:dyDescent="0.2">
      <c r="D5" s="485"/>
      <c r="E5" s="485"/>
      <c r="F5" s="485"/>
      <c r="G5" s="485"/>
      <c r="H5" s="485"/>
      <c r="I5" s="485"/>
      <c r="J5" s="482"/>
      <c r="K5" s="482"/>
      <c r="L5" s="483"/>
      <c r="M5" s="483"/>
      <c r="N5" s="483"/>
      <c r="O5" s="483"/>
      <c r="P5" s="483"/>
      <c r="Q5" s="483"/>
      <c r="R5" s="483"/>
      <c r="S5" s="483"/>
      <c r="T5" s="483"/>
      <c r="U5" s="484"/>
    </row>
    <row r="6" spans="3:21" ht="18" customHeight="1" x14ac:dyDescent="0.35">
      <c r="C6" s="594" t="s">
        <v>523</v>
      </c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</row>
    <row r="7" spans="3:21" ht="12.75" thickBot="1" x14ac:dyDescent="0.25">
      <c r="D7" s="26"/>
      <c r="E7" s="26"/>
      <c r="F7" s="26"/>
      <c r="G7" s="26"/>
      <c r="H7" s="26"/>
      <c r="I7" s="26"/>
      <c r="J7" s="371"/>
      <c r="K7" s="371"/>
    </row>
    <row r="8" spans="3:21" ht="36" x14ac:dyDescent="0.2">
      <c r="D8" s="595" t="s">
        <v>28</v>
      </c>
      <c r="E8" s="596"/>
      <c r="F8" s="596"/>
      <c r="G8" s="185" t="s">
        <v>29</v>
      </c>
      <c r="H8" s="415" t="s">
        <v>748</v>
      </c>
      <c r="I8" s="257" t="s">
        <v>704</v>
      </c>
      <c r="J8" s="372" t="s">
        <v>726</v>
      </c>
      <c r="K8" s="468" t="s">
        <v>730</v>
      </c>
      <c r="L8" s="468" t="s">
        <v>741</v>
      </c>
      <c r="M8" s="468" t="s">
        <v>767</v>
      </c>
      <c r="N8" s="468" t="s">
        <v>785</v>
      </c>
      <c r="O8" s="469" t="s">
        <v>788</v>
      </c>
      <c r="P8" s="373"/>
      <c r="Q8" s="373"/>
      <c r="R8" s="373"/>
      <c r="S8" s="373"/>
      <c r="T8" s="373"/>
    </row>
    <row r="9" spans="3:21" ht="10.5" customHeight="1" thickBot="1" x14ac:dyDescent="0.25">
      <c r="D9" s="597">
        <v>1</v>
      </c>
      <c r="E9" s="598"/>
      <c r="F9" s="599"/>
      <c r="G9" s="87">
        <v>2</v>
      </c>
      <c r="H9" s="385">
        <v>7</v>
      </c>
      <c r="I9" s="365">
        <v>7</v>
      </c>
      <c r="J9" s="374"/>
      <c r="K9" s="375"/>
      <c r="L9" s="375"/>
      <c r="M9" s="375"/>
      <c r="N9" s="375"/>
      <c r="O9" s="375"/>
      <c r="P9" s="375"/>
      <c r="Q9" s="375"/>
      <c r="R9" s="375"/>
      <c r="S9" s="375"/>
      <c r="T9" s="375"/>
    </row>
    <row r="10" spans="3:21" s="186" customFormat="1" ht="12.75" customHeight="1" thickTop="1" x14ac:dyDescent="0.2">
      <c r="D10" s="600" t="s">
        <v>133</v>
      </c>
      <c r="E10" s="601"/>
      <c r="F10" s="601"/>
      <c r="G10" s="602"/>
      <c r="H10" s="386">
        <f t="shared" ref="H10:T10" si="0">SUM(H118,H120,H146)</f>
        <v>109320788</v>
      </c>
      <c r="I10" s="366">
        <f>SUM(I118,I120,I146)</f>
        <v>111579032</v>
      </c>
      <c r="J10" s="367">
        <f t="shared" si="0"/>
        <v>2258244</v>
      </c>
      <c r="K10" s="368">
        <f t="shared" si="0"/>
        <v>42815</v>
      </c>
      <c r="L10" s="368">
        <f t="shared" si="0"/>
        <v>1686405</v>
      </c>
      <c r="M10" s="368">
        <f t="shared" si="0"/>
        <v>451346</v>
      </c>
      <c r="N10" s="368">
        <f t="shared" si="0"/>
        <v>77678</v>
      </c>
      <c r="O10" s="368">
        <f t="shared" si="0"/>
        <v>0</v>
      </c>
      <c r="P10" s="368">
        <f t="shared" si="0"/>
        <v>0</v>
      </c>
      <c r="Q10" s="368">
        <f t="shared" si="0"/>
        <v>0</v>
      </c>
      <c r="R10" s="368">
        <f t="shared" si="0"/>
        <v>0</v>
      </c>
      <c r="S10" s="368">
        <f t="shared" si="0"/>
        <v>0</v>
      </c>
      <c r="T10" s="369">
        <f t="shared" si="0"/>
        <v>0</v>
      </c>
    </row>
    <row r="11" spans="3:21" s="186" customFormat="1" x14ac:dyDescent="0.2">
      <c r="D11" s="27"/>
      <c r="E11" s="28"/>
      <c r="F11" s="29"/>
      <c r="G11" s="30"/>
      <c r="H11" s="31"/>
      <c r="I11" s="31"/>
      <c r="J11" s="376"/>
      <c r="K11" s="377"/>
      <c r="L11" s="377"/>
      <c r="M11" s="377"/>
      <c r="N11" s="377"/>
      <c r="O11" s="377"/>
      <c r="P11" s="377"/>
      <c r="Q11" s="377"/>
      <c r="R11" s="377"/>
      <c r="S11" s="377"/>
      <c r="T11" s="377"/>
    </row>
    <row r="12" spans="3:21" s="187" customFormat="1" x14ac:dyDescent="0.2">
      <c r="D12" s="576" t="s">
        <v>30</v>
      </c>
      <c r="E12" s="577"/>
      <c r="F12" s="577"/>
      <c r="G12" s="32" t="s">
        <v>31</v>
      </c>
      <c r="H12" s="33">
        <f t="shared" ref="H12:T13" si="1">H13</f>
        <v>42254761</v>
      </c>
      <c r="I12" s="33">
        <f t="shared" si="1"/>
        <v>42254761</v>
      </c>
      <c r="J12" s="326">
        <f t="shared" si="1"/>
        <v>0</v>
      </c>
      <c r="K12" s="327">
        <f t="shared" si="1"/>
        <v>0</v>
      </c>
      <c r="L12" s="327">
        <f t="shared" si="1"/>
        <v>0</v>
      </c>
      <c r="M12" s="327">
        <f t="shared" si="1"/>
        <v>0</v>
      </c>
      <c r="N12" s="327">
        <f t="shared" si="1"/>
        <v>0</v>
      </c>
      <c r="O12" s="327">
        <f t="shared" si="1"/>
        <v>0</v>
      </c>
      <c r="P12" s="327">
        <f t="shared" si="1"/>
        <v>0</v>
      </c>
      <c r="Q12" s="327">
        <f t="shared" si="1"/>
        <v>0</v>
      </c>
      <c r="R12" s="327">
        <f t="shared" si="1"/>
        <v>0</v>
      </c>
      <c r="S12" s="327">
        <f t="shared" si="1"/>
        <v>0</v>
      </c>
      <c r="T12" s="328">
        <f t="shared" si="1"/>
        <v>0</v>
      </c>
    </row>
    <row r="13" spans="3:21" s="186" customFormat="1" x14ac:dyDescent="0.2">
      <c r="D13" s="34"/>
      <c r="E13" s="568" t="s">
        <v>32</v>
      </c>
      <c r="F13" s="568"/>
      <c r="G13" s="35" t="s">
        <v>33</v>
      </c>
      <c r="H13" s="36">
        <f t="shared" si="1"/>
        <v>42254761</v>
      </c>
      <c r="I13" s="36">
        <f t="shared" si="1"/>
        <v>42254761</v>
      </c>
      <c r="J13" s="329">
        <f t="shared" si="1"/>
        <v>0</v>
      </c>
      <c r="K13" s="330">
        <f t="shared" si="1"/>
        <v>0</v>
      </c>
      <c r="L13" s="330">
        <f t="shared" si="1"/>
        <v>0</v>
      </c>
      <c r="M13" s="330">
        <f t="shared" si="1"/>
        <v>0</v>
      </c>
      <c r="N13" s="330">
        <f t="shared" si="1"/>
        <v>0</v>
      </c>
      <c r="O13" s="330">
        <f t="shared" si="1"/>
        <v>0</v>
      </c>
      <c r="P13" s="330">
        <f t="shared" si="1"/>
        <v>0</v>
      </c>
      <c r="Q13" s="330">
        <f t="shared" si="1"/>
        <v>0</v>
      </c>
      <c r="R13" s="330">
        <f t="shared" si="1"/>
        <v>0</v>
      </c>
      <c r="S13" s="330">
        <f t="shared" si="1"/>
        <v>0</v>
      </c>
      <c r="T13" s="331">
        <f t="shared" si="1"/>
        <v>0</v>
      </c>
    </row>
    <row r="14" spans="3:21" x14ac:dyDescent="0.2">
      <c r="D14" s="37"/>
      <c r="E14" s="580" t="s">
        <v>34</v>
      </c>
      <c r="F14" s="580"/>
      <c r="G14" s="38" t="s">
        <v>35</v>
      </c>
      <c r="H14" s="387">
        <f t="shared" ref="H14:T14" si="2">SUM(H15:H16)</f>
        <v>42254761</v>
      </c>
      <c r="I14" s="39">
        <f t="shared" si="2"/>
        <v>42254761</v>
      </c>
      <c r="J14" s="332">
        <f t="shared" si="2"/>
        <v>0</v>
      </c>
      <c r="K14" s="333">
        <f t="shared" si="2"/>
        <v>0</v>
      </c>
      <c r="L14" s="333">
        <f t="shared" si="2"/>
        <v>0</v>
      </c>
      <c r="M14" s="333">
        <f t="shared" si="2"/>
        <v>0</v>
      </c>
      <c r="N14" s="333">
        <f t="shared" si="2"/>
        <v>0</v>
      </c>
      <c r="O14" s="333">
        <f t="shared" si="2"/>
        <v>0</v>
      </c>
      <c r="P14" s="333">
        <f t="shared" si="2"/>
        <v>0</v>
      </c>
      <c r="Q14" s="333">
        <f t="shared" si="2"/>
        <v>0</v>
      </c>
      <c r="R14" s="333">
        <f t="shared" si="2"/>
        <v>0</v>
      </c>
      <c r="S14" s="333">
        <f t="shared" si="2"/>
        <v>0</v>
      </c>
      <c r="T14" s="334">
        <f t="shared" si="2"/>
        <v>0</v>
      </c>
    </row>
    <row r="15" spans="3:21" ht="24" x14ac:dyDescent="0.2">
      <c r="D15" s="40"/>
      <c r="E15" s="592" t="s">
        <v>36</v>
      </c>
      <c r="F15" s="592"/>
      <c r="G15" s="41" t="s">
        <v>175</v>
      </c>
      <c r="H15" s="388">
        <f>205965</f>
        <v>205965</v>
      </c>
      <c r="I15" s="42">
        <f>H15+J15</f>
        <v>205965</v>
      </c>
      <c r="J15" s="344">
        <f>SUM(K15:T15)</f>
        <v>0</v>
      </c>
      <c r="K15" s="278"/>
      <c r="L15" s="278"/>
      <c r="M15" s="278"/>
      <c r="N15" s="278"/>
      <c r="O15" s="278"/>
      <c r="P15" s="278"/>
      <c r="Q15" s="278"/>
      <c r="R15" s="278"/>
      <c r="S15" s="278"/>
      <c r="T15" s="278"/>
    </row>
    <row r="16" spans="3:21" ht="24" x14ac:dyDescent="0.2">
      <c r="D16" s="43"/>
      <c r="E16" s="593" t="s">
        <v>37</v>
      </c>
      <c r="F16" s="593"/>
      <c r="G16" s="44" t="s">
        <v>510</v>
      </c>
      <c r="H16" s="389">
        <f>42048796</f>
        <v>42048796</v>
      </c>
      <c r="I16" s="45">
        <f>H16+J16</f>
        <v>42048796</v>
      </c>
      <c r="J16" s="344">
        <f>SUM(K16:T16)</f>
        <v>0</v>
      </c>
      <c r="K16" s="278"/>
      <c r="L16" s="278"/>
      <c r="M16" s="278"/>
      <c r="N16" s="278"/>
      <c r="O16" s="278"/>
      <c r="P16" s="278"/>
      <c r="Q16" s="278"/>
      <c r="R16" s="278"/>
      <c r="S16" s="278"/>
      <c r="T16" s="278"/>
    </row>
    <row r="17" spans="4:20" s="187" customFormat="1" x14ac:dyDescent="0.2">
      <c r="D17" s="576" t="s">
        <v>38</v>
      </c>
      <c r="E17" s="577"/>
      <c r="F17" s="577"/>
      <c r="G17" s="32" t="s">
        <v>39</v>
      </c>
      <c r="H17" s="33">
        <f t="shared" ref="H17:T17" si="3">SUM(H18)</f>
        <v>8371815</v>
      </c>
      <c r="I17" s="46">
        <f t="shared" si="3"/>
        <v>8371815</v>
      </c>
      <c r="J17" s="335">
        <f t="shared" si="3"/>
        <v>0</v>
      </c>
      <c r="K17" s="336">
        <f t="shared" si="3"/>
        <v>0</v>
      </c>
      <c r="L17" s="336">
        <f t="shared" si="3"/>
        <v>0</v>
      </c>
      <c r="M17" s="336">
        <f t="shared" si="3"/>
        <v>0</v>
      </c>
      <c r="N17" s="336">
        <f t="shared" si="3"/>
        <v>0</v>
      </c>
      <c r="O17" s="336">
        <f t="shared" si="3"/>
        <v>0</v>
      </c>
      <c r="P17" s="336">
        <f t="shared" si="3"/>
        <v>0</v>
      </c>
      <c r="Q17" s="336">
        <f t="shared" si="3"/>
        <v>0</v>
      </c>
      <c r="R17" s="336">
        <f t="shared" si="3"/>
        <v>0</v>
      </c>
      <c r="S17" s="336">
        <f t="shared" si="3"/>
        <v>0</v>
      </c>
      <c r="T17" s="337">
        <f t="shared" si="3"/>
        <v>0</v>
      </c>
    </row>
    <row r="18" spans="4:20" s="186" customFormat="1" x14ac:dyDescent="0.2">
      <c r="D18" s="34"/>
      <c r="E18" s="568" t="s">
        <v>40</v>
      </c>
      <c r="F18" s="568"/>
      <c r="G18" s="35" t="s">
        <v>41</v>
      </c>
      <c r="H18" s="36">
        <f t="shared" ref="H18:T18" si="4">SUM(H19,H22)</f>
        <v>8371815</v>
      </c>
      <c r="I18" s="47">
        <f t="shared" si="4"/>
        <v>8371815</v>
      </c>
      <c r="J18" s="338">
        <f t="shared" si="4"/>
        <v>0</v>
      </c>
      <c r="K18" s="339">
        <f t="shared" si="4"/>
        <v>0</v>
      </c>
      <c r="L18" s="339">
        <f t="shared" si="4"/>
        <v>0</v>
      </c>
      <c r="M18" s="339">
        <f t="shared" si="4"/>
        <v>0</v>
      </c>
      <c r="N18" s="339">
        <f t="shared" si="4"/>
        <v>0</v>
      </c>
      <c r="O18" s="339">
        <f t="shared" si="4"/>
        <v>0</v>
      </c>
      <c r="P18" s="339">
        <f t="shared" si="4"/>
        <v>0</v>
      </c>
      <c r="Q18" s="339">
        <f t="shared" si="4"/>
        <v>0</v>
      </c>
      <c r="R18" s="339">
        <f t="shared" si="4"/>
        <v>0</v>
      </c>
      <c r="S18" s="339">
        <f t="shared" si="4"/>
        <v>0</v>
      </c>
      <c r="T18" s="340">
        <f t="shared" si="4"/>
        <v>0</v>
      </c>
    </row>
    <row r="19" spans="4:20" x14ac:dyDescent="0.2">
      <c r="D19" s="48"/>
      <c r="E19" s="570" t="s">
        <v>226</v>
      </c>
      <c r="F19" s="570"/>
      <c r="G19" s="49" t="s">
        <v>225</v>
      </c>
      <c r="H19" s="390">
        <f t="shared" ref="H19" si="5">SUM(H20:H21)</f>
        <v>4643309</v>
      </c>
      <c r="I19" s="50">
        <f t="shared" ref="I19:T19" si="6">SUM(I20:I21)</f>
        <v>4643309</v>
      </c>
      <c r="J19" s="341">
        <f t="shared" si="6"/>
        <v>0</v>
      </c>
      <c r="K19" s="342">
        <f t="shared" si="6"/>
        <v>0</v>
      </c>
      <c r="L19" s="342">
        <f t="shared" si="6"/>
        <v>0</v>
      </c>
      <c r="M19" s="342">
        <f t="shared" si="6"/>
        <v>0</v>
      </c>
      <c r="N19" s="342">
        <f t="shared" si="6"/>
        <v>0</v>
      </c>
      <c r="O19" s="342">
        <f t="shared" si="6"/>
        <v>0</v>
      </c>
      <c r="P19" s="342">
        <f t="shared" si="6"/>
        <v>0</v>
      </c>
      <c r="Q19" s="342">
        <f t="shared" si="6"/>
        <v>0</v>
      </c>
      <c r="R19" s="342">
        <f t="shared" si="6"/>
        <v>0</v>
      </c>
      <c r="S19" s="342">
        <f t="shared" si="6"/>
        <v>0</v>
      </c>
      <c r="T19" s="343">
        <f t="shared" si="6"/>
        <v>0</v>
      </c>
    </row>
    <row r="20" spans="4:20" ht="24" x14ac:dyDescent="0.2">
      <c r="D20" s="40"/>
      <c r="E20" s="592" t="s">
        <v>42</v>
      </c>
      <c r="F20" s="592"/>
      <c r="G20" s="41" t="s">
        <v>43</v>
      </c>
      <c r="H20" s="388">
        <f>4143309</f>
        <v>4143309</v>
      </c>
      <c r="I20" s="42">
        <f t="shared" ref="I20:I21" si="7">H20+J20</f>
        <v>4143309</v>
      </c>
      <c r="J20" s="344">
        <f>SUM(K20:T20)</f>
        <v>0</v>
      </c>
      <c r="K20" s="278"/>
      <c r="L20" s="278"/>
      <c r="M20" s="278"/>
      <c r="N20" s="278"/>
      <c r="O20" s="278"/>
      <c r="P20" s="278"/>
      <c r="Q20" s="278"/>
      <c r="R20" s="278"/>
      <c r="S20" s="278"/>
      <c r="T20" s="278"/>
    </row>
    <row r="21" spans="4:20" ht="24" x14ac:dyDescent="0.2">
      <c r="D21" s="43"/>
      <c r="E21" s="564" t="s">
        <v>44</v>
      </c>
      <c r="F21" s="564"/>
      <c r="G21" s="44" t="s">
        <v>45</v>
      </c>
      <c r="H21" s="389">
        <f>500000</f>
        <v>500000</v>
      </c>
      <c r="I21" s="45">
        <f t="shared" si="7"/>
        <v>500000</v>
      </c>
      <c r="J21" s="344">
        <f>SUM(K21:T21)</f>
        <v>0</v>
      </c>
      <c r="K21" s="278"/>
      <c r="L21" s="278"/>
      <c r="M21" s="278"/>
      <c r="N21" s="278"/>
      <c r="O21" s="278"/>
      <c r="P21" s="278"/>
      <c r="Q21" s="278"/>
      <c r="R21" s="278"/>
      <c r="S21" s="278"/>
      <c r="T21" s="278"/>
    </row>
    <row r="22" spans="4:20" x14ac:dyDescent="0.2">
      <c r="D22" s="48"/>
      <c r="E22" s="570" t="s">
        <v>46</v>
      </c>
      <c r="F22" s="570"/>
      <c r="G22" s="49" t="s">
        <v>176</v>
      </c>
      <c r="H22" s="390">
        <f>SUM(H23:H24)</f>
        <v>3728506</v>
      </c>
      <c r="I22" s="50">
        <f t="shared" ref="I22:T22" si="8">SUM(I23:I24)</f>
        <v>3728506</v>
      </c>
      <c r="J22" s="341">
        <f t="shared" si="8"/>
        <v>0</v>
      </c>
      <c r="K22" s="342">
        <f t="shared" si="8"/>
        <v>0</v>
      </c>
      <c r="L22" s="342">
        <f t="shared" si="8"/>
        <v>0</v>
      </c>
      <c r="M22" s="342">
        <f t="shared" si="8"/>
        <v>0</v>
      </c>
      <c r="N22" s="342">
        <f t="shared" si="8"/>
        <v>0</v>
      </c>
      <c r="O22" s="342">
        <f t="shared" si="8"/>
        <v>0</v>
      </c>
      <c r="P22" s="342">
        <f t="shared" si="8"/>
        <v>0</v>
      </c>
      <c r="Q22" s="342">
        <f t="shared" si="8"/>
        <v>0</v>
      </c>
      <c r="R22" s="342">
        <f t="shared" si="8"/>
        <v>0</v>
      </c>
      <c r="S22" s="342">
        <f t="shared" si="8"/>
        <v>0</v>
      </c>
      <c r="T22" s="343">
        <f t="shared" si="8"/>
        <v>0</v>
      </c>
    </row>
    <row r="23" spans="4:20" ht="24" x14ac:dyDescent="0.2">
      <c r="D23" s="40"/>
      <c r="E23" s="591" t="s">
        <v>47</v>
      </c>
      <c r="F23" s="591"/>
      <c r="G23" s="41" t="s">
        <v>187</v>
      </c>
      <c r="H23" s="388">
        <f>3428506</f>
        <v>3428506</v>
      </c>
      <c r="I23" s="42">
        <f t="shared" ref="I23:I24" si="9">H23+J23</f>
        <v>3428506</v>
      </c>
      <c r="J23" s="345">
        <f>SUM(K23:T23)</f>
        <v>0</v>
      </c>
      <c r="K23" s="325"/>
      <c r="L23" s="278"/>
      <c r="M23" s="278"/>
      <c r="N23" s="278"/>
      <c r="O23" s="278"/>
      <c r="P23" s="278"/>
      <c r="Q23" s="278"/>
      <c r="R23" s="278"/>
      <c r="S23" s="278"/>
      <c r="T23" s="278"/>
    </row>
    <row r="24" spans="4:20" ht="24" x14ac:dyDescent="0.2">
      <c r="D24" s="43"/>
      <c r="E24" s="564" t="s">
        <v>48</v>
      </c>
      <c r="F24" s="564"/>
      <c r="G24" s="44" t="s">
        <v>188</v>
      </c>
      <c r="H24" s="389">
        <f>300000</f>
        <v>300000</v>
      </c>
      <c r="I24" s="45">
        <f t="shared" si="9"/>
        <v>300000</v>
      </c>
      <c r="J24" s="344">
        <f>SUM(K24:T24)</f>
        <v>0</v>
      </c>
      <c r="K24" s="278"/>
      <c r="L24" s="278"/>
      <c r="M24" s="278"/>
      <c r="N24" s="278"/>
      <c r="O24" s="278"/>
      <c r="P24" s="278"/>
      <c r="Q24" s="278"/>
      <c r="R24" s="278"/>
      <c r="S24" s="278"/>
      <c r="T24" s="278"/>
    </row>
    <row r="25" spans="4:20" s="187" customFormat="1" x14ac:dyDescent="0.2">
      <c r="D25" s="576" t="s">
        <v>49</v>
      </c>
      <c r="E25" s="577"/>
      <c r="F25" s="577"/>
      <c r="G25" s="32" t="s">
        <v>50</v>
      </c>
      <c r="H25" s="33">
        <f t="shared" ref="H25:T25" si="10">SUM(H26,H28)</f>
        <v>272473</v>
      </c>
      <c r="I25" s="46">
        <f t="shared" si="10"/>
        <v>272473</v>
      </c>
      <c r="J25" s="335">
        <f t="shared" si="10"/>
        <v>0</v>
      </c>
      <c r="K25" s="336">
        <f t="shared" si="10"/>
        <v>0</v>
      </c>
      <c r="L25" s="336">
        <f t="shared" si="10"/>
        <v>0</v>
      </c>
      <c r="M25" s="336">
        <f t="shared" si="10"/>
        <v>0</v>
      </c>
      <c r="N25" s="336">
        <f t="shared" si="10"/>
        <v>0</v>
      </c>
      <c r="O25" s="336">
        <f t="shared" si="10"/>
        <v>0</v>
      </c>
      <c r="P25" s="336">
        <f t="shared" si="10"/>
        <v>0</v>
      </c>
      <c r="Q25" s="336">
        <f t="shared" si="10"/>
        <v>0</v>
      </c>
      <c r="R25" s="336">
        <f t="shared" si="10"/>
        <v>0</v>
      </c>
      <c r="S25" s="336">
        <f t="shared" si="10"/>
        <v>0</v>
      </c>
      <c r="T25" s="337">
        <f t="shared" si="10"/>
        <v>0</v>
      </c>
    </row>
    <row r="26" spans="4:20" s="186" customFormat="1" ht="24" x14ac:dyDescent="0.2">
      <c r="D26" s="34"/>
      <c r="E26" s="568" t="s">
        <v>51</v>
      </c>
      <c r="F26" s="568"/>
      <c r="G26" s="51" t="s">
        <v>52</v>
      </c>
      <c r="H26" s="36">
        <f t="shared" ref="H26:T26" si="11">H27</f>
        <v>200200</v>
      </c>
      <c r="I26" s="47">
        <f t="shared" si="11"/>
        <v>200200</v>
      </c>
      <c r="J26" s="338">
        <f t="shared" si="11"/>
        <v>0</v>
      </c>
      <c r="K26" s="339">
        <f t="shared" si="11"/>
        <v>0</v>
      </c>
      <c r="L26" s="339">
        <f t="shared" si="11"/>
        <v>0</v>
      </c>
      <c r="M26" s="339">
        <f t="shared" si="11"/>
        <v>0</v>
      </c>
      <c r="N26" s="339">
        <f t="shared" si="11"/>
        <v>0</v>
      </c>
      <c r="O26" s="339">
        <f t="shared" si="11"/>
        <v>0</v>
      </c>
      <c r="P26" s="339">
        <f t="shared" si="11"/>
        <v>0</v>
      </c>
      <c r="Q26" s="339">
        <f t="shared" si="11"/>
        <v>0</v>
      </c>
      <c r="R26" s="339">
        <f t="shared" si="11"/>
        <v>0</v>
      </c>
      <c r="S26" s="339">
        <f t="shared" si="11"/>
        <v>0</v>
      </c>
      <c r="T26" s="340">
        <f t="shared" si="11"/>
        <v>0</v>
      </c>
    </row>
    <row r="27" spans="4:20" x14ac:dyDescent="0.2">
      <c r="D27" s="52"/>
      <c r="E27" s="587" t="s">
        <v>53</v>
      </c>
      <c r="F27" s="587"/>
      <c r="G27" s="53" t="s">
        <v>54</v>
      </c>
      <c r="H27" s="391">
        <f>200200</f>
        <v>200200</v>
      </c>
      <c r="I27" s="54">
        <f>H27+J27</f>
        <v>200200</v>
      </c>
      <c r="J27" s="344">
        <f>SUM(K27:T27)</f>
        <v>0</v>
      </c>
      <c r="K27" s="278"/>
      <c r="L27" s="278"/>
      <c r="M27" s="278"/>
      <c r="N27" s="278"/>
      <c r="O27" s="278"/>
      <c r="P27" s="278"/>
      <c r="Q27" s="278"/>
      <c r="R27" s="278"/>
      <c r="S27" s="278"/>
      <c r="T27" s="278"/>
    </row>
    <row r="28" spans="4:20" s="186" customFormat="1" ht="24" x14ac:dyDescent="0.2">
      <c r="D28" s="34"/>
      <c r="E28" s="589" t="s">
        <v>55</v>
      </c>
      <c r="F28" s="590"/>
      <c r="G28" s="55" t="s">
        <v>56</v>
      </c>
      <c r="H28" s="392">
        <f t="shared" ref="H28:T29" si="12">SUM(H29)</f>
        <v>72273</v>
      </c>
      <c r="I28" s="47">
        <f t="shared" si="12"/>
        <v>72273</v>
      </c>
      <c r="J28" s="338">
        <f t="shared" si="12"/>
        <v>0</v>
      </c>
      <c r="K28" s="339">
        <f t="shared" si="12"/>
        <v>0</v>
      </c>
      <c r="L28" s="339">
        <f t="shared" si="12"/>
        <v>0</v>
      </c>
      <c r="M28" s="339">
        <f t="shared" si="12"/>
        <v>0</v>
      </c>
      <c r="N28" s="339">
        <f t="shared" si="12"/>
        <v>0</v>
      </c>
      <c r="O28" s="339">
        <f t="shared" si="12"/>
        <v>0</v>
      </c>
      <c r="P28" s="339">
        <f t="shared" si="12"/>
        <v>0</v>
      </c>
      <c r="Q28" s="339">
        <f t="shared" si="12"/>
        <v>0</v>
      </c>
      <c r="R28" s="339">
        <f t="shared" si="12"/>
        <v>0</v>
      </c>
      <c r="S28" s="339">
        <f t="shared" si="12"/>
        <v>0</v>
      </c>
      <c r="T28" s="340">
        <f t="shared" si="12"/>
        <v>0</v>
      </c>
    </row>
    <row r="29" spans="4:20" x14ac:dyDescent="0.2">
      <c r="D29" s="52"/>
      <c r="E29" s="546" t="s">
        <v>57</v>
      </c>
      <c r="F29" s="547"/>
      <c r="G29" s="57" t="s">
        <v>58</v>
      </c>
      <c r="H29" s="393">
        <f>SUM(H30)</f>
        <v>72273</v>
      </c>
      <c r="I29" s="50">
        <f>SUM(I30)</f>
        <v>72273</v>
      </c>
      <c r="J29" s="341">
        <f>SUM(J30)</f>
        <v>0</v>
      </c>
      <c r="K29" s="342">
        <f t="shared" si="12"/>
        <v>0</v>
      </c>
      <c r="L29" s="342">
        <f t="shared" si="12"/>
        <v>0</v>
      </c>
      <c r="M29" s="342">
        <f t="shared" si="12"/>
        <v>0</v>
      </c>
      <c r="N29" s="342">
        <f t="shared" si="12"/>
        <v>0</v>
      </c>
      <c r="O29" s="342">
        <f t="shared" si="12"/>
        <v>0</v>
      </c>
      <c r="P29" s="342">
        <f t="shared" si="12"/>
        <v>0</v>
      </c>
      <c r="Q29" s="342">
        <f t="shared" si="12"/>
        <v>0</v>
      </c>
      <c r="R29" s="342">
        <f t="shared" si="12"/>
        <v>0</v>
      </c>
      <c r="S29" s="342">
        <f t="shared" si="12"/>
        <v>0</v>
      </c>
      <c r="T29" s="343">
        <f t="shared" si="12"/>
        <v>0</v>
      </c>
    </row>
    <row r="30" spans="4:20" ht="24" x14ac:dyDescent="0.2">
      <c r="D30" s="52"/>
      <c r="E30" s="465"/>
      <c r="F30" s="210" t="s">
        <v>539</v>
      </c>
      <c r="G30" s="137" t="s">
        <v>540</v>
      </c>
      <c r="H30" s="394">
        <f>72273</f>
        <v>72273</v>
      </c>
      <c r="I30" s="54">
        <f>H30+J30</f>
        <v>72273</v>
      </c>
      <c r="J30" s="344">
        <f>SUM(K30:T30)</f>
        <v>0</v>
      </c>
      <c r="K30" s="278"/>
      <c r="L30" s="278"/>
      <c r="M30" s="278"/>
      <c r="N30" s="278"/>
      <c r="O30" s="278"/>
      <c r="P30" s="278"/>
      <c r="Q30" s="278"/>
      <c r="R30" s="278"/>
      <c r="S30" s="278"/>
      <c r="T30" s="278"/>
    </row>
    <row r="31" spans="4:20" s="187" customFormat="1" ht="24" x14ac:dyDescent="0.2">
      <c r="D31" s="576" t="s">
        <v>59</v>
      </c>
      <c r="E31" s="577"/>
      <c r="F31" s="577"/>
      <c r="G31" s="58" t="s">
        <v>143</v>
      </c>
      <c r="H31" s="33">
        <f>SUM(H32,H34,H37)</f>
        <v>4116</v>
      </c>
      <c r="I31" s="46">
        <f>SUM(I32,I34,I37)</f>
        <v>4116</v>
      </c>
      <c r="J31" s="335">
        <f>SUM(J32,J34,J37)</f>
        <v>0</v>
      </c>
      <c r="K31" s="336">
        <f t="shared" ref="K31:T31" si="13">SUM(K32,K34,K37)</f>
        <v>0</v>
      </c>
      <c r="L31" s="336">
        <f t="shared" si="13"/>
        <v>0</v>
      </c>
      <c r="M31" s="336">
        <f t="shared" si="13"/>
        <v>0</v>
      </c>
      <c r="N31" s="336">
        <f t="shared" si="13"/>
        <v>0</v>
      </c>
      <c r="O31" s="336">
        <f t="shared" si="13"/>
        <v>0</v>
      </c>
      <c r="P31" s="336">
        <f t="shared" si="13"/>
        <v>0</v>
      </c>
      <c r="Q31" s="336">
        <f t="shared" si="13"/>
        <v>0</v>
      </c>
      <c r="R31" s="336">
        <f t="shared" si="13"/>
        <v>0</v>
      </c>
      <c r="S31" s="336">
        <f t="shared" si="13"/>
        <v>0</v>
      </c>
      <c r="T31" s="337">
        <f t="shared" si="13"/>
        <v>0</v>
      </c>
    </row>
    <row r="32" spans="4:20" s="187" customFormat="1" ht="24" x14ac:dyDescent="0.2">
      <c r="D32" s="132"/>
      <c r="E32" s="568" t="s">
        <v>326</v>
      </c>
      <c r="F32" s="569"/>
      <c r="G32" s="35" t="s">
        <v>328</v>
      </c>
      <c r="H32" s="36">
        <f>H33</f>
        <v>0</v>
      </c>
      <c r="I32" s="47">
        <f>I33</f>
        <v>0</v>
      </c>
      <c r="J32" s="338">
        <f>J33</f>
        <v>0</v>
      </c>
      <c r="K32" s="339">
        <f t="shared" ref="K32:T32" si="14">K33</f>
        <v>0</v>
      </c>
      <c r="L32" s="339">
        <f t="shared" si="14"/>
        <v>0</v>
      </c>
      <c r="M32" s="339">
        <f t="shared" si="14"/>
        <v>0</v>
      </c>
      <c r="N32" s="339">
        <f t="shared" si="14"/>
        <v>0</v>
      </c>
      <c r="O32" s="339">
        <f t="shared" si="14"/>
        <v>0</v>
      </c>
      <c r="P32" s="339">
        <f t="shared" si="14"/>
        <v>0</v>
      </c>
      <c r="Q32" s="339">
        <f t="shared" si="14"/>
        <v>0</v>
      </c>
      <c r="R32" s="339">
        <f t="shared" si="14"/>
        <v>0</v>
      </c>
      <c r="S32" s="339">
        <f t="shared" si="14"/>
        <v>0</v>
      </c>
      <c r="T32" s="340">
        <f t="shared" si="14"/>
        <v>0</v>
      </c>
    </row>
    <row r="33" spans="4:20" s="187" customFormat="1" ht="24" x14ac:dyDescent="0.2">
      <c r="D33" s="132"/>
      <c r="E33" s="570" t="s">
        <v>327</v>
      </c>
      <c r="F33" s="571"/>
      <c r="G33" s="49" t="s">
        <v>329</v>
      </c>
      <c r="H33" s="390">
        <v>0</v>
      </c>
      <c r="I33" s="50">
        <f>H33+J33</f>
        <v>0</v>
      </c>
      <c r="J33" s="378">
        <f>SUM(K33:T33)</f>
        <v>0</v>
      </c>
      <c r="K33" s="379"/>
      <c r="L33" s="379"/>
      <c r="M33" s="379"/>
      <c r="N33" s="379"/>
      <c r="O33" s="379"/>
      <c r="P33" s="379"/>
      <c r="Q33" s="379"/>
      <c r="R33" s="379"/>
      <c r="S33" s="379"/>
      <c r="T33" s="379"/>
    </row>
    <row r="34" spans="4:20" s="186" customFormat="1" ht="24" x14ac:dyDescent="0.2">
      <c r="D34" s="34"/>
      <c r="E34" s="568" t="s">
        <v>60</v>
      </c>
      <c r="F34" s="568"/>
      <c r="G34" s="35" t="s">
        <v>61</v>
      </c>
      <c r="H34" s="36">
        <f t="shared" ref="H34:T35" si="15">H35</f>
        <v>0</v>
      </c>
      <c r="I34" s="47">
        <f t="shared" si="15"/>
        <v>0</v>
      </c>
      <c r="J34" s="338">
        <f t="shared" si="15"/>
        <v>0</v>
      </c>
      <c r="K34" s="339">
        <f t="shared" si="15"/>
        <v>0</v>
      </c>
      <c r="L34" s="339">
        <f t="shared" si="15"/>
        <v>0</v>
      </c>
      <c r="M34" s="339">
        <f t="shared" si="15"/>
        <v>0</v>
      </c>
      <c r="N34" s="339">
        <f t="shared" si="15"/>
        <v>0</v>
      </c>
      <c r="O34" s="339">
        <f t="shared" si="15"/>
        <v>0</v>
      </c>
      <c r="P34" s="339">
        <f t="shared" si="15"/>
        <v>0</v>
      </c>
      <c r="Q34" s="339">
        <f t="shared" si="15"/>
        <v>0</v>
      </c>
      <c r="R34" s="339">
        <f t="shared" si="15"/>
        <v>0</v>
      </c>
      <c r="S34" s="339">
        <f t="shared" si="15"/>
        <v>0</v>
      </c>
      <c r="T34" s="340">
        <f t="shared" si="15"/>
        <v>0</v>
      </c>
    </row>
    <row r="35" spans="4:20" ht="24" x14ac:dyDescent="0.2">
      <c r="D35" s="37"/>
      <c r="E35" s="580" t="s">
        <v>62</v>
      </c>
      <c r="F35" s="580"/>
      <c r="G35" s="38" t="s">
        <v>63</v>
      </c>
      <c r="H35" s="387">
        <f>H36</f>
        <v>0</v>
      </c>
      <c r="I35" s="39">
        <f t="shared" si="15"/>
        <v>0</v>
      </c>
      <c r="J35" s="332">
        <f t="shared" si="15"/>
        <v>0</v>
      </c>
      <c r="K35" s="333">
        <f t="shared" si="15"/>
        <v>0</v>
      </c>
      <c r="L35" s="333">
        <f t="shared" si="15"/>
        <v>0</v>
      </c>
      <c r="M35" s="333">
        <f t="shared" si="15"/>
        <v>0</v>
      </c>
      <c r="N35" s="333">
        <f t="shared" si="15"/>
        <v>0</v>
      </c>
      <c r="O35" s="333">
        <f t="shared" si="15"/>
        <v>0</v>
      </c>
      <c r="P35" s="333">
        <f t="shared" si="15"/>
        <v>0</v>
      </c>
      <c r="Q35" s="333">
        <f t="shared" si="15"/>
        <v>0</v>
      </c>
      <c r="R35" s="333">
        <f t="shared" si="15"/>
        <v>0</v>
      </c>
      <c r="S35" s="333">
        <f t="shared" si="15"/>
        <v>0</v>
      </c>
      <c r="T35" s="334">
        <f t="shared" si="15"/>
        <v>0</v>
      </c>
    </row>
    <row r="36" spans="4:20" ht="24" x14ac:dyDescent="0.2">
      <c r="D36" s="52"/>
      <c r="E36" s="588" t="s">
        <v>64</v>
      </c>
      <c r="F36" s="588"/>
      <c r="G36" s="53" t="s">
        <v>65</v>
      </c>
      <c r="H36" s="391">
        <v>0</v>
      </c>
      <c r="I36" s="54">
        <f>H36+J36</f>
        <v>0</v>
      </c>
      <c r="J36" s="344">
        <f>SUM(K36:T36)</f>
        <v>0</v>
      </c>
      <c r="K36" s="278"/>
      <c r="L36" s="278"/>
      <c r="M36" s="278"/>
      <c r="N36" s="278"/>
      <c r="O36" s="278"/>
      <c r="P36" s="278"/>
      <c r="Q36" s="278"/>
      <c r="R36" s="278"/>
      <c r="S36" s="278"/>
      <c r="T36" s="278"/>
    </row>
    <row r="37" spans="4:20" s="186" customFormat="1" ht="36" x14ac:dyDescent="0.2">
      <c r="D37" s="34"/>
      <c r="E37" s="568" t="s">
        <v>66</v>
      </c>
      <c r="F37" s="568"/>
      <c r="G37" s="35" t="s">
        <v>705</v>
      </c>
      <c r="H37" s="36">
        <f t="shared" ref="H37:T37" si="16">SUM(H38,H40)</f>
        <v>4116</v>
      </c>
      <c r="I37" s="47">
        <f t="shared" si="16"/>
        <v>4116</v>
      </c>
      <c r="J37" s="338">
        <f t="shared" si="16"/>
        <v>0</v>
      </c>
      <c r="K37" s="339">
        <f t="shared" si="16"/>
        <v>0</v>
      </c>
      <c r="L37" s="339">
        <f t="shared" si="16"/>
        <v>0</v>
      </c>
      <c r="M37" s="339">
        <f t="shared" si="16"/>
        <v>0</v>
      </c>
      <c r="N37" s="339">
        <f t="shared" si="16"/>
        <v>0</v>
      </c>
      <c r="O37" s="339">
        <f t="shared" si="16"/>
        <v>0</v>
      </c>
      <c r="P37" s="339">
        <f t="shared" si="16"/>
        <v>0</v>
      </c>
      <c r="Q37" s="339">
        <f t="shared" si="16"/>
        <v>0</v>
      </c>
      <c r="R37" s="339">
        <f t="shared" si="16"/>
        <v>0</v>
      </c>
      <c r="S37" s="339">
        <f t="shared" si="16"/>
        <v>0</v>
      </c>
      <c r="T37" s="340">
        <f t="shared" si="16"/>
        <v>0</v>
      </c>
    </row>
    <row r="38" spans="4:20" x14ac:dyDescent="0.2">
      <c r="D38" s="37"/>
      <c r="E38" s="580" t="s">
        <v>67</v>
      </c>
      <c r="F38" s="580"/>
      <c r="G38" s="38" t="s">
        <v>189</v>
      </c>
      <c r="H38" s="387">
        <f t="shared" ref="H38:T40" si="17">H39</f>
        <v>118</v>
      </c>
      <c r="I38" s="39">
        <f t="shared" si="17"/>
        <v>118</v>
      </c>
      <c r="J38" s="332">
        <f t="shared" si="17"/>
        <v>0</v>
      </c>
      <c r="K38" s="333">
        <f t="shared" si="17"/>
        <v>0</v>
      </c>
      <c r="L38" s="333">
        <f t="shared" si="17"/>
        <v>0</v>
      </c>
      <c r="M38" s="333">
        <f t="shared" si="17"/>
        <v>0</v>
      </c>
      <c r="N38" s="333">
        <f t="shared" si="17"/>
        <v>0</v>
      </c>
      <c r="O38" s="333">
        <f t="shared" si="17"/>
        <v>0</v>
      </c>
      <c r="P38" s="333">
        <f t="shared" si="17"/>
        <v>0</v>
      </c>
      <c r="Q38" s="333">
        <f t="shared" si="17"/>
        <v>0</v>
      </c>
      <c r="R38" s="333">
        <f t="shared" si="17"/>
        <v>0</v>
      </c>
      <c r="S38" s="333">
        <f t="shared" si="17"/>
        <v>0</v>
      </c>
      <c r="T38" s="334">
        <f t="shared" si="17"/>
        <v>0</v>
      </c>
    </row>
    <row r="39" spans="4:20" ht="36" x14ac:dyDescent="0.2">
      <c r="D39" s="52"/>
      <c r="E39" s="588" t="s">
        <v>68</v>
      </c>
      <c r="F39" s="588"/>
      <c r="G39" s="53" t="s">
        <v>190</v>
      </c>
      <c r="H39" s="391">
        <f>118</f>
        <v>118</v>
      </c>
      <c r="I39" s="54">
        <f>H39+J39</f>
        <v>118</v>
      </c>
      <c r="J39" s="344">
        <f>SUM(K39:T39)</f>
        <v>0</v>
      </c>
      <c r="K39" s="278"/>
      <c r="L39" s="278"/>
      <c r="M39" s="278"/>
      <c r="N39" s="278"/>
      <c r="O39" s="278"/>
      <c r="P39" s="278"/>
      <c r="Q39" s="278"/>
      <c r="R39" s="278"/>
      <c r="S39" s="278"/>
      <c r="T39" s="278"/>
    </row>
    <row r="40" spans="4:20" ht="14.25" customHeight="1" x14ac:dyDescent="0.2">
      <c r="D40" s="48"/>
      <c r="E40" s="570" t="s">
        <v>542</v>
      </c>
      <c r="F40" s="570"/>
      <c r="G40" s="49" t="s">
        <v>541</v>
      </c>
      <c r="H40" s="390">
        <f t="shared" si="17"/>
        <v>3998</v>
      </c>
      <c r="I40" s="50">
        <f t="shared" si="17"/>
        <v>3998</v>
      </c>
      <c r="J40" s="341">
        <f t="shared" si="17"/>
        <v>0</v>
      </c>
      <c r="K40" s="342">
        <f t="shared" si="17"/>
        <v>0</v>
      </c>
      <c r="L40" s="342">
        <f t="shared" si="17"/>
        <v>0</v>
      </c>
      <c r="M40" s="342">
        <f t="shared" si="17"/>
        <v>0</v>
      </c>
      <c r="N40" s="342">
        <f t="shared" si="17"/>
        <v>0</v>
      </c>
      <c r="O40" s="342">
        <f t="shared" si="17"/>
        <v>0</v>
      </c>
      <c r="P40" s="342">
        <f t="shared" si="17"/>
        <v>0</v>
      </c>
      <c r="Q40" s="342">
        <f t="shared" si="17"/>
        <v>0</v>
      </c>
      <c r="R40" s="342">
        <f t="shared" si="17"/>
        <v>0</v>
      </c>
      <c r="S40" s="342">
        <f t="shared" si="17"/>
        <v>0</v>
      </c>
      <c r="T40" s="343">
        <f t="shared" si="17"/>
        <v>0</v>
      </c>
    </row>
    <row r="41" spans="4:20" ht="26.25" customHeight="1" x14ac:dyDescent="0.2">
      <c r="D41" s="52"/>
      <c r="E41" s="464"/>
      <c r="F41" s="464" t="s">
        <v>543</v>
      </c>
      <c r="G41" s="53" t="s">
        <v>544</v>
      </c>
      <c r="H41" s="391">
        <f>3998</f>
        <v>3998</v>
      </c>
      <c r="I41" s="54">
        <f>H41+J41</f>
        <v>3998</v>
      </c>
      <c r="J41" s="344">
        <f>SUM(K41:T41)</f>
        <v>0</v>
      </c>
      <c r="K41" s="278"/>
      <c r="L41" s="278"/>
      <c r="M41" s="278"/>
      <c r="N41" s="278"/>
      <c r="O41" s="278"/>
      <c r="P41" s="278"/>
      <c r="Q41" s="278"/>
      <c r="R41" s="278"/>
      <c r="S41" s="278"/>
      <c r="T41" s="278"/>
    </row>
    <row r="42" spans="4:20" s="187" customFormat="1" ht="24" x14ac:dyDescent="0.2">
      <c r="D42" s="576" t="s">
        <v>69</v>
      </c>
      <c r="E42" s="577"/>
      <c r="F42" s="577"/>
      <c r="G42" s="58" t="s">
        <v>70</v>
      </c>
      <c r="H42" s="33">
        <f t="shared" ref="H42:T42" si="18">SUM(H43,H46)</f>
        <v>2299019</v>
      </c>
      <c r="I42" s="46">
        <f t="shared" si="18"/>
        <v>2299019</v>
      </c>
      <c r="J42" s="335">
        <f t="shared" si="18"/>
        <v>0</v>
      </c>
      <c r="K42" s="336">
        <f t="shared" si="18"/>
        <v>0</v>
      </c>
      <c r="L42" s="336">
        <f t="shared" si="18"/>
        <v>0</v>
      </c>
      <c r="M42" s="336">
        <f t="shared" si="18"/>
        <v>0</v>
      </c>
      <c r="N42" s="336">
        <f t="shared" si="18"/>
        <v>0</v>
      </c>
      <c r="O42" s="336">
        <f t="shared" si="18"/>
        <v>0</v>
      </c>
      <c r="P42" s="336">
        <f t="shared" si="18"/>
        <v>0</v>
      </c>
      <c r="Q42" s="336">
        <f t="shared" si="18"/>
        <v>0</v>
      </c>
      <c r="R42" s="336">
        <f t="shared" si="18"/>
        <v>0</v>
      </c>
      <c r="S42" s="336">
        <f t="shared" si="18"/>
        <v>0</v>
      </c>
      <c r="T42" s="337">
        <f t="shared" si="18"/>
        <v>0</v>
      </c>
    </row>
    <row r="43" spans="4:20" s="186" customFormat="1" x14ac:dyDescent="0.2">
      <c r="D43" s="34"/>
      <c r="E43" s="568" t="s">
        <v>71</v>
      </c>
      <c r="F43" s="568"/>
      <c r="G43" s="35" t="s">
        <v>72</v>
      </c>
      <c r="H43" s="36">
        <f t="shared" ref="H43" si="19">SUM(H44:H45)</f>
        <v>17837</v>
      </c>
      <c r="I43" s="47">
        <f t="shared" ref="I43:T43" si="20">SUM(I44:I45)</f>
        <v>17837</v>
      </c>
      <c r="J43" s="338">
        <f t="shared" si="20"/>
        <v>0</v>
      </c>
      <c r="K43" s="339">
        <f t="shared" si="20"/>
        <v>0</v>
      </c>
      <c r="L43" s="339">
        <f t="shared" si="20"/>
        <v>0</v>
      </c>
      <c r="M43" s="339">
        <f t="shared" si="20"/>
        <v>0</v>
      </c>
      <c r="N43" s="339">
        <f t="shared" si="20"/>
        <v>0</v>
      </c>
      <c r="O43" s="339">
        <f t="shared" si="20"/>
        <v>0</v>
      </c>
      <c r="P43" s="339">
        <f t="shared" si="20"/>
        <v>0</v>
      </c>
      <c r="Q43" s="339">
        <f t="shared" si="20"/>
        <v>0</v>
      </c>
      <c r="R43" s="339">
        <f t="shared" si="20"/>
        <v>0</v>
      </c>
      <c r="S43" s="339">
        <f t="shared" si="20"/>
        <v>0</v>
      </c>
      <c r="T43" s="340">
        <f t="shared" si="20"/>
        <v>0</v>
      </c>
    </row>
    <row r="44" spans="4:20" ht="48" x14ac:dyDescent="0.2">
      <c r="D44" s="48"/>
      <c r="E44" s="570" t="s">
        <v>73</v>
      </c>
      <c r="F44" s="570"/>
      <c r="G44" s="49" t="s">
        <v>706</v>
      </c>
      <c r="H44" s="390">
        <f>9300</f>
        <v>9300</v>
      </c>
      <c r="I44" s="50">
        <f t="shared" ref="I44:I45" si="21">H44+J44</f>
        <v>9300</v>
      </c>
      <c r="J44" s="344">
        <f>SUM(K44:T44)</f>
        <v>0</v>
      </c>
      <c r="K44" s="278"/>
      <c r="L44" s="278"/>
      <c r="M44" s="278"/>
      <c r="N44" s="278"/>
      <c r="O44" s="278"/>
      <c r="P44" s="278"/>
      <c r="Q44" s="278"/>
      <c r="R44" s="278"/>
      <c r="S44" s="278"/>
      <c r="T44" s="278"/>
    </row>
    <row r="45" spans="4:20" ht="24" x14ac:dyDescent="0.2">
      <c r="D45" s="59"/>
      <c r="E45" s="579" t="s">
        <v>74</v>
      </c>
      <c r="F45" s="579"/>
      <c r="G45" s="60" t="s">
        <v>253</v>
      </c>
      <c r="H45" s="395">
        <f>8537</f>
        <v>8537</v>
      </c>
      <c r="I45" s="61">
        <f t="shared" si="21"/>
        <v>8537</v>
      </c>
      <c r="J45" s="344">
        <f>SUM(K45:T45)</f>
        <v>0</v>
      </c>
      <c r="K45" s="278"/>
      <c r="L45" s="278"/>
      <c r="M45" s="278"/>
      <c r="N45" s="278"/>
      <c r="O45" s="278"/>
      <c r="P45" s="278"/>
      <c r="Q45" s="278"/>
      <c r="R45" s="278"/>
      <c r="S45" s="278"/>
      <c r="T45" s="278"/>
    </row>
    <row r="46" spans="4:20" s="186" customFormat="1" x14ac:dyDescent="0.2">
      <c r="D46" s="34"/>
      <c r="E46" s="568" t="s">
        <v>75</v>
      </c>
      <c r="F46" s="568"/>
      <c r="G46" s="35" t="s">
        <v>76</v>
      </c>
      <c r="H46" s="36">
        <f t="shared" ref="H46:T46" si="22">SUM(H47:H52)</f>
        <v>2281182</v>
      </c>
      <c r="I46" s="47">
        <f t="shared" si="22"/>
        <v>2281182</v>
      </c>
      <c r="J46" s="338">
        <f t="shared" si="22"/>
        <v>0</v>
      </c>
      <c r="K46" s="339">
        <f t="shared" si="22"/>
        <v>0</v>
      </c>
      <c r="L46" s="339">
        <f t="shared" si="22"/>
        <v>0</v>
      </c>
      <c r="M46" s="339">
        <f t="shared" si="22"/>
        <v>0</v>
      </c>
      <c r="N46" s="339">
        <f t="shared" si="22"/>
        <v>0</v>
      </c>
      <c r="O46" s="339">
        <f t="shared" si="22"/>
        <v>0</v>
      </c>
      <c r="P46" s="339">
        <f t="shared" si="22"/>
        <v>0</v>
      </c>
      <c r="Q46" s="339">
        <f t="shared" si="22"/>
        <v>0</v>
      </c>
      <c r="R46" s="339">
        <f t="shared" si="22"/>
        <v>0</v>
      </c>
      <c r="S46" s="339">
        <f t="shared" si="22"/>
        <v>0</v>
      </c>
      <c r="T46" s="340">
        <f t="shared" si="22"/>
        <v>0</v>
      </c>
    </row>
    <row r="47" spans="4:20" ht="24" x14ac:dyDescent="0.2">
      <c r="D47" s="62"/>
      <c r="E47" s="554" t="s">
        <v>77</v>
      </c>
      <c r="F47" s="554"/>
      <c r="G47" s="63" t="s">
        <v>177</v>
      </c>
      <c r="H47" s="396">
        <v>0</v>
      </c>
      <c r="I47" s="64">
        <f t="shared" ref="I47:I52" si="23">H47+J47</f>
        <v>0</v>
      </c>
      <c r="J47" s="344">
        <f t="shared" ref="J47:J52" si="24">SUM(K47:T47)</f>
        <v>0</v>
      </c>
      <c r="K47" s="278"/>
      <c r="L47" s="278"/>
      <c r="M47" s="278"/>
      <c r="N47" s="278"/>
      <c r="O47" s="278"/>
      <c r="P47" s="278"/>
      <c r="Q47" s="278"/>
      <c r="R47" s="278"/>
      <c r="S47" s="278"/>
      <c r="T47" s="278"/>
    </row>
    <row r="48" spans="4:20" x14ac:dyDescent="0.2">
      <c r="D48" s="62"/>
      <c r="E48" s="554" t="s">
        <v>78</v>
      </c>
      <c r="F48" s="554"/>
      <c r="G48" s="63" t="s">
        <v>178</v>
      </c>
      <c r="H48" s="396">
        <f>55000</f>
        <v>55000</v>
      </c>
      <c r="I48" s="64">
        <f t="shared" si="23"/>
        <v>55000</v>
      </c>
      <c r="J48" s="344">
        <f t="shared" si="24"/>
        <v>0</v>
      </c>
      <c r="K48" s="278"/>
      <c r="L48" s="278"/>
      <c r="M48" s="278"/>
      <c r="N48" s="278"/>
      <c r="O48" s="278"/>
      <c r="P48" s="278"/>
      <c r="Q48" s="278"/>
      <c r="R48" s="278"/>
      <c r="S48" s="278"/>
      <c r="T48" s="278"/>
    </row>
    <row r="49" spans="4:20" ht="24" x14ac:dyDescent="0.2">
      <c r="D49" s="62"/>
      <c r="E49" s="554" t="s">
        <v>79</v>
      </c>
      <c r="F49" s="554"/>
      <c r="G49" s="63" t="s">
        <v>179</v>
      </c>
      <c r="H49" s="396">
        <f>2082182</f>
        <v>2082182</v>
      </c>
      <c r="I49" s="64">
        <f t="shared" si="23"/>
        <v>2082182</v>
      </c>
      <c r="J49" s="344">
        <f t="shared" si="24"/>
        <v>0</v>
      </c>
      <c r="K49" s="278"/>
      <c r="L49" s="278"/>
      <c r="M49" s="278"/>
      <c r="N49" s="278"/>
      <c r="O49" s="278"/>
      <c r="P49" s="278"/>
      <c r="Q49" s="278"/>
      <c r="R49" s="278"/>
      <c r="S49" s="278"/>
      <c r="T49" s="278"/>
    </row>
    <row r="50" spans="4:20" ht="24" x14ac:dyDescent="0.2">
      <c r="D50" s="62"/>
      <c r="E50" s="554" t="s">
        <v>80</v>
      </c>
      <c r="F50" s="554"/>
      <c r="G50" s="63" t="s">
        <v>180</v>
      </c>
      <c r="H50" s="396">
        <f>67600</f>
        <v>67600</v>
      </c>
      <c r="I50" s="64">
        <f t="shared" si="23"/>
        <v>67600</v>
      </c>
      <c r="J50" s="344">
        <f t="shared" si="24"/>
        <v>0</v>
      </c>
      <c r="K50" s="278"/>
      <c r="L50" s="278"/>
      <c r="M50" s="278"/>
      <c r="N50" s="278"/>
      <c r="O50" s="278"/>
      <c r="P50" s="278"/>
      <c r="Q50" s="278"/>
      <c r="R50" s="278"/>
      <c r="S50" s="278"/>
      <c r="T50" s="278"/>
    </row>
    <row r="51" spans="4:20" ht="26.25" customHeight="1" x14ac:dyDescent="0.2">
      <c r="D51" s="43"/>
      <c r="E51" s="554" t="s">
        <v>601</v>
      </c>
      <c r="F51" s="555"/>
      <c r="G51" s="44" t="s">
        <v>602</v>
      </c>
      <c r="H51" s="389">
        <v>0</v>
      </c>
      <c r="I51" s="45">
        <f t="shared" si="23"/>
        <v>0</v>
      </c>
      <c r="J51" s="344">
        <f t="shared" si="24"/>
        <v>0</v>
      </c>
      <c r="K51" s="278"/>
      <c r="L51" s="278"/>
      <c r="M51" s="278"/>
      <c r="N51" s="278"/>
      <c r="O51" s="278"/>
      <c r="P51" s="278"/>
      <c r="Q51" s="278"/>
      <c r="R51" s="278"/>
      <c r="S51" s="278"/>
      <c r="T51" s="278"/>
    </row>
    <row r="52" spans="4:20" x14ac:dyDescent="0.2">
      <c r="D52" s="43"/>
      <c r="E52" s="564" t="s">
        <v>159</v>
      </c>
      <c r="F52" s="564"/>
      <c r="G52" s="44" t="s">
        <v>181</v>
      </c>
      <c r="H52" s="389">
        <f>76400</f>
        <v>76400</v>
      </c>
      <c r="I52" s="45">
        <f t="shared" si="23"/>
        <v>76400</v>
      </c>
      <c r="J52" s="344">
        <f t="shared" si="24"/>
        <v>0</v>
      </c>
      <c r="K52" s="278"/>
      <c r="L52" s="278"/>
      <c r="M52" s="278"/>
      <c r="N52" s="278"/>
      <c r="O52" s="278"/>
      <c r="P52" s="278"/>
      <c r="Q52" s="278"/>
      <c r="R52" s="278"/>
      <c r="S52" s="278"/>
      <c r="T52" s="278"/>
    </row>
    <row r="53" spans="4:20" s="187" customFormat="1" x14ac:dyDescent="0.2">
      <c r="D53" s="576" t="s">
        <v>81</v>
      </c>
      <c r="E53" s="577"/>
      <c r="F53" s="577"/>
      <c r="G53" s="58" t="s">
        <v>82</v>
      </c>
      <c r="H53" s="33">
        <f t="shared" ref="H53:T53" si="25">SUM(H57,H54)</f>
        <v>359300</v>
      </c>
      <c r="I53" s="46">
        <f t="shared" si="25"/>
        <v>359300</v>
      </c>
      <c r="J53" s="335">
        <f t="shared" si="25"/>
        <v>0</v>
      </c>
      <c r="K53" s="336">
        <f t="shared" si="25"/>
        <v>0</v>
      </c>
      <c r="L53" s="336">
        <f t="shared" si="25"/>
        <v>0</v>
      </c>
      <c r="M53" s="336">
        <f t="shared" si="25"/>
        <v>0</v>
      </c>
      <c r="N53" s="336">
        <f t="shared" si="25"/>
        <v>0</v>
      </c>
      <c r="O53" s="336">
        <f t="shared" si="25"/>
        <v>0</v>
      </c>
      <c r="P53" s="336">
        <f t="shared" si="25"/>
        <v>0</v>
      </c>
      <c r="Q53" s="336">
        <f t="shared" si="25"/>
        <v>0</v>
      </c>
      <c r="R53" s="336">
        <f t="shared" si="25"/>
        <v>0</v>
      </c>
      <c r="S53" s="336">
        <f t="shared" si="25"/>
        <v>0</v>
      </c>
      <c r="T53" s="337">
        <f t="shared" si="25"/>
        <v>0</v>
      </c>
    </row>
    <row r="54" spans="4:20" s="186" customFormat="1" x14ac:dyDescent="0.2">
      <c r="D54" s="34"/>
      <c r="E54" s="568" t="s">
        <v>83</v>
      </c>
      <c r="F54" s="568"/>
      <c r="G54" s="35" t="s">
        <v>84</v>
      </c>
      <c r="H54" s="36">
        <f t="shared" ref="H54:T54" si="26">H55+H56</f>
        <v>138800</v>
      </c>
      <c r="I54" s="47">
        <f t="shared" si="26"/>
        <v>138800</v>
      </c>
      <c r="J54" s="338">
        <f t="shared" si="26"/>
        <v>0</v>
      </c>
      <c r="K54" s="339">
        <f t="shared" si="26"/>
        <v>0</v>
      </c>
      <c r="L54" s="339">
        <f t="shared" si="26"/>
        <v>0</v>
      </c>
      <c r="M54" s="339">
        <f t="shared" si="26"/>
        <v>0</v>
      </c>
      <c r="N54" s="339">
        <f t="shared" si="26"/>
        <v>0</v>
      </c>
      <c r="O54" s="339">
        <f t="shared" si="26"/>
        <v>0</v>
      </c>
      <c r="P54" s="339">
        <f t="shared" si="26"/>
        <v>0</v>
      </c>
      <c r="Q54" s="339">
        <f t="shared" si="26"/>
        <v>0</v>
      </c>
      <c r="R54" s="339">
        <f t="shared" si="26"/>
        <v>0</v>
      </c>
      <c r="S54" s="339">
        <f t="shared" si="26"/>
        <v>0</v>
      </c>
      <c r="T54" s="340">
        <f t="shared" si="26"/>
        <v>0</v>
      </c>
    </row>
    <row r="55" spans="4:20" x14ac:dyDescent="0.2">
      <c r="D55" s="189"/>
      <c r="E55" s="586" t="s">
        <v>85</v>
      </c>
      <c r="F55" s="586"/>
      <c r="G55" s="92" t="s">
        <v>86</v>
      </c>
      <c r="H55" s="398">
        <f>138800</f>
        <v>138800</v>
      </c>
      <c r="I55" s="93">
        <f t="shared" ref="I55:I57" si="27">H55+J55</f>
        <v>138800</v>
      </c>
      <c r="J55" s="442">
        <f t="shared" ref="J55:J57" si="28">SUM(K55:T55)</f>
        <v>0</v>
      </c>
      <c r="K55" s="443"/>
      <c r="L55" s="443"/>
      <c r="M55" s="443"/>
      <c r="N55" s="443"/>
      <c r="O55" s="443"/>
      <c r="P55" s="443"/>
      <c r="Q55" s="443"/>
      <c r="R55" s="443"/>
      <c r="S55" s="443"/>
      <c r="T55" s="443"/>
    </row>
    <row r="56" spans="4:20" x14ac:dyDescent="0.2">
      <c r="D56" s="37"/>
      <c r="E56" s="587" t="s">
        <v>511</v>
      </c>
      <c r="F56" s="587"/>
      <c r="G56" s="53" t="s">
        <v>512</v>
      </c>
      <c r="H56" s="391">
        <v>0</v>
      </c>
      <c r="I56" s="54">
        <f t="shared" si="27"/>
        <v>0</v>
      </c>
      <c r="J56" s="440">
        <f t="shared" si="28"/>
        <v>0</v>
      </c>
      <c r="K56" s="441"/>
      <c r="L56" s="441"/>
      <c r="M56" s="441"/>
      <c r="N56" s="441"/>
      <c r="O56" s="441"/>
      <c r="P56" s="441"/>
      <c r="Q56" s="441"/>
      <c r="R56" s="441"/>
      <c r="S56" s="441"/>
      <c r="T56" s="441"/>
    </row>
    <row r="57" spans="4:20" ht="24" x14ac:dyDescent="0.2">
      <c r="D57" s="52"/>
      <c r="E57" s="568" t="s">
        <v>545</v>
      </c>
      <c r="F57" s="568"/>
      <c r="G57" s="35" t="s">
        <v>546</v>
      </c>
      <c r="H57" s="36">
        <f>220500</f>
        <v>220500</v>
      </c>
      <c r="I57" s="47">
        <f t="shared" si="27"/>
        <v>220500</v>
      </c>
      <c r="J57" s="344">
        <f t="shared" si="28"/>
        <v>0</v>
      </c>
      <c r="K57" s="278"/>
      <c r="L57" s="278"/>
      <c r="M57" s="278"/>
      <c r="N57" s="278"/>
      <c r="O57" s="278"/>
      <c r="P57" s="278"/>
      <c r="Q57" s="278"/>
      <c r="R57" s="278"/>
      <c r="S57" s="278"/>
      <c r="T57" s="278"/>
    </row>
    <row r="58" spans="4:20" s="187" customFormat="1" x14ac:dyDescent="0.2">
      <c r="D58" s="576" t="s">
        <v>87</v>
      </c>
      <c r="E58" s="577"/>
      <c r="F58" s="577"/>
      <c r="G58" s="58" t="s">
        <v>88</v>
      </c>
      <c r="H58" s="33">
        <f t="shared" ref="H58:T58" si="29">SUM(H59,H61)</f>
        <v>108880</v>
      </c>
      <c r="I58" s="46">
        <f t="shared" si="29"/>
        <v>152921</v>
      </c>
      <c r="J58" s="335">
        <f t="shared" si="29"/>
        <v>44041</v>
      </c>
      <c r="K58" s="336">
        <f t="shared" si="29"/>
        <v>0</v>
      </c>
      <c r="L58" s="336">
        <f t="shared" si="29"/>
        <v>44041</v>
      </c>
      <c r="M58" s="336">
        <f t="shared" si="29"/>
        <v>0</v>
      </c>
      <c r="N58" s="336">
        <f t="shared" si="29"/>
        <v>0</v>
      </c>
      <c r="O58" s="336">
        <f t="shared" si="29"/>
        <v>0</v>
      </c>
      <c r="P58" s="336">
        <f t="shared" si="29"/>
        <v>0</v>
      </c>
      <c r="Q58" s="336">
        <f t="shared" si="29"/>
        <v>0</v>
      </c>
      <c r="R58" s="336">
        <f t="shared" si="29"/>
        <v>0</v>
      </c>
      <c r="S58" s="336">
        <f t="shared" si="29"/>
        <v>0</v>
      </c>
      <c r="T58" s="337">
        <f t="shared" si="29"/>
        <v>0</v>
      </c>
    </row>
    <row r="59" spans="4:20" s="186" customFormat="1" ht="24" x14ac:dyDescent="0.2">
      <c r="D59" s="34"/>
      <c r="E59" s="582" t="s">
        <v>89</v>
      </c>
      <c r="F59" s="583"/>
      <c r="G59" s="65" t="s">
        <v>90</v>
      </c>
      <c r="H59" s="413">
        <f t="shared" ref="H59:T59" si="30">SUM(H60)</f>
        <v>28380</v>
      </c>
      <c r="I59" s="47">
        <f t="shared" si="30"/>
        <v>28380</v>
      </c>
      <c r="J59" s="338">
        <f t="shared" si="30"/>
        <v>0</v>
      </c>
      <c r="K59" s="339">
        <f t="shared" si="30"/>
        <v>0</v>
      </c>
      <c r="L59" s="339">
        <f t="shared" si="30"/>
        <v>0</v>
      </c>
      <c r="M59" s="339">
        <f t="shared" si="30"/>
        <v>0</v>
      </c>
      <c r="N59" s="339">
        <f t="shared" si="30"/>
        <v>0</v>
      </c>
      <c r="O59" s="339">
        <f t="shared" si="30"/>
        <v>0</v>
      </c>
      <c r="P59" s="339">
        <f t="shared" si="30"/>
        <v>0</v>
      </c>
      <c r="Q59" s="339">
        <f t="shared" si="30"/>
        <v>0</v>
      </c>
      <c r="R59" s="339">
        <f t="shared" si="30"/>
        <v>0</v>
      </c>
      <c r="S59" s="339">
        <f t="shared" si="30"/>
        <v>0</v>
      </c>
      <c r="T59" s="340">
        <f t="shared" si="30"/>
        <v>0</v>
      </c>
    </row>
    <row r="60" spans="4:20" ht="24" x14ac:dyDescent="0.2">
      <c r="D60" s="37"/>
      <c r="E60" s="584" t="s">
        <v>91</v>
      </c>
      <c r="F60" s="585"/>
      <c r="G60" s="66" t="s">
        <v>92</v>
      </c>
      <c r="H60" s="397">
        <f>28380</f>
        <v>28380</v>
      </c>
      <c r="I60" s="101">
        <f>H60+J60</f>
        <v>28380</v>
      </c>
      <c r="J60" s="344">
        <f>SUM(K60:T60)</f>
        <v>0</v>
      </c>
      <c r="K60" s="278"/>
      <c r="L60" s="278"/>
      <c r="M60" s="278"/>
      <c r="N60" s="278"/>
      <c r="O60" s="278"/>
      <c r="P60" s="278"/>
      <c r="Q60" s="278"/>
      <c r="R60" s="278"/>
      <c r="S60" s="278"/>
      <c r="T60" s="278"/>
    </row>
    <row r="61" spans="4:20" s="186" customFormat="1" x14ac:dyDescent="0.2">
      <c r="D61" s="34"/>
      <c r="E61" s="568" t="s">
        <v>93</v>
      </c>
      <c r="F61" s="568"/>
      <c r="G61" s="35" t="s">
        <v>135</v>
      </c>
      <c r="H61" s="36">
        <f t="shared" ref="H61:T61" si="31">SUM(H62+H65)</f>
        <v>80500</v>
      </c>
      <c r="I61" s="47">
        <f t="shared" si="31"/>
        <v>124541</v>
      </c>
      <c r="J61" s="338">
        <f t="shared" si="31"/>
        <v>44041</v>
      </c>
      <c r="K61" s="339">
        <f t="shared" si="31"/>
        <v>0</v>
      </c>
      <c r="L61" s="339">
        <f>SUM(L62+L65)</f>
        <v>44041</v>
      </c>
      <c r="M61" s="339">
        <f t="shared" si="31"/>
        <v>0</v>
      </c>
      <c r="N61" s="339">
        <f t="shared" si="31"/>
        <v>0</v>
      </c>
      <c r="O61" s="339">
        <f t="shared" si="31"/>
        <v>0</v>
      </c>
      <c r="P61" s="339">
        <f t="shared" si="31"/>
        <v>0</v>
      </c>
      <c r="Q61" s="339">
        <f t="shared" si="31"/>
        <v>0</v>
      </c>
      <c r="R61" s="339">
        <f t="shared" si="31"/>
        <v>0</v>
      </c>
      <c r="S61" s="339">
        <f t="shared" si="31"/>
        <v>0</v>
      </c>
      <c r="T61" s="340">
        <f t="shared" si="31"/>
        <v>0</v>
      </c>
    </row>
    <row r="62" spans="4:20" s="186" customFormat="1" x14ac:dyDescent="0.2">
      <c r="D62" s="234"/>
      <c r="E62" s="570" t="s">
        <v>603</v>
      </c>
      <c r="F62" s="571"/>
      <c r="G62" s="38" t="s">
        <v>606</v>
      </c>
      <c r="H62" s="387">
        <f t="shared" ref="H62" si="32">SUM(H63:H64)</f>
        <v>0</v>
      </c>
      <c r="I62" s="39">
        <f t="shared" ref="I62:T62" si="33">SUM(I63:I64)</f>
        <v>7310</v>
      </c>
      <c r="J62" s="332">
        <f t="shared" ref="J62:J64" si="34">SUM(K62:T62)</f>
        <v>7310</v>
      </c>
      <c r="K62" s="333">
        <f t="shared" si="33"/>
        <v>0</v>
      </c>
      <c r="L62" s="333">
        <f t="shared" si="33"/>
        <v>7310</v>
      </c>
      <c r="M62" s="333">
        <f t="shared" si="33"/>
        <v>0</v>
      </c>
      <c r="N62" s="333">
        <f t="shared" si="33"/>
        <v>0</v>
      </c>
      <c r="O62" s="333">
        <f t="shared" si="33"/>
        <v>0</v>
      </c>
      <c r="P62" s="333">
        <f t="shared" si="33"/>
        <v>0</v>
      </c>
      <c r="Q62" s="333">
        <f t="shared" si="33"/>
        <v>0</v>
      </c>
      <c r="R62" s="333">
        <f t="shared" si="33"/>
        <v>0</v>
      </c>
      <c r="S62" s="333">
        <f t="shared" si="33"/>
        <v>0</v>
      </c>
      <c r="T62" s="334">
        <f t="shared" si="33"/>
        <v>0</v>
      </c>
    </row>
    <row r="63" spans="4:20" s="186" customFormat="1" x14ac:dyDescent="0.2">
      <c r="D63" s="234"/>
      <c r="E63" s="574" t="s">
        <v>604</v>
      </c>
      <c r="F63" s="575"/>
      <c r="G63" s="38" t="s">
        <v>607</v>
      </c>
      <c r="H63" s="387">
        <v>0</v>
      </c>
      <c r="I63" s="39">
        <f>H63+J63</f>
        <v>7310</v>
      </c>
      <c r="J63" s="344">
        <f t="shared" si="34"/>
        <v>7310</v>
      </c>
      <c r="K63" s="377"/>
      <c r="L63" s="278">
        <f>7310</f>
        <v>7310</v>
      </c>
      <c r="M63" s="377"/>
      <c r="N63" s="377"/>
      <c r="O63" s="377"/>
      <c r="P63" s="377"/>
      <c r="Q63" s="377"/>
      <c r="R63" s="377"/>
      <c r="S63" s="377"/>
      <c r="T63" s="377"/>
    </row>
    <row r="64" spans="4:20" s="186" customFormat="1" x14ac:dyDescent="0.2">
      <c r="D64" s="234"/>
      <c r="E64" s="574" t="s">
        <v>605</v>
      </c>
      <c r="F64" s="575"/>
      <c r="G64" s="38" t="s">
        <v>608</v>
      </c>
      <c r="H64" s="387">
        <v>0</v>
      </c>
      <c r="I64" s="39">
        <f>H64+J64</f>
        <v>0</v>
      </c>
      <c r="J64" s="344">
        <f t="shared" si="34"/>
        <v>0</v>
      </c>
      <c r="K64" s="377"/>
      <c r="L64" s="377"/>
      <c r="M64" s="377"/>
      <c r="N64" s="377"/>
      <c r="O64" s="377"/>
      <c r="P64" s="377"/>
      <c r="Q64" s="377"/>
      <c r="R64" s="377"/>
      <c r="S64" s="377"/>
      <c r="T64" s="377"/>
    </row>
    <row r="65" spans="4:20" x14ac:dyDescent="0.2">
      <c r="D65" s="37"/>
      <c r="E65" s="580" t="s">
        <v>136</v>
      </c>
      <c r="F65" s="580"/>
      <c r="G65" s="38" t="s">
        <v>94</v>
      </c>
      <c r="H65" s="387">
        <f t="shared" ref="H65:T65" si="35">SUM(H66:H67)</f>
        <v>80500</v>
      </c>
      <c r="I65" s="39">
        <f t="shared" si="35"/>
        <v>117231</v>
      </c>
      <c r="J65" s="332">
        <f t="shared" si="35"/>
        <v>36731</v>
      </c>
      <c r="K65" s="333">
        <f t="shared" si="35"/>
        <v>0</v>
      </c>
      <c r="L65" s="333">
        <f t="shared" si="35"/>
        <v>36731</v>
      </c>
      <c r="M65" s="333">
        <f t="shared" si="35"/>
        <v>0</v>
      </c>
      <c r="N65" s="333">
        <f t="shared" si="35"/>
        <v>0</v>
      </c>
      <c r="O65" s="333">
        <f t="shared" si="35"/>
        <v>0</v>
      </c>
      <c r="P65" s="333">
        <f t="shared" si="35"/>
        <v>0</v>
      </c>
      <c r="Q65" s="333">
        <f t="shared" si="35"/>
        <v>0</v>
      </c>
      <c r="R65" s="333">
        <f t="shared" si="35"/>
        <v>0</v>
      </c>
      <c r="S65" s="333">
        <f t="shared" si="35"/>
        <v>0</v>
      </c>
      <c r="T65" s="334">
        <f t="shared" si="35"/>
        <v>0</v>
      </c>
    </row>
    <row r="66" spans="4:20" x14ac:dyDescent="0.2">
      <c r="D66" s="189"/>
      <c r="E66" s="572" t="s">
        <v>160</v>
      </c>
      <c r="F66" s="573"/>
      <c r="G66" s="92" t="s">
        <v>161</v>
      </c>
      <c r="H66" s="398">
        <f>500</f>
        <v>500</v>
      </c>
      <c r="I66" s="93">
        <f>H66+J66</f>
        <v>500</v>
      </c>
      <c r="J66" s="344">
        <f t="shared" ref="J66:J67" si="36">SUM(K66:T66)</f>
        <v>0</v>
      </c>
      <c r="K66" s="278"/>
      <c r="L66" s="278"/>
      <c r="M66" s="278"/>
      <c r="N66" s="278"/>
      <c r="O66" s="278"/>
      <c r="P66" s="278"/>
      <c r="Q66" s="278"/>
      <c r="R66" s="278"/>
      <c r="S66" s="278"/>
      <c r="T66" s="278"/>
    </row>
    <row r="67" spans="4:20" ht="24" x14ac:dyDescent="0.2">
      <c r="D67" s="188"/>
      <c r="E67" s="566" t="s">
        <v>137</v>
      </c>
      <c r="F67" s="567"/>
      <c r="G67" s="120" t="s">
        <v>138</v>
      </c>
      <c r="H67" s="399">
        <f>80000</f>
        <v>80000</v>
      </c>
      <c r="I67" s="118">
        <f>H67+J67</f>
        <v>116731</v>
      </c>
      <c r="J67" s="344">
        <f t="shared" si="36"/>
        <v>36731</v>
      </c>
      <c r="K67" s="278"/>
      <c r="L67" s="278">
        <f>18500+51+797+2272+1692+4618+7267+1534</f>
        <v>36731</v>
      </c>
      <c r="M67" s="278"/>
      <c r="N67" s="278"/>
      <c r="O67" s="278"/>
      <c r="P67" s="278"/>
      <c r="Q67" s="278"/>
      <c r="R67" s="278"/>
      <c r="S67" s="278"/>
      <c r="T67" s="278"/>
    </row>
    <row r="68" spans="4:20" s="187" customFormat="1" ht="48" x14ac:dyDescent="0.2">
      <c r="D68" s="576" t="s">
        <v>95</v>
      </c>
      <c r="E68" s="577"/>
      <c r="F68" s="577"/>
      <c r="G68" s="58" t="s">
        <v>191</v>
      </c>
      <c r="H68" s="33">
        <f>SUM(H75,H73,H70,H69,H74)</f>
        <v>2169387</v>
      </c>
      <c r="I68" s="46">
        <f>SUM(I75,I73,I70,I69,I74)</f>
        <v>2169387</v>
      </c>
      <c r="J68" s="335">
        <f t="shared" ref="J68:T68" si="37">SUM(J75,J73,J70,J69,J74)</f>
        <v>0</v>
      </c>
      <c r="K68" s="336">
        <f t="shared" si="37"/>
        <v>0</v>
      </c>
      <c r="L68" s="336">
        <f t="shared" si="37"/>
        <v>0</v>
      </c>
      <c r="M68" s="336">
        <f t="shared" si="37"/>
        <v>0</v>
      </c>
      <c r="N68" s="336">
        <f t="shared" si="37"/>
        <v>0</v>
      </c>
      <c r="O68" s="336">
        <f t="shared" si="37"/>
        <v>0</v>
      </c>
      <c r="P68" s="336">
        <f t="shared" si="37"/>
        <v>0</v>
      </c>
      <c r="Q68" s="336">
        <f t="shared" si="37"/>
        <v>0</v>
      </c>
      <c r="R68" s="336">
        <f t="shared" si="37"/>
        <v>0</v>
      </c>
      <c r="S68" s="336">
        <f t="shared" si="37"/>
        <v>0</v>
      </c>
      <c r="T68" s="337">
        <f t="shared" si="37"/>
        <v>0</v>
      </c>
    </row>
    <row r="69" spans="4:20" s="186" customFormat="1" ht="12.75" x14ac:dyDescent="0.2">
      <c r="D69" s="114"/>
      <c r="E69" s="115" t="s">
        <v>269</v>
      </c>
      <c r="F69" s="115"/>
      <c r="G69" s="116" t="s">
        <v>268</v>
      </c>
      <c r="H69" s="400">
        <v>0</v>
      </c>
      <c r="I69" s="47">
        <f>H69+J69</f>
        <v>0</v>
      </c>
      <c r="J69" s="376">
        <f>SUM(K69:T69)</f>
        <v>0</v>
      </c>
      <c r="K69" s="377"/>
      <c r="L69" s="377"/>
      <c r="M69" s="377"/>
      <c r="N69" s="377"/>
      <c r="O69" s="377"/>
      <c r="P69" s="377"/>
      <c r="Q69" s="377"/>
      <c r="R69" s="377"/>
      <c r="S69" s="377"/>
      <c r="T69" s="377"/>
    </row>
    <row r="70" spans="4:20" s="186" customFormat="1" x14ac:dyDescent="0.2">
      <c r="D70" s="34"/>
      <c r="E70" s="568" t="s">
        <v>282</v>
      </c>
      <c r="F70" s="568"/>
      <c r="G70" s="35" t="s">
        <v>285</v>
      </c>
      <c r="H70" s="36">
        <f>SUM(H71:H72)</f>
        <v>1918828</v>
      </c>
      <c r="I70" s="47">
        <f>SUM(I71:I72)</f>
        <v>1918828</v>
      </c>
      <c r="J70" s="338">
        <f t="shared" ref="J70:T70" si="38">SUM(J71:J72)</f>
        <v>0</v>
      </c>
      <c r="K70" s="339">
        <f t="shared" si="38"/>
        <v>0</v>
      </c>
      <c r="L70" s="339">
        <f t="shared" si="38"/>
        <v>0</v>
      </c>
      <c r="M70" s="339">
        <f t="shared" si="38"/>
        <v>0</v>
      </c>
      <c r="N70" s="339">
        <f t="shared" si="38"/>
        <v>0</v>
      </c>
      <c r="O70" s="339">
        <f t="shared" si="38"/>
        <v>0</v>
      </c>
      <c r="P70" s="339">
        <f t="shared" si="38"/>
        <v>0</v>
      </c>
      <c r="Q70" s="339">
        <f t="shared" si="38"/>
        <v>0</v>
      </c>
      <c r="R70" s="339">
        <f t="shared" si="38"/>
        <v>0</v>
      </c>
      <c r="S70" s="339">
        <f t="shared" si="38"/>
        <v>0</v>
      </c>
      <c r="T70" s="340">
        <f t="shared" si="38"/>
        <v>0</v>
      </c>
    </row>
    <row r="71" spans="4:20" s="186" customFormat="1" x14ac:dyDescent="0.2">
      <c r="D71" s="34"/>
      <c r="E71" s="580" t="s">
        <v>162</v>
      </c>
      <c r="F71" s="580"/>
      <c r="G71" s="49" t="s">
        <v>163</v>
      </c>
      <c r="H71" s="390">
        <f>1918828</f>
        <v>1918828</v>
      </c>
      <c r="I71" s="50">
        <f t="shared" ref="I71:I74" si="39">H71+J71</f>
        <v>1918828</v>
      </c>
      <c r="J71" s="376">
        <f t="shared" ref="J71:J74" si="40">SUM(K71:T71)</f>
        <v>0</v>
      </c>
      <c r="K71" s="377"/>
      <c r="L71" s="377"/>
      <c r="M71" s="377"/>
      <c r="N71" s="377"/>
      <c r="O71" s="377"/>
      <c r="P71" s="377"/>
      <c r="Q71" s="377"/>
      <c r="R71" s="377"/>
      <c r="S71" s="377"/>
      <c r="T71" s="377"/>
    </row>
    <row r="72" spans="4:20" s="186" customFormat="1" x14ac:dyDescent="0.2">
      <c r="D72" s="34"/>
      <c r="E72" s="570" t="s">
        <v>283</v>
      </c>
      <c r="F72" s="570"/>
      <c r="G72" s="49" t="s">
        <v>284</v>
      </c>
      <c r="H72" s="390">
        <v>0</v>
      </c>
      <c r="I72" s="50">
        <f t="shared" si="39"/>
        <v>0</v>
      </c>
      <c r="J72" s="376">
        <f t="shared" si="40"/>
        <v>0</v>
      </c>
      <c r="K72" s="377"/>
      <c r="L72" s="377"/>
      <c r="M72" s="377"/>
      <c r="N72" s="377"/>
      <c r="O72" s="377"/>
      <c r="P72" s="377"/>
      <c r="Q72" s="377"/>
      <c r="R72" s="377"/>
      <c r="S72" s="377"/>
      <c r="T72" s="377"/>
    </row>
    <row r="73" spans="4:20" s="186" customFormat="1" ht="24" x14ac:dyDescent="0.2">
      <c r="D73" s="34"/>
      <c r="E73" s="581" t="s">
        <v>164</v>
      </c>
      <c r="F73" s="581"/>
      <c r="G73" s="49" t="s">
        <v>165</v>
      </c>
      <c r="H73" s="390">
        <v>0</v>
      </c>
      <c r="I73" s="50">
        <f t="shared" si="39"/>
        <v>0</v>
      </c>
      <c r="J73" s="376">
        <f t="shared" si="40"/>
        <v>0</v>
      </c>
      <c r="K73" s="377"/>
      <c r="L73" s="377"/>
      <c r="M73" s="377"/>
      <c r="N73" s="377"/>
      <c r="O73" s="377"/>
      <c r="P73" s="377"/>
      <c r="Q73" s="377"/>
      <c r="R73" s="377"/>
      <c r="S73" s="377"/>
      <c r="T73" s="377"/>
    </row>
    <row r="74" spans="4:20" s="186" customFormat="1" ht="24" x14ac:dyDescent="0.2">
      <c r="D74" s="34"/>
      <c r="E74" s="463" t="s">
        <v>286</v>
      </c>
      <c r="F74" s="463"/>
      <c r="G74" s="35" t="s">
        <v>513</v>
      </c>
      <c r="H74" s="36">
        <v>0</v>
      </c>
      <c r="I74" s="47">
        <f t="shared" si="39"/>
        <v>0</v>
      </c>
      <c r="J74" s="376">
        <f t="shared" si="40"/>
        <v>0</v>
      </c>
      <c r="K74" s="377"/>
      <c r="L74" s="377"/>
      <c r="M74" s="377"/>
      <c r="N74" s="377"/>
      <c r="O74" s="377"/>
      <c r="P74" s="377"/>
      <c r="Q74" s="377"/>
      <c r="R74" s="377"/>
      <c r="S74" s="377"/>
      <c r="T74" s="377"/>
    </row>
    <row r="75" spans="4:20" s="186" customFormat="1" ht="24" x14ac:dyDescent="0.2">
      <c r="D75" s="34"/>
      <c r="E75" s="568" t="s">
        <v>167</v>
      </c>
      <c r="F75" s="568"/>
      <c r="G75" s="35" t="s">
        <v>129</v>
      </c>
      <c r="H75" s="36">
        <f>SUM(H76:H78)</f>
        <v>250559</v>
      </c>
      <c r="I75" s="47">
        <f>SUM(I76:I78)</f>
        <v>250559</v>
      </c>
      <c r="J75" s="338">
        <f t="shared" ref="J75:T75" si="41">SUM(J76:J78)</f>
        <v>0</v>
      </c>
      <c r="K75" s="339">
        <f t="shared" si="41"/>
        <v>0</v>
      </c>
      <c r="L75" s="339">
        <f t="shared" si="41"/>
        <v>0</v>
      </c>
      <c r="M75" s="339">
        <f t="shared" si="41"/>
        <v>0</v>
      </c>
      <c r="N75" s="339">
        <f t="shared" si="41"/>
        <v>0</v>
      </c>
      <c r="O75" s="339">
        <f t="shared" si="41"/>
        <v>0</v>
      </c>
      <c r="P75" s="339">
        <f t="shared" si="41"/>
        <v>0</v>
      </c>
      <c r="Q75" s="339">
        <f t="shared" si="41"/>
        <v>0</v>
      </c>
      <c r="R75" s="339">
        <f t="shared" si="41"/>
        <v>0</v>
      </c>
      <c r="S75" s="339">
        <f t="shared" si="41"/>
        <v>0</v>
      </c>
      <c r="T75" s="340">
        <f t="shared" si="41"/>
        <v>0</v>
      </c>
    </row>
    <row r="76" spans="4:20" x14ac:dyDescent="0.2">
      <c r="D76" s="37"/>
      <c r="E76" s="580" t="s">
        <v>168</v>
      </c>
      <c r="F76" s="580"/>
      <c r="G76" s="38" t="s">
        <v>130</v>
      </c>
      <c r="H76" s="387">
        <f>130000</f>
        <v>130000</v>
      </c>
      <c r="I76" s="39">
        <f t="shared" ref="I76:I78" si="42">H76+J76</f>
        <v>130000</v>
      </c>
      <c r="J76" s="344">
        <f t="shared" ref="J76:J78" si="43">SUM(K76:T76)</f>
        <v>0</v>
      </c>
      <c r="K76" s="278"/>
      <c r="L76" s="278"/>
      <c r="M76" s="278"/>
      <c r="N76" s="278"/>
      <c r="O76" s="278"/>
      <c r="P76" s="278"/>
      <c r="Q76" s="278"/>
      <c r="R76" s="278"/>
      <c r="S76" s="278"/>
      <c r="T76" s="278"/>
    </row>
    <row r="77" spans="4:20" x14ac:dyDescent="0.2">
      <c r="D77" s="48"/>
      <c r="E77" s="570" t="s">
        <v>169</v>
      </c>
      <c r="F77" s="570"/>
      <c r="G77" s="49" t="s">
        <v>131</v>
      </c>
      <c r="H77" s="390">
        <f>57000</f>
        <v>57000</v>
      </c>
      <c r="I77" s="50">
        <f t="shared" si="42"/>
        <v>57000</v>
      </c>
      <c r="J77" s="344">
        <f t="shared" si="43"/>
        <v>0</v>
      </c>
      <c r="K77" s="278"/>
      <c r="L77" s="278"/>
      <c r="M77" s="278"/>
      <c r="N77" s="278"/>
      <c r="O77" s="278"/>
      <c r="P77" s="278"/>
      <c r="Q77" s="278"/>
      <c r="R77" s="278"/>
      <c r="S77" s="278"/>
      <c r="T77" s="278"/>
    </row>
    <row r="78" spans="4:20" x14ac:dyDescent="0.2">
      <c r="D78" s="59"/>
      <c r="E78" s="579" t="s">
        <v>170</v>
      </c>
      <c r="F78" s="579"/>
      <c r="G78" s="60" t="s">
        <v>132</v>
      </c>
      <c r="H78" s="395">
        <f>63559</f>
        <v>63559</v>
      </c>
      <c r="I78" s="61">
        <f t="shared" si="42"/>
        <v>63559</v>
      </c>
      <c r="J78" s="344">
        <f t="shared" si="43"/>
        <v>0</v>
      </c>
      <c r="K78" s="278"/>
      <c r="L78" s="278"/>
      <c r="M78" s="278"/>
      <c r="N78" s="278"/>
      <c r="O78" s="278"/>
      <c r="P78" s="278"/>
      <c r="Q78" s="278"/>
      <c r="R78" s="278"/>
      <c r="S78" s="278"/>
      <c r="T78" s="278"/>
    </row>
    <row r="79" spans="4:20" s="187" customFormat="1" x14ac:dyDescent="0.2">
      <c r="D79" s="576" t="s">
        <v>96</v>
      </c>
      <c r="E79" s="577"/>
      <c r="F79" s="577"/>
      <c r="G79" s="58" t="s">
        <v>97</v>
      </c>
      <c r="H79" s="33">
        <f t="shared" ref="H79:T79" si="44">SUM(H80)</f>
        <v>12778218</v>
      </c>
      <c r="I79" s="46">
        <f t="shared" si="44"/>
        <v>11721951</v>
      </c>
      <c r="J79" s="335">
        <f t="shared" si="44"/>
        <v>-1056267</v>
      </c>
      <c r="K79" s="336">
        <f t="shared" si="44"/>
        <v>7491</v>
      </c>
      <c r="L79" s="336">
        <f t="shared" si="44"/>
        <v>-1102988</v>
      </c>
      <c r="M79" s="336">
        <f t="shared" si="44"/>
        <v>0</v>
      </c>
      <c r="N79" s="336">
        <f t="shared" si="44"/>
        <v>39230</v>
      </c>
      <c r="O79" s="336">
        <f t="shared" si="44"/>
        <v>0</v>
      </c>
      <c r="P79" s="336">
        <f t="shared" si="44"/>
        <v>0</v>
      </c>
      <c r="Q79" s="336">
        <f t="shared" si="44"/>
        <v>0</v>
      </c>
      <c r="R79" s="336">
        <f t="shared" si="44"/>
        <v>0</v>
      </c>
      <c r="S79" s="336">
        <f t="shared" si="44"/>
        <v>0</v>
      </c>
      <c r="T79" s="337">
        <f t="shared" si="44"/>
        <v>0</v>
      </c>
    </row>
    <row r="80" spans="4:20" s="186" customFormat="1" x14ac:dyDescent="0.2">
      <c r="D80" s="34"/>
      <c r="E80" s="568" t="s">
        <v>98</v>
      </c>
      <c r="F80" s="568"/>
      <c r="G80" s="35" t="s">
        <v>316</v>
      </c>
      <c r="H80" s="36">
        <f t="shared" ref="H80:T80" si="45">SUM(,H81,H82,H83)</f>
        <v>12778218</v>
      </c>
      <c r="I80" s="47">
        <f t="shared" si="45"/>
        <v>11721951</v>
      </c>
      <c r="J80" s="338">
        <f t="shared" si="45"/>
        <v>-1056267</v>
      </c>
      <c r="K80" s="339">
        <f t="shared" si="45"/>
        <v>7491</v>
      </c>
      <c r="L80" s="339">
        <f t="shared" si="45"/>
        <v>-1102988</v>
      </c>
      <c r="M80" s="339">
        <f t="shared" si="45"/>
        <v>0</v>
      </c>
      <c r="N80" s="339">
        <f>SUM(,N81,N82,N83)</f>
        <v>39230</v>
      </c>
      <c r="O80" s="339">
        <f t="shared" si="45"/>
        <v>0</v>
      </c>
      <c r="P80" s="339">
        <f t="shared" si="45"/>
        <v>0</v>
      </c>
      <c r="Q80" s="339">
        <f t="shared" si="45"/>
        <v>0</v>
      </c>
      <c r="R80" s="339">
        <f t="shared" si="45"/>
        <v>0</v>
      </c>
      <c r="S80" s="339">
        <f t="shared" si="45"/>
        <v>0</v>
      </c>
      <c r="T80" s="340">
        <f t="shared" si="45"/>
        <v>0</v>
      </c>
    </row>
    <row r="81" spans="4:20" ht="24" x14ac:dyDescent="0.2">
      <c r="D81" s="48"/>
      <c r="E81" s="570" t="s">
        <v>99</v>
      </c>
      <c r="F81" s="570"/>
      <c r="G81" s="49" t="s">
        <v>312</v>
      </c>
      <c r="H81" s="390">
        <f>8935871+7000+227558</f>
        <v>9170429</v>
      </c>
      <c r="I81" s="50">
        <f t="shared" ref="I81:I83" si="46">H81+J81</f>
        <v>9261763</v>
      </c>
      <c r="J81" s="344">
        <f t="shared" ref="J81:J83" si="47">SUM(K81:T81)</f>
        <v>91334</v>
      </c>
      <c r="K81" s="278"/>
      <c r="L81" s="278">
        <f>-18500+2660+2710-2182-36480+100932+8399+29795</f>
        <v>87334</v>
      </c>
      <c r="M81" s="278"/>
      <c r="N81" s="278">
        <v>4000</v>
      </c>
      <c r="O81" s="278"/>
      <c r="P81" s="278"/>
      <c r="Q81" s="278"/>
      <c r="R81" s="278"/>
      <c r="S81" s="278"/>
      <c r="T81" s="278"/>
    </row>
    <row r="82" spans="4:20" ht="48" x14ac:dyDescent="0.2">
      <c r="D82" s="48"/>
      <c r="E82" s="570" t="s">
        <v>139</v>
      </c>
      <c r="F82" s="570"/>
      <c r="G82" s="49" t="s">
        <v>313</v>
      </c>
      <c r="H82" s="390">
        <f>3569359</f>
        <v>3569359</v>
      </c>
      <c r="I82" s="50">
        <f t="shared" si="46"/>
        <v>2401758</v>
      </c>
      <c r="J82" s="344">
        <f t="shared" si="47"/>
        <v>-1167601</v>
      </c>
      <c r="K82" s="278">
        <v>7491</v>
      </c>
      <c r="L82" s="278">
        <f>-1199113+8791</f>
        <v>-1190322</v>
      </c>
      <c r="M82" s="278"/>
      <c r="N82" s="278">
        <v>15230</v>
      </c>
      <c r="O82" s="278"/>
      <c r="P82" s="278"/>
      <c r="Q82" s="278"/>
      <c r="R82" s="278"/>
      <c r="S82" s="278"/>
      <c r="T82" s="278"/>
    </row>
    <row r="83" spans="4:20" ht="24" x14ac:dyDescent="0.2">
      <c r="D83" s="59"/>
      <c r="E83" s="579" t="s">
        <v>140</v>
      </c>
      <c r="F83" s="579"/>
      <c r="G83" s="60" t="s">
        <v>314</v>
      </c>
      <c r="H83" s="395">
        <f>38430</f>
        <v>38430</v>
      </c>
      <c r="I83" s="61">
        <f t="shared" si="46"/>
        <v>58430</v>
      </c>
      <c r="J83" s="344">
        <f t="shared" si="47"/>
        <v>20000</v>
      </c>
      <c r="K83" s="278"/>
      <c r="L83" s="278"/>
      <c r="M83" s="278"/>
      <c r="N83" s="278">
        <v>20000</v>
      </c>
      <c r="O83" s="278"/>
      <c r="P83" s="278"/>
      <c r="Q83" s="278"/>
      <c r="R83" s="278"/>
      <c r="S83" s="278"/>
      <c r="T83" s="278"/>
    </row>
    <row r="84" spans="4:20" s="187" customFormat="1" x14ac:dyDescent="0.2">
      <c r="D84" s="576" t="s">
        <v>100</v>
      </c>
      <c r="E84" s="577"/>
      <c r="F84" s="577"/>
      <c r="G84" s="58" t="s">
        <v>101</v>
      </c>
      <c r="H84" s="33">
        <f>SUM(H85,H86)</f>
        <v>420700</v>
      </c>
      <c r="I84" s="46">
        <f>SUM(I85,I86)</f>
        <v>420700</v>
      </c>
      <c r="J84" s="335">
        <f>SUM(J85,J86)</f>
        <v>0</v>
      </c>
      <c r="K84" s="336">
        <f t="shared" ref="K84:T84" si="48">SUM(K85,K86)</f>
        <v>0</v>
      </c>
      <c r="L84" s="336">
        <f t="shared" si="48"/>
        <v>0</v>
      </c>
      <c r="M84" s="336">
        <f t="shared" si="48"/>
        <v>0</v>
      </c>
      <c r="N84" s="336">
        <f t="shared" si="48"/>
        <v>0</v>
      </c>
      <c r="O84" s="336">
        <f t="shared" si="48"/>
        <v>0</v>
      </c>
      <c r="P84" s="336">
        <f t="shared" si="48"/>
        <v>0</v>
      </c>
      <c r="Q84" s="336">
        <f t="shared" si="48"/>
        <v>0</v>
      </c>
      <c r="R84" s="336">
        <f t="shared" si="48"/>
        <v>0</v>
      </c>
      <c r="S84" s="336">
        <f t="shared" si="48"/>
        <v>0</v>
      </c>
      <c r="T84" s="337">
        <f t="shared" si="48"/>
        <v>0</v>
      </c>
    </row>
    <row r="85" spans="4:20" s="187" customFormat="1" ht="24" x14ac:dyDescent="0.2">
      <c r="D85" s="132"/>
      <c r="E85" s="568" t="s">
        <v>609</v>
      </c>
      <c r="F85" s="569"/>
      <c r="G85" s="35" t="s">
        <v>610</v>
      </c>
      <c r="H85" s="36">
        <v>0</v>
      </c>
      <c r="I85" s="47">
        <f>H85+J85</f>
        <v>0</v>
      </c>
      <c r="J85" s="378">
        <f>SUM(K85:T85)</f>
        <v>0</v>
      </c>
      <c r="K85" s="379"/>
      <c r="L85" s="379"/>
      <c r="M85" s="379"/>
      <c r="N85" s="379"/>
      <c r="O85" s="379"/>
      <c r="P85" s="379"/>
      <c r="Q85" s="379"/>
      <c r="R85" s="379"/>
      <c r="S85" s="379"/>
      <c r="T85" s="379"/>
    </row>
    <row r="86" spans="4:20" s="186" customFormat="1" ht="24" x14ac:dyDescent="0.2">
      <c r="D86" s="34"/>
      <c r="E86" s="568" t="s">
        <v>102</v>
      </c>
      <c r="F86" s="568"/>
      <c r="G86" s="35" t="s">
        <v>315</v>
      </c>
      <c r="H86" s="36">
        <f t="shared" ref="H86:T86" si="49">SUM(H88,H87)</f>
        <v>420700</v>
      </c>
      <c r="I86" s="47">
        <f t="shared" si="49"/>
        <v>420700</v>
      </c>
      <c r="J86" s="338">
        <f t="shared" si="49"/>
        <v>0</v>
      </c>
      <c r="K86" s="339">
        <f t="shared" si="49"/>
        <v>0</v>
      </c>
      <c r="L86" s="339">
        <f t="shared" si="49"/>
        <v>0</v>
      </c>
      <c r="M86" s="339">
        <f t="shared" si="49"/>
        <v>0</v>
      </c>
      <c r="N86" s="339">
        <f t="shared" si="49"/>
        <v>0</v>
      </c>
      <c r="O86" s="339">
        <f t="shared" si="49"/>
        <v>0</v>
      </c>
      <c r="P86" s="339">
        <f t="shared" si="49"/>
        <v>0</v>
      </c>
      <c r="Q86" s="339">
        <f t="shared" si="49"/>
        <v>0</v>
      </c>
      <c r="R86" s="339">
        <f t="shared" si="49"/>
        <v>0</v>
      </c>
      <c r="S86" s="339">
        <f t="shared" si="49"/>
        <v>0</v>
      </c>
      <c r="T86" s="340">
        <f t="shared" si="49"/>
        <v>0</v>
      </c>
    </row>
    <row r="87" spans="4:20" x14ac:dyDescent="0.2">
      <c r="D87" s="37"/>
      <c r="E87" s="580" t="s">
        <v>103</v>
      </c>
      <c r="F87" s="580"/>
      <c r="G87" s="38" t="s">
        <v>104</v>
      </c>
      <c r="H87" s="387">
        <f>420000</f>
        <v>420000</v>
      </c>
      <c r="I87" s="39">
        <f t="shared" ref="I87:I88" si="50">H87+J87</f>
        <v>420000</v>
      </c>
      <c r="J87" s="344">
        <f t="shared" ref="J87:J88" si="51">SUM(K87:T87)</f>
        <v>0</v>
      </c>
      <c r="K87" s="278"/>
      <c r="L87" s="278"/>
      <c r="M87" s="278"/>
      <c r="N87" s="278"/>
      <c r="O87" s="278"/>
      <c r="P87" s="278"/>
      <c r="Q87" s="278"/>
      <c r="R87" s="278"/>
      <c r="S87" s="278"/>
      <c r="T87" s="278"/>
    </row>
    <row r="88" spans="4:20" x14ac:dyDescent="0.2">
      <c r="D88" s="59"/>
      <c r="E88" s="580" t="s">
        <v>105</v>
      </c>
      <c r="F88" s="580"/>
      <c r="G88" s="60" t="s">
        <v>265</v>
      </c>
      <c r="H88" s="395">
        <f>700</f>
        <v>700</v>
      </c>
      <c r="I88" s="61">
        <f t="shared" si="50"/>
        <v>700</v>
      </c>
      <c r="J88" s="344">
        <f t="shared" si="51"/>
        <v>0</v>
      </c>
      <c r="K88" s="278"/>
      <c r="L88" s="278"/>
      <c r="M88" s="278"/>
      <c r="N88" s="278"/>
      <c r="O88" s="278"/>
      <c r="P88" s="278"/>
      <c r="Q88" s="278"/>
      <c r="R88" s="278"/>
      <c r="S88" s="278"/>
      <c r="T88" s="278"/>
    </row>
    <row r="89" spans="4:20" s="187" customFormat="1" x14ac:dyDescent="0.2">
      <c r="D89" s="576" t="s">
        <v>106</v>
      </c>
      <c r="E89" s="577"/>
      <c r="F89" s="578"/>
      <c r="G89" s="58" t="s">
        <v>707</v>
      </c>
      <c r="H89" s="33">
        <f>SUM(H90,H93,H110)</f>
        <v>1498743</v>
      </c>
      <c r="I89" s="46">
        <f t="shared" ref="I89:T89" si="52">SUM(I90,I93,I110)</f>
        <v>1603910</v>
      </c>
      <c r="J89" s="335">
        <f>SUM(J90,J93,J110)</f>
        <v>105167</v>
      </c>
      <c r="K89" s="336">
        <f t="shared" si="52"/>
        <v>0</v>
      </c>
      <c r="L89" s="336">
        <f t="shared" si="52"/>
        <v>20158</v>
      </c>
      <c r="M89" s="336">
        <f t="shared" si="52"/>
        <v>46703</v>
      </c>
      <c r="N89" s="336">
        <f t="shared" si="52"/>
        <v>38306</v>
      </c>
      <c r="O89" s="336">
        <f>SUM(O90,O93,O110)</f>
        <v>0</v>
      </c>
      <c r="P89" s="336">
        <f t="shared" si="52"/>
        <v>0</v>
      </c>
      <c r="Q89" s="336">
        <f t="shared" si="52"/>
        <v>0</v>
      </c>
      <c r="R89" s="336">
        <f t="shared" si="52"/>
        <v>0</v>
      </c>
      <c r="S89" s="336">
        <f t="shared" si="52"/>
        <v>0</v>
      </c>
      <c r="T89" s="337">
        <f t="shared" si="52"/>
        <v>0</v>
      </c>
    </row>
    <row r="90" spans="4:20" s="186" customFormat="1" x14ac:dyDescent="0.2">
      <c r="D90" s="67"/>
      <c r="E90" s="568" t="s">
        <v>107</v>
      </c>
      <c r="F90" s="569"/>
      <c r="G90" s="111" t="s">
        <v>708</v>
      </c>
      <c r="H90" s="401">
        <f>SUM(H91:H92)</f>
        <v>0</v>
      </c>
      <c r="I90" s="47">
        <f>SUM(I91:I92)</f>
        <v>0</v>
      </c>
      <c r="J90" s="338">
        <f t="shared" ref="J90:T90" si="53">SUM(J91:J92)</f>
        <v>0</v>
      </c>
      <c r="K90" s="339">
        <f t="shared" si="53"/>
        <v>0</v>
      </c>
      <c r="L90" s="339">
        <f t="shared" si="53"/>
        <v>0</v>
      </c>
      <c r="M90" s="339">
        <f t="shared" si="53"/>
        <v>0</v>
      </c>
      <c r="N90" s="339">
        <f t="shared" si="53"/>
        <v>0</v>
      </c>
      <c r="O90" s="339">
        <f t="shared" si="53"/>
        <v>0</v>
      </c>
      <c r="P90" s="339">
        <f t="shared" si="53"/>
        <v>0</v>
      </c>
      <c r="Q90" s="339">
        <f t="shared" si="53"/>
        <v>0</v>
      </c>
      <c r="R90" s="339">
        <f t="shared" si="53"/>
        <v>0</v>
      </c>
      <c r="S90" s="339">
        <f t="shared" si="53"/>
        <v>0</v>
      </c>
      <c r="T90" s="340">
        <f t="shared" si="53"/>
        <v>0</v>
      </c>
    </row>
    <row r="91" spans="4:20" ht="48" x14ac:dyDescent="0.2">
      <c r="D91" s="190"/>
      <c r="E91" s="572" t="s">
        <v>166</v>
      </c>
      <c r="F91" s="573"/>
      <c r="G91" s="92" t="s">
        <v>709</v>
      </c>
      <c r="H91" s="398">
        <v>0</v>
      </c>
      <c r="I91" s="93">
        <f t="shared" ref="I91:I92" si="54">H91+J91</f>
        <v>0</v>
      </c>
      <c r="J91" s="344">
        <f t="shared" ref="J91:J92" si="55">SUM(K91:T91)</f>
        <v>0</v>
      </c>
      <c r="K91" s="278"/>
      <c r="L91" s="278"/>
      <c r="M91" s="278"/>
      <c r="N91" s="278"/>
      <c r="O91" s="278"/>
      <c r="P91" s="278"/>
      <c r="Q91" s="278"/>
      <c r="R91" s="278"/>
      <c r="S91" s="278"/>
      <c r="T91" s="278"/>
    </row>
    <row r="92" spans="4:20" ht="24" x14ac:dyDescent="0.2">
      <c r="D92" s="191"/>
      <c r="E92" s="566" t="s">
        <v>295</v>
      </c>
      <c r="F92" s="567"/>
      <c r="G92" s="120" t="s">
        <v>296</v>
      </c>
      <c r="H92" s="399">
        <v>0</v>
      </c>
      <c r="I92" s="118">
        <f t="shared" si="54"/>
        <v>0</v>
      </c>
      <c r="J92" s="344">
        <f t="shared" si="55"/>
        <v>0</v>
      </c>
      <c r="K92" s="278"/>
      <c r="L92" s="278"/>
      <c r="M92" s="278"/>
      <c r="N92" s="278"/>
      <c r="O92" s="278"/>
      <c r="P92" s="278"/>
      <c r="Q92" s="278"/>
      <c r="R92" s="278"/>
      <c r="S92" s="278"/>
      <c r="T92" s="278"/>
    </row>
    <row r="93" spans="4:20" s="186" customFormat="1" ht="24" x14ac:dyDescent="0.2">
      <c r="D93" s="34"/>
      <c r="E93" s="568" t="s">
        <v>108</v>
      </c>
      <c r="F93" s="569"/>
      <c r="G93" s="35" t="s">
        <v>710</v>
      </c>
      <c r="H93" s="36">
        <f>SUM(H94,H98,H100,H104)</f>
        <v>1450173</v>
      </c>
      <c r="I93" s="47">
        <f t="shared" ref="I93:T93" si="56">SUM(I94,I98,I100,I104)</f>
        <v>1519903</v>
      </c>
      <c r="J93" s="338">
        <f t="shared" si="56"/>
        <v>69730</v>
      </c>
      <c r="K93" s="339">
        <f t="shared" si="56"/>
        <v>0</v>
      </c>
      <c r="L93" s="339">
        <f t="shared" si="56"/>
        <v>19452</v>
      </c>
      <c r="M93" s="339">
        <f t="shared" si="56"/>
        <v>46703</v>
      </c>
      <c r="N93" s="339">
        <f t="shared" si="56"/>
        <v>3575</v>
      </c>
      <c r="O93" s="339">
        <f t="shared" si="56"/>
        <v>0</v>
      </c>
      <c r="P93" s="339">
        <f t="shared" si="56"/>
        <v>0</v>
      </c>
      <c r="Q93" s="339">
        <f t="shared" si="56"/>
        <v>0</v>
      </c>
      <c r="R93" s="339">
        <f t="shared" si="56"/>
        <v>0</v>
      </c>
      <c r="S93" s="339">
        <f t="shared" si="56"/>
        <v>0</v>
      </c>
      <c r="T93" s="340">
        <f t="shared" si="56"/>
        <v>0</v>
      </c>
    </row>
    <row r="94" spans="4:20" x14ac:dyDescent="0.2">
      <c r="D94" s="37"/>
      <c r="E94" s="570" t="s">
        <v>109</v>
      </c>
      <c r="F94" s="571"/>
      <c r="G94" s="38" t="s">
        <v>110</v>
      </c>
      <c r="H94" s="387">
        <f t="shared" ref="H94:T94" si="57">SUM(H95:H97)</f>
        <v>161519</v>
      </c>
      <c r="I94" s="39">
        <f t="shared" si="57"/>
        <v>179821</v>
      </c>
      <c r="J94" s="332">
        <f t="shared" si="57"/>
        <v>18302</v>
      </c>
      <c r="K94" s="333">
        <f t="shared" si="57"/>
        <v>0</v>
      </c>
      <c r="L94" s="333">
        <f t="shared" si="57"/>
        <v>14727</v>
      </c>
      <c r="M94" s="333">
        <f t="shared" si="57"/>
        <v>0</v>
      </c>
      <c r="N94" s="333">
        <f t="shared" si="57"/>
        <v>3575</v>
      </c>
      <c r="O94" s="333">
        <f t="shared" si="57"/>
        <v>0</v>
      </c>
      <c r="P94" s="333">
        <f t="shared" si="57"/>
        <v>0</v>
      </c>
      <c r="Q94" s="333">
        <f t="shared" si="57"/>
        <v>0</v>
      </c>
      <c r="R94" s="333">
        <f t="shared" si="57"/>
        <v>0</v>
      </c>
      <c r="S94" s="333">
        <f t="shared" si="57"/>
        <v>0</v>
      </c>
      <c r="T94" s="334">
        <f t="shared" si="57"/>
        <v>0</v>
      </c>
    </row>
    <row r="95" spans="4:20" x14ac:dyDescent="0.2">
      <c r="D95" s="40"/>
      <c r="E95" s="572" t="s">
        <v>111</v>
      </c>
      <c r="F95" s="573"/>
      <c r="G95" s="44" t="s">
        <v>227</v>
      </c>
      <c r="H95" s="391">
        <f>107393</f>
        <v>107393</v>
      </c>
      <c r="I95" s="42">
        <f t="shared" ref="I95:I97" si="58">H95+J95</f>
        <v>107393</v>
      </c>
      <c r="J95" s="344">
        <f t="shared" ref="J95:J97" si="59">SUM(K95:T95)</f>
        <v>0</v>
      </c>
      <c r="K95" s="278"/>
      <c r="L95" s="278"/>
      <c r="M95" s="278"/>
      <c r="N95" s="278"/>
      <c r="O95" s="278"/>
      <c r="P95" s="278"/>
      <c r="Q95" s="278"/>
      <c r="R95" s="278"/>
      <c r="S95" s="278"/>
      <c r="T95" s="278"/>
    </row>
    <row r="96" spans="4:20" x14ac:dyDescent="0.2">
      <c r="D96" s="62"/>
      <c r="E96" s="554" t="s">
        <v>112</v>
      </c>
      <c r="F96" s="555"/>
      <c r="G96" s="63" t="s">
        <v>113</v>
      </c>
      <c r="H96" s="388">
        <f>36196</f>
        <v>36196</v>
      </c>
      <c r="I96" s="42">
        <f t="shared" si="58"/>
        <v>54498</v>
      </c>
      <c r="J96" s="344">
        <f t="shared" si="59"/>
        <v>18302</v>
      </c>
      <c r="K96" s="278"/>
      <c r="L96" s="278">
        <f>14727</f>
        <v>14727</v>
      </c>
      <c r="M96" s="278"/>
      <c r="N96" s="278">
        <v>3575</v>
      </c>
      <c r="O96" s="278"/>
      <c r="P96" s="278"/>
      <c r="Q96" s="278"/>
      <c r="R96" s="278"/>
      <c r="S96" s="278"/>
      <c r="T96" s="278"/>
    </row>
    <row r="97" spans="4:20" x14ac:dyDescent="0.2">
      <c r="D97" s="43"/>
      <c r="E97" s="566" t="s">
        <v>114</v>
      </c>
      <c r="F97" s="567"/>
      <c r="G97" s="44" t="s">
        <v>228</v>
      </c>
      <c r="H97" s="391">
        <f>17930</f>
        <v>17930</v>
      </c>
      <c r="I97" s="42">
        <f t="shared" si="58"/>
        <v>17930</v>
      </c>
      <c r="J97" s="344">
        <f t="shared" si="59"/>
        <v>0</v>
      </c>
      <c r="K97" s="278"/>
      <c r="L97" s="278"/>
      <c r="M97" s="278"/>
      <c r="N97" s="278"/>
      <c r="O97" s="278"/>
      <c r="P97" s="278"/>
      <c r="Q97" s="278"/>
      <c r="R97" s="278"/>
      <c r="S97" s="278"/>
      <c r="T97" s="278"/>
    </row>
    <row r="98" spans="4:20" ht="24" x14ac:dyDescent="0.2">
      <c r="D98" s="48"/>
      <c r="E98" s="570" t="s">
        <v>115</v>
      </c>
      <c r="F98" s="571"/>
      <c r="G98" s="49" t="s">
        <v>116</v>
      </c>
      <c r="H98" s="390">
        <f>SUM(H99:H99)</f>
        <v>44210</v>
      </c>
      <c r="I98" s="50">
        <f>SUM(I99:I99)</f>
        <v>44210</v>
      </c>
      <c r="J98" s="341">
        <f t="shared" ref="J98:T98" si="60">SUM(J99:J99)</f>
        <v>0</v>
      </c>
      <c r="K98" s="342">
        <f t="shared" si="60"/>
        <v>0</v>
      </c>
      <c r="L98" s="342">
        <f t="shared" si="60"/>
        <v>0</v>
      </c>
      <c r="M98" s="342">
        <f t="shared" si="60"/>
        <v>0</v>
      </c>
      <c r="N98" s="342">
        <f t="shared" si="60"/>
        <v>0</v>
      </c>
      <c r="O98" s="342">
        <f t="shared" si="60"/>
        <v>0</v>
      </c>
      <c r="P98" s="342">
        <f t="shared" si="60"/>
        <v>0</v>
      </c>
      <c r="Q98" s="342">
        <f t="shared" si="60"/>
        <v>0</v>
      </c>
      <c r="R98" s="342">
        <f t="shared" si="60"/>
        <v>0</v>
      </c>
      <c r="S98" s="342">
        <f t="shared" si="60"/>
        <v>0</v>
      </c>
      <c r="T98" s="343">
        <f t="shared" si="60"/>
        <v>0</v>
      </c>
    </row>
    <row r="99" spans="4:20" ht="24" x14ac:dyDescent="0.2">
      <c r="D99" s="52"/>
      <c r="E99" s="574" t="s">
        <v>117</v>
      </c>
      <c r="F99" s="575"/>
      <c r="G99" s="63" t="s">
        <v>229</v>
      </c>
      <c r="H99" s="388">
        <f>44210</f>
        <v>44210</v>
      </c>
      <c r="I99" s="42">
        <f>H99+J99</f>
        <v>44210</v>
      </c>
      <c r="J99" s="344">
        <f>SUM(K99:T99)</f>
        <v>0</v>
      </c>
      <c r="K99" s="278"/>
      <c r="L99" s="278"/>
      <c r="M99" s="278"/>
      <c r="N99" s="278"/>
      <c r="O99" s="278"/>
      <c r="P99" s="278"/>
      <c r="Q99" s="278"/>
      <c r="R99" s="278"/>
      <c r="S99" s="278"/>
      <c r="T99" s="278"/>
    </row>
    <row r="100" spans="4:20" x14ac:dyDescent="0.2">
      <c r="D100" s="48"/>
      <c r="E100" s="570" t="s">
        <v>118</v>
      </c>
      <c r="F100" s="571"/>
      <c r="G100" s="49" t="s">
        <v>231</v>
      </c>
      <c r="H100" s="390">
        <f t="shared" ref="H100:T100" si="61">SUM(H101:H103)</f>
        <v>236313</v>
      </c>
      <c r="I100" s="50">
        <f t="shared" si="61"/>
        <v>231338</v>
      </c>
      <c r="J100" s="341">
        <f t="shared" si="61"/>
        <v>-4975</v>
      </c>
      <c r="K100" s="342">
        <f t="shared" si="61"/>
        <v>0</v>
      </c>
      <c r="L100" s="342">
        <f t="shared" si="61"/>
        <v>525</v>
      </c>
      <c r="M100" s="342">
        <f t="shared" si="61"/>
        <v>0</v>
      </c>
      <c r="N100" s="342">
        <f t="shared" si="61"/>
        <v>0</v>
      </c>
      <c r="O100" s="342">
        <f t="shared" si="61"/>
        <v>-5500</v>
      </c>
      <c r="P100" s="342">
        <f t="shared" si="61"/>
        <v>0</v>
      </c>
      <c r="Q100" s="342">
        <f t="shared" si="61"/>
        <v>0</v>
      </c>
      <c r="R100" s="342">
        <f t="shared" si="61"/>
        <v>0</v>
      </c>
      <c r="S100" s="342">
        <f t="shared" si="61"/>
        <v>0</v>
      </c>
      <c r="T100" s="343">
        <f t="shared" si="61"/>
        <v>0</v>
      </c>
    </row>
    <row r="101" spans="4:20" x14ac:dyDescent="0.2">
      <c r="D101" s="40"/>
      <c r="E101" s="572" t="s">
        <v>119</v>
      </c>
      <c r="F101" s="573"/>
      <c r="G101" s="41" t="s">
        <v>183</v>
      </c>
      <c r="H101" s="388">
        <f>232715</f>
        <v>232715</v>
      </c>
      <c r="I101" s="42">
        <f t="shared" ref="I101:I103" si="62">H101+J101</f>
        <v>227740</v>
      </c>
      <c r="J101" s="344">
        <f t="shared" ref="J101:J103" si="63">SUM(K101:T101)</f>
        <v>-4975</v>
      </c>
      <c r="K101" s="278"/>
      <c r="L101" s="278">
        <f>525</f>
        <v>525</v>
      </c>
      <c r="M101" s="278"/>
      <c r="N101" s="278"/>
      <c r="O101" s="278">
        <v>-5500</v>
      </c>
      <c r="P101" s="278"/>
      <c r="Q101" s="278"/>
      <c r="R101" s="278"/>
      <c r="S101" s="278"/>
      <c r="T101" s="278"/>
    </row>
    <row r="102" spans="4:20" x14ac:dyDescent="0.2">
      <c r="D102" s="62"/>
      <c r="E102" s="554" t="s">
        <v>120</v>
      </c>
      <c r="F102" s="555"/>
      <c r="G102" s="63" t="s">
        <v>230</v>
      </c>
      <c r="H102" s="388">
        <f>3598</f>
        <v>3598</v>
      </c>
      <c r="I102" s="42">
        <f t="shared" si="62"/>
        <v>3598</v>
      </c>
      <c r="J102" s="344">
        <f t="shared" si="63"/>
        <v>0</v>
      </c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</row>
    <row r="103" spans="4:20" x14ac:dyDescent="0.2">
      <c r="D103" s="52"/>
      <c r="E103" s="464"/>
      <c r="F103" s="133" t="s">
        <v>330</v>
      </c>
      <c r="G103" s="53" t="s">
        <v>331</v>
      </c>
      <c r="H103" s="391">
        <v>0</v>
      </c>
      <c r="I103" s="42">
        <f t="shared" si="62"/>
        <v>0</v>
      </c>
      <c r="J103" s="344">
        <f t="shared" si="63"/>
        <v>0</v>
      </c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</row>
    <row r="104" spans="4:20" ht="24" x14ac:dyDescent="0.2">
      <c r="D104" s="48"/>
      <c r="E104" s="570" t="s">
        <v>121</v>
      </c>
      <c r="F104" s="571"/>
      <c r="G104" s="49" t="s">
        <v>711</v>
      </c>
      <c r="H104" s="390">
        <f t="shared" ref="H104:T104" si="64">SUM(H105:H109)</f>
        <v>1008131</v>
      </c>
      <c r="I104" s="50">
        <f t="shared" si="64"/>
        <v>1064534</v>
      </c>
      <c r="J104" s="341">
        <f t="shared" si="64"/>
        <v>56403</v>
      </c>
      <c r="K104" s="342">
        <f t="shared" si="64"/>
        <v>0</v>
      </c>
      <c r="L104" s="342">
        <f t="shared" si="64"/>
        <v>4200</v>
      </c>
      <c r="M104" s="342">
        <f t="shared" si="64"/>
        <v>46703</v>
      </c>
      <c r="N104" s="342">
        <f t="shared" si="64"/>
        <v>0</v>
      </c>
      <c r="O104" s="342">
        <f t="shared" si="64"/>
        <v>5500</v>
      </c>
      <c r="P104" s="342">
        <f t="shared" si="64"/>
        <v>0</v>
      </c>
      <c r="Q104" s="342">
        <f t="shared" si="64"/>
        <v>0</v>
      </c>
      <c r="R104" s="342">
        <f t="shared" si="64"/>
        <v>0</v>
      </c>
      <c r="S104" s="342">
        <f t="shared" si="64"/>
        <v>0</v>
      </c>
      <c r="T104" s="343">
        <f t="shared" si="64"/>
        <v>0</v>
      </c>
    </row>
    <row r="105" spans="4:20" ht="24" x14ac:dyDescent="0.2">
      <c r="D105" s="40"/>
      <c r="E105" s="572" t="s">
        <v>122</v>
      </c>
      <c r="F105" s="573"/>
      <c r="G105" s="44" t="s">
        <v>232</v>
      </c>
      <c r="H105" s="391">
        <f>477470</f>
        <v>477470</v>
      </c>
      <c r="I105" s="42">
        <f t="shared" ref="I105:I108" si="65">H105+J105</f>
        <v>477470</v>
      </c>
      <c r="J105" s="344">
        <f t="shared" ref="J105:J109" si="66">SUM(K105:T105)</f>
        <v>0</v>
      </c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</row>
    <row r="106" spans="4:20" x14ac:dyDescent="0.2">
      <c r="D106" s="62"/>
      <c r="E106" s="554" t="s">
        <v>123</v>
      </c>
      <c r="F106" s="555"/>
      <c r="G106" s="44" t="s">
        <v>254</v>
      </c>
      <c r="H106" s="391">
        <f>19817</f>
        <v>19817</v>
      </c>
      <c r="I106" s="42">
        <f t="shared" si="65"/>
        <v>19817</v>
      </c>
      <c r="J106" s="344">
        <f t="shared" si="66"/>
        <v>0</v>
      </c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</row>
    <row r="107" spans="4:20" x14ac:dyDescent="0.2">
      <c r="D107" s="62"/>
      <c r="E107" s="554" t="s">
        <v>124</v>
      </c>
      <c r="F107" s="555"/>
      <c r="G107" s="44" t="s">
        <v>233</v>
      </c>
      <c r="H107" s="391">
        <v>0</v>
      </c>
      <c r="I107" s="42">
        <f t="shared" si="65"/>
        <v>0</v>
      </c>
      <c r="J107" s="344">
        <f t="shared" si="66"/>
        <v>0</v>
      </c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</row>
    <row r="108" spans="4:20" ht="36" x14ac:dyDescent="0.2">
      <c r="D108" s="43"/>
      <c r="E108" s="554" t="s">
        <v>514</v>
      </c>
      <c r="F108" s="555"/>
      <c r="G108" s="44" t="s">
        <v>712</v>
      </c>
      <c r="H108" s="391">
        <v>0</v>
      </c>
      <c r="I108" s="42">
        <f t="shared" si="65"/>
        <v>0</v>
      </c>
      <c r="J108" s="344">
        <f t="shared" si="66"/>
        <v>0</v>
      </c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</row>
    <row r="109" spans="4:20" x14ac:dyDescent="0.2">
      <c r="D109" s="43"/>
      <c r="E109" s="566" t="s">
        <v>125</v>
      </c>
      <c r="F109" s="567"/>
      <c r="G109" s="44" t="s">
        <v>234</v>
      </c>
      <c r="H109" s="391">
        <f>510844</f>
        <v>510844</v>
      </c>
      <c r="I109" s="42">
        <f>H109+J109</f>
        <v>567247</v>
      </c>
      <c r="J109" s="344">
        <f t="shared" si="66"/>
        <v>56403</v>
      </c>
      <c r="K109" s="278"/>
      <c r="L109" s="278">
        <f>4200</f>
        <v>4200</v>
      </c>
      <c r="M109" s="278">
        <f>740+45963</f>
        <v>46703</v>
      </c>
      <c r="N109" s="278"/>
      <c r="O109" s="278">
        <v>5500</v>
      </c>
      <c r="P109" s="278"/>
      <c r="Q109" s="278"/>
      <c r="R109" s="278"/>
      <c r="S109" s="278"/>
      <c r="T109" s="278"/>
    </row>
    <row r="110" spans="4:20" ht="36" x14ac:dyDescent="0.2">
      <c r="D110" s="48"/>
      <c r="E110" s="568" t="s">
        <v>325</v>
      </c>
      <c r="F110" s="569"/>
      <c r="G110" s="470" t="s">
        <v>713</v>
      </c>
      <c r="H110" s="471">
        <f>SUM(H111,H114)</f>
        <v>48570</v>
      </c>
      <c r="I110" s="50">
        <f>SUM(I111,I114)</f>
        <v>84007</v>
      </c>
      <c r="J110" s="341">
        <f t="shared" ref="J110:T110" si="67">SUM(J111,J114)</f>
        <v>35437</v>
      </c>
      <c r="K110" s="342">
        <f t="shared" si="67"/>
        <v>0</v>
      </c>
      <c r="L110" s="342">
        <f t="shared" si="67"/>
        <v>706</v>
      </c>
      <c r="M110" s="342">
        <f t="shared" si="67"/>
        <v>0</v>
      </c>
      <c r="N110" s="342">
        <f t="shared" si="67"/>
        <v>34731</v>
      </c>
      <c r="O110" s="342">
        <f t="shared" si="67"/>
        <v>0</v>
      </c>
      <c r="P110" s="342">
        <f t="shared" si="67"/>
        <v>0</v>
      </c>
      <c r="Q110" s="342">
        <f t="shared" si="67"/>
        <v>0</v>
      </c>
      <c r="R110" s="342">
        <f t="shared" si="67"/>
        <v>0</v>
      </c>
      <c r="S110" s="342">
        <f t="shared" si="67"/>
        <v>0</v>
      </c>
      <c r="T110" s="343">
        <f t="shared" si="67"/>
        <v>0</v>
      </c>
    </row>
    <row r="111" spans="4:20" s="186" customFormat="1" x14ac:dyDescent="0.2">
      <c r="D111" s="34"/>
      <c r="E111" s="570" t="s">
        <v>126</v>
      </c>
      <c r="F111" s="571"/>
      <c r="G111" s="49" t="s">
        <v>317</v>
      </c>
      <c r="H111" s="390">
        <f>SUM(H112:H113)</f>
        <v>15300</v>
      </c>
      <c r="I111" s="113">
        <f>SUM(I112:I113)</f>
        <v>4315</v>
      </c>
      <c r="J111" s="346">
        <f>SUM(K111:T111)</f>
        <v>-10985</v>
      </c>
      <c r="K111" s="347">
        <f t="shared" ref="K111:T111" si="68">SUM(K112:K113)</f>
        <v>0</v>
      </c>
      <c r="L111" s="347">
        <f t="shared" si="68"/>
        <v>-15300</v>
      </c>
      <c r="M111" s="347">
        <f t="shared" si="68"/>
        <v>0</v>
      </c>
      <c r="N111" s="347">
        <f t="shared" si="68"/>
        <v>4315</v>
      </c>
      <c r="O111" s="347">
        <f t="shared" si="68"/>
        <v>0</v>
      </c>
      <c r="P111" s="347">
        <f t="shared" si="68"/>
        <v>0</v>
      </c>
      <c r="Q111" s="347">
        <f t="shared" si="68"/>
        <v>0</v>
      </c>
      <c r="R111" s="347">
        <f t="shared" si="68"/>
        <v>0</v>
      </c>
      <c r="S111" s="347">
        <f t="shared" si="68"/>
        <v>0</v>
      </c>
      <c r="T111" s="348">
        <f t="shared" si="68"/>
        <v>0</v>
      </c>
    </row>
    <row r="112" spans="4:20" x14ac:dyDescent="0.2">
      <c r="D112" s="62"/>
      <c r="E112" s="554"/>
      <c r="F112" s="555"/>
      <c r="G112" s="44"/>
      <c r="H112" s="389"/>
      <c r="I112" s="64"/>
      <c r="J112" s="344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</row>
    <row r="113" spans="4:20" ht="24" x14ac:dyDescent="0.2">
      <c r="D113" s="43"/>
      <c r="E113" s="564" t="s">
        <v>266</v>
      </c>
      <c r="F113" s="565"/>
      <c r="G113" s="44" t="s">
        <v>267</v>
      </c>
      <c r="H113" s="389">
        <f>15300</f>
        <v>15300</v>
      </c>
      <c r="I113" s="45">
        <f t="shared" ref="I113:I114" si="69">H113+J113</f>
        <v>4315</v>
      </c>
      <c r="J113" s="344">
        <f t="shared" ref="J113" si="70">SUM(K113:T113)</f>
        <v>-10985</v>
      </c>
      <c r="K113" s="278"/>
      <c r="L113" s="278">
        <v>-15300</v>
      </c>
      <c r="M113" s="278"/>
      <c r="N113" s="278">
        <v>4315</v>
      </c>
      <c r="O113" s="278"/>
      <c r="P113" s="278"/>
      <c r="Q113" s="278"/>
      <c r="R113" s="278"/>
      <c r="S113" s="278"/>
      <c r="T113" s="278"/>
    </row>
    <row r="114" spans="4:20" s="186" customFormat="1" x14ac:dyDescent="0.2">
      <c r="D114" s="68"/>
      <c r="E114" s="546" t="s">
        <v>323</v>
      </c>
      <c r="F114" s="547"/>
      <c r="G114" s="49" t="s">
        <v>324</v>
      </c>
      <c r="H114" s="390">
        <f>33270</f>
        <v>33270</v>
      </c>
      <c r="I114" s="113">
        <f t="shared" si="69"/>
        <v>79692</v>
      </c>
      <c r="J114" s="344">
        <f>SUM(K114:T114)</f>
        <v>46422</v>
      </c>
      <c r="K114" s="377"/>
      <c r="L114" s="278">
        <f>706+15300</f>
        <v>16006</v>
      </c>
      <c r="M114" s="377"/>
      <c r="N114" s="278">
        <f>1509+3739+5025+20143</f>
        <v>30416</v>
      </c>
      <c r="O114" s="278"/>
      <c r="P114" s="278"/>
      <c r="Q114" s="278"/>
      <c r="R114" s="278"/>
      <c r="S114" s="278"/>
      <c r="T114" s="278"/>
    </row>
    <row r="115" spans="4:20" s="186" customFormat="1" x14ac:dyDescent="0.2">
      <c r="D115" s="192"/>
      <c r="E115" s="193"/>
      <c r="F115" s="194"/>
      <c r="G115" s="53"/>
      <c r="H115" s="391"/>
      <c r="I115" s="195"/>
      <c r="J115" s="376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</row>
    <row r="116" spans="4:20" s="186" customFormat="1" ht="27.75" customHeight="1" x14ac:dyDescent="0.2">
      <c r="D116" s="196"/>
      <c r="E116" s="472" t="s">
        <v>515</v>
      </c>
      <c r="F116" s="198"/>
      <c r="G116" s="473" t="s">
        <v>516</v>
      </c>
      <c r="H116" s="474">
        <v>0</v>
      </c>
      <c r="I116" s="200">
        <v>0</v>
      </c>
      <c r="J116" s="382">
        <v>0</v>
      </c>
      <c r="K116" s="383"/>
      <c r="L116" s="383"/>
      <c r="M116" s="383"/>
      <c r="N116" s="383"/>
      <c r="O116" s="383"/>
      <c r="P116" s="383"/>
      <c r="Q116" s="383"/>
      <c r="R116" s="383"/>
      <c r="S116" s="383"/>
      <c r="T116" s="384"/>
    </row>
    <row r="117" spans="4:20" x14ac:dyDescent="0.2">
      <c r="D117" s="37"/>
      <c r="E117" s="70"/>
      <c r="F117" s="71"/>
      <c r="G117" s="53"/>
      <c r="H117" s="391"/>
      <c r="I117" s="39"/>
      <c r="J117" s="344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</row>
    <row r="118" spans="4:20" s="202" customFormat="1" ht="12.75" x14ac:dyDescent="0.2">
      <c r="D118" s="559" t="s">
        <v>142</v>
      </c>
      <c r="E118" s="560"/>
      <c r="F118" s="560"/>
      <c r="G118" s="561"/>
      <c r="H118" s="404">
        <f>SUM(H12,H17,H25,H31,H42,H53,H68,H58,H79,H84,H89,H116)</f>
        <v>70537412</v>
      </c>
      <c r="I118" s="201">
        <f>SUM(I12,I17,I25,I31,I42,I53,I68,I58,I79,I84,I89,I116)</f>
        <v>69630353</v>
      </c>
      <c r="J118" s="380">
        <f>SUM(J12,J17,J25,J31,J42,J53,J68,J58,J79,J84,J89,J116)</f>
        <v>-907059</v>
      </c>
      <c r="K118" s="381">
        <f t="shared" ref="K118:T118" si="71">SUM(K12,K17,K25,K31,K42,K53,K68,K58,K79,K84,K89,K116)</f>
        <v>7491</v>
      </c>
      <c r="L118" s="381">
        <f t="shared" si="71"/>
        <v>-1038789</v>
      </c>
      <c r="M118" s="381">
        <f t="shared" si="71"/>
        <v>46703</v>
      </c>
      <c r="N118" s="381">
        <f t="shared" si="71"/>
        <v>77536</v>
      </c>
      <c r="O118" s="381">
        <f t="shared" si="71"/>
        <v>0</v>
      </c>
      <c r="P118" s="381">
        <f t="shared" si="71"/>
        <v>0</v>
      </c>
      <c r="Q118" s="381">
        <f t="shared" si="71"/>
        <v>0</v>
      </c>
      <c r="R118" s="381">
        <f t="shared" si="71"/>
        <v>0</v>
      </c>
      <c r="S118" s="381">
        <f t="shared" si="71"/>
        <v>0</v>
      </c>
      <c r="T118" s="381">
        <f t="shared" si="71"/>
        <v>0</v>
      </c>
    </row>
    <row r="119" spans="4:20" x14ac:dyDescent="0.2">
      <c r="D119" s="48"/>
      <c r="E119" s="72"/>
      <c r="F119" s="73"/>
      <c r="G119" s="44"/>
      <c r="H119" s="391"/>
      <c r="I119" s="50"/>
      <c r="J119" s="344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</row>
    <row r="120" spans="4:20" s="186" customFormat="1" x14ac:dyDescent="0.2">
      <c r="D120" s="34"/>
      <c r="E120" s="562" t="s">
        <v>696</v>
      </c>
      <c r="F120" s="563"/>
      <c r="G120" s="35" t="s">
        <v>156</v>
      </c>
      <c r="H120" s="36">
        <f t="shared" ref="H120:T120" si="72">SUM(,H121)</f>
        <v>27776740</v>
      </c>
      <c r="I120" s="47">
        <f t="shared" si="72"/>
        <v>28116263</v>
      </c>
      <c r="J120" s="338">
        <f t="shared" si="72"/>
        <v>339523</v>
      </c>
      <c r="K120" s="339">
        <f t="shared" si="72"/>
        <v>0</v>
      </c>
      <c r="L120" s="339">
        <f t="shared" si="72"/>
        <v>0</v>
      </c>
      <c r="M120" s="339">
        <f t="shared" si="72"/>
        <v>339523</v>
      </c>
      <c r="N120" s="339">
        <f t="shared" si="72"/>
        <v>0</v>
      </c>
      <c r="O120" s="339">
        <f t="shared" si="72"/>
        <v>0</v>
      </c>
      <c r="P120" s="339">
        <f t="shared" si="72"/>
        <v>0</v>
      </c>
      <c r="Q120" s="339">
        <f t="shared" si="72"/>
        <v>0</v>
      </c>
      <c r="R120" s="339">
        <f t="shared" si="72"/>
        <v>0</v>
      </c>
      <c r="S120" s="339">
        <f t="shared" si="72"/>
        <v>0</v>
      </c>
      <c r="T120" s="340">
        <f t="shared" si="72"/>
        <v>0</v>
      </c>
    </row>
    <row r="121" spans="4:20" s="186" customFormat="1" x14ac:dyDescent="0.2">
      <c r="D121" s="34"/>
      <c r="E121" s="475"/>
      <c r="F121" s="475"/>
      <c r="G121" s="102" t="s">
        <v>318</v>
      </c>
      <c r="H121" s="405">
        <f t="shared" ref="H121:T121" si="73">SUM(H128,H122)</f>
        <v>27776740</v>
      </c>
      <c r="I121" s="47">
        <f t="shared" si="73"/>
        <v>28116263</v>
      </c>
      <c r="J121" s="338">
        <f t="shared" si="73"/>
        <v>339523</v>
      </c>
      <c r="K121" s="339">
        <f t="shared" si="73"/>
        <v>0</v>
      </c>
      <c r="L121" s="339">
        <f t="shared" si="73"/>
        <v>0</v>
      </c>
      <c r="M121" s="339">
        <f t="shared" si="73"/>
        <v>339523</v>
      </c>
      <c r="N121" s="339">
        <f t="shared" si="73"/>
        <v>0</v>
      </c>
      <c r="O121" s="339">
        <f t="shared" si="73"/>
        <v>0</v>
      </c>
      <c r="P121" s="339">
        <f t="shared" si="73"/>
        <v>0</v>
      </c>
      <c r="Q121" s="339">
        <f t="shared" si="73"/>
        <v>0</v>
      </c>
      <c r="R121" s="339">
        <f t="shared" si="73"/>
        <v>0</v>
      </c>
      <c r="S121" s="339">
        <f t="shared" si="73"/>
        <v>0</v>
      </c>
      <c r="T121" s="340">
        <f t="shared" si="73"/>
        <v>0</v>
      </c>
    </row>
    <row r="122" spans="4:20" s="186" customFormat="1" x14ac:dyDescent="0.2">
      <c r="D122" s="68"/>
      <c r="E122" s="76"/>
      <c r="F122" s="475" t="s">
        <v>158</v>
      </c>
      <c r="G122" s="69" t="s">
        <v>334</v>
      </c>
      <c r="H122" s="406">
        <f t="shared" ref="H122" si="74">SUM(H123:H127)</f>
        <v>173175</v>
      </c>
      <c r="I122" s="47">
        <f t="shared" ref="I122:T122" si="75">SUM(I123:I127)</f>
        <v>173175</v>
      </c>
      <c r="J122" s="338">
        <f t="shared" si="75"/>
        <v>0</v>
      </c>
      <c r="K122" s="339">
        <f t="shared" si="75"/>
        <v>0</v>
      </c>
      <c r="L122" s="339">
        <f t="shared" si="75"/>
        <v>0</v>
      </c>
      <c r="M122" s="339">
        <f t="shared" si="75"/>
        <v>0</v>
      </c>
      <c r="N122" s="339">
        <f t="shared" si="75"/>
        <v>0</v>
      </c>
      <c r="O122" s="339">
        <f t="shared" si="75"/>
        <v>0</v>
      </c>
      <c r="P122" s="339">
        <f t="shared" si="75"/>
        <v>0</v>
      </c>
      <c r="Q122" s="339">
        <f t="shared" si="75"/>
        <v>0</v>
      </c>
      <c r="R122" s="339">
        <f t="shared" si="75"/>
        <v>0</v>
      </c>
      <c r="S122" s="339">
        <f t="shared" si="75"/>
        <v>0</v>
      </c>
      <c r="T122" s="340">
        <f t="shared" si="75"/>
        <v>0</v>
      </c>
    </row>
    <row r="123" spans="4:20" x14ac:dyDescent="0.2">
      <c r="D123" s="62"/>
      <c r="E123" s="554"/>
      <c r="F123" s="555"/>
      <c r="G123" s="44"/>
      <c r="H123" s="389"/>
      <c r="I123" s="64"/>
      <c r="J123" s="344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</row>
    <row r="124" spans="4:20" x14ac:dyDescent="0.2">
      <c r="D124" s="62"/>
      <c r="E124" s="466"/>
      <c r="F124" s="467"/>
      <c r="G124" s="44" t="s">
        <v>517</v>
      </c>
      <c r="H124" s="389">
        <v>0</v>
      </c>
      <c r="I124" s="64">
        <f t="shared" ref="I124:I126" si="76">H124+J124</f>
        <v>0</v>
      </c>
      <c r="J124" s="344">
        <f t="shared" ref="J124:J126" si="77">SUM(K124:T124)</f>
        <v>0</v>
      </c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</row>
    <row r="125" spans="4:20" ht="36" x14ac:dyDescent="0.2">
      <c r="D125" s="62"/>
      <c r="E125" s="554"/>
      <c r="F125" s="555"/>
      <c r="G125" s="44" t="s">
        <v>695</v>
      </c>
      <c r="H125" s="389">
        <f>173175</f>
        <v>173175</v>
      </c>
      <c r="I125" s="64">
        <f t="shared" si="76"/>
        <v>173175</v>
      </c>
      <c r="J125" s="344">
        <f t="shared" si="77"/>
        <v>0</v>
      </c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</row>
    <row r="126" spans="4:20" ht="24" x14ac:dyDescent="0.2">
      <c r="D126" s="43"/>
      <c r="E126" s="564"/>
      <c r="F126" s="565"/>
      <c r="G126" s="63" t="s">
        <v>518</v>
      </c>
      <c r="H126" s="396">
        <v>0</v>
      </c>
      <c r="I126" s="64">
        <f t="shared" si="76"/>
        <v>0</v>
      </c>
      <c r="J126" s="344">
        <f t="shared" si="77"/>
        <v>0</v>
      </c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</row>
    <row r="127" spans="4:20" x14ac:dyDescent="0.2">
      <c r="D127" s="134"/>
      <c r="E127" s="135"/>
      <c r="F127" s="476"/>
      <c r="G127" s="137"/>
      <c r="H127" s="407"/>
      <c r="I127" s="39"/>
      <c r="J127" s="344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</row>
    <row r="128" spans="4:20" s="186" customFormat="1" x14ac:dyDescent="0.2">
      <c r="D128" s="68"/>
      <c r="E128" s="76"/>
      <c r="F128" s="475" t="s">
        <v>693</v>
      </c>
      <c r="G128" s="69" t="s">
        <v>335</v>
      </c>
      <c r="H128" s="406">
        <f t="shared" ref="H128:T128" si="78">SUM(H129:H145)</f>
        <v>27603565</v>
      </c>
      <c r="I128" s="47">
        <f t="shared" si="78"/>
        <v>27943088</v>
      </c>
      <c r="J128" s="338">
        <f t="shared" si="78"/>
        <v>339523</v>
      </c>
      <c r="K128" s="339">
        <f t="shared" si="78"/>
        <v>0</v>
      </c>
      <c r="L128" s="339">
        <f t="shared" si="78"/>
        <v>0</v>
      </c>
      <c r="M128" s="339">
        <f t="shared" si="78"/>
        <v>339523</v>
      </c>
      <c r="N128" s="339">
        <f t="shared" si="78"/>
        <v>0</v>
      </c>
      <c r="O128" s="339">
        <f t="shared" si="78"/>
        <v>0</v>
      </c>
      <c r="P128" s="339">
        <f t="shared" si="78"/>
        <v>0</v>
      </c>
      <c r="Q128" s="339">
        <f t="shared" si="78"/>
        <v>0</v>
      </c>
      <c r="R128" s="339">
        <f t="shared" si="78"/>
        <v>0</v>
      </c>
      <c r="S128" s="339">
        <f t="shared" si="78"/>
        <v>0</v>
      </c>
      <c r="T128" s="340">
        <f t="shared" si="78"/>
        <v>0</v>
      </c>
    </row>
    <row r="129" spans="4:20" ht="36" x14ac:dyDescent="0.2">
      <c r="D129" s="62"/>
      <c r="E129" s="554"/>
      <c r="F129" s="555"/>
      <c r="G129" s="44" t="s">
        <v>297</v>
      </c>
      <c r="H129" s="389">
        <v>0</v>
      </c>
      <c r="I129" s="64">
        <f t="shared" ref="I129:I142" si="79">H129+J129</f>
        <v>0</v>
      </c>
      <c r="J129" s="344">
        <f t="shared" ref="J129:J142" si="80">SUM(K129:T129)</f>
        <v>0</v>
      </c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</row>
    <row r="130" spans="4:20" ht="36" x14ac:dyDescent="0.2">
      <c r="D130" s="62"/>
      <c r="E130" s="554"/>
      <c r="F130" s="555"/>
      <c r="G130" s="44" t="s">
        <v>322</v>
      </c>
      <c r="H130" s="389">
        <f>121668</f>
        <v>121668</v>
      </c>
      <c r="I130" s="64">
        <f t="shared" si="79"/>
        <v>121668</v>
      </c>
      <c r="J130" s="344">
        <f t="shared" si="80"/>
        <v>0</v>
      </c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</row>
    <row r="131" spans="4:20" x14ac:dyDescent="0.2">
      <c r="D131" s="62"/>
      <c r="E131" s="466"/>
      <c r="F131" s="467"/>
      <c r="G131" s="44" t="s">
        <v>517</v>
      </c>
      <c r="H131" s="389">
        <f>2430000</f>
        <v>2430000</v>
      </c>
      <c r="I131" s="64">
        <f t="shared" si="79"/>
        <v>2430000</v>
      </c>
      <c r="J131" s="344">
        <f t="shared" si="80"/>
        <v>0</v>
      </c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</row>
    <row r="132" spans="4:20" x14ac:dyDescent="0.2">
      <c r="D132" s="62"/>
      <c r="E132" s="466"/>
      <c r="F132" s="467"/>
      <c r="G132" s="44" t="s">
        <v>680</v>
      </c>
      <c r="H132" s="389">
        <f>4049754</f>
        <v>4049754</v>
      </c>
      <c r="I132" s="64">
        <f t="shared" si="79"/>
        <v>4049754</v>
      </c>
      <c r="J132" s="344">
        <f t="shared" si="80"/>
        <v>0</v>
      </c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</row>
    <row r="133" spans="4:20" ht="50.25" customHeight="1" x14ac:dyDescent="0.2">
      <c r="D133" s="62"/>
      <c r="E133" s="466"/>
      <c r="F133" s="467"/>
      <c r="G133" s="44" t="s">
        <v>681</v>
      </c>
      <c r="H133" s="389">
        <f>1000000</f>
        <v>1000000</v>
      </c>
      <c r="I133" s="64">
        <f t="shared" si="79"/>
        <v>1000000</v>
      </c>
      <c r="J133" s="344">
        <f t="shared" si="80"/>
        <v>0</v>
      </c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</row>
    <row r="134" spans="4:20" ht="24" x14ac:dyDescent="0.2">
      <c r="D134" s="62"/>
      <c r="E134" s="554"/>
      <c r="F134" s="555"/>
      <c r="G134" s="44" t="s">
        <v>321</v>
      </c>
      <c r="H134" s="389">
        <f>3859785+708855</f>
        <v>4568640</v>
      </c>
      <c r="I134" s="64">
        <f t="shared" si="79"/>
        <v>4568640</v>
      </c>
      <c r="J134" s="344">
        <f t="shared" si="80"/>
        <v>0</v>
      </c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</row>
    <row r="135" spans="4:20" ht="13.5" customHeight="1" x14ac:dyDescent="0.2">
      <c r="D135" s="62"/>
      <c r="E135" s="554"/>
      <c r="F135" s="555"/>
      <c r="G135" s="44" t="s">
        <v>337</v>
      </c>
      <c r="H135" s="389">
        <v>0</v>
      </c>
      <c r="I135" s="64">
        <f t="shared" si="79"/>
        <v>0</v>
      </c>
      <c r="J135" s="344">
        <f t="shared" si="80"/>
        <v>0</v>
      </c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</row>
    <row r="136" spans="4:20" ht="24" x14ac:dyDescent="0.2">
      <c r="D136" s="62"/>
      <c r="E136" s="554"/>
      <c r="F136" s="555"/>
      <c r="G136" s="44" t="s">
        <v>336</v>
      </c>
      <c r="H136" s="389">
        <f>2765015</f>
        <v>2765015</v>
      </c>
      <c r="I136" s="64">
        <f t="shared" si="79"/>
        <v>3159004</v>
      </c>
      <c r="J136" s="344">
        <f t="shared" si="80"/>
        <v>393989</v>
      </c>
      <c r="K136" s="278"/>
      <c r="L136" s="278"/>
      <c r="M136" s="278">
        <v>393989</v>
      </c>
      <c r="N136" s="278"/>
      <c r="O136" s="278"/>
      <c r="P136" s="278"/>
      <c r="Q136" s="278"/>
      <c r="R136" s="278"/>
      <c r="S136" s="278"/>
      <c r="T136" s="278"/>
    </row>
    <row r="137" spans="4:20" ht="36" x14ac:dyDescent="0.2">
      <c r="D137" s="62"/>
      <c r="E137" s="466"/>
      <c r="F137" s="467"/>
      <c r="G137" s="44" t="s">
        <v>519</v>
      </c>
      <c r="H137" s="389">
        <f>14274+484000</f>
        <v>498274</v>
      </c>
      <c r="I137" s="64">
        <f>H137+J137</f>
        <v>491156</v>
      </c>
      <c r="J137" s="344">
        <f t="shared" si="80"/>
        <v>-7118</v>
      </c>
      <c r="K137" s="278"/>
      <c r="L137" s="278"/>
      <c r="M137" s="278">
        <f>7156-14274</f>
        <v>-7118</v>
      </c>
      <c r="N137" s="278"/>
      <c r="O137" s="278"/>
      <c r="P137" s="278"/>
      <c r="Q137" s="278"/>
      <c r="R137" s="278"/>
      <c r="S137" s="278"/>
      <c r="T137" s="278"/>
    </row>
    <row r="138" spans="4:20" ht="36" x14ac:dyDescent="0.2">
      <c r="D138" s="62"/>
      <c r="E138" s="554"/>
      <c r="F138" s="555"/>
      <c r="G138" s="44" t="s">
        <v>338</v>
      </c>
      <c r="H138" s="389">
        <f>3439446</f>
        <v>3439446</v>
      </c>
      <c r="I138" s="64">
        <f t="shared" si="79"/>
        <v>3392098</v>
      </c>
      <c r="J138" s="344">
        <f t="shared" si="80"/>
        <v>-47348</v>
      </c>
      <c r="K138" s="278"/>
      <c r="L138" s="278"/>
      <c r="M138" s="278">
        <v>-47348</v>
      </c>
      <c r="N138" s="278"/>
      <c r="O138" s="278"/>
      <c r="P138" s="278"/>
      <c r="Q138" s="278"/>
      <c r="R138" s="278"/>
      <c r="S138" s="278"/>
      <c r="T138" s="278"/>
    </row>
    <row r="139" spans="4:20" x14ac:dyDescent="0.2">
      <c r="D139" s="62"/>
      <c r="E139" s="554"/>
      <c r="F139" s="555"/>
      <c r="G139" s="44" t="s">
        <v>339</v>
      </c>
      <c r="H139" s="389">
        <v>0</v>
      </c>
      <c r="I139" s="64">
        <f t="shared" si="79"/>
        <v>0</v>
      </c>
      <c r="J139" s="344">
        <f t="shared" si="80"/>
        <v>0</v>
      </c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</row>
    <row r="140" spans="4:20" ht="24" x14ac:dyDescent="0.2">
      <c r="D140" s="62"/>
      <c r="E140" s="466"/>
      <c r="F140" s="467"/>
      <c r="G140" s="44" t="s">
        <v>520</v>
      </c>
      <c r="H140" s="389">
        <v>0</v>
      </c>
      <c r="I140" s="64">
        <f t="shared" si="79"/>
        <v>0</v>
      </c>
      <c r="J140" s="344">
        <f t="shared" si="80"/>
        <v>0</v>
      </c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</row>
    <row r="141" spans="4:20" ht="15.75" customHeight="1" x14ac:dyDescent="0.2">
      <c r="D141" s="62"/>
      <c r="E141" s="466"/>
      <c r="F141" s="467"/>
      <c r="G141" s="44" t="s">
        <v>538</v>
      </c>
      <c r="H141" s="389">
        <f>2320876</f>
        <v>2320876</v>
      </c>
      <c r="I141" s="64">
        <f t="shared" si="79"/>
        <v>2320876</v>
      </c>
      <c r="J141" s="344">
        <f t="shared" si="80"/>
        <v>0</v>
      </c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</row>
    <row r="142" spans="4:20" x14ac:dyDescent="0.2">
      <c r="D142" s="62"/>
      <c r="E142" s="554"/>
      <c r="F142" s="555"/>
      <c r="G142" s="44" t="s">
        <v>537</v>
      </c>
      <c r="H142" s="389">
        <f>6409892</f>
        <v>6409892</v>
      </c>
      <c r="I142" s="64">
        <f t="shared" si="79"/>
        <v>6409892</v>
      </c>
      <c r="J142" s="344">
        <f t="shared" si="80"/>
        <v>0</v>
      </c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</row>
    <row r="143" spans="4:20" x14ac:dyDescent="0.2">
      <c r="D143" s="62"/>
      <c r="E143" s="554"/>
      <c r="F143" s="555"/>
      <c r="G143" s="44"/>
      <c r="H143" s="389"/>
      <c r="I143" s="64"/>
      <c r="J143" s="344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</row>
    <row r="144" spans="4:20" x14ac:dyDescent="0.2">
      <c r="D144" s="62"/>
      <c r="E144" s="554"/>
      <c r="F144" s="555"/>
      <c r="G144" s="44"/>
      <c r="H144" s="389"/>
      <c r="I144" s="64"/>
      <c r="J144" s="344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</row>
    <row r="145" spans="4:20" x14ac:dyDescent="0.2">
      <c r="D145" s="62"/>
      <c r="E145" s="554"/>
      <c r="F145" s="555"/>
      <c r="G145" s="44"/>
      <c r="H145" s="389"/>
      <c r="I145" s="64"/>
      <c r="J145" s="344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</row>
    <row r="146" spans="4:20" s="186" customFormat="1" x14ac:dyDescent="0.2">
      <c r="D146" s="68"/>
      <c r="E146" s="76"/>
      <c r="F146" s="77"/>
      <c r="G146" s="35" t="s">
        <v>235</v>
      </c>
      <c r="H146" s="36">
        <f>SUM(H147:H168)</f>
        <v>11006636</v>
      </c>
      <c r="I146" s="47">
        <f>SUM(I147:I168)</f>
        <v>13832416</v>
      </c>
      <c r="J146" s="338">
        <f>SUM(J147:J168)</f>
        <v>2825780</v>
      </c>
      <c r="K146" s="339">
        <f t="shared" ref="K146:T146" si="81">SUM(K147:K168)</f>
        <v>35324</v>
      </c>
      <c r="L146" s="339">
        <f t="shared" si="81"/>
        <v>2725194</v>
      </c>
      <c r="M146" s="339">
        <f t="shared" si="81"/>
        <v>65120</v>
      </c>
      <c r="N146" s="339">
        <f t="shared" si="81"/>
        <v>142</v>
      </c>
      <c r="O146" s="339">
        <f t="shared" si="81"/>
        <v>0</v>
      </c>
      <c r="P146" s="339">
        <f t="shared" si="81"/>
        <v>0</v>
      </c>
      <c r="Q146" s="339">
        <f t="shared" si="81"/>
        <v>0</v>
      </c>
      <c r="R146" s="339">
        <f t="shared" si="81"/>
        <v>0</v>
      </c>
      <c r="S146" s="339">
        <f t="shared" si="81"/>
        <v>0</v>
      </c>
      <c r="T146" s="340">
        <f t="shared" si="81"/>
        <v>0</v>
      </c>
    </row>
    <row r="147" spans="4:20" ht="12" hidden="1" customHeight="1" outlineLevel="1" x14ac:dyDescent="0.2">
      <c r="D147" s="56"/>
      <c r="E147" s="74"/>
      <c r="F147" s="75"/>
      <c r="G147" s="78" t="s">
        <v>236</v>
      </c>
      <c r="H147" s="393">
        <f>10465797</f>
        <v>10465797</v>
      </c>
      <c r="I147" s="50">
        <f t="shared" ref="I147:I168" si="82">H147+J147</f>
        <v>11175309</v>
      </c>
      <c r="J147" s="344">
        <f t="shared" ref="J147:J168" si="83">SUM(K147:T147)</f>
        <v>709512</v>
      </c>
      <c r="K147" s="278"/>
      <c r="L147" s="278">
        <f>857335-147823</f>
        <v>709512</v>
      </c>
      <c r="M147" s="278"/>
      <c r="N147" s="278"/>
      <c r="O147" s="278"/>
      <c r="P147" s="278"/>
      <c r="Q147" s="278"/>
      <c r="R147" s="278"/>
      <c r="S147" s="278"/>
      <c r="T147" s="278"/>
    </row>
    <row r="148" spans="4:20" ht="12" hidden="1" customHeight="1" outlineLevel="1" x14ac:dyDescent="0.2">
      <c r="D148" s="56"/>
      <c r="E148" s="74"/>
      <c r="F148" s="75"/>
      <c r="G148" s="44" t="s">
        <v>237</v>
      </c>
      <c r="H148" s="391">
        <f>292723</f>
        <v>292723</v>
      </c>
      <c r="I148" s="50">
        <f t="shared" si="82"/>
        <v>478816</v>
      </c>
      <c r="J148" s="349">
        <f>SUM(K148:T148)</f>
        <v>186093</v>
      </c>
      <c r="K148" s="279">
        <v>35324</v>
      </c>
      <c r="L148" s="278">
        <v>85507</v>
      </c>
      <c r="M148" s="278">
        <f>65120</f>
        <v>65120</v>
      </c>
      <c r="N148" s="278">
        <f>142</f>
        <v>142</v>
      </c>
      <c r="O148" s="278"/>
      <c r="P148" s="278"/>
      <c r="Q148" s="278"/>
      <c r="R148" s="278"/>
      <c r="S148" s="278"/>
      <c r="T148" s="278"/>
    </row>
    <row r="149" spans="4:20" ht="12" hidden="1" customHeight="1" outlineLevel="1" x14ac:dyDescent="0.2">
      <c r="D149" s="56"/>
      <c r="E149" s="74"/>
      <c r="F149" s="75"/>
      <c r="G149" s="78" t="s">
        <v>151</v>
      </c>
      <c r="H149" s="393">
        <f>135094</f>
        <v>135094</v>
      </c>
      <c r="I149" s="50">
        <f t="shared" si="82"/>
        <v>1365277</v>
      </c>
      <c r="J149" s="344">
        <f t="shared" si="83"/>
        <v>1230183</v>
      </c>
      <c r="K149" s="278"/>
      <c r="L149" s="278">
        <f>1199113-11+3096+18500+56+797+805+1107+5585+991+144</f>
        <v>1230183</v>
      </c>
      <c r="M149" s="278"/>
      <c r="N149" s="278"/>
      <c r="O149" s="278"/>
      <c r="P149" s="278"/>
      <c r="Q149" s="278"/>
      <c r="R149" s="278"/>
      <c r="S149" s="278"/>
      <c r="T149" s="278"/>
    </row>
    <row r="150" spans="4:20" ht="12" hidden="1" customHeight="1" outlineLevel="1" x14ac:dyDescent="0.2">
      <c r="D150" s="56"/>
      <c r="E150" s="74"/>
      <c r="F150" s="75"/>
      <c r="G150" s="44" t="s">
        <v>94</v>
      </c>
      <c r="H150" s="391">
        <v>0</v>
      </c>
      <c r="I150" s="50">
        <f t="shared" si="82"/>
        <v>5150</v>
      </c>
      <c r="J150" s="344">
        <f t="shared" si="83"/>
        <v>5150</v>
      </c>
      <c r="K150" s="278"/>
      <c r="L150" s="278">
        <v>5150</v>
      </c>
      <c r="M150" s="278"/>
      <c r="N150" s="278"/>
      <c r="O150" s="278"/>
      <c r="P150" s="278"/>
      <c r="Q150" s="278"/>
      <c r="R150" s="278"/>
      <c r="S150" s="278"/>
      <c r="T150" s="278"/>
    </row>
    <row r="151" spans="4:20" ht="12" hidden="1" customHeight="1" outlineLevel="1" x14ac:dyDescent="0.2">
      <c r="D151" s="56"/>
      <c r="E151" s="74"/>
      <c r="F151" s="75"/>
      <c r="G151" s="78" t="s">
        <v>153</v>
      </c>
      <c r="H151" s="393">
        <f>1248</f>
        <v>1248</v>
      </c>
      <c r="I151" s="50">
        <f t="shared" si="82"/>
        <v>34694</v>
      </c>
      <c r="J151" s="344">
        <f t="shared" si="83"/>
        <v>33446</v>
      </c>
      <c r="K151" s="278"/>
      <c r="L151" s="278">
        <f>33446</f>
        <v>33446</v>
      </c>
      <c r="M151" s="278"/>
      <c r="N151" s="278"/>
      <c r="O151" s="278"/>
      <c r="P151" s="278"/>
      <c r="Q151" s="278"/>
      <c r="R151" s="278"/>
      <c r="S151" s="278"/>
      <c r="T151" s="278"/>
    </row>
    <row r="152" spans="4:20" ht="24" hidden="1" customHeight="1" outlineLevel="1" x14ac:dyDescent="0.2">
      <c r="D152" s="56"/>
      <c r="E152" s="74"/>
      <c r="F152" s="75"/>
      <c r="G152" s="78" t="s">
        <v>521</v>
      </c>
      <c r="H152" s="393">
        <v>0</v>
      </c>
      <c r="I152" s="50">
        <f t="shared" si="82"/>
        <v>0</v>
      </c>
      <c r="J152" s="344">
        <f t="shared" si="83"/>
        <v>0</v>
      </c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</row>
    <row r="153" spans="4:20" ht="24" hidden="1" customHeight="1" outlineLevel="1" x14ac:dyDescent="0.2">
      <c r="D153" s="56"/>
      <c r="E153" s="74"/>
      <c r="F153" s="75"/>
      <c r="G153" s="78" t="s">
        <v>522</v>
      </c>
      <c r="H153" s="393">
        <v>0</v>
      </c>
      <c r="I153" s="50">
        <f t="shared" si="82"/>
        <v>5736</v>
      </c>
      <c r="J153" s="344">
        <f t="shared" si="83"/>
        <v>5736</v>
      </c>
      <c r="K153" s="278"/>
      <c r="L153" s="278">
        <f>5736</f>
        <v>5736</v>
      </c>
      <c r="M153" s="278"/>
      <c r="N153" s="278"/>
      <c r="O153" s="278"/>
      <c r="P153" s="278"/>
      <c r="Q153" s="278"/>
      <c r="R153" s="278"/>
      <c r="S153" s="278"/>
      <c r="T153" s="278"/>
    </row>
    <row r="154" spans="4:20" ht="12" hidden="1" customHeight="1" outlineLevel="1" x14ac:dyDescent="0.2">
      <c r="D154" s="56"/>
      <c r="E154" s="74"/>
      <c r="F154" s="75"/>
      <c r="G154" s="78" t="s">
        <v>311</v>
      </c>
      <c r="H154" s="393">
        <v>0</v>
      </c>
      <c r="I154" s="50">
        <f t="shared" si="82"/>
        <v>134</v>
      </c>
      <c r="J154" s="344">
        <f t="shared" si="83"/>
        <v>134</v>
      </c>
      <c r="K154" s="278"/>
      <c r="L154" s="278">
        <v>134</v>
      </c>
      <c r="M154" s="278"/>
      <c r="N154" s="278"/>
      <c r="O154" s="278"/>
      <c r="P154" s="278"/>
      <c r="Q154" s="278"/>
      <c r="R154" s="278"/>
      <c r="S154" s="278"/>
      <c r="T154" s="278"/>
    </row>
    <row r="155" spans="4:20" ht="12" hidden="1" customHeight="1" outlineLevel="1" x14ac:dyDescent="0.2">
      <c r="D155" s="56"/>
      <c r="E155" s="74"/>
      <c r="F155" s="75"/>
      <c r="G155" s="78" t="s">
        <v>186</v>
      </c>
      <c r="H155" s="393">
        <f>39959</f>
        <v>39959</v>
      </c>
      <c r="I155" s="50">
        <f t="shared" si="82"/>
        <v>141862</v>
      </c>
      <c r="J155" s="344">
        <f t="shared" si="83"/>
        <v>101903</v>
      </c>
      <c r="K155" s="278"/>
      <c r="L155" s="278">
        <f>101903</f>
        <v>101903</v>
      </c>
      <c r="M155" s="278"/>
      <c r="N155" s="278"/>
      <c r="O155" s="278"/>
      <c r="P155" s="278"/>
      <c r="Q155" s="278"/>
      <c r="R155" s="278"/>
      <c r="S155" s="278"/>
      <c r="T155" s="278"/>
    </row>
    <row r="156" spans="4:20" ht="24" hidden="1" customHeight="1" outlineLevel="1" x14ac:dyDescent="0.2">
      <c r="D156" s="56"/>
      <c r="E156" s="74"/>
      <c r="F156" s="75"/>
      <c r="G156" s="78" t="s">
        <v>677</v>
      </c>
      <c r="H156" s="393">
        <f>531</f>
        <v>531</v>
      </c>
      <c r="I156" s="50">
        <f t="shared" si="82"/>
        <v>546</v>
      </c>
      <c r="J156" s="344">
        <f t="shared" si="83"/>
        <v>15</v>
      </c>
      <c r="K156" s="278"/>
      <c r="L156" s="278">
        <v>15</v>
      </c>
      <c r="M156" s="278"/>
      <c r="N156" s="278"/>
      <c r="O156" s="278"/>
      <c r="P156" s="278"/>
      <c r="Q156" s="278"/>
      <c r="R156" s="278"/>
      <c r="S156" s="278"/>
      <c r="T156" s="278"/>
    </row>
    <row r="157" spans="4:20" ht="24" hidden="1" customHeight="1" outlineLevel="1" x14ac:dyDescent="0.2">
      <c r="D157" s="56"/>
      <c r="E157" s="74"/>
      <c r="F157" s="75"/>
      <c r="G157" s="78" t="s">
        <v>694</v>
      </c>
      <c r="H157" s="393">
        <f>1163</f>
        <v>1163</v>
      </c>
      <c r="I157" s="50">
        <f t="shared" si="82"/>
        <v>2161</v>
      </c>
      <c r="J157" s="344">
        <f t="shared" si="83"/>
        <v>998</v>
      </c>
      <c r="K157" s="278"/>
      <c r="L157" s="278">
        <f>998</f>
        <v>998</v>
      </c>
      <c r="M157" s="278"/>
      <c r="N157" s="278"/>
      <c r="O157" s="278"/>
      <c r="P157" s="278"/>
      <c r="Q157" s="278"/>
      <c r="R157" s="278"/>
      <c r="S157" s="278"/>
      <c r="T157" s="278"/>
    </row>
    <row r="158" spans="4:20" ht="12" hidden="1" customHeight="1" outlineLevel="1" x14ac:dyDescent="0.2">
      <c r="D158" s="56"/>
      <c r="E158" s="74"/>
      <c r="F158" s="75"/>
      <c r="G158" s="78" t="s">
        <v>300</v>
      </c>
      <c r="H158" s="393">
        <v>0</v>
      </c>
      <c r="I158" s="50">
        <f t="shared" si="82"/>
        <v>20680</v>
      </c>
      <c r="J158" s="344">
        <f t="shared" si="83"/>
        <v>20680</v>
      </c>
      <c r="K158" s="278"/>
      <c r="L158" s="278">
        <f>20680</f>
        <v>20680</v>
      </c>
      <c r="M158" s="278"/>
      <c r="N158" s="278"/>
      <c r="O158" s="278"/>
      <c r="P158" s="278"/>
      <c r="Q158" s="278"/>
      <c r="R158" s="278"/>
      <c r="S158" s="278"/>
      <c r="T158" s="278"/>
    </row>
    <row r="159" spans="4:20" ht="24" hidden="1" customHeight="1" outlineLevel="1" x14ac:dyDescent="0.2">
      <c r="D159" s="56"/>
      <c r="E159" s="74"/>
      <c r="F159" s="75"/>
      <c r="G159" s="78" t="s">
        <v>172</v>
      </c>
      <c r="H159" s="393">
        <v>0</v>
      </c>
      <c r="I159" s="50">
        <f t="shared" si="82"/>
        <v>0</v>
      </c>
      <c r="J159" s="344">
        <f t="shared" si="83"/>
        <v>0</v>
      </c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</row>
    <row r="160" spans="4:20" ht="12" hidden="1" customHeight="1" outlineLevel="1" x14ac:dyDescent="0.2">
      <c r="D160" s="56"/>
      <c r="E160" s="74"/>
      <c r="F160" s="75"/>
      <c r="G160" s="78" t="s">
        <v>171</v>
      </c>
      <c r="H160" s="393">
        <v>0</v>
      </c>
      <c r="I160" s="50">
        <f t="shared" si="82"/>
        <v>0</v>
      </c>
      <c r="J160" s="344">
        <f t="shared" si="83"/>
        <v>0</v>
      </c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</row>
    <row r="161" spans="4:20" ht="12" hidden="1" customHeight="1" outlineLevel="1" x14ac:dyDescent="0.2">
      <c r="D161" s="56"/>
      <c r="E161" s="74"/>
      <c r="F161" s="75"/>
      <c r="G161" s="78" t="s">
        <v>299</v>
      </c>
      <c r="H161" s="393">
        <v>0</v>
      </c>
      <c r="I161" s="50">
        <f t="shared" si="82"/>
        <v>0</v>
      </c>
      <c r="J161" s="344">
        <f t="shared" si="83"/>
        <v>0</v>
      </c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</row>
    <row r="162" spans="4:20" ht="12" hidden="1" customHeight="1" outlineLevel="1" x14ac:dyDescent="0.2">
      <c r="D162" s="56"/>
      <c r="E162" s="74"/>
      <c r="F162" s="75"/>
      <c r="G162" s="78" t="s">
        <v>157</v>
      </c>
      <c r="H162" s="393">
        <f>33500</f>
        <v>33500</v>
      </c>
      <c r="I162" s="50">
        <f t="shared" si="82"/>
        <v>147823</v>
      </c>
      <c r="J162" s="344">
        <f t="shared" si="83"/>
        <v>114323</v>
      </c>
      <c r="K162" s="278"/>
      <c r="L162" s="278">
        <v>114323</v>
      </c>
      <c r="M162" s="278"/>
      <c r="N162" s="278"/>
      <c r="O162" s="278"/>
      <c r="P162" s="278"/>
      <c r="Q162" s="278"/>
      <c r="R162" s="278"/>
      <c r="S162" s="278"/>
      <c r="T162" s="278"/>
    </row>
    <row r="163" spans="4:20" ht="12" hidden="1" customHeight="1" outlineLevel="1" x14ac:dyDescent="0.2">
      <c r="D163" s="56"/>
      <c r="E163" s="74"/>
      <c r="F163" s="75"/>
      <c r="G163" s="57" t="s">
        <v>58</v>
      </c>
      <c r="H163" s="393">
        <v>0</v>
      </c>
      <c r="I163" s="50">
        <f t="shared" si="82"/>
        <v>126</v>
      </c>
      <c r="J163" s="344">
        <f t="shared" si="83"/>
        <v>126</v>
      </c>
      <c r="K163" s="278"/>
      <c r="L163" s="278">
        <v>126</v>
      </c>
      <c r="M163" s="278"/>
      <c r="N163" s="278"/>
      <c r="O163" s="278"/>
      <c r="P163" s="278"/>
      <c r="Q163" s="278"/>
      <c r="R163" s="278"/>
      <c r="S163" s="278"/>
      <c r="T163" s="278"/>
    </row>
    <row r="164" spans="4:20" ht="24" hidden="1" customHeight="1" outlineLevel="1" x14ac:dyDescent="0.2">
      <c r="D164" s="56"/>
      <c r="E164" s="74"/>
      <c r="F164" s="75"/>
      <c r="G164" s="57" t="s">
        <v>92</v>
      </c>
      <c r="H164" s="393">
        <f>5355+20473</f>
        <v>25828</v>
      </c>
      <c r="I164" s="50">
        <f t="shared" si="82"/>
        <v>26192</v>
      </c>
      <c r="J164" s="344">
        <f t="shared" si="83"/>
        <v>364</v>
      </c>
      <c r="K164" s="278"/>
      <c r="L164" s="278">
        <v>364</v>
      </c>
      <c r="M164" s="278"/>
      <c r="N164" s="278"/>
      <c r="O164" s="278"/>
      <c r="P164" s="278"/>
      <c r="Q164" s="278"/>
      <c r="R164" s="278"/>
      <c r="S164" s="278"/>
      <c r="T164" s="278"/>
    </row>
    <row r="165" spans="4:20" ht="12" hidden="1" customHeight="1" outlineLevel="1" x14ac:dyDescent="0.2">
      <c r="D165" s="56"/>
      <c r="E165" s="74"/>
      <c r="F165" s="75"/>
      <c r="G165" s="57" t="s">
        <v>216</v>
      </c>
      <c r="H165" s="393">
        <v>0</v>
      </c>
      <c r="I165" s="50">
        <f t="shared" si="82"/>
        <v>6802</v>
      </c>
      <c r="J165" s="344">
        <f t="shared" si="83"/>
        <v>6802</v>
      </c>
      <c r="K165" s="278"/>
      <c r="L165" s="278">
        <v>6802</v>
      </c>
      <c r="M165" s="278"/>
      <c r="N165" s="278"/>
      <c r="O165" s="278"/>
      <c r="P165" s="278"/>
      <c r="Q165" s="278"/>
      <c r="R165" s="278"/>
      <c r="S165" s="278"/>
      <c r="T165" s="278"/>
    </row>
    <row r="166" spans="4:20" ht="12" hidden="1" customHeight="1" outlineLevel="1" x14ac:dyDescent="0.2">
      <c r="D166" s="56"/>
      <c r="E166" s="74"/>
      <c r="F166" s="75"/>
      <c r="G166" s="57" t="s">
        <v>141</v>
      </c>
      <c r="H166" s="393">
        <f>10793</f>
        <v>10793</v>
      </c>
      <c r="I166" s="50">
        <f t="shared" si="82"/>
        <v>273285</v>
      </c>
      <c r="J166" s="344">
        <f t="shared" si="83"/>
        <v>262492</v>
      </c>
      <c r="K166" s="278"/>
      <c r="L166" s="278">
        <f>262492</f>
        <v>262492</v>
      </c>
      <c r="M166" s="278"/>
      <c r="N166" s="278"/>
      <c r="O166" s="278"/>
      <c r="P166" s="278"/>
      <c r="Q166" s="278"/>
      <c r="R166" s="278"/>
      <c r="S166" s="278"/>
      <c r="T166" s="278"/>
    </row>
    <row r="167" spans="4:20" ht="24" hidden="1" customHeight="1" outlineLevel="1" x14ac:dyDescent="0.2">
      <c r="D167" s="56"/>
      <c r="E167" s="74"/>
      <c r="F167" s="75"/>
      <c r="G167" s="57" t="s">
        <v>182</v>
      </c>
      <c r="H167" s="393">
        <v>0</v>
      </c>
      <c r="I167" s="50">
        <f t="shared" si="82"/>
        <v>0</v>
      </c>
      <c r="J167" s="344">
        <f t="shared" si="83"/>
        <v>0</v>
      </c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</row>
    <row r="168" spans="4:20" ht="12" hidden="1" customHeight="1" outlineLevel="1" x14ac:dyDescent="0.2">
      <c r="D168" s="56"/>
      <c r="E168" s="74"/>
      <c r="F168" s="75"/>
      <c r="G168" s="57" t="s">
        <v>735</v>
      </c>
      <c r="H168" s="393">
        <v>0</v>
      </c>
      <c r="I168" s="50">
        <f t="shared" si="82"/>
        <v>147823</v>
      </c>
      <c r="J168" s="344">
        <f t="shared" si="83"/>
        <v>147823</v>
      </c>
      <c r="K168" s="278"/>
      <c r="L168" s="278">
        <v>147823</v>
      </c>
      <c r="M168" s="278"/>
      <c r="N168" s="278"/>
      <c r="O168" s="278"/>
      <c r="P168" s="278"/>
      <c r="Q168" s="278"/>
      <c r="R168" s="278"/>
      <c r="S168" s="278"/>
      <c r="T168" s="278"/>
    </row>
    <row r="169" spans="4:20" ht="12" hidden="1" customHeight="1" outlineLevel="1" x14ac:dyDescent="0.2">
      <c r="D169" s="56"/>
      <c r="E169" s="74"/>
      <c r="F169" s="75"/>
      <c r="G169" s="57"/>
      <c r="H169" s="393"/>
      <c r="I169" s="50"/>
      <c r="J169" s="344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</row>
    <row r="170" spans="4:20" collapsed="1" x14ac:dyDescent="0.2">
      <c r="D170" s="79"/>
      <c r="E170" s="80"/>
      <c r="F170" s="81"/>
      <c r="G170" s="57"/>
      <c r="H170" s="408"/>
      <c r="I170" s="61"/>
      <c r="J170" s="344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</row>
    <row r="171" spans="4:20" x14ac:dyDescent="0.2">
      <c r="D171" s="556" t="s">
        <v>204</v>
      </c>
      <c r="E171" s="557"/>
      <c r="F171" s="557"/>
      <c r="G171" s="558"/>
      <c r="H171" s="409">
        <f>SUM(H173,H178)</f>
        <v>26666</v>
      </c>
      <c r="I171" s="89">
        <f>SUM(I173,I178)</f>
        <v>30860</v>
      </c>
      <c r="J171" s="350">
        <f t="shared" ref="J171:T171" si="84">SUM(J173,J178)</f>
        <v>4194</v>
      </c>
      <c r="K171" s="351">
        <f t="shared" si="84"/>
        <v>0</v>
      </c>
      <c r="L171" s="351">
        <f t="shared" si="84"/>
        <v>4403</v>
      </c>
      <c r="M171" s="351">
        <f t="shared" si="84"/>
        <v>-209</v>
      </c>
      <c r="N171" s="351">
        <f t="shared" si="84"/>
        <v>0</v>
      </c>
      <c r="O171" s="351">
        <f t="shared" si="84"/>
        <v>0</v>
      </c>
      <c r="P171" s="351">
        <f t="shared" si="84"/>
        <v>0</v>
      </c>
      <c r="Q171" s="351">
        <f t="shared" si="84"/>
        <v>0</v>
      </c>
      <c r="R171" s="351">
        <f t="shared" si="84"/>
        <v>0</v>
      </c>
      <c r="S171" s="351">
        <f t="shared" si="84"/>
        <v>0</v>
      </c>
      <c r="T171" s="352">
        <f t="shared" si="84"/>
        <v>0</v>
      </c>
    </row>
    <row r="172" spans="4:20" x14ac:dyDescent="0.2">
      <c r="D172" s="79"/>
      <c r="E172" s="80"/>
      <c r="F172" s="81"/>
      <c r="G172" s="57"/>
      <c r="H172" s="408"/>
      <c r="I172" s="86"/>
      <c r="J172" s="344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</row>
    <row r="173" spans="4:20" x14ac:dyDescent="0.2">
      <c r="D173" s="543" t="s">
        <v>127</v>
      </c>
      <c r="E173" s="544"/>
      <c r="F173" s="545"/>
      <c r="G173" s="88" t="s">
        <v>205</v>
      </c>
      <c r="H173" s="410">
        <f>SUM(H174:H175)</f>
        <v>3530</v>
      </c>
      <c r="I173" s="90">
        <f>SUM(I174:I175)</f>
        <v>3530</v>
      </c>
      <c r="J173" s="353">
        <f t="shared" ref="J173:T173" si="85">SUM(J174:J175)</f>
        <v>0</v>
      </c>
      <c r="K173" s="354">
        <f t="shared" si="85"/>
        <v>0</v>
      </c>
      <c r="L173" s="354">
        <f t="shared" si="85"/>
        <v>0</v>
      </c>
      <c r="M173" s="354">
        <f t="shared" si="85"/>
        <v>0</v>
      </c>
      <c r="N173" s="354">
        <f t="shared" si="85"/>
        <v>0</v>
      </c>
      <c r="O173" s="354">
        <f t="shared" si="85"/>
        <v>0</v>
      </c>
      <c r="P173" s="354">
        <f t="shared" si="85"/>
        <v>0</v>
      </c>
      <c r="Q173" s="354">
        <f t="shared" si="85"/>
        <v>0</v>
      </c>
      <c r="R173" s="354">
        <f t="shared" si="85"/>
        <v>0</v>
      </c>
      <c r="S173" s="354">
        <f t="shared" si="85"/>
        <v>0</v>
      </c>
      <c r="T173" s="355">
        <f t="shared" si="85"/>
        <v>0</v>
      </c>
    </row>
    <row r="174" spans="4:20" s="186" customFormat="1" x14ac:dyDescent="0.2">
      <c r="D174" s="68"/>
      <c r="E174" s="546" t="s">
        <v>184</v>
      </c>
      <c r="F174" s="547"/>
      <c r="G174" s="57" t="s">
        <v>185</v>
      </c>
      <c r="H174" s="393">
        <v>0</v>
      </c>
      <c r="I174" s="50">
        <f t="shared" ref="I174:I175" si="86">H174+J174</f>
        <v>0</v>
      </c>
      <c r="J174" s="376">
        <f t="shared" ref="J174:J175" si="87">SUM(K174:T174)</f>
        <v>0</v>
      </c>
      <c r="K174" s="377"/>
      <c r="L174" s="377"/>
      <c r="M174" s="377"/>
      <c r="N174" s="377"/>
      <c r="O174" s="377"/>
      <c r="P174" s="377"/>
      <c r="Q174" s="377"/>
      <c r="R174" s="377"/>
      <c r="S174" s="377"/>
      <c r="T174" s="377"/>
    </row>
    <row r="175" spans="4:20" s="186" customFormat="1" ht="24" x14ac:dyDescent="0.2">
      <c r="D175" s="68"/>
      <c r="E175" s="546" t="s">
        <v>128</v>
      </c>
      <c r="F175" s="547"/>
      <c r="G175" s="57" t="s">
        <v>210</v>
      </c>
      <c r="H175" s="393">
        <f>3530</f>
        <v>3530</v>
      </c>
      <c r="I175" s="50">
        <f t="shared" si="86"/>
        <v>3530</v>
      </c>
      <c r="J175" s="376">
        <f t="shared" si="87"/>
        <v>0</v>
      </c>
      <c r="K175" s="377"/>
      <c r="L175" s="377"/>
      <c r="M175" s="377"/>
      <c r="N175" s="377"/>
      <c r="O175" s="377"/>
      <c r="P175" s="377"/>
      <c r="Q175" s="377"/>
      <c r="R175" s="377"/>
      <c r="S175" s="377"/>
      <c r="T175" s="377"/>
    </row>
    <row r="176" spans="4:20" x14ac:dyDescent="0.2">
      <c r="D176" s="79"/>
      <c r="E176" s="80"/>
      <c r="F176" s="81"/>
      <c r="G176" s="57"/>
      <c r="H176" s="408"/>
      <c r="I176" s="86"/>
      <c r="J176" s="344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</row>
    <row r="177" spans="4:20" x14ac:dyDescent="0.2">
      <c r="D177" s="79"/>
      <c r="E177" s="80"/>
      <c r="F177" s="81"/>
      <c r="G177" s="57"/>
      <c r="H177" s="408"/>
      <c r="I177" s="86"/>
      <c r="J177" s="344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</row>
    <row r="178" spans="4:20" x14ac:dyDescent="0.2">
      <c r="D178" s="79"/>
      <c r="E178" s="80"/>
      <c r="F178" s="81"/>
      <c r="G178" s="69" t="s">
        <v>206</v>
      </c>
      <c r="H178" s="392">
        <f>SUM(H179)</f>
        <v>23136</v>
      </c>
      <c r="I178" s="94">
        <f>SUM(I179)</f>
        <v>27330</v>
      </c>
      <c r="J178" s="356">
        <f t="shared" ref="J178:T178" si="88">SUM(J179)</f>
        <v>4194</v>
      </c>
      <c r="K178" s="357">
        <f t="shared" si="88"/>
        <v>0</v>
      </c>
      <c r="L178" s="357">
        <f t="shared" si="88"/>
        <v>4403</v>
      </c>
      <c r="M178" s="357">
        <f t="shared" si="88"/>
        <v>-209</v>
      </c>
      <c r="N178" s="357">
        <f t="shared" si="88"/>
        <v>0</v>
      </c>
      <c r="O178" s="357">
        <f t="shared" si="88"/>
        <v>0</v>
      </c>
      <c r="P178" s="357">
        <f t="shared" si="88"/>
        <v>0</v>
      </c>
      <c r="Q178" s="357">
        <f t="shared" si="88"/>
        <v>0</v>
      </c>
      <c r="R178" s="357">
        <f t="shared" si="88"/>
        <v>0</v>
      </c>
      <c r="S178" s="357">
        <f t="shared" si="88"/>
        <v>0</v>
      </c>
      <c r="T178" s="358">
        <f t="shared" si="88"/>
        <v>0</v>
      </c>
    </row>
    <row r="179" spans="4:20" x14ac:dyDescent="0.2">
      <c r="D179" s="79"/>
      <c r="E179" s="80"/>
      <c r="F179" s="81"/>
      <c r="G179" s="57" t="s">
        <v>207</v>
      </c>
      <c r="H179" s="408">
        <f>SUM(H180:H181)</f>
        <v>23136</v>
      </c>
      <c r="I179" s="61">
        <f>SUM(I180:I181)</f>
        <v>27330</v>
      </c>
      <c r="J179" s="359">
        <f t="shared" ref="J179:T179" si="89">SUM(J180:J181)</f>
        <v>4194</v>
      </c>
      <c r="K179" s="360">
        <f t="shared" si="89"/>
        <v>0</v>
      </c>
      <c r="L179" s="360">
        <f t="shared" si="89"/>
        <v>4403</v>
      </c>
      <c r="M179" s="360">
        <f t="shared" si="89"/>
        <v>-209</v>
      </c>
      <c r="N179" s="360">
        <f t="shared" si="89"/>
        <v>0</v>
      </c>
      <c r="O179" s="360">
        <f t="shared" si="89"/>
        <v>0</v>
      </c>
      <c r="P179" s="360">
        <f t="shared" si="89"/>
        <v>0</v>
      </c>
      <c r="Q179" s="360">
        <f t="shared" si="89"/>
        <v>0</v>
      </c>
      <c r="R179" s="360">
        <f t="shared" si="89"/>
        <v>0</v>
      </c>
      <c r="S179" s="360">
        <f t="shared" si="89"/>
        <v>0</v>
      </c>
      <c r="T179" s="361">
        <f t="shared" si="89"/>
        <v>0</v>
      </c>
    </row>
    <row r="180" spans="4:20" ht="24" x14ac:dyDescent="0.2">
      <c r="D180" s="79"/>
      <c r="E180" s="80"/>
      <c r="F180" s="81"/>
      <c r="G180" s="91" t="s">
        <v>208</v>
      </c>
      <c r="H180" s="408">
        <f>14931</f>
        <v>14931</v>
      </c>
      <c r="I180" s="61">
        <f t="shared" ref="I180:I181" si="90">H180+J180</f>
        <v>17905</v>
      </c>
      <c r="J180" s="344">
        <f t="shared" ref="J180:J181" si="91">SUM(K180:T180)</f>
        <v>2974</v>
      </c>
      <c r="K180" s="278"/>
      <c r="L180" s="278">
        <v>2974</v>
      </c>
      <c r="M180" s="278"/>
      <c r="N180" s="278"/>
      <c r="O180" s="278"/>
      <c r="P180" s="278"/>
      <c r="Q180" s="278"/>
      <c r="R180" s="278"/>
      <c r="S180" s="278"/>
      <c r="T180" s="278"/>
    </row>
    <row r="181" spans="4:20" ht="24" x14ac:dyDescent="0.2">
      <c r="D181" s="79"/>
      <c r="E181" s="80"/>
      <c r="F181" s="81"/>
      <c r="G181" s="91" t="s">
        <v>209</v>
      </c>
      <c r="H181" s="408">
        <f>8205</f>
        <v>8205</v>
      </c>
      <c r="I181" s="61">
        <f t="shared" si="90"/>
        <v>9425</v>
      </c>
      <c r="J181" s="344">
        <f t="shared" si="91"/>
        <v>1220</v>
      </c>
      <c r="K181" s="278"/>
      <c r="L181" s="278">
        <f>1220+209</f>
        <v>1429</v>
      </c>
      <c r="M181" s="278">
        <f>-209</f>
        <v>-209</v>
      </c>
      <c r="N181" s="278"/>
      <c r="O181" s="278"/>
      <c r="P181" s="278"/>
      <c r="Q181" s="278"/>
      <c r="R181" s="278"/>
      <c r="S181" s="278"/>
      <c r="T181" s="278"/>
    </row>
    <row r="182" spans="4:20" x14ac:dyDescent="0.2">
      <c r="D182" s="79"/>
      <c r="E182" s="80"/>
      <c r="F182" s="81"/>
      <c r="G182" s="57"/>
      <c r="H182" s="408"/>
      <c r="I182" s="61"/>
      <c r="J182" s="344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</row>
    <row r="183" spans="4:20" x14ac:dyDescent="0.2">
      <c r="D183" s="56"/>
      <c r="E183" s="74"/>
      <c r="F183" s="75"/>
      <c r="G183" s="57"/>
      <c r="H183" s="408"/>
      <c r="I183" s="61"/>
      <c r="J183" s="344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</row>
    <row r="184" spans="4:20" s="186" customFormat="1" ht="24.75" customHeight="1" thickBot="1" x14ac:dyDescent="0.25">
      <c r="D184" s="548" t="s">
        <v>148</v>
      </c>
      <c r="E184" s="549"/>
      <c r="F184" s="549"/>
      <c r="G184" s="550"/>
      <c r="H184" s="411">
        <f t="shared" ref="H184:T184" si="92">SUM(H173,H118)</f>
        <v>70540942</v>
      </c>
      <c r="I184" s="82">
        <f>SUM(I173,I118)</f>
        <v>69633883</v>
      </c>
      <c r="J184" s="362">
        <f t="shared" si="92"/>
        <v>-907059</v>
      </c>
      <c r="K184" s="363">
        <f t="shared" si="92"/>
        <v>7491</v>
      </c>
      <c r="L184" s="363">
        <f t="shared" si="92"/>
        <v>-1038789</v>
      </c>
      <c r="M184" s="363">
        <f t="shared" si="92"/>
        <v>46703</v>
      </c>
      <c r="N184" s="363">
        <f t="shared" si="92"/>
        <v>77536</v>
      </c>
      <c r="O184" s="363">
        <f t="shared" si="92"/>
        <v>0</v>
      </c>
      <c r="P184" s="363">
        <f t="shared" si="92"/>
        <v>0</v>
      </c>
      <c r="Q184" s="363">
        <f t="shared" si="92"/>
        <v>0</v>
      </c>
      <c r="R184" s="363">
        <f t="shared" si="92"/>
        <v>0</v>
      </c>
      <c r="S184" s="363">
        <f t="shared" si="92"/>
        <v>0</v>
      </c>
      <c r="T184" s="364">
        <f t="shared" si="92"/>
        <v>0</v>
      </c>
    </row>
    <row r="185" spans="4:20" s="186" customFormat="1" ht="12.75" thickBot="1" x14ac:dyDescent="0.25">
      <c r="D185" s="551" t="s">
        <v>134</v>
      </c>
      <c r="E185" s="552"/>
      <c r="F185" s="552"/>
      <c r="G185" s="553"/>
      <c r="H185" s="412">
        <f t="shared" ref="H185:T185" si="93">SUM(H10,H171)</f>
        <v>109347454</v>
      </c>
      <c r="I185" s="82">
        <f>SUM(I10,I171)</f>
        <v>111609892</v>
      </c>
      <c r="J185" s="362">
        <f t="shared" si="93"/>
        <v>2262438</v>
      </c>
      <c r="K185" s="363">
        <f t="shared" si="93"/>
        <v>42815</v>
      </c>
      <c r="L185" s="363">
        <f t="shared" si="93"/>
        <v>1690808</v>
      </c>
      <c r="M185" s="363">
        <f t="shared" si="93"/>
        <v>451137</v>
      </c>
      <c r="N185" s="363">
        <f t="shared" si="93"/>
        <v>77678</v>
      </c>
      <c r="O185" s="363">
        <f t="shared" si="93"/>
        <v>0</v>
      </c>
      <c r="P185" s="363">
        <f t="shared" si="93"/>
        <v>0</v>
      </c>
      <c r="Q185" s="363">
        <f t="shared" si="93"/>
        <v>0</v>
      </c>
      <c r="R185" s="363">
        <f t="shared" si="93"/>
        <v>0</v>
      </c>
      <c r="S185" s="363">
        <f t="shared" si="93"/>
        <v>0</v>
      </c>
      <c r="T185" s="364">
        <f t="shared" si="93"/>
        <v>0</v>
      </c>
    </row>
    <row r="188" spans="4:20" x14ac:dyDescent="0.2">
      <c r="D188" s="542"/>
      <c r="E188" s="542"/>
      <c r="F188" s="542"/>
      <c r="G188" s="542"/>
      <c r="H188" s="542"/>
      <c r="I188" s="542"/>
      <c r="J188" s="542"/>
      <c r="K188" s="542"/>
    </row>
    <row r="189" spans="4:20" x14ac:dyDescent="0.2">
      <c r="D189" s="542"/>
      <c r="E189" s="542"/>
      <c r="F189" s="542"/>
      <c r="G189" s="542"/>
      <c r="H189" s="542"/>
      <c r="I189" s="542"/>
      <c r="J189" s="542"/>
      <c r="K189" s="542"/>
    </row>
  </sheetData>
  <sheetProtection algorithmName="SHA-512" hashValue="11furnmTVMbVcrll1r8rzDjghheyJLmZf9dPyCmaMB9pk6IXzJVcygJ1HzbGQdGFOsKB3ngRr86VS9rF4xDrAQ==" saltValue="MEzPTGv/p2NamYmfMnjeeA==" spinCount="100000" sheet="1" objects="1" scenarios="1"/>
  <mergeCells count="127">
    <mergeCell ref="D1:I1"/>
    <mergeCell ref="C6:U6"/>
    <mergeCell ref="D8:F8"/>
    <mergeCell ref="D9:F9"/>
    <mergeCell ref="D10:G10"/>
    <mergeCell ref="D12:F12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D17:F17"/>
    <mergeCell ref="E18:F18"/>
    <mergeCell ref="E32:F32"/>
    <mergeCell ref="E33:F33"/>
    <mergeCell ref="E34:F34"/>
    <mergeCell ref="E35:F35"/>
    <mergeCell ref="E36:F36"/>
    <mergeCell ref="E37:F37"/>
    <mergeCell ref="D25:F25"/>
    <mergeCell ref="E26:F26"/>
    <mergeCell ref="E27:F27"/>
    <mergeCell ref="E28:F28"/>
    <mergeCell ref="E29:F29"/>
    <mergeCell ref="D31:F31"/>
    <mergeCell ref="E45:F45"/>
    <mergeCell ref="E46:F46"/>
    <mergeCell ref="E47:F47"/>
    <mergeCell ref="E48:F48"/>
    <mergeCell ref="E49:F49"/>
    <mergeCell ref="E50:F50"/>
    <mergeCell ref="E38:F38"/>
    <mergeCell ref="E39:F39"/>
    <mergeCell ref="E40:F40"/>
    <mergeCell ref="D42:F42"/>
    <mergeCell ref="E43:F43"/>
    <mergeCell ref="E44:F44"/>
    <mergeCell ref="E57:F57"/>
    <mergeCell ref="D58:F58"/>
    <mergeCell ref="E59:F59"/>
    <mergeCell ref="E60:F60"/>
    <mergeCell ref="E61:F61"/>
    <mergeCell ref="E62:F62"/>
    <mergeCell ref="E51:F51"/>
    <mergeCell ref="E52:F52"/>
    <mergeCell ref="D53:F53"/>
    <mergeCell ref="E54:F54"/>
    <mergeCell ref="E55:F55"/>
    <mergeCell ref="E56:F56"/>
    <mergeCell ref="E70:F70"/>
    <mergeCell ref="E71:F71"/>
    <mergeCell ref="E72:F72"/>
    <mergeCell ref="E73:F73"/>
    <mergeCell ref="E75:F75"/>
    <mergeCell ref="E76:F76"/>
    <mergeCell ref="E63:F63"/>
    <mergeCell ref="E64:F64"/>
    <mergeCell ref="E65:F65"/>
    <mergeCell ref="E66:F66"/>
    <mergeCell ref="E67:F67"/>
    <mergeCell ref="D68:F68"/>
    <mergeCell ref="E83:F83"/>
    <mergeCell ref="D84:F84"/>
    <mergeCell ref="E85:F85"/>
    <mergeCell ref="E86:F86"/>
    <mergeCell ref="E87:F87"/>
    <mergeCell ref="E88:F88"/>
    <mergeCell ref="E77:F77"/>
    <mergeCell ref="E78:F78"/>
    <mergeCell ref="D79:F79"/>
    <mergeCell ref="E80:F80"/>
    <mergeCell ref="E81:F81"/>
    <mergeCell ref="E82:F82"/>
    <mergeCell ref="E95:F95"/>
    <mergeCell ref="E96:F96"/>
    <mergeCell ref="E97:F97"/>
    <mergeCell ref="E98:F98"/>
    <mergeCell ref="E99:F99"/>
    <mergeCell ref="E100:F100"/>
    <mergeCell ref="D89:F89"/>
    <mergeCell ref="E90:F90"/>
    <mergeCell ref="E91:F91"/>
    <mergeCell ref="E92:F92"/>
    <mergeCell ref="E93:F93"/>
    <mergeCell ref="E94:F94"/>
    <mergeCell ref="E108:F108"/>
    <mergeCell ref="E109:F109"/>
    <mergeCell ref="E110:F110"/>
    <mergeCell ref="E111:F111"/>
    <mergeCell ref="E112:F112"/>
    <mergeCell ref="E113:F113"/>
    <mergeCell ref="E101:F101"/>
    <mergeCell ref="E102:F102"/>
    <mergeCell ref="E104:F104"/>
    <mergeCell ref="E105:F105"/>
    <mergeCell ref="E106:F106"/>
    <mergeCell ref="E107:F107"/>
    <mergeCell ref="E129:F129"/>
    <mergeCell ref="E130:F130"/>
    <mergeCell ref="E134:F134"/>
    <mergeCell ref="E135:F135"/>
    <mergeCell ref="E136:F136"/>
    <mergeCell ref="E138:F138"/>
    <mergeCell ref="E114:F114"/>
    <mergeCell ref="D118:G118"/>
    <mergeCell ref="E120:F120"/>
    <mergeCell ref="E123:F123"/>
    <mergeCell ref="E125:F125"/>
    <mergeCell ref="E126:F126"/>
    <mergeCell ref="D189:K189"/>
    <mergeCell ref="D173:F173"/>
    <mergeCell ref="E174:F174"/>
    <mergeCell ref="E175:F175"/>
    <mergeCell ref="D184:G184"/>
    <mergeCell ref="D185:G185"/>
    <mergeCell ref="D188:K188"/>
    <mergeCell ref="E139:F139"/>
    <mergeCell ref="E142:F142"/>
    <mergeCell ref="E143:F143"/>
    <mergeCell ref="E144:F144"/>
    <mergeCell ref="E145:F145"/>
    <mergeCell ref="D171:G171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5" orientation="portrait" r:id="rId1"/>
  <headerFooter differentFirst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C1:U189"/>
  <sheetViews>
    <sheetView view="pageLayout" zoomScaleNormal="100" workbookViewId="0">
      <selection activeCell="W6" sqref="W6"/>
    </sheetView>
  </sheetViews>
  <sheetFormatPr defaultRowHeight="12" outlineLevelRow="1" outlineLevelCol="1" x14ac:dyDescent="0.2"/>
  <cols>
    <col min="1" max="3" width="9.140625" style="26"/>
    <col min="4" max="4" width="1.42578125" style="83" customWidth="1"/>
    <col min="5" max="5" width="3" style="83" customWidth="1"/>
    <col min="6" max="6" width="9.140625" style="83" customWidth="1"/>
    <col min="7" max="7" width="40.7109375" style="83" customWidth="1"/>
    <col min="8" max="8" width="10.5703125" style="83" hidden="1" customWidth="1" outlineLevel="1"/>
    <col min="9" max="9" width="10" style="83" customWidth="1" collapsed="1"/>
    <col min="10" max="10" width="10" style="370" hidden="1" customWidth="1" outlineLevel="1"/>
    <col min="11" max="11" width="7.42578125" style="370" hidden="1" customWidth="1" outlineLevel="1"/>
    <col min="12" max="20" width="9.140625" style="371" hidden="1" customWidth="1" outlineLevel="1"/>
    <col min="21" max="21" width="9.140625" style="26" collapsed="1"/>
    <col min="22" max="16384" width="9.140625" style="26"/>
  </cols>
  <sheetData>
    <row r="1" spans="3:21" ht="16.5" x14ac:dyDescent="0.25">
      <c r="D1" s="603" t="s">
        <v>714</v>
      </c>
      <c r="E1" s="603"/>
      <c r="F1" s="603"/>
      <c r="G1" s="603"/>
      <c r="H1" s="603"/>
      <c r="I1" s="603"/>
    </row>
    <row r="2" spans="3:21" ht="16.5" x14ac:dyDescent="0.25">
      <c r="D2" s="263"/>
      <c r="E2" s="263"/>
      <c r="F2" s="263"/>
      <c r="G2" s="263"/>
      <c r="H2" s="263"/>
      <c r="I2" s="264" t="s">
        <v>782</v>
      </c>
    </row>
    <row r="3" spans="3:21" ht="16.5" x14ac:dyDescent="0.25">
      <c r="D3" s="263"/>
      <c r="E3" s="263"/>
      <c r="F3" s="263"/>
      <c r="G3" s="263"/>
      <c r="H3" s="263"/>
      <c r="I3" s="264" t="s">
        <v>761</v>
      </c>
    </row>
    <row r="6" spans="3:21" ht="18" customHeight="1" x14ac:dyDescent="0.35">
      <c r="C6" s="594" t="s">
        <v>523</v>
      </c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</row>
    <row r="7" spans="3:21" ht="12.75" thickBot="1" x14ac:dyDescent="0.25">
      <c r="D7" s="26"/>
      <c r="E7" s="26"/>
      <c r="F7" s="26"/>
      <c r="G7" s="26"/>
      <c r="H7" s="26"/>
      <c r="I7" s="26"/>
      <c r="J7" s="371"/>
      <c r="K7" s="371"/>
    </row>
    <row r="8" spans="3:21" ht="36" x14ac:dyDescent="0.2">
      <c r="D8" s="595" t="s">
        <v>28</v>
      </c>
      <c r="E8" s="596"/>
      <c r="F8" s="596"/>
      <c r="G8" s="185" t="s">
        <v>29</v>
      </c>
      <c r="H8" s="415" t="s">
        <v>748</v>
      </c>
      <c r="I8" s="257" t="s">
        <v>704</v>
      </c>
      <c r="J8" s="372" t="s">
        <v>726</v>
      </c>
      <c r="K8" s="414" t="s">
        <v>730</v>
      </c>
      <c r="L8" s="414" t="s">
        <v>741</v>
      </c>
      <c r="M8" s="414" t="s">
        <v>767</v>
      </c>
      <c r="N8" s="452" t="s">
        <v>776</v>
      </c>
      <c r="O8" s="373"/>
      <c r="P8" s="373"/>
      <c r="Q8" s="373"/>
      <c r="R8" s="373"/>
      <c r="S8" s="373"/>
      <c r="T8" s="373"/>
    </row>
    <row r="9" spans="3:21" ht="10.5" customHeight="1" thickBot="1" x14ac:dyDescent="0.25">
      <c r="D9" s="597">
        <v>1</v>
      </c>
      <c r="E9" s="598"/>
      <c r="F9" s="599"/>
      <c r="G9" s="87">
        <v>2</v>
      </c>
      <c r="H9" s="385">
        <v>7</v>
      </c>
      <c r="I9" s="365">
        <v>7</v>
      </c>
      <c r="J9" s="374"/>
      <c r="K9" s="375"/>
      <c r="L9" s="375"/>
      <c r="M9" s="375"/>
      <c r="N9" s="375"/>
      <c r="O9" s="375"/>
      <c r="P9" s="375"/>
      <c r="Q9" s="375"/>
      <c r="R9" s="375"/>
      <c r="S9" s="375"/>
      <c r="T9" s="375"/>
    </row>
    <row r="10" spans="3:21" s="186" customFormat="1" ht="12.75" customHeight="1" thickTop="1" x14ac:dyDescent="0.2">
      <c r="D10" s="600" t="s">
        <v>133</v>
      </c>
      <c r="E10" s="601"/>
      <c r="F10" s="601"/>
      <c r="G10" s="602"/>
      <c r="H10" s="386">
        <f t="shared" ref="H10:T10" si="0">SUM(H118,H120,H146)</f>
        <v>109320788</v>
      </c>
      <c r="I10" s="366">
        <f>SUM(I118,I120,I146)</f>
        <v>111579032</v>
      </c>
      <c r="J10" s="367">
        <f t="shared" si="0"/>
        <v>2258244</v>
      </c>
      <c r="K10" s="368">
        <f t="shared" si="0"/>
        <v>42815</v>
      </c>
      <c r="L10" s="368">
        <f t="shared" si="0"/>
        <v>1686405</v>
      </c>
      <c r="M10" s="368">
        <f t="shared" si="0"/>
        <v>451346</v>
      </c>
      <c r="N10" s="368">
        <f t="shared" si="0"/>
        <v>77678</v>
      </c>
      <c r="O10" s="368">
        <f t="shared" si="0"/>
        <v>0</v>
      </c>
      <c r="P10" s="368">
        <f t="shared" si="0"/>
        <v>0</v>
      </c>
      <c r="Q10" s="368">
        <f t="shared" si="0"/>
        <v>0</v>
      </c>
      <c r="R10" s="368">
        <f t="shared" si="0"/>
        <v>0</v>
      </c>
      <c r="S10" s="368">
        <f t="shared" si="0"/>
        <v>0</v>
      </c>
      <c r="T10" s="369">
        <f t="shared" si="0"/>
        <v>0</v>
      </c>
    </row>
    <row r="11" spans="3:21" s="186" customFormat="1" x14ac:dyDescent="0.2">
      <c r="D11" s="27"/>
      <c r="E11" s="28"/>
      <c r="F11" s="29"/>
      <c r="G11" s="30"/>
      <c r="H11" s="31"/>
      <c r="I11" s="31"/>
      <c r="J11" s="376"/>
      <c r="K11" s="377"/>
      <c r="L11" s="377"/>
      <c r="M11" s="377"/>
      <c r="N11" s="377"/>
      <c r="O11" s="377"/>
      <c r="P11" s="377"/>
      <c r="Q11" s="377"/>
      <c r="R11" s="377"/>
      <c r="S11" s="377"/>
      <c r="T11" s="377"/>
    </row>
    <row r="12" spans="3:21" s="187" customFormat="1" x14ac:dyDescent="0.2">
      <c r="D12" s="576" t="s">
        <v>30</v>
      </c>
      <c r="E12" s="577"/>
      <c r="F12" s="577"/>
      <c r="G12" s="32" t="s">
        <v>31</v>
      </c>
      <c r="H12" s="33">
        <f t="shared" ref="H12:T13" si="1">H13</f>
        <v>42254761</v>
      </c>
      <c r="I12" s="33">
        <f t="shared" si="1"/>
        <v>42254761</v>
      </c>
      <c r="J12" s="326">
        <f t="shared" si="1"/>
        <v>0</v>
      </c>
      <c r="K12" s="327">
        <f t="shared" si="1"/>
        <v>0</v>
      </c>
      <c r="L12" s="327">
        <f t="shared" si="1"/>
        <v>0</v>
      </c>
      <c r="M12" s="327">
        <f t="shared" si="1"/>
        <v>0</v>
      </c>
      <c r="N12" s="327">
        <f t="shared" si="1"/>
        <v>0</v>
      </c>
      <c r="O12" s="327">
        <f t="shared" si="1"/>
        <v>0</v>
      </c>
      <c r="P12" s="327">
        <f t="shared" si="1"/>
        <v>0</v>
      </c>
      <c r="Q12" s="327">
        <f t="shared" si="1"/>
        <v>0</v>
      </c>
      <c r="R12" s="327">
        <f t="shared" si="1"/>
        <v>0</v>
      </c>
      <c r="S12" s="327">
        <f t="shared" si="1"/>
        <v>0</v>
      </c>
      <c r="T12" s="328">
        <f t="shared" si="1"/>
        <v>0</v>
      </c>
    </row>
    <row r="13" spans="3:21" s="186" customFormat="1" x14ac:dyDescent="0.2">
      <c r="D13" s="34"/>
      <c r="E13" s="568" t="s">
        <v>32</v>
      </c>
      <c r="F13" s="568"/>
      <c r="G13" s="35" t="s">
        <v>33</v>
      </c>
      <c r="H13" s="36">
        <f t="shared" si="1"/>
        <v>42254761</v>
      </c>
      <c r="I13" s="36">
        <f t="shared" si="1"/>
        <v>42254761</v>
      </c>
      <c r="J13" s="329">
        <f t="shared" si="1"/>
        <v>0</v>
      </c>
      <c r="K13" s="330">
        <f t="shared" si="1"/>
        <v>0</v>
      </c>
      <c r="L13" s="330">
        <f t="shared" si="1"/>
        <v>0</v>
      </c>
      <c r="M13" s="330">
        <f t="shared" si="1"/>
        <v>0</v>
      </c>
      <c r="N13" s="330">
        <f t="shared" si="1"/>
        <v>0</v>
      </c>
      <c r="O13" s="330">
        <f t="shared" si="1"/>
        <v>0</v>
      </c>
      <c r="P13" s="330">
        <f t="shared" si="1"/>
        <v>0</v>
      </c>
      <c r="Q13" s="330">
        <f t="shared" si="1"/>
        <v>0</v>
      </c>
      <c r="R13" s="330">
        <f t="shared" si="1"/>
        <v>0</v>
      </c>
      <c r="S13" s="330">
        <f t="shared" si="1"/>
        <v>0</v>
      </c>
      <c r="T13" s="331">
        <f t="shared" si="1"/>
        <v>0</v>
      </c>
    </row>
    <row r="14" spans="3:21" x14ac:dyDescent="0.2">
      <c r="D14" s="37"/>
      <c r="E14" s="580" t="s">
        <v>34</v>
      </c>
      <c r="F14" s="580"/>
      <c r="G14" s="38" t="s">
        <v>35</v>
      </c>
      <c r="H14" s="387">
        <f>SUM(H15:H16)</f>
        <v>42254761</v>
      </c>
      <c r="I14" s="39">
        <f t="shared" ref="I14:T14" si="2">SUM(I15:I16)</f>
        <v>42254761</v>
      </c>
      <c r="J14" s="332">
        <f>SUM(J15:J16)</f>
        <v>0</v>
      </c>
      <c r="K14" s="333">
        <f t="shared" si="2"/>
        <v>0</v>
      </c>
      <c r="L14" s="333">
        <f t="shared" si="2"/>
        <v>0</v>
      </c>
      <c r="M14" s="333">
        <f t="shared" si="2"/>
        <v>0</v>
      </c>
      <c r="N14" s="333">
        <f t="shared" si="2"/>
        <v>0</v>
      </c>
      <c r="O14" s="333">
        <f t="shared" si="2"/>
        <v>0</v>
      </c>
      <c r="P14" s="333">
        <f t="shared" si="2"/>
        <v>0</v>
      </c>
      <c r="Q14" s="333">
        <f t="shared" si="2"/>
        <v>0</v>
      </c>
      <c r="R14" s="333">
        <f t="shared" si="2"/>
        <v>0</v>
      </c>
      <c r="S14" s="333">
        <f t="shared" si="2"/>
        <v>0</v>
      </c>
      <c r="T14" s="334">
        <f t="shared" si="2"/>
        <v>0</v>
      </c>
    </row>
    <row r="15" spans="3:21" ht="24" x14ac:dyDescent="0.2">
      <c r="D15" s="40"/>
      <c r="E15" s="592" t="s">
        <v>36</v>
      </c>
      <c r="F15" s="592"/>
      <c r="G15" s="41" t="s">
        <v>175</v>
      </c>
      <c r="H15" s="388">
        <f>205965</f>
        <v>205965</v>
      </c>
      <c r="I15" s="42">
        <f>H15+J15</f>
        <v>205965</v>
      </c>
      <c r="J15" s="344">
        <f>SUM(K15:T15)</f>
        <v>0</v>
      </c>
      <c r="K15" s="278"/>
      <c r="L15" s="278"/>
      <c r="M15" s="278"/>
      <c r="N15" s="278"/>
      <c r="O15" s="278"/>
      <c r="P15" s="278"/>
      <c r="Q15" s="278"/>
      <c r="R15" s="278"/>
      <c r="S15" s="278"/>
      <c r="T15" s="278"/>
    </row>
    <row r="16" spans="3:21" ht="24" x14ac:dyDescent="0.2">
      <c r="D16" s="43"/>
      <c r="E16" s="593" t="s">
        <v>37</v>
      </c>
      <c r="F16" s="593"/>
      <c r="G16" s="44" t="s">
        <v>510</v>
      </c>
      <c r="H16" s="389">
        <f>42048796</f>
        <v>42048796</v>
      </c>
      <c r="I16" s="45">
        <f>H16+J16</f>
        <v>42048796</v>
      </c>
      <c r="J16" s="344">
        <f>SUM(K16:T16)</f>
        <v>0</v>
      </c>
      <c r="K16" s="278"/>
      <c r="L16" s="278"/>
      <c r="M16" s="278"/>
      <c r="N16" s="278"/>
      <c r="O16" s="278"/>
      <c r="P16" s="278"/>
      <c r="Q16" s="278"/>
      <c r="R16" s="278"/>
      <c r="S16" s="278"/>
      <c r="T16" s="278"/>
    </row>
    <row r="17" spans="4:20" s="187" customFormat="1" x14ac:dyDescent="0.2">
      <c r="D17" s="576" t="s">
        <v>38</v>
      </c>
      <c r="E17" s="577"/>
      <c r="F17" s="577"/>
      <c r="G17" s="32" t="s">
        <v>39</v>
      </c>
      <c r="H17" s="33">
        <f t="shared" ref="H17:T17" si="3">SUM(H18)</f>
        <v>8371815</v>
      </c>
      <c r="I17" s="46">
        <f t="shared" si="3"/>
        <v>8371815</v>
      </c>
      <c r="J17" s="335">
        <f t="shared" si="3"/>
        <v>0</v>
      </c>
      <c r="K17" s="336">
        <f t="shared" si="3"/>
        <v>0</v>
      </c>
      <c r="L17" s="336">
        <f t="shared" si="3"/>
        <v>0</v>
      </c>
      <c r="M17" s="336">
        <f t="shared" si="3"/>
        <v>0</v>
      </c>
      <c r="N17" s="336">
        <f t="shared" si="3"/>
        <v>0</v>
      </c>
      <c r="O17" s="336">
        <f t="shared" si="3"/>
        <v>0</v>
      </c>
      <c r="P17" s="336">
        <f t="shared" si="3"/>
        <v>0</v>
      </c>
      <c r="Q17" s="336">
        <f t="shared" si="3"/>
        <v>0</v>
      </c>
      <c r="R17" s="336">
        <f t="shared" si="3"/>
        <v>0</v>
      </c>
      <c r="S17" s="336">
        <f t="shared" si="3"/>
        <v>0</v>
      </c>
      <c r="T17" s="337">
        <f t="shared" si="3"/>
        <v>0</v>
      </c>
    </row>
    <row r="18" spans="4:20" s="186" customFormat="1" x14ac:dyDescent="0.2">
      <c r="D18" s="34"/>
      <c r="E18" s="568" t="s">
        <v>40</v>
      </c>
      <c r="F18" s="568"/>
      <c r="G18" s="35" t="s">
        <v>41</v>
      </c>
      <c r="H18" s="36">
        <f>SUM(H19,H22)</f>
        <v>8371815</v>
      </c>
      <c r="I18" s="47">
        <f t="shared" ref="I18:T18" si="4">SUM(I19,I22)</f>
        <v>8371815</v>
      </c>
      <c r="J18" s="338">
        <f>SUM(J19,J22)</f>
        <v>0</v>
      </c>
      <c r="K18" s="339">
        <f t="shared" si="4"/>
        <v>0</v>
      </c>
      <c r="L18" s="339">
        <f t="shared" si="4"/>
        <v>0</v>
      </c>
      <c r="M18" s="339">
        <f t="shared" si="4"/>
        <v>0</v>
      </c>
      <c r="N18" s="339">
        <f t="shared" si="4"/>
        <v>0</v>
      </c>
      <c r="O18" s="339">
        <f t="shared" si="4"/>
        <v>0</v>
      </c>
      <c r="P18" s="339">
        <f t="shared" si="4"/>
        <v>0</v>
      </c>
      <c r="Q18" s="339">
        <f t="shared" si="4"/>
        <v>0</v>
      </c>
      <c r="R18" s="339">
        <f t="shared" si="4"/>
        <v>0</v>
      </c>
      <c r="S18" s="339">
        <f t="shared" si="4"/>
        <v>0</v>
      </c>
      <c r="T18" s="340">
        <f t="shared" si="4"/>
        <v>0</v>
      </c>
    </row>
    <row r="19" spans="4:20" x14ac:dyDescent="0.2">
      <c r="D19" s="48"/>
      <c r="E19" s="570" t="s">
        <v>226</v>
      </c>
      <c r="F19" s="570"/>
      <c r="G19" s="49" t="s">
        <v>225</v>
      </c>
      <c r="H19" s="390">
        <f>SUM(H20:H21)</f>
        <v>4643309</v>
      </c>
      <c r="I19" s="50">
        <f t="shared" ref="I19:T19" si="5">SUM(I20:I21)</f>
        <v>4643309</v>
      </c>
      <c r="J19" s="341">
        <f>SUM(J20:J21)</f>
        <v>0</v>
      </c>
      <c r="K19" s="342">
        <f t="shared" si="5"/>
        <v>0</v>
      </c>
      <c r="L19" s="342">
        <f t="shared" si="5"/>
        <v>0</v>
      </c>
      <c r="M19" s="342">
        <f t="shared" si="5"/>
        <v>0</v>
      </c>
      <c r="N19" s="342">
        <f t="shared" si="5"/>
        <v>0</v>
      </c>
      <c r="O19" s="342">
        <f t="shared" si="5"/>
        <v>0</v>
      </c>
      <c r="P19" s="342">
        <f t="shared" si="5"/>
        <v>0</v>
      </c>
      <c r="Q19" s="342">
        <f t="shared" si="5"/>
        <v>0</v>
      </c>
      <c r="R19" s="342">
        <f t="shared" si="5"/>
        <v>0</v>
      </c>
      <c r="S19" s="342">
        <f t="shared" si="5"/>
        <v>0</v>
      </c>
      <c r="T19" s="343">
        <f t="shared" si="5"/>
        <v>0</v>
      </c>
    </row>
    <row r="20" spans="4:20" ht="24" x14ac:dyDescent="0.2">
      <c r="D20" s="40"/>
      <c r="E20" s="592" t="s">
        <v>42</v>
      </c>
      <c r="F20" s="592"/>
      <c r="G20" s="41" t="s">
        <v>43</v>
      </c>
      <c r="H20" s="388">
        <f>4143309</f>
        <v>4143309</v>
      </c>
      <c r="I20" s="42">
        <f>H20+J20</f>
        <v>4143309</v>
      </c>
      <c r="J20" s="344">
        <f>SUM(K20:T20)</f>
        <v>0</v>
      </c>
      <c r="K20" s="278"/>
      <c r="L20" s="278"/>
      <c r="M20" s="278"/>
      <c r="N20" s="278"/>
      <c r="O20" s="278"/>
      <c r="P20" s="278"/>
      <c r="Q20" s="278"/>
      <c r="R20" s="278"/>
      <c r="S20" s="278"/>
      <c r="T20" s="278"/>
    </row>
    <row r="21" spans="4:20" ht="24" x14ac:dyDescent="0.2">
      <c r="D21" s="43"/>
      <c r="E21" s="564" t="s">
        <v>44</v>
      </c>
      <c r="F21" s="564"/>
      <c r="G21" s="44" t="s">
        <v>45</v>
      </c>
      <c r="H21" s="389">
        <f>500000</f>
        <v>500000</v>
      </c>
      <c r="I21" s="45">
        <f>H21+J21</f>
        <v>500000</v>
      </c>
      <c r="J21" s="344">
        <f>SUM(K21:T21)</f>
        <v>0</v>
      </c>
      <c r="K21" s="278"/>
      <c r="L21" s="278"/>
      <c r="M21" s="278"/>
      <c r="N21" s="278"/>
      <c r="O21" s="278"/>
      <c r="P21" s="278"/>
      <c r="Q21" s="278"/>
      <c r="R21" s="278"/>
      <c r="S21" s="278"/>
      <c r="T21" s="278"/>
    </row>
    <row r="22" spans="4:20" x14ac:dyDescent="0.2">
      <c r="D22" s="48"/>
      <c r="E22" s="570" t="s">
        <v>46</v>
      </c>
      <c r="F22" s="570"/>
      <c r="G22" s="49" t="s">
        <v>176</v>
      </c>
      <c r="H22" s="390">
        <f>SUM(H23:H24)</f>
        <v>3728506</v>
      </c>
      <c r="I22" s="50">
        <f t="shared" ref="I22:T22" si="6">SUM(I23:I24)</f>
        <v>3728506</v>
      </c>
      <c r="J22" s="341">
        <f>SUM(J23:J24)</f>
        <v>0</v>
      </c>
      <c r="K22" s="342">
        <f t="shared" si="6"/>
        <v>0</v>
      </c>
      <c r="L22" s="342">
        <f t="shared" si="6"/>
        <v>0</v>
      </c>
      <c r="M22" s="342">
        <f t="shared" si="6"/>
        <v>0</v>
      </c>
      <c r="N22" s="342">
        <f t="shared" si="6"/>
        <v>0</v>
      </c>
      <c r="O22" s="342">
        <f t="shared" si="6"/>
        <v>0</v>
      </c>
      <c r="P22" s="342">
        <f t="shared" si="6"/>
        <v>0</v>
      </c>
      <c r="Q22" s="342">
        <f t="shared" si="6"/>
        <v>0</v>
      </c>
      <c r="R22" s="342">
        <f t="shared" si="6"/>
        <v>0</v>
      </c>
      <c r="S22" s="342">
        <f t="shared" si="6"/>
        <v>0</v>
      </c>
      <c r="T22" s="343">
        <f t="shared" si="6"/>
        <v>0</v>
      </c>
    </row>
    <row r="23" spans="4:20" ht="24" x14ac:dyDescent="0.2">
      <c r="D23" s="40"/>
      <c r="E23" s="591" t="s">
        <v>47</v>
      </c>
      <c r="F23" s="591"/>
      <c r="G23" s="41" t="s">
        <v>187</v>
      </c>
      <c r="H23" s="388">
        <f>3428506</f>
        <v>3428506</v>
      </c>
      <c r="I23" s="42">
        <f>H23+J23</f>
        <v>3428506</v>
      </c>
      <c r="J23" s="345">
        <f>SUM(K23:T23)</f>
        <v>0</v>
      </c>
      <c r="K23" s="325"/>
      <c r="L23" s="278"/>
      <c r="M23" s="278"/>
      <c r="N23" s="278"/>
      <c r="O23" s="278"/>
      <c r="P23" s="278"/>
      <c r="Q23" s="278"/>
      <c r="R23" s="278"/>
      <c r="S23" s="278"/>
      <c r="T23" s="278"/>
    </row>
    <row r="24" spans="4:20" ht="24" x14ac:dyDescent="0.2">
      <c r="D24" s="43"/>
      <c r="E24" s="564" t="s">
        <v>48</v>
      </c>
      <c r="F24" s="564"/>
      <c r="G24" s="44" t="s">
        <v>188</v>
      </c>
      <c r="H24" s="389">
        <f>300000</f>
        <v>300000</v>
      </c>
      <c r="I24" s="45">
        <f>H24+J24</f>
        <v>300000</v>
      </c>
      <c r="J24" s="344">
        <f>SUM(K24:T24)</f>
        <v>0</v>
      </c>
      <c r="K24" s="278"/>
      <c r="L24" s="278"/>
      <c r="M24" s="278"/>
      <c r="N24" s="278"/>
      <c r="O24" s="278"/>
      <c r="P24" s="278"/>
      <c r="Q24" s="278"/>
      <c r="R24" s="278"/>
      <c r="S24" s="278"/>
      <c r="T24" s="278"/>
    </row>
    <row r="25" spans="4:20" s="187" customFormat="1" x14ac:dyDescent="0.2">
      <c r="D25" s="576" t="s">
        <v>49</v>
      </c>
      <c r="E25" s="577"/>
      <c r="F25" s="577"/>
      <c r="G25" s="32" t="s">
        <v>50</v>
      </c>
      <c r="H25" s="33">
        <f>SUM(H26,H28)</f>
        <v>272473</v>
      </c>
      <c r="I25" s="46">
        <f t="shared" ref="I25:T25" si="7">SUM(I26,I28)</f>
        <v>272473</v>
      </c>
      <c r="J25" s="335">
        <f>SUM(J26,J28)</f>
        <v>0</v>
      </c>
      <c r="K25" s="336">
        <f t="shared" si="7"/>
        <v>0</v>
      </c>
      <c r="L25" s="336">
        <f t="shared" si="7"/>
        <v>0</v>
      </c>
      <c r="M25" s="336">
        <f t="shared" si="7"/>
        <v>0</v>
      </c>
      <c r="N25" s="336">
        <f t="shared" si="7"/>
        <v>0</v>
      </c>
      <c r="O25" s="336">
        <f t="shared" si="7"/>
        <v>0</v>
      </c>
      <c r="P25" s="336">
        <f t="shared" si="7"/>
        <v>0</v>
      </c>
      <c r="Q25" s="336">
        <f t="shared" si="7"/>
        <v>0</v>
      </c>
      <c r="R25" s="336">
        <f t="shared" si="7"/>
        <v>0</v>
      </c>
      <c r="S25" s="336">
        <f t="shared" si="7"/>
        <v>0</v>
      </c>
      <c r="T25" s="337">
        <f t="shared" si="7"/>
        <v>0</v>
      </c>
    </row>
    <row r="26" spans="4:20" s="186" customFormat="1" ht="24" x14ac:dyDescent="0.2">
      <c r="D26" s="34"/>
      <c r="E26" s="568" t="s">
        <v>51</v>
      </c>
      <c r="F26" s="568"/>
      <c r="G26" s="51" t="s">
        <v>52</v>
      </c>
      <c r="H26" s="36">
        <f t="shared" ref="H26:T26" si="8">H27</f>
        <v>200200</v>
      </c>
      <c r="I26" s="47">
        <f t="shared" si="8"/>
        <v>200200</v>
      </c>
      <c r="J26" s="338">
        <f t="shared" si="8"/>
        <v>0</v>
      </c>
      <c r="K26" s="339">
        <f t="shared" si="8"/>
        <v>0</v>
      </c>
      <c r="L26" s="339">
        <f t="shared" si="8"/>
        <v>0</v>
      </c>
      <c r="M26" s="339">
        <f t="shared" si="8"/>
        <v>0</v>
      </c>
      <c r="N26" s="339">
        <f t="shared" si="8"/>
        <v>0</v>
      </c>
      <c r="O26" s="339">
        <f t="shared" si="8"/>
        <v>0</v>
      </c>
      <c r="P26" s="339">
        <f t="shared" si="8"/>
        <v>0</v>
      </c>
      <c r="Q26" s="339">
        <f t="shared" si="8"/>
        <v>0</v>
      </c>
      <c r="R26" s="339">
        <f t="shared" si="8"/>
        <v>0</v>
      </c>
      <c r="S26" s="339">
        <f t="shared" si="8"/>
        <v>0</v>
      </c>
      <c r="T26" s="340">
        <f t="shared" si="8"/>
        <v>0</v>
      </c>
    </row>
    <row r="27" spans="4:20" x14ac:dyDescent="0.2">
      <c r="D27" s="52"/>
      <c r="E27" s="587" t="s">
        <v>53</v>
      </c>
      <c r="F27" s="587"/>
      <c r="G27" s="53" t="s">
        <v>54</v>
      </c>
      <c r="H27" s="391">
        <f>200200</f>
        <v>200200</v>
      </c>
      <c r="I27" s="54">
        <f>H27+J27</f>
        <v>200200</v>
      </c>
      <c r="J27" s="344">
        <f>SUM(K27:T27)</f>
        <v>0</v>
      </c>
      <c r="K27" s="278"/>
      <c r="L27" s="278"/>
      <c r="M27" s="278"/>
      <c r="N27" s="278"/>
      <c r="O27" s="278"/>
      <c r="P27" s="278"/>
      <c r="Q27" s="278"/>
      <c r="R27" s="278"/>
      <c r="S27" s="278"/>
      <c r="T27" s="278"/>
    </row>
    <row r="28" spans="4:20" s="186" customFormat="1" ht="24" x14ac:dyDescent="0.2">
      <c r="D28" s="34"/>
      <c r="E28" s="589" t="s">
        <v>55</v>
      </c>
      <c r="F28" s="590"/>
      <c r="G28" s="55" t="s">
        <v>56</v>
      </c>
      <c r="H28" s="392">
        <f t="shared" ref="H28:T29" si="9">SUM(H29)</f>
        <v>72273</v>
      </c>
      <c r="I28" s="47">
        <f t="shared" si="9"/>
        <v>72273</v>
      </c>
      <c r="J28" s="338">
        <f t="shared" si="9"/>
        <v>0</v>
      </c>
      <c r="K28" s="339">
        <f t="shared" si="9"/>
        <v>0</v>
      </c>
      <c r="L28" s="339">
        <f t="shared" si="9"/>
        <v>0</v>
      </c>
      <c r="M28" s="339">
        <f t="shared" si="9"/>
        <v>0</v>
      </c>
      <c r="N28" s="339">
        <f t="shared" si="9"/>
        <v>0</v>
      </c>
      <c r="O28" s="339">
        <f t="shared" si="9"/>
        <v>0</v>
      </c>
      <c r="P28" s="339">
        <f t="shared" si="9"/>
        <v>0</v>
      </c>
      <c r="Q28" s="339">
        <f t="shared" si="9"/>
        <v>0</v>
      </c>
      <c r="R28" s="339">
        <f t="shared" si="9"/>
        <v>0</v>
      </c>
      <c r="S28" s="339">
        <f t="shared" si="9"/>
        <v>0</v>
      </c>
      <c r="T28" s="340">
        <f t="shared" si="9"/>
        <v>0</v>
      </c>
    </row>
    <row r="29" spans="4:20" x14ac:dyDescent="0.2">
      <c r="D29" s="52"/>
      <c r="E29" s="546" t="s">
        <v>57</v>
      </c>
      <c r="F29" s="547"/>
      <c r="G29" s="57" t="s">
        <v>58</v>
      </c>
      <c r="H29" s="393">
        <f>SUM(H30)</f>
        <v>72273</v>
      </c>
      <c r="I29" s="50">
        <f>SUM(I30)</f>
        <v>72273</v>
      </c>
      <c r="J29" s="341">
        <f>SUM(J30)</f>
        <v>0</v>
      </c>
      <c r="K29" s="342">
        <f t="shared" si="9"/>
        <v>0</v>
      </c>
      <c r="L29" s="342">
        <f t="shared" si="9"/>
        <v>0</v>
      </c>
      <c r="M29" s="342">
        <f t="shared" si="9"/>
        <v>0</v>
      </c>
      <c r="N29" s="342">
        <f t="shared" si="9"/>
        <v>0</v>
      </c>
      <c r="O29" s="342">
        <f t="shared" si="9"/>
        <v>0</v>
      </c>
      <c r="P29" s="342">
        <f t="shared" si="9"/>
        <v>0</v>
      </c>
      <c r="Q29" s="342">
        <f t="shared" si="9"/>
        <v>0</v>
      </c>
      <c r="R29" s="342">
        <f t="shared" si="9"/>
        <v>0</v>
      </c>
      <c r="S29" s="342">
        <f t="shared" si="9"/>
        <v>0</v>
      </c>
      <c r="T29" s="343">
        <f t="shared" si="9"/>
        <v>0</v>
      </c>
    </row>
    <row r="30" spans="4:20" ht="24" x14ac:dyDescent="0.2">
      <c r="D30" s="52"/>
      <c r="E30" s="208"/>
      <c r="F30" s="210" t="s">
        <v>539</v>
      </c>
      <c r="G30" s="137" t="s">
        <v>540</v>
      </c>
      <c r="H30" s="394">
        <f>72273</f>
        <v>72273</v>
      </c>
      <c r="I30" s="54">
        <f>H30+J30</f>
        <v>72273</v>
      </c>
      <c r="J30" s="344">
        <f>SUM(K30:T30)</f>
        <v>0</v>
      </c>
      <c r="K30" s="278"/>
      <c r="L30" s="278"/>
      <c r="M30" s="278"/>
      <c r="N30" s="278"/>
      <c r="O30" s="278"/>
      <c r="P30" s="278"/>
      <c r="Q30" s="278"/>
      <c r="R30" s="278"/>
      <c r="S30" s="278"/>
      <c r="T30" s="278"/>
    </row>
    <row r="31" spans="4:20" s="187" customFormat="1" ht="24" x14ac:dyDescent="0.2">
      <c r="D31" s="576" t="s">
        <v>59</v>
      </c>
      <c r="E31" s="577"/>
      <c r="F31" s="577"/>
      <c r="G31" s="58" t="s">
        <v>143</v>
      </c>
      <c r="H31" s="33">
        <f>SUM(H32,H34,H37)</f>
        <v>4116</v>
      </c>
      <c r="I31" s="46">
        <f>SUM(I32,I34,I37)</f>
        <v>4116</v>
      </c>
      <c r="J31" s="335">
        <f>SUM(J32,J34,J37)</f>
        <v>0</v>
      </c>
      <c r="K31" s="336">
        <f t="shared" ref="K31:T31" si="10">SUM(K32,K34,K37)</f>
        <v>0</v>
      </c>
      <c r="L31" s="336">
        <f t="shared" si="10"/>
        <v>0</v>
      </c>
      <c r="M31" s="336">
        <f t="shared" si="10"/>
        <v>0</v>
      </c>
      <c r="N31" s="336">
        <f t="shared" si="10"/>
        <v>0</v>
      </c>
      <c r="O31" s="336">
        <f t="shared" si="10"/>
        <v>0</v>
      </c>
      <c r="P31" s="336">
        <f t="shared" si="10"/>
        <v>0</v>
      </c>
      <c r="Q31" s="336">
        <f t="shared" si="10"/>
        <v>0</v>
      </c>
      <c r="R31" s="336">
        <f t="shared" si="10"/>
        <v>0</v>
      </c>
      <c r="S31" s="336">
        <f t="shared" si="10"/>
        <v>0</v>
      </c>
      <c r="T31" s="337">
        <f t="shared" si="10"/>
        <v>0</v>
      </c>
    </row>
    <row r="32" spans="4:20" s="187" customFormat="1" ht="24" x14ac:dyDescent="0.2">
      <c r="D32" s="132"/>
      <c r="E32" s="568" t="s">
        <v>326</v>
      </c>
      <c r="F32" s="569"/>
      <c r="G32" s="35" t="s">
        <v>328</v>
      </c>
      <c r="H32" s="36">
        <f>H33</f>
        <v>0</v>
      </c>
      <c r="I32" s="47">
        <f>I33</f>
        <v>0</v>
      </c>
      <c r="J32" s="338">
        <f>J33</f>
        <v>0</v>
      </c>
      <c r="K32" s="339">
        <f t="shared" ref="K32:T32" si="11">K33</f>
        <v>0</v>
      </c>
      <c r="L32" s="339">
        <f t="shared" si="11"/>
        <v>0</v>
      </c>
      <c r="M32" s="339">
        <f t="shared" si="11"/>
        <v>0</v>
      </c>
      <c r="N32" s="339">
        <f t="shared" si="11"/>
        <v>0</v>
      </c>
      <c r="O32" s="339">
        <f t="shared" si="11"/>
        <v>0</v>
      </c>
      <c r="P32" s="339">
        <f t="shared" si="11"/>
        <v>0</v>
      </c>
      <c r="Q32" s="339">
        <f t="shared" si="11"/>
        <v>0</v>
      </c>
      <c r="R32" s="339">
        <f t="shared" si="11"/>
        <v>0</v>
      </c>
      <c r="S32" s="339">
        <f t="shared" si="11"/>
        <v>0</v>
      </c>
      <c r="T32" s="340">
        <f t="shared" si="11"/>
        <v>0</v>
      </c>
    </row>
    <row r="33" spans="4:20" s="187" customFormat="1" ht="24" x14ac:dyDescent="0.2">
      <c r="D33" s="132"/>
      <c r="E33" s="570" t="s">
        <v>327</v>
      </c>
      <c r="F33" s="571"/>
      <c r="G33" s="49" t="s">
        <v>329</v>
      </c>
      <c r="H33" s="390">
        <v>0</v>
      </c>
      <c r="I33" s="50">
        <f>H33+J33</f>
        <v>0</v>
      </c>
      <c r="J33" s="378">
        <f>SUM(K33:T33)</f>
        <v>0</v>
      </c>
      <c r="K33" s="379"/>
      <c r="L33" s="379"/>
      <c r="M33" s="379"/>
      <c r="N33" s="379"/>
      <c r="O33" s="379"/>
      <c r="P33" s="379"/>
      <c r="Q33" s="379"/>
      <c r="R33" s="379"/>
      <c r="S33" s="379"/>
      <c r="T33" s="379"/>
    </row>
    <row r="34" spans="4:20" s="186" customFormat="1" ht="24" x14ac:dyDescent="0.2">
      <c r="D34" s="34"/>
      <c r="E34" s="568" t="s">
        <v>60</v>
      </c>
      <c r="F34" s="568"/>
      <c r="G34" s="35" t="s">
        <v>61</v>
      </c>
      <c r="H34" s="36">
        <f t="shared" ref="H34:T35" si="12">H35</f>
        <v>0</v>
      </c>
      <c r="I34" s="47">
        <f t="shared" si="12"/>
        <v>0</v>
      </c>
      <c r="J34" s="338">
        <f t="shared" si="12"/>
        <v>0</v>
      </c>
      <c r="K34" s="339">
        <f t="shared" si="12"/>
        <v>0</v>
      </c>
      <c r="L34" s="339">
        <f t="shared" si="12"/>
        <v>0</v>
      </c>
      <c r="M34" s="339">
        <f t="shared" si="12"/>
        <v>0</v>
      </c>
      <c r="N34" s="339">
        <f t="shared" si="12"/>
        <v>0</v>
      </c>
      <c r="O34" s="339">
        <f t="shared" si="12"/>
        <v>0</v>
      </c>
      <c r="P34" s="339">
        <f t="shared" si="12"/>
        <v>0</v>
      </c>
      <c r="Q34" s="339">
        <f t="shared" si="12"/>
        <v>0</v>
      </c>
      <c r="R34" s="339">
        <f t="shared" si="12"/>
        <v>0</v>
      </c>
      <c r="S34" s="339">
        <f t="shared" si="12"/>
        <v>0</v>
      </c>
      <c r="T34" s="340">
        <f t="shared" si="12"/>
        <v>0</v>
      </c>
    </row>
    <row r="35" spans="4:20" ht="24" x14ac:dyDescent="0.2">
      <c r="D35" s="37"/>
      <c r="E35" s="580" t="s">
        <v>62</v>
      </c>
      <c r="F35" s="580"/>
      <c r="G35" s="38" t="s">
        <v>63</v>
      </c>
      <c r="H35" s="387">
        <f>H36</f>
        <v>0</v>
      </c>
      <c r="I35" s="39">
        <f t="shared" si="12"/>
        <v>0</v>
      </c>
      <c r="J35" s="332">
        <f t="shared" si="12"/>
        <v>0</v>
      </c>
      <c r="K35" s="333">
        <f t="shared" si="12"/>
        <v>0</v>
      </c>
      <c r="L35" s="333">
        <f t="shared" si="12"/>
        <v>0</v>
      </c>
      <c r="M35" s="333">
        <f t="shared" si="12"/>
        <v>0</v>
      </c>
      <c r="N35" s="333">
        <f t="shared" si="12"/>
        <v>0</v>
      </c>
      <c r="O35" s="333">
        <f t="shared" si="12"/>
        <v>0</v>
      </c>
      <c r="P35" s="333">
        <f t="shared" si="12"/>
        <v>0</v>
      </c>
      <c r="Q35" s="333">
        <f t="shared" si="12"/>
        <v>0</v>
      </c>
      <c r="R35" s="333">
        <f t="shared" si="12"/>
        <v>0</v>
      </c>
      <c r="S35" s="333">
        <f t="shared" si="12"/>
        <v>0</v>
      </c>
      <c r="T35" s="334">
        <f t="shared" si="12"/>
        <v>0</v>
      </c>
    </row>
    <row r="36" spans="4:20" ht="24" x14ac:dyDescent="0.2">
      <c r="D36" s="52"/>
      <c r="E36" s="588" t="s">
        <v>64</v>
      </c>
      <c r="F36" s="588"/>
      <c r="G36" s="53" t="s">
        <v>65</v>
      </c>
      <c r="H36" s="391">
        <v>0</v>
      </c>
      <c r="I36" s="54">
        <f>H36+J36</f>
        <v>0</v>
      </c>
      <c r="J36" s="344">
        <f>SUM(K36:T36)</f>
        <v>0</v>
      </c>
      <c r="K36" s="278"/>
      <c r="L36" s="278"/>
      <c r="M36" s="278"/>
      <c r="N36" s="278"/>
      <c r="O36" s="278"/>
      <c r="P36" s="278"/>
      <c r="Q36" s="278"/>
      <c r="R36" s="278"/>
      <c r="S36" s="278"/>
      <c r="T36" s="278"/>
    </row>
    <row r="37" spans="4:20" s="186" customFormat="1" ht="36" x14ac:dyDescent="0.2">
      <c r="D37" s="34"/>
      <c r="E37" s="568" t="s">
        <v>66</v>
      </c>
      <c r="F37" s="568"/>
      <c r="G37" s="35" t="s">
        <v>705</v>
      </c>
      <c r="H37" s="36">
        <f>SUM(H38,H40)</f>
        <v>4116</v>
      </c>
      <c r="I37" s="47">
        <f t="shared" ref="I37:T37" si="13">SUM(I38,I40)</f>
        <v>4116</v>
      </c>
      <c r="J37" s="338">
        <f>SUM(J38,J40)</f>
        <v>0</v>
      </c>
      <c r="K37" s="339">
        <f t="shared" si="13"/>
        <v>0</v>
      </c>
      <c r="L37" s="339">
        <f t="shared" si="13"/>
        <v>0</v>
      </c>
      <c r="M37" s="339">
        <f t="shared" si="13"/>
        <v>0</v>
      </c>
      <c r="N37" s="339">
        <f t="shared" si="13"/>
        <v>0</v>
      </c>
      <c r="O37" s="339">
        <f t="shared" si="13"/>
        <v>0</v>
      </c>
      <c r="P37" s="339">
        <f t="shared" si="13"/>
        <v>0</v>
      </c>
      <c r="Q37" s="339">
        <f t="shared" si="13"/>
        <v>0</v>
      </c>
      <c r="R37" s="339">
        <f t="shared" si="13"/>
        <v>0</v>
      </c>
      <c r="S37" s="339">
        <f t="shared" si="13"/>
        <v>0</v>
      </c>
      <c r="T37" s="340">
        <f t="shared" si="13"/>
        <v>0</v>
      </c>
    </row>
    <row r="38" spans="4:20" x14ac:dyDescent="0.2">
      <c r="D38" s="37"/>
      <c r="E38" s="580" t="s">
        <v>67</v>
      </c>
      <c r="F38" s="580"/>
      <c r="G38" s="38" t="s">
        <v>189</v>
      </c>
      <c r="H38" s="387">
        <f t="shared" ref="H38:T40" si="14">H39</f>
        <v>118</v>
      </c>
      <c r="I38" s="39">
        <f t="shared" si="14"/>
        <v>118</v>
      </c>
      <c r="J38" s="332">
        <f t="shared" si="14"/>
        <v>0</v>
      </c>
      <c r="K38" s="333">
        <f t="shared" si="14"/>
        <v>0</v>
      </c>
      <c r="L38" s="333">
        <f t="shared" si="14"/>
        <v>0</v>
      </c>
      <c r="M38" s="333">
        <f t="shared" si="14"/>
        <v>0</v>
      </c>
      <c r="N38" s="333">
        <f t="shared" si="14"/>
        <v>0</v>
      </c>
      <c r="O38" s="333">
        <f t="shared" si="14"/>
        <v>0</v>
      </c>
      <c r="P38" s="333">
        <f t="shared" si="14"/>
        <v>0</v>
      </c>
      <c r="Q38" s="333">
        <f t="shared" si="14"/>
        <v>0</v>
      </c>
      <c r="R38" s="333">
        <f t="shared" si="14"/>
        <v>0</v>
      </c>
      <c r="S38" s="333">
        <f t="shared" si="14"/>
        <v>0</v>
      </c>
      <c r="T38" s="334">
        <f t="shared" si="14"/>
        <v>0</v>
      </c>
    </row>
    <row r="39" spans="4:20" ht="36" x14ac:dyDescent="0.2">
      <c r="D39" s="52"/>
      <c r="E39" s="588" t="s">
        <v>68</v>
      </c>
      <c r="F39" s="588"/>
      <c r="G39" s="53" t="s">
        <v>190</v>
      </c>
      <c r="H39" s="391">
        <f>118</f>
        <v>118</v>
      </c>
      <c r="I39" s="54">
        <f>H39+J39</f>
        <v>118</v>
      </c>
      <c r="J39" s="344">
        <f>SUM(K39:T39)</f>
        <v>0</v>
      </c>
      <c r="K39" s="278"/>
      <c r="L39" s="278"/>
      <c r="M39" s="278"/>
      <c r="N39" s="278"/>
      <c r="O39" s="278"/>
      <c r="P39" s="278"/>
      <c r="Q39" s="278"/>
      <c r="R39" s="278"/>
      <c r="S39" s="278"/>
      <c r="T39" s="278"/>
    </row>
    <row r="40" spans="4:20" ht="14.25" customHeight="1" x14ac:dyDescent="0.2">
      <c r="D40" s="48"/>
      <c r="E40" s="570" t="s">
        <v>542</v>
      </c>
      <c r="F40" s="570"/>
      <c r="G40" s="49" t="s">
        <v>541</v>
      </c>
      <c r="H40" s="390">
        <f t="shared" si="14"/>
        <v>3998</v>
      </c>
      <c r="I40" s="50">
        <f t="shared" si="14"/>
        <v>3998</v>
      </c>
      <c r="J40" s="341">
        <f t="shared" si="14"/>
        <v>0</v>
      </c>
      <c r="K40" s="342">
        <f t="shared" si="14"/>
        <v>0</v>
      </c>
      <c r="L40" s="342">
        <f t="shared" si="14"/>
        <v>0</v>
      </c>
      <c r="M40" s="342">
        <f t="shared" si="14"/>
        <v>0</v>
      </c>
      <c r="N40" s="342">
        <f t="shared" si="14"/>
        <v>0</v>
      </c>
      <c r="O40" s="342">
        <f t="shared" si="14"/>
        <v>0</v>
      </c>
      <c r="P40" s="342">
        <f t="shared" si="14"/>
        <v>0</v>
      </c>
      <c r="Q40" s="342">
        <f t="shared" si="14"/>
        <v>0</v>
      </c>
      <c r="R40" s="342">
        <f t="shared" si="14"/>
        <v>0</v>
      </c>
      <c r="S40" s="342">
        <f t="shared" si="14"/>
        <v>0</v>
      </c>
      <c r="T40" s="343">
        <f t="shared" si="14"/>
        <v>0</v>
      </c>
    </row>
    <row r="41" spans="4:20" ht="26.25" customHeight="1" x14ac:dyDescent="0.2">
      <c r="D41" s="52"/>
      <c r="E41" s="209"/>
      <c r="F41" s="209" t="s">
        <v>543</v>
      </c>
      <c r="G41" s="53" t="s">
        <v>544</v>
      </c>
      <c r="H41" s="391">
        <f>3998</f>
        <v>3998</v>
      </c>
      <c r="I41" s="54">
        <f>H41+J41</f>
        <v>3998</v>
      </c>
      <c r="J41" s="344">
        <f>SUM(K41:T41)</f>
        <v>0</v>
      </c>
      <c r="K41" s="278"/>
      <c r="L41" s="278"/>
      <c r="M41" s="278"/>
      <c r="N41" s="278"/>
      <c r="O41" s="278"/>
      <c r="P41" s="278"/>
      <c r="Q41" s="278"/>
      <c r="R41" s="278"/>
      <c r="S41" s="278"/>
      <c r="T41" s="278"/>
    </row>
    <row r="42" spans="4:20" s="187" customFormat="1" ht="24" x14ac:dyDescent="0.2">
      <c r="D42" s="576" t="s">
        <v>69</v>
      </c>
      <c r="E42" s="577"/>
      <c r="F42" s="577"/>
      <c r="G42" s="58" t="s">
        <v>70</v>
      </c>
      <c r="H42" s="33">
        <f>SUM(H43,H46)</f>
        <v>2299019</v>
      </c>
      <c r="I42" s="46">
        <f t="shared" ref="I42:T42" si="15">SUM(I43,I46)</f>
        <v>2299019</v>
      </c>
      <c r="J42" s="335">
        <f>SUM(J43,J46)</f>
        <v>0</v>
      </c>
      <c r="K42" s="336">
        <f t="shared" si="15"/>
        <v>0</v>
      </c>
      <c r="L42" s="336">
        <f t="shared" si="15"/>
        <v>0</v>
      </c>
      <c r="M42" s="336">
        <f t="shared" si="15"/>
        <v>0</v>
      </c>
      <c r="N42" s="336">
        <f t="shared" si="15"/>
        <v>0</v>
      </c>
      <c r="O42" s="336">
        <f t="shared" si="15"/>
        <v>0</v>
      </c>
      <c r="P42" s="336">
        <f t="shared" si="15"/>
        <v>0</v>
      </c>
      <c r="Q42" s="336">
        <f t="shared" si="15"/>
        <v>0</v>
      </c>
      <c r="R42" s="336">
        <f t="shared" si="15"/>
        <v>0</v>
      </c>
      <c r="S42" s="336">
        <f t="shared" si="15"/>
        <v>0</v>
      </c>
      <c r="T42" s="337">
        <f t="shared" si="15"/>
        <v>0</v>
      </c>
    </row>
    <row r="43" spans="4:20" s="186" customFormat="1" x14ac:dyDescent="0.2">
      <c r="D43" s="34"/>
      <c r="E43" s="568" t="s">
        <v>71</v>
      </c>
      <c r="F43" s="568"/>
      <c r="G43" s="35" t="s">
        <v>72</v>
      </c>
      <c r="H43" s="36">
        <f>SUM(H44:H45)</f>
        <v>17837</v>
      </c>
      <c r="I43" s="47">
        <f t="shared" ref="I43:T43" si="16">SUM(I44:I45)</f>
        <v>17837</v>
      </c>
      <c r="J43" s="338">
        <f>SUM(J44:J45)</f>
        <v>0</v>
      </c>
      <c r="K43" s="339">
        <f t="shared" si="16"/>
        <v>0</v>
      </c>
      <c r="L43" s="339">
        <f t="shared" si="16"/>
        <v>0</v>
      </c>
      <c r="M43" s="339">
        <f t="shared" si="16"/>
        <v>0</v>
      </c>
      <c r="N43" s="339">
        <f t="shared" si="16"/>
        <v>0</v>
      </c>
      <c r="O43" s="339">
        <f t="shared" si="16"/>
        <v>0</v>
      </c>
      <c r="P43" s="339">
        <f t="shared" si="16"/>
        <v>0</v>
      </c>
      <c r="Q43" s="339">
        <f t="shared" si="16"/>
        <v>0</v>
      </c>
      <c r="R43" s="339">
        <f t="shared" si="16"/>
        <v>0</v>
      </c>
      <c r="S43" s="339">
        <f t="shared" si="16"/>
        <v>0</v>
      </c>
      <c r="T43" s="340">
        <f t="shared" si="16"/>
        <v>0</v>
      </c>
    </row>
    <row r="44" spans="4:20" ht="48" x14ac:dyDescent="0.2">
      <c r="D44" s="48"/>
      <c r="E44" s="570" t="s">
        <v>73</v>
      </c>
      <c r="F44" s="570"/>
      <c r="G44" s="49" t="s">
        <v>706</v>
      </c>
      <c r="H44" s="390">
        <f>9300</f>
        <v>9300</v>
      </c>
      <c r="I44" s="50">
        <f>H44+J44</f>
        <v>9300</v>
      </c>
      <c r="J44" s="344">
        <f>SUM(K44:T44)</f>
        <v>0</v>
      </c>
      <c r="K44" s="278"/>
      <c r="L44" s="278"/>
      <c r="M44" s="278"/>
      <c r="N44" s="278"/>
      <c r="O44" s="278"/>
      <c r="P44" s="278"/>
      <c r="Q44" s="278"/>
      <c r="R44" s="278"/>
      <c r="S44" s="278"/>
      <c r="T44" s="278"/>
    </row>
    <row r="45" spans="4:20" ht="24" x14ac:dyDescent="0.2">
      <c r="D45" s="59"/>
      <c r="E45" s="579" t="s">
        <v>74</v>
      </c>
      <c r="F45" s="579"/>
      <c r="G45" s="60" t="s">
        <v>253</v>
      </c>
      <c r="H45" s="395">
        <f>8537</f>
        <v>8537</v>
      </c>
      <c r="I45" s="61">
        <f>H45+J45</f>
        <v>8537</v>
      </c>
      <c r="J45" s="344">
        <f>SUM(K45:T45)</f>
        <v>0</v>
      </c>
      <c r="K45" s="278"/>
      <c r="L45" s="278"/>
      <c r="M45" s="278"/>
      <c r="N45" s="278"/>
      <c r="O45" s="278"/>
      <c r="P45" s="278"/>
      <c r="Q45" s="278"/>
      <c r="R45" s="278"/>
      <c r="S45" s="278"/>
      <c r="T45" s="278"/>
    </row>
    <row r="46" spans="4:20" s="186" customFormat="1" x14ac:dyDescent="0.2">
      <c r="D46" s="34"/>
      <c r="E46" s="568" t="s">
        <v>75</v>
      </c>
      <c r="F46" s="568"/>
      <c r="G46" s="35" t="s">
        <v>76</v>
      </c>
      <c r="H46" s="36">
        <f>SUM(H47:H52)</f>
        <v>2281182</v>
      </c>
      <c r="I46" s="47">
        <f t="shared" ref="I46:T46" si="17">SUM(I47:I52)</f>
        <v>2281182</v>
      </c>
      <c r="J46" s="338">
        <f>SUM(J47:J52)</f>
        <v>0</v>
      </c>
      <c r="K46" s="339">
        <f t="shared" si="17"/>
        <v>0</v>
      </c>
      <c r="L46" s="339">
        <f t="shared" si="17"/>
        <v>0</v>
      </c>
      <c r="M46" s="339">
        <f t="shared" si="17"/>
        <v>0</v>
      </c>
      <c r="N46" s="339">
        <f t="shared" si="17"/>
        <v>0</v>
      </c>
      <c r="O46" s="339">
        <f t="shared" si="17"/>
        <v>0</v>
      </c>
      <c r="P46" s="339">
        <f t="shared" si="17"/>
        <v>0</v>
      </c>
      <c r="Q46" s="339">
        <f t="shared" si="17"/>
        <v>0</v>
      </c>
      <c r="R46" s="339">
        <f t="shared" si="17"/>
        <v>0</v>
      </c>
      <c r="S46" s="339">
        <f t="shared" si="17"/>
        <v>0</v>
      </c>
      <c r="T46" s="340">
        <f t="shared" si="17"/>
        <v>0</v>
      </c>
    </row>
    <row r="47" spans="4:20" ht="24" x14ac:dyDescent="0.2">
      <c r="D47" s="62"/>
      <c r="E47" s="554" t="s">
        <v>77</v>
      </c>
      <c r="F47" s="554"/>
      <c r="G47" s="63" t="s">
        <v>177</v>
      </c>
      <c r="H47" s="396">
        <v>0</v>
      </c>
      <c r="I47" s="64">
        <f t="shared" ref="I47:I52" si="18">H47+J47</f>
        <v>0</v>
      </c>
      <c r="J47" s="344">
        <f t="shared" ref="J47:J52" si="19">SUM(K47:T47)</f>
        <v>0</v>
      </c>
      <c r="K47" s="278"/>
      <c r="L47" s="278"/>
      <c r="M47" s="278"/>
      <c r="N47" s="278"/>
      <c r="O47" s="278"/>
      <c r="P47" s="278"/>
      <c r="Q47" s="278"/>
      <c r="R47" s="278"/>
      <c r="S47" s="278"/>
      <c r="T47" s="278"/>
    </row>
    <row r="48" spans="4:20" x14ac:dyDescent="0.2">
      <c r="D48" s="62"/>
      <c r="E48" s="554" t="s">
        <v>78</v>
      </c>
      <c r="F48" s="554"/>
      <c r="G48" s="63" t="s">
        <v>178</v>
      </c>
      <c r="H48" s="396">
        <f>55000</f>
        <v>55000</v>
      </c>
      <c r="I48" s="64">
        <f t="shared" si="18"/>
        <v>55000</v>
      </c>
      <c r="J48" s="344">
        <f t="shared" si="19"/>
        <v>0</v>
      </c>
      <c r="K48" s="278"/>
      <c r="L48" s="278"/>
      <c r="M48" s="278"/>
      <c r="N48" s="278"/>
      <c r="O48" s="278"/>
      <c r="P48" s="278"/>
      <c r="Q48" s="278"/>
      <c r="R48" s="278"/>
      <c r="S48" s="278"/>
      <c r="T48" s="278"/>
    </row>
    <row r="49" spans="4:20" ht="24" x14ac:dyDescent="0.2">
      <c r="D49" s="62"/>
      <c r="E49" s="554" t="s">
        <v>79</v>
      </c>
      <c r="F49" s="554"/>
      <c r="G49" s="63" t="s">
        <v>179</v>
      </c>
      <c r="H49" s="396">
        <f>2082182</f>
        <v>2082182</v>
      </c>
      <c r="I49" s="64">
        <f t="shared" si="18"/>
        <v>2082182</v>
      </c>
      <c r="J49" s="344">
        <f t="shared" si="19"/>
        <v>0</v>
      </c>
      <c r="K49" s="278"/>
      <c r="L49" s="278"/>
      <c r="M49" s="278"/>
      <c r="N49" s="278"/>
      <c r="O49" s="278"/>
      <c r="P49" s="278"/>
      <c r="Q49" s="278"/>
      <c r="R49" s="278"/>
      <c r="S49" s="278"/>
      <c r="T49" s="278"/>
    </row>
    <row r="50" spans="4:20" ht="24" x14ac:dyDescent="0.2">
      <c r="D50" s="62"/>
      <c r="E50" s="554" t="s">
        <v>80</v>
      </c>
      <c r="F50" s="554"/>
      <c r="G50" s="63" t="s">
        <v>180</v>
      </c>
      <c r="H50" s="396">
        <f>67600</f>
        <v>67600</v>
      </c>
      <c r="I50" s="64">
        <f t="shared" si="18"/>
        <v>67600</v>
      </c>
      <c r="J50" s="344">
        <f t="shared" si="19"/>
        <v>0</v>
      </c>
      <c r="K50" s="278"/>
      <c r="L50" s="278"/>
      <c r="M50" s="278"/>
      <c r="N50" s="278"/>
      <c r="O50" s="278"/>
      <c r="P50" s="278"/>
      <c r="Q50" s="278"/>
      <c r="R50" s="278"/>
      <c r="S50" s="278"/>
      <c r="T50" s="278"/>
    </row>
    <row r="51" spans="4:20" ht="26.25" customHeight="1" x14ac:dyDescent="0.2">
      <c r="D51" s="43"/>
      <c r="E51" s="554" t="s">
        <v>601</v>
      </c>
      <c r="F51" s="555"/>
      <c r="G51" s="44" t="s">
        <v>602</v>
      </c>
      <c r="H51" s="389">
        <v>0</v>
      </c>
      <c r="I51" s="45">
        <f t="shared" si="18"/>
        <v>0</v>
      </c>
      <c r="J51" s="344">
        <f t="shared" si="19"/>
        <v>0</v>
      </c>
      <c r="K51" s="278"/>
      <c r="L51" s="278"/>
      <c r="M51" s="278"/>
      <c r="N51" s="278"/>
      <c r="O51" s="278"/>
      <c r="P51" s="278"/>
      <c r="Q51" s="278"/>
      <c r="R51" s="278"/>
      <c r="S51" s="278"/>
      <c r="T51" s="278"/>
    </row>
    <row r="52" spans="4:20" x14ac:dyDescent="0.2">
      <c r="D52" s="43"/>
      <c r="E52" s="564" t="s">
        <v>159</v>
      </c>
      <c r="F52" s="564"/>
      <c r="G52" s="44" t="s">
        <v>181</v>
      </c>
      <c r="H52" s="389">
        <f>76400</f>
        <v>76400</v>
      </c>
      <c r="I52" s="45">
        <f t="shared" si="18"/>
        <v>76400</v>
      </c>
      <c r="J52" s="344">
        <f t="shared" si="19"/>
        <v>0</v>
      </c>
      <c r="K52" s="278"/>
      <c r="L52" s="278"/>
      <c r="M52" s="278"/>
      <c r="N52" s="278"/>
      <c r="O52" s="278"/>
      <c r="P52" s="278"/>
      <c r="Q52" s="278"/>
      <c r="R52" s="278"/>
      <c r="S52" s="278"/>
      <c r="T52" s="278"/>
    </row>
    <row r="53" spans="4:20" s="187" customFormat="1" x14ac:dyDescent="0.2">
      <c r="D53" s="576" t="s">
        <v>81</v>
      </c>
      <c r="E53" s="577"/>
      <c r="F53" s="577"/>
      <c r="G53" s="58" t="s">
        <v>82</v>
      </c>
      <c r="H53" s="33">
        <f>SUM(H57,H54)</f>
        <v>359300</v>
      </c>
      <c r="I53" s="46">
        <f t="shared" ref="I53:T53" si="20">SUM(I57,I54)</f>
        <v>359300</v>
      </c>
      <c r="J53" s="335">
        <f>SUM(J57,J54)</f>
        <v>0</v>
      </c>
      <c r="K53" s="336">
        <f t="shared" si="20"/>
        <v>0</v>
      </c>
      <c r="L53" s="336">
        <f t="shared" si="20"/>
        <v>0</v>
      </c>
      <c r="M53" s="336">
        <f t="shared" si="20"/>
        <v>0</v>
      </c>
      <c r="N53" s="336">
        <f t="shared" si="20"/>
        <v>0</v>
      </c>
      <c r="O53" s="336">
        <f t="shared" si="20"/>
        <v>0</v>
      </c>
      <c r="P53" s="336">
        <f t="shared" si="20"/>
        <v>0</v>
      </c>
      <c r="Q53" s="336">
        <f t="shared" si="20"/>
        <v>0</v>
      </c>
      <c r="R53" s="336">
        <f t="shared" si="20"/>
        <v>0</v>
      </c>
      <c r="S53" s="336">
        <f t="shared" si="20"/>
        <v>0</v>
      </c>
      <c r="T53" s="337">
        <f t="shared" si="20"/>
        <v>0</v>
      </c>
    </row>
    <row r="54" spans="4:20" s="186" customFormat="1" x14ac:dyDescent="0.2">
      <c r="D54" s="34"/>
      <c r="E54" s="568" t="s">
        <v>83</v>
      </c>
      <c r="F54" s="568"/>
      <c r="G54" s="35" t="s">
        <v>84</v>
      </c>
      <c r="H54" s="36">
        <f>H55+H56</f>
        <v>138800</v>
      </c>
      <c r="I54" s="47">
        <f t="shared" ref="I54:T54" si="21">I55+I56</f>
        <v>138800</v>
      </c>
      <c r="J54" s="338">
        <f>J55+J56</f>
        <v>0</v>
      </c>
      <c r="K54" s="339">
        <f t="shared" si="21"/>
        <v>0</v>
      </c>
      <c r="L54" s="339">
        <f t="shared" si="21"/>
        <v>0</v>
      </c>
      <c r="M54" s="339">
        <f t="shared" si="21"/>
        <v>0</v>
      </c>
      <c r="N54" s="339">
        <f t="shared" si="21"/>
        <v>0</v>
      </c>
      <c r="O54" s="339">
        <f t="shared" si="21"/>
        <v>0</v>
      </c>
      <c r="P54" s="339">
        <f t="shared" si="21"/>
        <v>0</v>
      </c>
      <c r="Q54" s="339">
        <f t="shared" si="21"/>
        <v>0</v>
      </c>
      <c r="R54" s="339">
        <f t="shared" si="21"/>
        <v>0</v>
      </c>
      <c r="S54" s="339">
        <f t="shared" si="21"/>
        <v>0</v>
      </c>
      <c r="T54" s="340">
        <f t="shared" si="21"/>
        <v>0</v>
      </c>
    </row>
    <row r="55" spans="4:20" x14ac:dyDescent="0.2">
      <c r="D55" s="189"/>
      <c r="E55" s="586" t="s">
        <v>85</v>
      </c>
      <c r="F55" s="586"/>
      <c r="G55" s="92" t="s">
        <v>86</v>
      </c>
      <c r="H55" s="398">
        <f>138800</f>
        <v>138800</v>
      </c>
      <c r="I55" s="93">
        <f>H55+J55</f>
        <v>138800</v>
      </c>
      <c r="J55" s="442">
        <f>SUM(K55:T55)</f>
        <v>0</v>
      </c>
      <c r="K55" s="443"/>
      <c r="L55" s="443"/>
      <c r="M55" s="443"/>
      <c r="N55" s="443"/>
      <c r="O55" s="443"/>
      <c r="P55" s="443"/>
      <c r="Q55" s="443"/>
      <c r="R55" s="443"/>
      <c r="S55" s="443"/>
      <c r="T55" s="443"/>
    </row>
    <row r="56" spans="4:20" x14ac:dyDescent="0.2">
      <c r="D56" s="37"/>
      <c r="E56" s="587" t="s">
        <v>511</v>
      </c>
      <c r="F56" s="587"/>
      <c r="G56" s="53" t="s">
        <v>512</v>
      </c>
      <c r="H56" s="391">
        <v>0</v>
      </c>
      <c r="I56" s="54">
        <f>H56+J56</f>
        <v>0</v>
      </c>
      <c r="J56" s="440">
        <f>SUM(K56:T56)</f>
        <v>0</v>
      </c>
      <c r="K56" s="441"/>
      <c r="L56" s="441"/>
      <c r="M56" s="441"/>
      <c r="N56" s="441"/>
      <c r="O56" s="441"/>
      <c r="P56" s="441"/>
      <c r="Q56" s="441"/>
      <c r="R56" s="441"/>
      <c r="S56" s="441"/>
      <c r="T56" s="441"/>
    </row>
    <row r="57" spans="4:20" ht="24" x14ac:dyDescent="0.2">
      <c r="D57" s="52"/>
      <c r="E57" s="568" t="s">
        <v>545</v>
      </c>
      <c r="F57" s="568"/>
      <c r="G57" s="35" t="s">
        <v>546</v>
      </c>
      <c r="H57" s="36">
        <f>220500</f>
        <v>220500</v>
      </c>
      <c r="I57" s="47">
        <f>H57+J57</f>
        <v>220500</v>
      </c>
      <c r="J57" s="344">
        <f>SUM(K57:T57)</f>
        <v>0</v>
      </c>
      <c r="K57" s="278"/>
      <c r="L57" s="278"/>
      <c r="M57" s="278"/>
      <c r="N57" s="278"/>
      <c r="O57" s="278"/>
      <c r="P57" s="278"/>
      <c r="Q57" s="278"/>
      <c r="R57" s="278"/>
      <c r="S57" s="278"/>
      <c r="T57" s="278"/>
    </row>
    <row r="58" spans="4:20" s="187" customFormat="1" x14ac:dyDescent="0.2">
      <c r="D58" s="576" t="s">
        <v>87</v>
      </c>
      <c r="E58" s="577"/>
      <c r="F58" s="577"/>
      <c r="G58" s="58" t="s">
        <v>88</v>
      </c>
      <c r="H58" s="33">
        <f>SUM(H59,H61)</f>
        <v>108880</v>
      </c>
      <c r="I58" s="46">
        <f t="shared" ref="I58:T58" si="22">SUM(I59,I61)</f>
        <v>152921</v>
      </c>
      <c r="J58" s="335">
        <f>SUM(J59,J61)</f>
        <v>44041</v>
      </c>
      <c r="K58" s="336">
        <f t="shared" si="22"/>
        <v>0</v>
      </c>
      <c r="L58" s="336">
        <f t="shared" si="22"/>
        <v>44041</v>
      </c>
      <c r="M58" s="336">
        <f t="shared" si="22"/>
        <v>0</v>
      </c>
      <c r="N58" s="336">
        <f t="shared" si="22"/>
        <v>0</v>
      </c>
      <c r="O58" s="336">
        <f t="shared" si="22"/>
        <v>0</v>
      </c>
      <c r="P58" s="336">
        <f t="shared" si="22"/>
        <v>0</v>
      </c>
      <c r="Q58" s="336">
        <f t="shared" si="22"/>
        <v>0</v>
      </c>
      <c r="R58" s="336">
        <f t="shared" si="22"/>
        <v>0</v>
      </c>
      <c r="S58" s="336">
        <f t="shared" si="22"/>
        <v>0</v>
      </c>
      <c r="T58" s="337">
        <f t="shared" si="22"/>
        <v>0</v>
      </c>
    </row>
    <row r="59" spans="4:20" s="186" customFormat="1" ht="24" x14ac:dyDescent="0.2">
      <c r="D59" s="34"/>
      <c r="E59" s="582" t="s">
        <v>89</v>
      </c>
      <c r="F59" s="583"/>
      <c r="G59" s="65" t="s">
        <v>90</v>
      </c>
      <c r="H59" s="413">
        <f t="shared" ref="H59:T59" si="23">SUM(H60)</f>
        <v>28380</v>
      </c>
      <c r="I59" s="47">
        <f t="shared" si="23"/>
        <v>28380</v>
      </c>
      <c r="J59" s="338">
        <f t="shared" si="23"/>
        <v>0</v>
      </c>
      <c r="K59" s="339">
        <f t="shared" si="23"/>
        <v>0</v>
      </c>
      <c r="L59" s="339">
        <f t="shared" si="23"/>
        <v>0</v>
      </c>
      <c r="M59" s="339">
        <f t="shared" si="23"/>
        <v>0</v>
      </c>
      <c r="N59" s="339">
        <f t="shared" si="23"/>
        <v>0</v>
      </c>
      <c r="O59" s="339">
        <f t="shared" si="23"/>
        <v>0</v>
      </c>
      <c r="P59" s="339">
        <f t="shared" si="23"/>
        <v>0</v>
      </c>
      <c r="Q59" s="339">
        <f t="shared" si="23"/>
        <v>0</v>
      </c>
      <c r="R59" s="339">
        <f t="shared" si="23"/>
        <v>0</v>
      </c>
      <c r="S59" s="339">
        <f t="shared" si="23"/>
        <v>0</v>
      </c>
      <c r="T59" s="340">
        <f t="shared" si="23"/>
        <v>0</v>
      </c>
    </row>
    <row r="60" spans="4:20" ht="24" x14ac:dyDescent="0.2">
      <c r="D60" s="37"/>
      <c r="E60" s="584" t="s">
        <v>91</v>
      </c>
      <c r="F60" s="585"/>
      <c r="G60" s="66" t="s">
        <v>92</v>
      </c>
      <c r="H60" s="397">
        <f>28380</f>
        <v>28380</v>
      </c>
      <c r="I60" s="101">
        <f>H60+J60</f>
        <v>28380</v>
      </c>
      <c r="J60" s="344">
        <f>SUM(K60:T60)</f>
        <v>0</v>
      </c>
      <c r="K60" s="278"/>
      <c r="L60" s="278"/>
      <c r="M60" s="278"/>
      <c r="N60" s="278"/>
      <c r="O60" s="278"/>
      <c r="P60" s="278"/>
      <c r="Q60" s="278"/>
      <c r="R60" s="278"/>
      <c r="S60" s="278"/>
      <c r="T60" s="278"/>
    </row>
    <row r="61" spans="4:20" s="186" customFormat="1" x14ac:dyDescent="0.2">
      <c r="D61" s="34"/>
      <c r="E61" s="568" t="s">
        <v>93</v>
      </c>
      <c r="F61" s="568"/>
      <c r="G61" s="35" t="s">
        <v>135</v>
      </c>
      <c r="H61" s="36">
        <f>SUM(H62+H65)</f>
        <v>80500</v>
      </c>
      <c r="I61" s="47">
        <f t="shared" ref="I61:T61" si="24">SUM(I62+I65)</f>
        <v>124541</v>
      </c>
      <c r="J61" s="338">
        <f>SUM(J62+J65)</f>
        <v>44041</v>
      </c>
      <c r="K61" s="339">
        <f t="shared" si="24"/>
        <v>0</v>
      </c>
      <c r="L61" s="339">
        <f>SUM(L62+L65)</f>
        <v>44041</v>
      </c>
      <c r="M61" s="339">
        <f t="shared" si="24"/>
        <v>0</v>
      </c>
      <c r="N61" s="339">
        <f t="shared" si="24"/>
        <v>0</v>
      </c>
      <c r="O61" s="339">
        <f t="shared" si="24"/>
        <v>0</v>
      </c>
      <c r="P61" s="339">
        <f t="shared" si="24"/>
        <v>0</v>
      </c>
      <c r="Q61" s="339">
        <f t="shared" si="24"/>
        <v>0</v>
      </c>
      <c r="R61" s="339">
        <f t="shared" si="24"/>
        <v>0</v>
      </c>
      <c r="S61" s="339">
        <f t="shared" si="24"/>
        <v>0</v>
      </c>
      <c r="T61" s="340">
        <f t="shared" si="24"/>
        <v>0</v>
      </c>
    </row>
    <row r="62" spans="4:20" s="186" customFormat="1" x14ac:dyDescent="0.2">
      <c r="D62" s="234"/>
      <c r="E62" s="570" t="s">
        <v>603</v>
      </c>
      <c r="F62" s="571"/>
      <c r="G62" s="38" t="s">
        <v>606</v>
      </c>
      <c r="H62" s="387">
        <f>SUM(H63:H64)</f>
        <v>0</v>
      </c>
      <c r="I62" s="39">
        <f t="shared" ref="I62:T62" si="25">SUM(I63:I64)</f>
        <v>7310</v>
      </c>
      <c r="J62" s="332">
        <f>SUM(K62:T62)</f>
        <v>7310</v>
      </c>
      <c r="K62" s="333">
        <f t="shared" si="25"/>
        <v>0</v>
      </c>
      <c r="L62" s="333">
        <f t="shared" si="25"/>
        <v>7310</v>
      </c>
      <c r="M62" s="333">
        <f t="shared" si="25"/>
        <v>0</v>
      </c>
      <c r="N62" s="333">
        <f t="shared" si="25"/>
        <v>0</v>
      </c>
      <c r="O62" s="333">
        <f t="shared" si="25"/>
        <v>0</v>
      </c>
      <c r="P62" s="333">
        <f t="shared" si="25"/>
        <v>0</v>
      </c>
      <c r="Q62" s="333">
        <f t="shared" si="25"/>
        <v>0</v>
      </c>
      <c r="R62" s="333">
        <f t="shared" si="25"/>
        <v>0</v>
      </c>
      <c r="S62" s="333">
        <f t="shared" si="25"/>
        <v>0</v>
      </c>
      <c r="T62" s="334">
        <f t="shared" si="25"/>
        <v>0</v>
      </c>
    </row>
    <row r="63" spans="4:20" s="186" customFormat="1" x14ac:dyDescent="0.2">
      <c r="D63" s="234"/>
      <c r="E63" s="574" t="s">
        <v>604</v>
      </c>
      <c r="F63" s="575"/>
      <c r="G63" s="38" t="s">
        <v>607</v>
      </c>
      <c r="H63" s="387">
        <v>0</v>
      </c>
      <c r="I63" s="39">
        <f>H63+J63</f>
        <v>7310</v>
      </c>
      <c r="J63" s="344">
        <f>SUM(K63:T63)</f>
        <v>7310</v>
      </c>
      <c r="K63" s="377"/>
      <c r="L63" s="278">
        <f>7310</f>
        <v>7310</v>
      </c>
      <c r="M63" s="377"/>
      <c r="N63" s="377"/>
      <c r="O63" s="377"/>
      <c r="P63" s="377"/>
      <c r="Q63" s="377"/>
      <c r="R63" s="377"/>
      <c r="S63" s="377"/>
      <c r="T63" s="377"/>
    </row>
    <row r="64" spans="4:20" s="186" customFormat="1" x14ac:dyDescent="0.2">
      <c r="D64" s="234"/>
      <c r="E64" s="574" t="s">
        <v>605</v>
      </c>
      <c r="F64" s="575"/>
      <c r="G64" s="38" t="s">
        <v>608</v>
      </c>
      <c r="H64" s="387">
        <v>0</v>
      </c>
      <c r="I64" s="39">
        <f>H64+J64</f>
        <v>0</v>
      </c>
      <c r="J64" s="344">
        <f>SUM(K64:T64)</f>
        <v>0</v>
      </c>
      <c r="K64" s="377"/>
      <c r="L64" s="377"/>
      <c r="M64" s="377"/>
      <c r="N64" s="377"/>
      <c r="O64" s="377"/>
      <c r="P64" s="377"/>
      <c r="Q64" s="377"/>
      <c r="R64" s="377"/>
      <c r="S64" s="377"/>
      <c r="T64" s="377"/>
    </row>
    <row r="65" spans="4:20" x14ac:dyDescent="0.2">
      <c r="D65" s="37"/>
      <c r="E65" s="580" t="s">
        <v>136</v>
      </c>
      <c r="F65" s="580"/>
      <c r="G65" s="38" t="s">
        <v>94</v>
      </c>
      <c r="H65" s="387">
        <f>SUM(H66:H67)</f>
        <v>80500</v>
      </c>
      <c r="I65" s="39">
        <f t="shared" ref="I65:T65" si="26">SUM(I66:I67)</f>
        <v>117231</v>
      </c>
      <c r="J65" s="332">
        <f>SUM(J66:J67)</f>
        <v>36731</v>
      </c>
      <c r="K65" s="333">
        <f t="shared" si="26"/>
        <v>0</v>
      </c>
      <c r="L65" s="333">
        <f t="shared" si="26"/>
        <v>36731</v>
      </c>
      <c r="M65" s="333">
        <f t="shared" si="26"/>
        <v>0</v>
      </c>
      <c r="N65" s="333">
        <f t="shared" si="26"/>
        <v>0</v>
      </c>
      <c r="O65" s="333">
        <f t="shared" si="26"/>
        <v>0</v>
      </c>
      <c r="P65" s="333">
        <f t="shared" si="26"/>
        <v>0</v>
      </c>
      <c r="Q65" s="333">
        <f t="shared" si="26"/>
        <v>0</v>
      </c>
      <c r="R65" s="333">
        <f t="shared" si="26"/>
        <v>0</v>
      </c>
      <c r="S65" s="333">
        <f t="shared" si="26"/>
        <v>0</v>
      </c>
      <c r="T65" s="334">
        <f t="shared" si="26"/>
        <v>0</v>
      </c>
    </row>
    <row r="66" spans="4:20" x14ac:dyDescent="0.2">
      <c r="D66" s="189"/>
      <c r="E66" s="572" t="s">
        <v>160</v>
      </c>
      <c r="F66" s="573"/>
      <c r="G66" s="92" t="s">
        <v>161</v>
      </c>
      <c r="H66" s="398">
        <f>500</f>
        <v>500</v>
      </c>
      <c r="I66" s="93">
        <f>H66+J66</f>
        <v>500</v>
      </c>
      <c r="J66" s="344">
        <f>SUM(K66:T66)</f>
        <v>0</v>
      </c>
      <c r="K66" s="278"/>
      <c r="L66" s="278"/>
      <c r="M66" s="278"/>
      <c r="N66" s="278"/>
      <c r="O66" s="278"/>
      <c r="P66" s="278"/>
      <c r="Q66" s="278"/>
      <c r="R66" s="278"/>
      <c r="S66" s="278"/>
      <c r="T66" s="278"/>
    </row>
    <row r="67" spans="4:20" ht="24" x14ac:dyDescent="0.2">
      <c r="D67" s="188"/>
      <c r="E67" s="566" t="s">
        <v>137</v>
      </c>
      <c r="F67" s="567"/>
      <c r="G67" s="120" t="s">
        <v>138</v>
      </c>
      <c r="H67" s="399">
        <f>80000</f>
        <v>80000</v>
      </c>
      <c r="I67" s="118">
        <f>H67+J67</f>
        <v>116731</v>
      </c>
      <c r="J67" s="344">
        <f>SUM(K67:T67)</f>
        <v>36731</v>
      </c>
      <c r="K67" s="278"/>
      <c r="L67" s="278">
        <f>18500+51+797+2272+1692+4618+7267+1534</f>
        <v>36731</v>
      </c>
      <c r="M67" s="278"/>
      <c r="N67" s="278"/>
      <c r="O67" s="278"/>
      <c r="P67" s="278"/>
      <c r="Q67" s="278"/>
      <c r="R67" s="278"/>
      <c r="S67" s="278"/>
      <c r="T67" s="278"/>
    </row>
    <row r="68" spans="4:20" s="187" customFormat="1" ht="48" x14ac:dyDescent="0.2">
      <c r="D68" s="576" t="s">
        <v>95</v>
      </c>
      <c r="E68" s="577"/>
      <c r="F68" s="577"/>
      <c r="G68" s="58" t="s">
        <v>191</v>
      </c>
      <c r="H68" s="33">
        <f>SUM(H75,H73,H70,H69,H74)</f>
        <v>2169387</v>
      </c>
      <c r="I68" s="46">
        <f>SUM(I75,I73,I70,I69,I74)</f>
        <v>2169387</v>
      </c>
      <c r="J68" s="335">
        <f t="shared" ref="J68:T68" si="27">SUM(J75,J73,J70,J69,J74)</f>
        <v>0</v>
      </c>
      <c r="K68" s="336">
        <f t="shared" si="27"/>
        <v>0</v>
      </c>
      <c r="L68" s="336">
        <f t="shared" si="27"/>
        <v>0</v>
      </c>
      <c r="M68" s="336">
        <f t="shared" si="27"/>
        <v>0</v>
      </c>
      <c r="N68" s="336">
        <f t="shared" si="27"/>
        <v>0</v>
      </c>
      <c r="O68" s="336">
        <f t="shared" si="27"/>
        <v>0</v>
      </c>
      <c r="P68" s="336">
        <f t="shared" si="27"/>
        <v>0</v>
      </c>
      <c r="Q68" s="336">
        <f t="shared" si="27"/>
        <v>0</v>
      </c>
      <c r="R68" s="336">
        <f t="shared" si="27"/>
        <v>0</v>
      </c>
      <c r="S68" s="336">
        <f t="shared" si="27"/>
        <v>0</v>
      </c>
      <c r="T68" s="337">
        <f t="shared" si="27"/>
        <v>0</v>
      </c>
    </row>
    <row r="69" spans="4:20" s="186" customFormat="1" ht="12.75" x14ac:dyDescent="0.2">
      <c r="D69" s="114"/>
      <c r="E69" s="115" t="s">
        <v>269</v>
      </c>
      <c r="F69" s="115"/>
      <c r="G69" s="116" t="s">
        <v>268</v>
      </c>
      <c r="H69" s="400">
        <v>0</v>
      </c>
      <c r="I69" s="47">
        <f>H69+J69</f>
        <v>0</v>
      </c>
      <c r="J69" s="376">
        <f>SUM(K69:T69)</f>
        <v>0</v>
      </c>
      <c r="K69" s="377"/>
      <c r="L69" s="377"/>
      <c r="M69" s="377"/>
      <c r="N69" s="377"/>
      <c r="O69" s="377"/>
      <c r="P69" s="377"/>
      <c r="Q69" s="377"/>
      <c r="R69" s="377"/>
      <c r="S69" s="377"/>
      <c r="T69" s="377"/>
    </row>
    <row r="70" spans="4:20" s="186" customFormat="1" x14ac:dyDescent="0.2">
      <c r="D70" s="34"/>
      <c r="E70" s="568" t="s">
        <v>282</v>
      </c>
      <c r="F70" s="568"/>
      <c r="G70" s="35" t="s">
        <v>285</v>
      </c>
      <c r="H70" s="36">
        <f>SUM(H71:H72)</f>
        <v>1918828</v>
      </c>
      <c r="I70" s="47">
        <f>SUM(I71:I72)</f>
        <v>1918828</v>
      </c>
      <c r="J70" s="338">
        <f t="shared" ref="J70:T70" si="28">SUM(J71:J72)</f>
        <v>0</v>
      </c>
      <c r="K70" s="339">
        <f t="shared" si="28"/>
        <v>0</v>
      </c>
      <c r="L70" s="339">
        <f t="shared" si="28"/>
        <v>0</v>
      </c>
      <c r="M70" s="339">
        <f t="shared" si="28"/>
        <v>0</v>
      </c>
      <c r="N70" s="339">
        <f t="shared" si="28"/>
        <v>0</v>
      </c>
      <c r="O70" s="339">
        <f t="shared" si="28"/>
        <v>0</v>
      </c>
      <c r="P70" s="339">
        <f t="shared" si="28"/>
        <v>0</v>
      </c>
      <c r="Q70" s="339">
        <f t="shared" si="28"/>
        <v>0</v>
      </c>
      <c r="R70" s="339">
        <f t="shared" si="28"/>
        <v>0</v>
      </c>
      <c r="S70" s="339">
        <f t="shared" si="28"/>
        <v>0</v>
      </c>
      <c r="T70" s="340">
        <f t="shared" si="28"/>
        <v>0</v>
      </c>
    </row>
    <row r="71" spans="4:20" s="186" customFormat="1" x14ac:dyDescent="0.2">
      <c r="D71" s="34"/>
      <c r="E71" s="580" t="s">
        <v>162</v>
      </c>
      <c r="F71" s="580"/>
      <c r="G71" s="49" t="s">
        <v>163</v>
      </c>
      <c r="H71" s="390">
        <f>1918828</f>
        <v>1918828</v>
      </c>
      <c r="I71" s="50">
        <f>H71+J71</f>
        <v>1918828</v>
      </c>
      <c r="J71" s="376">
        <f>SUM(K71:T71)</f>
        <v>0</v>
      </c>
      <c r="K71" s="377"/>
      <c r="L71" s="377"/>
      <c r="M71" s="377"/>
      <c r="N71" s="377"/>
      <c r="O71" s="377"/>
      <c r="P71" s="377"/>
      <c r="Q71" s="377"/>
      <c r="R71" s="377"/>
      <c r="S71" s="377"/>
      <c r="T71" s="377"/>
    </row>
    <row r="72" spans="4:20" s="186" customFormat="1" x14ac:dyDescent="0.2">
      <c r="D72" s="34"/>
      <c r="E72" s="570" t="s">
        <v>283</v>
      </c>
      <c r="F72" s="570"/>
      <c r="G72" s="49" t="s">
        <v>284</v>
      </c>
      <c r="H72" s="390">
        <v>0</v>
      </c>
      <c r="I72" s="50">
        <f>H72+J72</f>
        <v>0</v>
      </c>
      <c r="J72" s="376">
        <f>SUM(K72:T72)</f>
        <v>0</v>
      </c>
      <c r="K72" s="377"/>
      <c r="L72" s="377"/>
      <c r="M72" s="377"/>
      <c r="N72" s="377"/>
      <c r="O72" s="377"/>
      <c r="P72" s="377"/>
      <c r="Q72" s="377"/>
      <c r="R72" s="377"/>
      <c r="S72" s="377"/>
      <c r="T72" s="377"/>
    </row>
    <row r="73" spans="4:20" s="186" customFormat="1" ht="24" x14ac:dyDescent="0.2">
      <c r="D73" s="34"/>
      <c r="E73" s="581" t="s">
        <v>164</v>
      </c>
      <c r="F73" s="581"/>
      <c r="G73" s="49" t="s">
        <v>165</v>
      </c>
      <c r="H73" s="390">
        <v>0</v>
      </c>
      <c r="I73" s="50">
        <f>H73+J73</f>
        <v>0</v>
      </c>
      <c r="J73" s="376">
        <f>SUM(K73:T73)</f>
        <v>0</v>
      </c>
      <c r="K73" s="377"/>
      <c r="L73" s="377"/>
      <c r="M73" s="377"/>
      <c r="N73" s="377"/>
      <c r="O73" s="377"/>
      <c r="P73" s="377"/>
      <c r="Q73" s="377"/>
      <c r="R73" s="377"/>
      <c r="S73" s="377"/>
      <c r="T73" s="377"/>
    </row>
    <row r="74" spans="4:20" s="186" customFormat="1" ht="24" x14ac:dyDescent="0.2">
      <c r="D74" s="34"/>
      <c r="E74" s="183" t="s">
        <v>286</v>
      </c>
      <c r="F74" s="183"/>
      <c r="G74" s="35" t="s">
        <v>513</v>
      </c>
      <c r="H74" s="36">
        <v>0</v>
      </c>
      <c r="I74" s="47">
        <f>H74+J74</f>
        <v>0</v>
      </c>
      <c r="J74" s="376">
        <f>SUM(K74:T74)</f>
        <v>0</v>
      </c>
      <c r="K74" s="377"/>
      <c r="L74" s="377"/>
      <c r="M74" s="377"/>
      <c r="N74" s="377"/>
      <c r="O74" s="377"/>
      <c r="P74" s="377"/>
      <c r="Q74" s="377"/>
      <c r="R74" s="377"/>
      <c r="S74" s="377"/>
      <c r="T74" s="377"/>
    </row>
    <row r="75" spans="4:20" s="186" customFormat="1" ht="24" x14ac:dyDescent="0.2">
      <c r="D75" s="34"/>
      <c r="E75" s="568" t="s">
        <v>167</v>
      </c>
      <c r="F75" s="568"/>
      <c r="G75" s="35" t="s">
        <v>129</v>
      </c>
      <c r="H75" s="36">
        <f>SUM(H76:H78)</f>
        <v>250559</v>
      </c>
      <c r="I75" s="47">
        <f>SUM(I76:I78)</f>
        <v>250559</v>
      </c>
      <c r="J75" s="338">
        <f t="shared" ref="J75:T75" si="29">SUM(J76:J78)</f>
        <v>0</v>
      </c>
      <c r="K75" s="339">
        <f t="shared" si="29"/>
        <v>0</v>
      </c>
      <c r="L75" s="339">
        <f t="shared" si="29"/>
        <v>0</v>
      </c>
      <c r="M75" s="339">
        <f t="shared" si="29"/>
        <v>0</v>
      </c>
      <c r="N75" s="339">
        <f t="shared" si="29"/>
        <v>0</v>
      </c>
      <c r="O75" s="339">
        <f t="shared" si="29"/>
        <v>0</v>
      </c>
      <c r="P75" s="339">
        <f t="shared" si="29"/>
        <v>0</v>
      </c>
      <c r="Q75" s="339">
        <f t="shared" si="29"/>
        <v>0</v>
      </c>
      <c r="R75" s="339">
        <f t="shared" si="29"/>
        <v>0</v>
      </c>
      <c r="S75" s="339">
        <f t="shared" si="29"/>
        <v>0</v>
      </c>
      <c r="T75" s="340">
        <f t="shared" si="29"/>
        <v>0</v>
      </c>
    </row>
    <row r="76" spans="4:20" x14ac:dyDescent="0.2">
      <c r="D76" s="37"/>
      <c r="E76" s="580" t="s">
        <v>168</v>
      </c>
      <c r="F76" s="580"/>
      <c r="G76" s="38" t="s">
        <v>130</v>
      </c>
      <c r="H76" s="387">
        <f>130000</f>
        <v>130000</v>
      </c>
      <c r="I76" s="39">
        <f>H76+J76</f>
        <v>130000</v>
      </c>
      <c r="J76" s="344">
        <f>SUM(K76:T76)</f>
        <v>0</v>
      </c>
      <c r="K76" s="278"/>
      <c r="L76" s="278"/>
      <c r="M76" s="278"/>
      <c r="N76" s="278"/>
      <c r="O76" s="278"/>
      <c r="P76" s="278"/>
      <c r="Q76" s="278"/>
      <c r="R76" s="278"/>
      <c r="S76" s="278"/>
      <c r="T76" s="278"/>
    </row>
    <row r="77" spans="4:20" x14ac:dyDescent="0.2">
      <c r="D77" s="48"/>
      <c r="E77" s="570" t="s">
        <v>169</v>
      </c>
      <c r="F77" s="570"/>
      <c r="G77" s="49" t="s">
        <v>131</v>
      </c>
      <c r="H77" s="390">
        <f>57000</f>
        <v>57000</v>
      </c>
      <c r="I77" s="50">
        <f>H77+J77</f>
        <v>57000</v>
      </c>
      <c r="J77" s="344">
        <f>SUM(K77:T77)</f>
        <v>0</v>
      </c>
      <c r="K77" s="278"/>
      <c r="L77" s="278"/>
      <c r="M77" s="278"/>
      <c r="N77" s="278"/>
      <c r="O77" s="278"/>
      <c r="P77" s="278"/>
      <c r="Q77" s="278"/>
      <c r="R77" s="278"/>
      <c r="S77" s="278"/>
      <c r="T77" s="278"/>
    </row>
    <row r="78" spans="4:20" x14ac:dyDescent="0.2">
      <c r="D78" s="59"/>
      <c r="E78" s="579" t="s">
        <v>170</v>
      </c>
      <c r="F78" s="579"/>
      <c r="G78" s="60" t="s">
        <v>132</v>
      </c>
      <c r="H78" s="395">
        <f>63559</f>
        <v>63559</v>
      </c>
      <c r="I78" s="61">
        <f>H78+J78</f>
        <v>63559</v>
      </c>
      <c r="J78" s="344">
        <f>SUM(K78:T78)</f>
        <v>0</v>
      </c>
      <c r="K78" s="278"/>
      <c r="L78" s="278"/>
      <c r="M78" s="278"/>
      <c r="N78" s="278"/>
      <c r="O78" s="278"/>
      <c r="P78" s="278"/>
      <c r="Q78" s="278"/>
      <c r="R78" s="278"/>
      <c r="S78" s="278"/>
      <c r="T78" s="278"/>
    </row>
    <row r="79" spans="4:20" s="187" customFormat="1" x14ac:dyDescent="0.2">
      <c r="D79" s="576" t="s">
        <v>96</v>
      </c>
      <c r="E79" s="577"/>
      <c r="F79" s="577"/>
      <c r="G79" s="58" t="s">
        <v>97</v>
      </c>
      <c r="H79" s="33">
        <f t="shared" ref="H79:T79" si="30">SUM(H80)</f>
        <v>12778218</v>
      </c>
      <c r="I79" s="46">
        <f t="shared" si="30"/>
        <v>11721951</v>
      </c>
      <c r="J79" s="335">
        <f t="shared" si="30"/>
        <v>-1056267</v>
      </c>
      <c r="K79" s="336">
        <f t="shared" si="30"/>
        <v>7491</v>
      </c>
      <c r="L79" s="336">
        <f t="shared" si="30"/>
        <v>-1102988</v>
      </c>
      <c r="M79" s="336">
        <f t="shared" si="30"/>
        <v>0</v>
      </c>
      <c r="N79" s="336">
        <f t="shared" si="30"/>
        <v>39230</v>
      </c>
      <c r="O79" s="336">
        <f t="shared" si="30"/>
        <v>0</v>
      </c>
      <c r="P79" s="336">
        <f t="shared" si="30"/>
        <v>0</v>
      </c>
      <c r="Q79" s="336">
        <f t="shared" si="30"/>
        <v>0</v>
      </c>
      <c r="R79" s="336">
        <f t="shared" si="30"/>
        <v>0</v>
      </c>
      <c r="S79" s="336">
        <f t="shared" si="30"/>
        <v>0</v>
      </c>
      <c r="T79" s="337">
        <f t="shared" si="30"/>
        <v>0</v>
      </c>
    </row>
    <row r="80" spans="4:20" s="186" customFormat="1" x14ac:dyDescent="0.2">
      <c r="D80" s="34"/>
      <c r="E80" s="568" t="s">
        <v>98</v>
      </c>
      <c r="F80" s="568"/>
      <c r="G80" s="35" t="s">
        <v>316</v>
      </c>
      <c r="H80" s="36">
        <f>SUM(,H81,H82,H83)</f>
        <v>12778218</v>
      </c>
      <c r="I80" s="47">
        <f t="shared" ref="I80:T80" si="31">SUM(,I81,I82,I83)</f>
        <v>11721951</v>
      </c>
      <c r="J80" s="338">
        <f>SUM(,J81,J82,J83)</f>
        <v>-1056267</v>
      </c>
      <c r="K80" s="339">
        <f t="shared" si="31"/>
        <v>7491</v>
      </c>
      <c r="L80" s="339">
        <f t="shared" si="31"/>
        <v>-1102988</v>
      </c>
      <c r="M80" s="339">
        <f t="shared" si="31"/>
        <v>0</v>
      </c>
      <c r="N80" s="339">
        <f>SUM(,N81,N82,N83)</f>
        <v>39230</v>
      </c>
      <c r="O80" s="339">
        <f t="shared" si="31"/>
        <v>0</v>
      </c>
      <c r="P80" s="339">
        <f t="shared" si="31"/>
        <v>0</v>
      </c>
      <c r="Q80" s="339">
        <f t="shared" si="31"/>
        <v>0</v>
      </c>
      <c r="R80" s="339">
        <f t="shared" si="31"/>
        <v>0</v>
      </c>
      <c r="S80" s="339">
        <f t="shared" si="31"/>
        <v>0</v>
      </c>
      <c r="T80" s="340">
        <f t="shared" si="31"/>
        <v>0</v>
      </c>
    </row>
    <row r="81" spans="4:20" ht="24" x14ac:dyDescent="0.2">
      <c r="D81" s="48"/>
      <c r="E81" s="570" t="s">
        <v>99</v>
      </c>
      <c r="F81" s="570"/>
      <c r="G81" s="49" t="s">
        <v>312</v>
      </c>
      <c r="H81" s="390">
        <f>8935871+7000+227558</f>
        <v>9170429</v>
      </c>
      <c r="I81" s="50">
        <f>H81+J81</f>
        <v>9261763</v>
      </c>
      <c r="J81" s="344">
        <f>SUM(K81:T81)</f>
        <v>91334</v>
      </c>
      <c r="K81" s="278"/>
      <c r="L81" s="278">
        <f>-18500+2660+2710-2182-36480+100932+8399+29795</f>
        <v>87334</v>
      </c>
      <c r="M81" s="278"/>
      <c r="N81" s="278">
        <v>4000</v>
      </c>
      <c r="O81" s="278"/>
      <c r="P81" s="278"/>
      <c r="Q81" s="278"/>
      <c r="R81" s="278"/>
      <c r="S81" s="278"/>
      <c r="T81" s="278"/>
    </row>
    <row r="82" spans="4:20" ht="48" x14ac:dyDescent="0.2">
      <c r="D82" s="48"/>
      <c r="E82" s="570" t="s">
        <v>139</v>
      </c>
      <c r="F82" s="570"/>
      <c r="G82" s="49" t="s">
        <v>313</v>
      </c>
      <c r="H82" s="390">
        <f>3569359</f>
        <v>3569359</v>
      </c>
      <c r="I82" s="50">
        <f>H82+J82</f>
        <v>2401758</v>
      </c>
      <c r="J82" s="344">
        <f>SUM(K82:T82)</f>
        <v>-1167601</v>
      </c>
      <c r="K82" s="278">
        <v>7491</v>
      </c>
      <c r="L82" s="278">
        <f>-1199113+8791</f>
        <v>-1190322</v>
      </c>
      <c r="M82" s="278"/>
      <c r="N82" s="278">
        <v>15230</v>
      </c>
      <c r="O82" s="278"/>
      <c r="P82" s="278"/>
      <c r="Q82" s="278"/>
      <c r="R82" s="278"/>
      <c r="S82" s="278"/>
      <c r="T82" s="278"/>
    </row>
    <row r="83" spans="4:20" ht="24" x14ac:dyDescent="0.2">
      <c r="D83" s="59"/>
      <c r="E83" s="579" t="s">
        <v>140</v>
      </c>
      <c r="F83" s="579"/>
      <c r="G83" s="60" t="s">
        <v>314</v>
      </c>
      <c r="H83" s="395">
        <f>38430</f>
        <v>38430</v>
      </c>
      <c r="I83" s="61">
        <f>H83+J83</f>
        <v>58430</v>
      </c>
      <c r="J83" s="344">
        <f>SUM(K83:T83)</f>
        <v>20000</v>
      </c>
      <c r="K83" s="278"/>
      <c r="L83" s="278"/>
      <c r="M83" s="278"/>
      <c r="N83" s="278">
        <v>20000</v>
      </c>
      <c r="O83" s="278"/>
      <c r="P83" s="278"/>
      <c r="Q83" s="278"/>
      <c r="R83" s="278"/>
      <c r="S83" s="278"/>
      <c r="T83" s="278"/>
    </row>
    <row r="84" spans="4:20" s="187" customFormat="1" x14ac:dyDescent="0.2">
      <c r="D84" s="576" t="s">
        <v>100</v>
      </c>
      <c r="E84" s="577"/>
      <c r="F84" s="577"/>
      <c r="G84" s="58" t="s">
        <v>101</v>
      </c>
      <c r="H84" s="33">
        <f>SUM(H85,H86)</f>
        <v>420700</v>
      </c>
      <c r="I84" s="46">
        <f>SUM(I85,I86)</f>
        <v>420700</v>
      </c>
      <c r="J84" s="335">
        <f>SUM(J85,J86)</f>
        <v>0</v>
      </c>
      <c r="K84" s="336">
        <f t="shared" ref="K84:T84" si="32">SUM(K85,K86)</f>
        <v>0</v>
      </c>
      <c r="L84" s="336">
        <f t="shared" si="32"/>
        <v>0</v>
      </c>
      <c r="M84" s="336">
        <f t="shared" si="32"/>
        <v>0</v>
      </c>
      <c r="N84" s="336">
        <f t="shared" si="32"/>
        <v>0</v>
      </c>
      <c r="O84" s="336">
        <f t="shared" si="32"/>
        <v>0</v>
      </c>
      <c r="P84" s="336">
        <f t="shared" si="32"/>
        <v>0</v>
      </c>
      <c r="Q84" s="336">
        <f t="shared" si="32"/>
        <v>0</v>
      </c>
      <c r="R84" s="336">
        <f t="shared" si="32"/>
        <v>0</v>
      </c>
      <c r="S84" s="336">
        <f t="shared" si="32"/>
        <v>0</v>
      </c>
      <c r="T84" s="337">
        <f t="shared" si="32"/>
        <v>0</v>
      </c>
    </row>
    <row r="85" spans="4:20" s="187" customFormat="1" ht="24" x14ac:dyDescent="0.2">
      <c r="D85" s="132"/>
      <c r="E85" s="568" t="s">
        <v>609</v>
      </c>
      <c r="F85" s="569"/>
      <c r="G85" s="35" t="s">
        <v>610</v>
      </c>
      <c r="H85" s="36">
        <v>0</v>
      </c>
      <c r="I85" s="47">
        <f>H85+J85</f>
        <v>0</v>
      </c>
      <c r="J85" s="378">
        <f>SUM(K85:T85)</f>
        <v>0</v>
      </c>
      <c r="K85" s="379"/>
      <c r="L85" s="379"/>
      <c r="M85" s="379"/>
      <c r="N85" s="379"/>
      <c r="O85" s="379"/>
      <c r="P85" s="379"/>
      <c r="Q85" s="379"/>
      <c r="R85" s="379"/>
      <c r="S85" s="379"/>
      <c r="T85" s="379"/>
    </row>
    <row r="86" spans="4:20" s="186" customFormat="1" ht="24" x14ac:dyDescent="0.2">
      <c r="D86" s="34"/>
      <c r="E86" s="568" t="s">
        <v>102</v>
      </c>
      <c r="F86" s="568"/>
      <c r="G86" s="35" t="s">
        <v>315</v>
      </c>
      <c r="H86" s="36">
        <f>SUM(H88,H87)</f>
        <v>420700</v>
      </c>
      <c r="I86" s="47">
        <f t="shared" ref="I86:T86" si="33">SUM(I88,I87)</f>
        <v>420700</v>
      </c>
      <c r="J86" s="338">
        <f>SUM(J88,J87)</f>
        <v>0</v>
      </c>
      <c r="K86" s="339">
        <f t="shared" si="33"/>
        <v>0</v>
      </c>
      <c r="L86" s="339">
        <f t="shared" si="33"/>
        <v>0</v>
      </c>
      <c r="M86" s="339">
        <f t="shared" si="33"/>
        <v>0</v>
      </c>
      <c r="N86" s="339">
        <f t="shared" si="33"/>
        <v>0</v>
      </c>
      <c r="O86" s="339">
        <f t="shared" si="33"/>
        <v>0</v>
      </c>
      <c r="P86" s="339">
        <f t="shared" si="33"/>
        <v>0</v>
      </c>
      <c r="Q86" s="339">
        <f t="shared" si="33"/>
        <v>0</v>
      </c>
      <c r="R86" s="339">
        <f t="shared" si="33"/>
        <v>0</v>
      </c>
      <c r="S86" s="339">
        <f t="shared" si="33"/>
        <v>0</v>
      </c>
      <c r="T86" s="340">
        <f t="shared" si="33"/>
        <v>0</v>
      </c>
    </row>
    <row r="87" spans="4:20" x14ac:dyDescent="0.2">
      <c r="D87" s="37"/>
      <c r="E87" s="580" t="s">
        <v>103</v>
      </c>
      <c r="F87" s="580"/>
      <c r="G87" s="38" t="s">
        <v>104</v>
      </c>
      <c r="H87" s="387">
        <f>420000</f>
        <v>420000</v>
      </c>
      <c r="I87" s="39">
        <f>H87+J87</f>
        <v>420000</v>
      </c>
      <c r="J87" s="344">
        <f>SUM(K87:T87)</f>
        <v>0</v>
      </c>
      <c r="K87" s="278"/>
      <c r="L87" s="278"/>
      <c r="M87" s="278"/>
      <c r="N87" s="278"/>
      <c r="O87" s="278"/>
      <c r="P87" s="278"/>
      <c r="Q87" s="278"/>
      <c r="R87" s="278"/>
      <c r="S87" s="278"/>
      <c r="T87" s="278"/>
    </row>
    <row r="88" spans="4:20" x14ac:dyDescent="0.2">
      <c r="D88" s="59"/>
      <c r="E88" s="580" t="s">
        <v>105</v>
      </c>
      <c r="F88" s="580"/>
      <c r="G88" s="60" t="s">
        <v>265</v>
      </c>
      <c r="H88" s="395">
        <f>700</f>
        <v>700</v>
      </c>
      <c r="I88" s="61">
        <f>H88+J88</f>
        <v>700</v>
      </c>
      <c r="J88" s="344">
        <f>SUM(K88:T88)</f>
        <v>0</v>
      </c>
      <c r="K88" s="278"/>
      <c r="L88" s="278"/>
      <c r="M88" s="278"/>
      <c r="N88" s="278"/>
      <c r="O88" s="278"/>
      <c r="P88" s="278"/>
      <c r="Q88" s="278"/>
      <c r="R88" s="278"/>
      <c r="S88" s="278"/>
      <c r="T88" s="278"/>
    </row>
    <row r="89" spans="4:20" s="187" customFormat="1" x14ac:dyDescent="0.2">
      <c r="D89" s="576" t="s">
        <v>106</v>
      </c>
      <c r="E89" s="577"/>
      <c r="F89" s="578"/>
      <c r="G89" s="58" t="s">
        <v>707</v>
      </c>
      <c r="H89" s="33">
        <f>SUM(H90,H93,H110)</f>
        <v>1498743</v>
      </c>
      <c r="I89" s="46">
        <f t="shared" ref="I89:T89" si="34">SUM(I90,I93,I110)</f>
        <v>1603910</v>
      </c>
      <c r="J89" s="335">
        <f>SUM(J90,J93,J110)</f>
        <v>105167</v>
      </c>
      <c r="K89" s="336">
        <f t="shared" si="34"/>
        <v>0</v>
      </c>
      <c r="L89" s="336">
        <f t="shared" si="34"/>
        <v>20158</v>
      </c>
      <c r="M89" s="336">
        <f t="shared" si="34"/>
        <v>46703</v>
      </c>
      <c r="N89" s="336">
        <f t="shared" si="34"/>
        <v>38306</v>
      </c>
      <c r="O89" s="336">
        <f t="shared" si="34"/>
        <v>0</v>
      </c>
      <c r="P89" s="336">
        <f t="shared" si="34"/>
        <v>0</v>
      </c>
      <c r="Q89" s="336">
        <f t="shared" si="34"/>
        <v>0</v>
      </c>
      <c r="R89" s="336">
        <f t="shared" si="34"/>
        <v>0</v>
      </c>
      <c r="S89" s="336">
        <f t="shared" si="34"/>
        <v>0</v>
      </c>
      <c r="T89" s="337">
        <f t="shared" si="34"/>
        <v>0</v>
      </c>
    </row>
    <row r="90" spans="4:20" s="186" customFormat="1" x14ac:dyDescent="0.2">
      <c r="D90" s="67"/>
      <c r="E90" s="568" t="s">
        <v>107</v>
      </c>
      <c r="F90" s="569"/>
      <c r="G90" s="111" t="s">
        <v>708</v>
      </c>
      <c r="H90" s="401">
        <f>SUM(H91:H92)</f>
        <v>0</v>
      </c>
      <c r="I90" s="47">
        <f>SUM(I91:I92)</f>
        <v>0</v>
      </c>
      <c r="J90" s="338">
        <f t="shared" ref="J90:T90" si="35">SUM(J91:J92)</f>
        <v>0</v>
      </c>
      <c r="K90" s="339">
        <f t="shared" si="35"/>
        <v>0</v>
      </c>
      <c r="L90" s="339">
        <f t="shared" si="35"/>
        <v>0</v>
      </c>
      <c r="M90" s="339">
        <f t="shared" si="35"/>
        <v>0</v>
      </c>
      <c r="N90" s="339">
        <f t="shared" si="35"/>
        <v>0</v>
      </c>
      <c r="O90" s="339">
        <f t="shared" si="35"/>
        <v>0</v>
      </c>
      <c r="P90" s="339">
        <f t="shared" si="35"/>
        <v>0</v>
      </c>
      <c r="Q90" s="339">
        <f t="shared" si="35"/>
        <v>0</v>
      </c>
      <c r="R90" s="339">
        <f t="shared" si="35"/>
        <v>0</v>
      </c>
      <c r="S90" s="339">
        <f t="shared" si="35"/>
        <v>0</v>
      </c>
      <c r="T90" s="340">
        <f t="shared" si="35"/>
        <v>0</v>
      </c>
    </row>
    <row r="91" spans="4:20" ht="48" x14ac:dyDescent="0.2">
      <c r="D91" s="190"/>
      <c r="E91" s="572" t="s">
        <v>166</v>
      </c>
      <c r="F91" s="573"/>
      <c r="G91" s="92" t="s">
        <v>709</v>
      </c>
      <c r="H91" s="398">
        <v>0</v>
      </c>
      <c r="I91" s="93">
        <f>H91+J91</f>
        <v>0</v>
      </c>
      <c r="J91" s="344">
        <f>SUM(K91:T91)</f>
        <v>0</v>
      </c>
      <c r="K91" s="278"/>
      <c r="L91" s="278"/>
      <c r="M91" s="278"/>
      <c r="N91" s="278"/>
      <c r="O91" s="278"/>
      <c r="P91" s="278"/>
      <c r="Q91" s="278"/>
      <c r="R91" s="278"/>
      <c r="S91" s="278"/>
      <c r="T91" s="278"/>
    </row>
    <row r="92" spans="4:20" ht="24" x14ac:dyDescent="0.2">
      <c r="D92" s="191"/>
      <c r="E92" s="566" t="s">
        <v>295</v>
      </c>
      <c r="F92" s="567"/>
      <c r="G92" s="120" t="s">
        <v>296</v>
      </c>
      <c r="H92" s="399">
        <v>0</v>
      </c>
      <c r="I92" s="118">
        <f>H92+J92</f>
        <v>0</v>
      </c>
      <c r="J92" s="344">
        <f>SUM(K92:T92)</f>
        <v>0</v>
      </c>
      <c r="K92" s="278"/>
      <c r="L92" s="278"/>
      <c r="M92" s="278"/>
      <c r="N92" s="278"/>
      <c r="O92" s="278"/>
      <c r="P92" s="278"/>
      <c r="Q92" s="278"/>
      <c r="R92" s="278"/>
      <c r="S92" s="278"/>
      <c r="T92" s="278"/>
    </row>
    <row r="93" spans="4:20" s="186" customFormat="1" ht="24" x14ac:dyDescent="0.2">
      <c r="D93" s="34"/>
      <c r="E93" s="568" t="s">
        <v>108</v>
      </c>
      <c r="F93" s="569"/>
      <c r="G93" s="35" t="s">
        <v>710</v>
      </c>
      <c r="H93" s="36">
        <f>SUM(H94,H98,H100,H104)</f>
        <v>1450173</v>
      </c>
      <c r="I93" s="47">
        <f t="shared" ref="I93:T93" si="36">SUM(I94,I98,I100,I104)</f>
        <v>1519903</v>
      </c>
      <c r="J93" s="338">
        <f>SUM(J94,J98,J100,J104)</f>
        <v>69730</v>
      </c>
      <c r="K93" s="339">
        <f t="shared" si="36"/>
        <v>0</v>
      </c>
      <c r="L93" s="339">
        <f t="shared" si="36"/>
        <v>19452</v>
      </c>
      <c r="M93" s="339">
        <f t="shared" si="36"/>
        <v>46703</v>
      </c>
      <c r="N93" s="339">
        <f t="shared" si="36"/>
        <v>3575</v>
      </c>
      <c r="O93" s="339">
        <f t="shared" si="36"/>
        <v>0</v>
      </c>
      <c r="P93" s="339">
        <f t="shared" si="36"/>
        <v>0</v>
      </c>
      <c r="Q93" s="339">
        <f t="shared" si="36"/>
        <v>0</v>
      </c>
      <c r="R93" s="339">
        <f t="shared" si="36"/>
        <v>0</v>
      </c>
      <c r="S93" s="339">
        <f t="shared" si="36"/>
        <v>0</v>
      </c>
      <c r="T93" s="340">
        <f t="shared" si="36"/>
        <v>0</v>
      </c>
    </row>
    <row r="94" spans="4:20" x14ac:dyDescent="0.2">
      <c r="D94" s="37"/>
      <c r="E94" s="570" t="s">
        <v>109</v>
      </c>
      <c r="F94" s="571"/>
      <c r="G94" s="38" t="s">
        <v>110</v>
      </c>
      <c r="H94" s="387">
        <f>SUM(H95:H97)</f>
        <v>161519</v>
      </c>
      <c r="I94" s="39">
        <f t="shared" ref="I94:T94" si="37">SUM(I95:I97)</f>
        <v>179821</v>
      </c>
      <c r="J94" s="332">
        <f>SUM(J95:J97)</f>
        <v>18302</v>
      </c>
      <c r="K94" s="333">
        <f t="shared" si="37"/>
        <v>0</v>
      </c>
      <c r="L94" s="333">
        <f t="shared" si="37"/>
        <v>14727</v>
      </c>
      <c r="M94" s="333">
        <f t="shared" si="37"/>
        <v>0</v>
      </c>
      <c r="N94" s="333">
        <f t="shared" si="37"/>
        <v>3575</v>
      </c>
      <c r="O94" s="333">
        <f t="shared" si="37"/>
        <v>0</v>
      </c>
      <c r="P94" s="333">
        <f t="shared" si="37"/>
        <v>0</v>
      </c>
      <c r="Q94" s="333">
        <f t="shared" si="37"/>
        <v>0</v>
      </c>
      <c r="R94" s="333">
        <f t="shared" si="37"/>
        <v>0</v>
      </c>
      <c r="S94" s="333">
        <f t="shared" si="37"/>
        <v>0</v>
      </c>
      <c r="T94" s="334">
        <f t="shared" si="37"/>
        <v>0</v>
      </c>
    </row>
    <row r="95" spans="4:20" x14ac:dyDescent="0.2">
      <c r="D95" s="40"/>
      <c r="E95" s="572" t="s">
        <v>111</v>
      </c>
      <c r="F95" s="573"/>
      <c r="G95" s="44" t="s">
        <v>227</v>
      </c>
      <c r="H95" s="391">
        <f>107393</f>
        <v>107393</v>
      </c>
      <c r="I95" s="42">
        <f>H95+J95</f>
        <v>107393</v>
      </c>
      <c r="J95" s="344">
        <f>SUM(K95:T95)</f>
        <v>0</v>
      </c>
      <c r="K95" s="278"/>
      <c r="L95" s="278"/>
      <c r="M95" s="278"/>
      <c r="N95" s="278"/>
      <c r="O95" s="278"/>
      <c r="P95" s="278"/>
      <c r="Q95" s="278"/>
      <c r="R95" s="278"/>
      <c r="S95" s="278"/>
      <c r="T95" s="278"/>
    </row>
    <row r="96" spans="4:20" x14ac:dyDescent="0.2">
      <c r="D96" s="62"/>
      <c r="E96" s="554" t="s">
        <v>112</v>
      </c>
      <c r="F96" s="555"/>
      <c r="G96" s="63" t="s">
        <v>113</v>
      </c>
      <c r="H96" s="388">
        <f>36196</f>
        <v>36196</v>
      </c>
      <c r="I96" s="42">
        <f>H96+J96</f>
        <v>54498</v>
      </c>
      <c r="J96" s="344">
        <f>SUM(K96:T96)</f>
        <v>18302</v>
      </c>
      <c r="K96" s="278"/>
      <c r="L96" s="278">
        <f>14727</f>
        <v>14727</v>
      </c>
      <c r="M96" s="278"/>
      <c r="N96" s="278">
        <v>3575</v>
      </c>
      <c r="O96" s="278"/>
      <c r="P96" s="278"/>
      <c r="Q96" s="278"/>
      <c r="R96" s="278"/>
      <c r="S96" s="278"/>
      <c r="T96" s="278"/>
    </row>
    <row r="97" spans="4:20" x14ac:dyDescent="0.2">
      <c r="D97" s="43"/>
      <c r="E97" s="566" t="s">
        <v>114</v>
      </c>
      <c r="F97" s="567"/>
      <c r="G97" s="44" t="s">
        <v>228</v>
      </c>
      <c r="H97" s="391">
        <f>17930</f>
        <v>17930</v>
      </c>
      <c r="I97" s="42">
        <f>H97+J97</f>
        <v>17930</v>
      </c>
      <c r="J97" s="344">
        <f>SUM(K97:T97)</f>
        <v>0</v>
      </c>
      <c r="K97" s="278"/>
      <c r="L97" s="278"/>
      <c r="M97" s="278"/>
      <c r="N97" s="278"/>
      <c r="O97" s="278"/>
      <c r="P97" s="278"/>
      <c r="Q97" s="278"/>
      <c r="R97" s="278"/>
      <c r="S97" s="278"/>
      <c r="T97" s="278"/>
    </row>
    <row r="98" spans="4:20" ht="24" x14ac:dyDescent="0.2">
      <c r="D98" s="48"/>
      <c r="E98" s="570" t="s">
        <v>115</v>
      </c>
      <c r="F98" s="571"/>
      <c r="G98" s="49" t="s">
        <v>116</v>
      </c>
      <c r="H98" s="390">
        <f>SUM(H99:H99)</f>
        <v>44210</v>
      </c>
      <c r="I98" s="50">
        <f>SUM(I99:I99)</f>
        <v>44210</v>
      </c>
      <c r="J98" s="341">
        <f t="shared" ref="J98:T98" si="38">SUM(J99:J99)</f>
        <v>0</v>
      </c>
      <c r="K98" s="342">
        <f t="shared" si="38"/>
        <v>0</v>
      </c>
      <c r="L98" s="342">
        <f t="shared" si="38"/>
        <v>0</v>
      </c>
      <c r="M98" s="342">
        <f t="shared" si="38"/>
        <v>0</v>
      </c>
      <c r="N98" s="342">
        <f t="shared" si="38"/>
        <v>0</v>
      </c>
      <c r="O98" s="342">
        <f t="shared" si="38"/>
        <v>0</v>
      </c>
      <c r="P98" s="342">
        <f t="shared" si="38"/>
        <v>0</v>
      </c>
      <c r="Q98" s="342">
        <f t="shared" si="38"/>
        <v>0</v>
      </c>
      <c r="R98" s="342">
        <f t="shared" si="38"/>
        <v>0</v>
      </c>
      <c r="S98" s="342">
        <f t="shared" si="38"/>
        <v>0</v>
      </c>
      <c r="T98" s="343">
        <f t="shared" si="38"/>
        <v>0</v>
      </c>
    </row>
    <row r="99" spans="4:20" ht="24" x14ac:dyDescent="0.2">
      <c r="D99" s="52"/>
      <c r="E99" s="574" t="s">
        <v>117</v>
      </c>
      <c r="F99" s="575"/>
      <c r="G99" s="63" t="s">
        <v>229</v>
      </c>
      <c r="H99" s="388">
        <f>44210</f>
        <v>44210</v>
      </c>
      <c r="I99" s="42">
        <f>H99+J99</f>
        <v>44210</v>
      </c>
      <c r="J99" s="344">
        <f>SUM(K99:T99)</f>
        <v>0</v>
      </c>
      <c r="K99" s="278"/>
      <c r="L99" s="278"/>
      <c r="M99" s="278"/>
      <c r="N99" s="278"/>
      <c r="O99" s="278"/>
      <c r="P99" s="278"/>
      <c r="Q99" s="278"/>
      <c r="R99" s="278"/>
      <c r="S99" s="278"/>
      <c r="T99" s="278"/>
    </row>
    <row r="100" spans="4:20" x14ac:dyDescent="0.2">
      <c r="D100" s="48"/>
      <c r="E100" s="570" t="s">
        <v>118</v>
      </c>
      <c r="F100" s="571"/>
      <c r="G100" s="49" t="s">
        <v>231</v>
      </c>
      <c r="H100" s="390">
        <f>SUM(H101:H103)</f>
        <v>236313</v>
      </c>
      <c r="I100" s="50">
        <f t="shared" ref="I100:T100" si="39">SUM(I101:I103)</f>
        <v>236838</v>
      </c>
      <c r="J100" s="341">
        <f>SUM(J101:J103)</f>
        <v>525</v>
      </c>
      <c r="K100" s="342">
        <f t="shared" si="39"/>
        <v>0</v>
      </c>
      <c r="L100" s="342">
        <f t="shared" si="39"/>
        <v>525</v>
      </c>
      <c r="M100" s="342">
        <f t="shared" si="39"/>
        <v>0</v>
      </c>
      <c r="N100" s="342">
        <f t="shared" si="39"/>
        <v>0</v>
      </c>
      <c r="O100" s="342">
        <f t="shared" si="39"/>
        <v>0</v>
      </c>
      <c r="P100" s="342">
        <f t="shared" si="39"/>
        <v>0</v>
      </c>
      <c r="Q100" s="342">
        <f t="shared" si="39"/>
        <v>0</v>
      </c>
      <c r="R100" s="342">
        <f t="shared" si="39"/>
        <v>0</v>
      </c>
      <c r="S100" s="342">
        <f t="shared" si="39"/>
        <v>0</v>
      </c>
      <c r="T100" s="343">
        <f t="shared" si="39"/>
        <v>0</v>
      </c>
    </row>
    <row r="101" spans="4:20" x14ac:dyDescent="0.2">
      <c r="D101" s="40"/>
      <c r="E101" s="572" t="s">
        <v>119</v>
      </c>
      <c r="F101" s="573"/>
      <c r="G101" s="41" t="s">
        <v>183</v>
      </c>
      <c r="H101" s="388">
        <f>232715</f>
        <v>232715</v>
      </c>
      <c r="I101" s="42">
        <f>H101+J101</f>
        <v>233240</v>
      </c>
      <c r="J101" s="344">
        <f>SUM(K101:T101)</f>
        <v>525</v>
      </c>
      <c r="K101" s="278"/>
      <c r="L101" s="278">
        <f>525</f>
        <v>525</v>
      </c>
      <c r="M101" s="278"/>
      <c r="N101" s="278"/>
      <c r="O101" s="278"/>
      <c r="P101" s="278"/>
      <c r="Q101" s="278"/>
      <c r="R101" s="278"/>
      <c r="S101" s="278"/>
      <c r="T101" s="278"/>
    </row>
    <row r="102" spans="4:20" x14ac:dyDescent="0.2">
      <c r="D102" s="62"/>
      <c r="E102" s="554" t="s">
        <v>120</v>
      </c>
      <c r="F102" s="555"/>
      <c r="G102" s="63" t="s">
        <v>230</v>
      </c>
      <c r="H102" s="388">
        <f>3598</f>
        <v>3598</v>
      </c>
      <c r="I102" s="42">
        <f>H102+J102</f>
        <v>3598</v>
      </c>
      <c r="J102" s="344">
        <f>SUM(K102:T102)</f>
        <v>0</v>
      </c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</row>
    <row r="103" spans="4:20" x14ac:dyDescent="0.2">
      <c r="D103" s="52"/>
      <c r="E103" s="184"/>
      <c r="F103" s="133" t="s">
        <v>330</v>
      </c>
      <c r="G103" s="53" t="s">
        <v>331</v>
      </c>
      <c r="H103" s="391">
        <v>0</v>
      </c>
      <c r="I103" s="42">
        <f>H103+J103</f>
        <v>0</v>
      </c>
      <c r="J103" s="344">
        <f>SUM(K103:T103)</f>
        <v>0</v>
      </c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</row>
    <row r="104" spans="4:20" ht="24" x14ac:dyDescent="0.2">
      <c r="D104" s="48"/>
      <c r="E104" s="570" t="s">
        <v>121</v>
      </c>
      <c r="F104" s="571"/>
      <c r="G104" s="49" t="s">
        <v>711</v>
      </c>
      <c r="H104" s="390">
        <f>SUM(H105:H109)</f>
        <v>1008131</v>
      </c>
      <c r="I104" s="50">
        <f t="shared" ref="I104:T104" si="40">SUM(I105:I109)</f>
        <v>1059034</v>
      </c>
      <c r="J104" s="341">
        <f>SUM(J105:J109)</f>
        <v>50903</v>
      </c>
      <c r="K104" s="342">
        <f t="shared" si="40"/>
        <v>0</v>
      </c>
      <c r="L104" s="342">
        <f t="shared" si="40"/>
        <v>4200</v>
      </c>
      <c r="M104" s="342">
        <f t="shared" si="40"/>
        <v>46703</v>
      </c>
      <c r="N104" s="342">
        <f t="shared" si="40"/>
        <v>0</v>
      </c>
      <c r="O104" s="342">
        <f t="shared" si="40"/>
        <v>0</v>
      </c>
      <c r="P104" s="342">
        <f t="shared" si="40"/>
        <v>0</v>
      </c>
      <c r="Q104" s="342">
        <f t="shared" si="40"/>
        <v>0</v>
      </c>
      <c r="R104" s="342">
        <f t="shared" si="40"/>
        <v>0</v>
      </c>
      <c r="S104" s="342">
        <f t="shared" si="40"/>
        <v>0</v>
      </c>
      <c r="T104" s="343">
        <f t="shared" si="40"/>
        <v>0</v>
      </c>
    </row>
    <row r="105" spans="4:20" ht="24" x14ac:dyDescent="0.2">
      <c r="D105" s="40"/>
      <c r="E105" s="572" t="s">
        <v>122</v>
      </c>
      <c r="F105" s="573"/>
      <c r="G105" s="44" t="s">
        <v>232</v>
      </c>
      <c r="H105" s="391">
        <f>477470</f>
        <v>477470</v>
      </c>
      <c r="I105" s="42">
        <f>H105+J105</f>
        <v>477470</v>
      </c>
      <c r="J105" s="344">
        <f>SUM(K105:T105)</f>
        <v>0</v>
      </c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</row>
    <row r="106" spans="4:20" x14ac:dyDescent="0.2">
      <c r="D106" s="62"/>
      <c r="E106" s="554" t="s">
        <v>123</v>
      </c>
      <c r="F106" s="555"/>
      <c r="G106" s="44" t="s">
        <v>254</v>
      </c>
      <c r="H106" s="391">
        <f>19817</f>
        <v>19817</v>
      </c>
      <c r="I106" s="42">
        <f>H106+J106</f>
        <v>19817</v>
      </c>
      <c r="J106" s="344">
        <f>SUM(K106:T106)</f>
        <v>0</v>
      </c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</row>
    <row r="107" spans="4:20" x14ac:dyDescent="0.2">
      <c r="D107" s="62"/>
      <c r="E107" s="554" t="s">
        <v>124</v>
      </c>
      <c r="F107" s="555"/>
      <c r="G107" s="44" t="s">
        <v>233</v>
      </c>
      <c r="H107" s="391">
        <v>0</v>
      </c>
      <c r="I107" s="42">
        <f>H107+J107</f>
        <v>0</v>
      </c>
      <c r="J107" s="344">
        <f>SUM(K107:T107)</f>
        <v>0</v>
      </c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</row>
    <row r="108" spans="4:20" ht="36" x14ac:dyDescent="0.2">
      <c r="D108" s="43"/>
      <c r="E108" s="554" t="s">
        <v>514</v>
      </c>
      <c r="F108" s="555"/>
      <c r="G108" s="44" t="s">
        <v>712</v>
      </c>
      <c r="H108" s="391">
        <v>0</v>
      </c>
      <c r="I108" s="42">
        <f>H108+J108</f>
        <v>0</v>
      </c>
      <c r="J108" s="344">
        <f>SUM(K108:T108)</f>
        <v>0</v>
      </c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</row>
    <row r="109" spans="4:20" x14ac:dyDescent="0.2">
      <c r="D109" s="43"/>
      <c r="E109" s="566" t="s">
        <v>125</v>
      </c>
      <c r="F109" s="567"/>
      <c r="G109" s="44" t="s">
        <v>234</v>
      </c>
      <c r="H109" s="391">
        <f>510844</f>
        <v>510844</v>
      </c>
      <c r="I109" s="42">
        <f>H109+J109</f>
        <v>561747</v>
      </c>
      <c r="J109" s="344">
        <f>SUM(K109:T109)</f>
        <v>50903</v>
      </c>
      <c r="K109" s="278"/>
      <c r="L109" s="278">
        <f>4200</f>
        <v>4200</v>
      </c>
      <c r="M109" s="278">
        <f>740+45963</f>
        <v>46703</v>
      </c>
      <c r="N109" s="278"/>
      <c r="O109" s="278"/>
      <c r="P109" s="278"/>
      <c r="Q109" s="278"/>
      <c r="R109" s="278"/>
      <c r="S109" s="278"/>
      <c r="T109" s="278"/>
    </row>
    <row r="110" spans="4:20" ht="36" x14ac:dyDescent="0.2">
      <c r="D110" s="48"/>
      <c r="E110" s="568" t="s">
        <v>325</v>
      </c>
      <c r="F110" s="569"/>
      <c r="G110" s="138" t="s">
        <v>713</v>
      </c>
      <c r="H110" s="402">
        <f>SUM(H111,H114)</f>
        <v>48570</v>
      </c>
      <c r="I110" s="50">
        <f>SUM(I111,I114)</f>
        <v>84007</v>
      </c>
      <c r="J110" s="341">
        <f t="shared" ref="J110:T110" si="41">SUM(J111,J114)</f>
        <v>35437</v>
      </c>
      <c r="K110" s="342">
        <f t="shared" si="41"/>
        <v>0</v>
      </c>
      <c r="L110" s="342">
        <f t="shared" si="41"/>
        <v>706</v>
      </c>
      <c r="M110" s="342">
        <f t="shared" si="41"/>
        <v>0</v>
      </c>
      <c r="N110" s="342">
        <f t="shared" si="41"/>
        <v>34731</v>
      </c>
      <c r="O110" s="342">
        <f t="shared" si="41"/>
        <v>0</v>
      </c>
      <c r="P110" s="342">
        <f t="shared" si="41"/>
        <v>0</v>
      </c>
      <c r="Q110" s="342">
        <f t="shared" si="41"/>
        <v>0</v>
      </c>
      <c r="R110" s="342">
        <f t="shared" si="41"/>
        <v>0</v>
      </c>
      <c r="S110" s="342">
        <f t="shared" si="41"/>
        <v>0</v>
      </c>
      <c r="T110" s="343">
        <f t="shared" si="41"/>
        <v>0</v>
      </c>
    </row>
    <row r="111" spans="4:20" s="186" customFormat="1" x14ac:dyDescent="0.2">
      <c r="D111" s="34"/>
      <c r="E111" s="570" t="s">
        <v>126</v>
      </c>
      <c r="F111" s="571"/>
      <c r="G111" s="49" t="s">
        <v>317</v>
      </c>
      <c r="H111" s="390">
        <f>SUM(H112:H113)</f>
        <v>15300</v>
      </c>
      <c r="I111" s="113">
        <f>SUM(I112:I113)</f>
        <v>4315</v>
      </c>
      <c r="J111" s="346">
        <f>SUM(K111:T111)</f>
        <v>-10985</v>
      </c>
      <c r="K111" s="347">
        <f t="shared" ref="K111:T111" si="42">SUM(K112:K113)</f>
        <v>0</v>
      </c>
      <c r="L111" s="347">
        <f t="shared" si="42"/>
        <v>-15300</v>
      </c>
      <c r="M111" s="347">
        <f t="shared" si="42"/>
        <v>0</v>
      </c>
      <c r="N111" s="347">
        <f t="shared" si="42"/>
        <v>4315</v>
      </c>
      <c r="O111" s="347">
        <f t="shared" si="42"/>
        <v>0</v>
      </c>
      <c r="P111" s="347">
        <f t="shared" si="42"/>
        <v>0</v>
      </c>
      <c r="Q111" s="347">
        <f t="shared" si="42"/>
        <v>0</v>
      </c>
      <c r="R111" s="347">
        <f t="shared" si="42"/>
        <v>0</v>
      </c>
      <c r="S111" s="347">
        <f t="shared" si="42"/>
        <v>0</v>
      </c>
      <c r="T111" s="348">
        <f t="shared" si="42"/>
        <v>0</v>
      </c>
    </row>
    <row r="112" spans="4:20" x14ac:dyDescent="0.2">
      <c r="D112" s="62"/>
      <c r="E112" s="554"/>
      <c r="F112" s="555"/>
      <c r="G112" s="44"/>
      <c r="H112" s="389"/>
      <c r="I112" s="64"/>
      <c r="J112" s="344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</row>
    <row r="113" spans="4:20" ht="24" x14ac:dyDescent="0.2">
      <c r="D113" s="43"/>
      <c r="E113" s="564" t="s">
        <v>266</v>
      </c>
      <c r="F113" s="565"/>
      <c r="G113" s="44" t="s">
        <v>267</v>
      </c>
      <c r="H113" s="389">
        <f>15300</f>
        <v>15300</v>
      </c>
      <c r="I113" s="45">
        <f>H113+J113</f>
        <v>4315</v>
      </c>
      <c r="J113" s="344">
        <f>SUM(K113:T113)</f>
        <v>-10985</v>
      </c>
      <c r="K113" s="278"/>
      <c r="L113" s="278">
        <v>-15300</v>
      </c>
      <c r="M113" s="278"/>
      <c r="N113" s="278">
        <v>4315</v>
      </c>
      <c r="O113" s="278"/>
      <c r="P113" s="278"/>
      <c r="Q113" s="278"/>
      <c r="R113" s="278"/>
      <c r="S113" s="278"/>
      <c r="T113" s="278"/>
    </row>
    <row r="114" spans="4:20" s="186" customFormat="1" x14ac:dyDescent="0.2">
      <c r="D114" s="68"/>
      <c r="E114" s="546" t="s">
        <v>323</v>
      </c>
      <c r="F114" s="547"/>
      <c r="G114" s="49" t="s">
        <v>324</v>
      </c>
      <c r="H114" s="390">
        <f>33270</f>
        <v>33270</v>
      </c>
      <c r="I114" s="113">
        <f>H114+J114</f>
        <v>79692</v>
      </c>
      <c r="J114" s="344">
        <f>SUM(K114:T114)</f>
        <v>46422</v>
      </c>
      <c r="K114" s="377"/>
      <c r="L114" s="278">
        <f>706+15300</f>
        <v>16006</v>
      </c>
      <c r="M114" s="377"/>
      <c r="N114" s="278">
        <f>1509+3739+5025+20143</f>
        <v>30416</v>
      </c>
      <c r="O114" s="377"/>
      <c r="P114" s="377"/>
      <c r="Q114" s="377"/>
      <c r="R114" s="377"/>
      <c r="S114" s="377"/>
      <c r="T114" s="377"/>
    </row>
    <row r="115" spans="4:20" s="186" customFormat="1" x14ac:dyDescent="0.2">
      <c r="D115" s="192"/>
      <c r="E115" s="193"/>
      <c r="F115" s="194"/>
      <c r="G115" s="53"/>
      <c r="H115" s="391"/>
      <c r="I115" s="195"/>
      <c r="J115" s="376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</row>
    <row r="116" spans="4:20" s="186" customFormat="1" ht="27.75" customHeight="1" x14ac:dyDescent="0.2">
      <c r="D116" s="196"/>
      <c r="E116" s="197" t="s">
        <v>515</v>
      </c>
      <c r="F116" s="198"/>
      <c r="G116" s="199" t="s">
        <v>516</v>
      </c>
      <c r="H116" s="403">
        <v>0</v>
      </c>
      <c r="I116" s="200">
        <v>0</v>
      </c>
      <c r="J116" s="382">
        <v>0</v>
      </c>
      <c r="K116" s="383"/>
      <c r="L116" s="383"/>
      <c r="M116" s="383"/>
      <c r="N116" s="383"/>
      <c r="O116" s="383"/>
      <c r="P116" s="383"/>
      <c r="Q116" s="383"/>
      <c r="R116" s="383"/>
      <c r="S116" s="383"/>
      <c r="T116" s="384"/>
    </row>
    <row r="117" spans="4:20" x14ac:dyDescent="0.2">
      <c r="D117" s="37"/>
      <c r="E117" s="70"/>
      <c r="F117" s="71"/>
      <c r="G117" s="53"/>
      <c r="H117" s="391"/>
      <c r="I117" s="39"/>
      <c r="J117" s="344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</row>
    <row r="118" spans="4:20" s="202" customFormat="1" ht="12.75" x14ac:dyDescent="0.2">
      <c r="D118" s="559" t="s">
        <v>142</v>
      </c>
      <c r="E118" s="560"/>
      <c r="F118" s="560"/>
      <c r="G118" s="561"/>
      <c r="H118" s="404">
        <f>SUM(H12,H17,H25,H31,H42,H53,H68,H58,H79,H84,H89,H116)</f>
        <v>70537412</v>
      </c>
      <c r="I118" s="201">
        <f>SUM(I12,I17,I25,I31,I42,I53,I68,I58,I79,I84,I89,I116)</f>
        <v>69630353</v>
      </c>
      <c r="J118" s="380">
        <f>SUM(J12,J17,J25,J31,J42,J53,J68,J58,J79,J84,J89,J116)</f>
        <v>-907059</v>
      </c>
      <c r="K118" s="381">
        <f t="shared" ref="K118:T118" si="43">SUM(K12,K17,K25,K31,K42,K53,K68,K58,K79,K84,K89,K116)</f>
        <v>7491</v>
      </c>
      <c r="L118" s="381">
        <f t="shared" si="43"/>
        <v>-1038789</v>
      </c>
      <c r="M118" s="381">
        <f t="shared" si="43"/>
        <v>46703</v>
      </c>
      <c r="N118" s="381">
        <f t="shared" si="43"/>
        <v>77536</v>
      </c>
      <c r="O118" s="381">
        <f t="shared" si="43"/>
        <v>0</v>
      </c>
      <c r="P118" s="381">
        <f t="shared" si="43"/>
        <v>0</v>
      </c>
      <c r="Q118" s="381">
        <f t="shared" si="43"/>
        <v>0</v>
      </c>
      <c r="R118" s="381">
        <f t="shared" si="43"/>
        <v>0</v>
      </c>
      <c r="S118" s="381">
        <f t="shared" si="43"/>
        <v>0</v>
      </c>
      <c r="T118" s="381">
        <f t="shared" si="43"/>
        <v>0</v>
      </c>
    </row>
    <row r="119" spans="4:20" x14ac:dyDescent="0.2">
      <c r="D119" s="48"/>
      <c r="E119" s="72"/>
      <c r="F119" s="73"/>
      <c r="G119" s="44"/>
      <c r="H119" s="391"/>
      <c r="I119" s="50"/>
      <c r="J119" s="344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</row>
    <row r="120" spans="4:20" s="186" customFormat="1" x14ac:dyDescent="0.2">
      <c r="D120" s="34"/>
      <c r="E120" s="604" t="s">
        <v>696</v>
      </c>
      <c r="F120" s="605"/>
      <c r="G120" s="35" t="s">
        <v>156</v>
      </c>
      <c r="H120" s="36">
        <f t="shared" ref="H120:T120" si="44">SUM(,H121)</f>
        <v>27776740</v>
      </c>
      <c r="I120" s="47">
        <f t="shared" si="44"/>
        <v>28116263</v>
      </c>
      <c r="J120" s="338">
        <f t="shared" si="44"/>
        <v>339523</v>
      </c>
      <c r="K120" s="339">
        <f t="shared" si="44"/>
        <v>0</v>
      </c>
      <c r="L120" s="339">
        <f t="shared" si="44"/>
        <v>0</v>
      </c>
      <c r="M120" s="339">
        <f t="shared" si="44"/>
        <v>339523</v>
      </c>
      <c r="N120" s="339">
        <f t="shared" si="44"/>
        <v>0</v>
      </c>
      <c r="O120" s="339">
        <f t="shared" si="44"/>
        <v>0</v>
      </c>
      <c r="P120" s="339">
        <f t="shared" si="44"/>
        <v>0</v>
      </c>
      <c r="Q120" s="339">
        <f t="shared" si="44"/>
        <v>0</v>
      </c>
      <c r="R120" s="339">
        <f t="shared" si="44"/>
        <v>0</v>
      </c>
      <c r="S120" s="339">
        <f t="shared" si="44"/>
        <v>0</v>
      </c>
      <c r="T120" s="340">
        <f t="shared" si="44"/>
        <v>0</v>
      </c>
    </row>
    <row r="121" spans="4:20" s="186" customFormat="1" x14ac:dyDescent="0.2">
      <c r="D121" s="34"/>
      <c r="E121" s="182"/>
      <c r="F121" s="182"/>
      <c r="G121" s="102" t="s">
        <v>318</v>
      </c>
      <c r="H121" s="405">
        <f>SUM(H128,H122)</f>
        <v>27776740</v>
      </c>
      <c r="I121" s="47">
        <f t="shared" ref="I121:T121" si="45">SUM(I128,I122)</f>
        <v>28116263</v>
      </c>
      <c r="J121" s="338">
        <f>SUM(J128,J122)</f>
        <v>339523</v>
      </c>
      <c r="K121" s="339">
        <f t="shared" si="45"/>
        <v>0</v>
      </c>
      <c r="L121" s="339">
        <f t="shared" si="45"/>
        <v>0</v>
      </c>
      <c r="M121" s="339">
        <f t="shared" si="45"/>
        <v>339523</v>
      </c>
      <c r="N121" s="339">
        <f t="shared" si="45"/>
        <v>0</v>
      </c>
      <c r="O121" s="339">
        <f t="shared" si="45"/>
        <v>0</v>
      </c>
      <c r="P121" s="339">
        <f t="shared" si="45"/>
        <v>0</v>
      </c>
      <c r="Q121" s="339">
        <f t="shared" si="45"/>
        <v>0</v>
      </c>
      <c r="R121" s="339">
        <f t="shared" si="45"/>
        <v>0</v>
      </c>
      <c r="S121" s="339">
        <f t="shared" si="45"/>
        <v>0</v>
      </c>
      <c r="T121" s="340">
        <f t="shared" si="45"/>
        <v>0</v>
      </c>
    </row>
    <row r="122" spans="4:20" s="186" customFormat="1" x14ac:dyDescent="0.2">
      <c r="D122" s="68"/>
      <c r="E122" s="76"/>
      <c r="F122" s="182" t="s">
        <v>158</v>
      </c>
      <c r="G122" s="69" t="s">
        <v>334</v>
      </c>
      <c r="H122" s="406">
        <f>SUM(H123:H127)</f>
        <v>173175</v>
      </c>
      <c r="I122" s="47">
        <f t="shared" ref="I122:T122" si="46">SUM(I123:I127)</f>
        <v>173175</v>
      </c>
      <c r="J122" s="338">
        <f>SUM(J123:J127)</f>
        <v>0</v>
      </c>
      <c r="K122" s="339">
        <f t="shared" si="46"/>
        <v>0</v>
      </c>
      <c r="L122" s="339">
        <f t="shared" si="46"/>
        <v>0</v>
      </c>
      <c r="M122" s="339">
        <f t="shared" si="46"/>
        <v>0</v>
      </c>
      <c r="N122" s="339">
        <f t="shared" si="46"/>
        <v>0</v>
      </c>
      <c r="O122" s="339">
        <f t="shared" si="46"/>
        <v>0</v>
      </c>
      <c r="P122" s="339">
        <f t="shared" si="46"/>
        <v>0</v>
      </c>
      <c r="Q122" s="339">
        <f t="shared" si="46"/>
        <v>0</v>
      </c>
      <c r="R122" s="339">
        <f t="shared" si="46"/>
        <v>0</v>
      </c>
      <c r="S122" s="339">
        <f t="shared" si="46"/>
        <v>0</v>
      </c>
      <c r="T122" s="340">
        <f t="shared" si="46"/>
        <v>0</v>
      </c>
    </row>
    <row r="123" spans="4:20" x14ac:dyDescent="0.2">
      <c r="D123" s="62"/>
      <c r="E123" s="554"/>
      <c r="F123" s="555"/>
      <c r="G123" s="44"/>
      <c r="H123" s="389"/>
      <c r="I123" s="64"/>
      <c r="J123" s="344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</row>
    <row r="124" spans="4:20" x14ac:dyDescent="0.2">
      <c r="D124" s="62"/>
      <c r="E124" s="180"/>
      <c r="F124" s="181"/>
      <c r="G124" s="44" t="s">
        <v>517</v>
      </c>
      <c r="H124" s="389">
        <v>0</v>
      </c>
      <c r="I124" s="64">
        <f>H124+J124</f>
        <v>0</v>
      </c>
      <c r="J124" s="344">
        <f>SUM(K124:T124)</f>
        <v>0</v>
      </c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</row>
    <row r="125" spans="4:20" ht="36" x14ac:dyDescent="0.2">
      <c r="D125" s="62"/>
      <c r="E125" s="554"/>
      <c r="F125" s="555"/>
      <c r="G125" s="44" t="s">
        <v>695</v>
      </c>
      <c r="H125" s="389">
        <f>173175</f>
        <v>173175</v>
      </c>
      <c r="I125" s="64">
        <f>H125+J125</f>
        <v>173175</v>
      </c>
      <c r="J125" s="344">
        <f>SUM(K125:T125)</f>
        <v>0</v>
      </c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</row>
    <row r="126" spans="4:20" ht="24" x14ac:dyDescent="0.2">
      <c r="D126" s="43"/>
      <c r="E126" s="564"/>
      <c r="F126" s="565"/>
      <c r="G126" s="63" t="s">
        <v>518</v>
      </c>
      <c r="H126" s="396">
        <v>0</v>
      </c>
      <c r="I126" s="64">
        <f>H126+J126</f>
        <v>0</v>
      </c>
      <c r="J126" s="344">
        <f>SUM(K126:T126)</f>
        <v>0</v>
      </c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</row>
    <row r="127" spans="4:20" x14ac:dyDescent="0.2">
      <c r="D127" s="134"/>
      <c r="E127" s="135"/>
      <c r="F127" s="136"/>
      <c r="G127" s="137"/>
      <c r="H127" s="407"/>
      <c r="I127" s="39"/>
      <c r="J127" s="344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</row>
    <row r="128" spans="4:20" s="186" customFormat="1" x14ac:dyDescent="0.2">
      <c r="D128" s="68"/>
      <c r="E128" s="76"/>
      <c r="F128" s="182" t="s">
        <v>693</v>
      </c>
      <c r="G128" s="69" t="s">
        <v>335</v>
      </c>
      <c r="H128" s="406">
        <f t="shared" ref="H128:T128" si="47">SUM(H129:H145)</f>
        <v>27603565</v>
      </c>
      <c r="I128" s="47">
        <f t="shared" si="47"/>
        <v>27943088</v>
      </c>
      <c r="J128" s="338">
        <f t="shared" si="47"/>
        <v>339523</v>
      </c>
      <c r="K128" s="339">
        <f t="shared" si="47"/>
        <v>0</v>
      </c>
      <c r="L128" s="339">
        <f t="shared" si="47"/>
        <v>0</v>
      </c>
      <c r="M128" s="339">
        <f t="shared" si="47"/>
        <v>339523</v>
      </c>
      <c r="N128" s="339">
        <f t="shared" si="47"/>
        <v>0</v>
      </c>
      <c r="O128" s="339">
        <f t="shared" si="47"/>
        <v>0</v>
      </c>
      <c r="P128" s="339">
        <f t="shared" si="47"/>
        <v>0</v>
      </c>
      <c r="Q128" s="339">
        <f t="shared" si="47"/>
        <v>0</v>
      </c>
      <c r="R128" s="339">
        <f t="shared" si="47"/>
        <v>0</v>
      </c>
      <c r="S128" s="339">
        <f t="shared" si="47"/>
        <v>0</v>
      </c>
      <c r="T128" s="340">
        <f t="shared" si="47"/>
        <v>0</v>
      </c>
    </row>
    <row r="129" spans="4:20" ht="36" x14ac:dyDescent="0.2">
      <c r="D129" s="62"/>
      <c r="E129" s="554"/>
      <c r="F129" s="555"/>
      <c r="G129" s="44" t="s">
        <v>297</v>
      </c>
      <c r="H129" s="389">
        <v>0</v>
      </c>
      <c r="I129" s="64">
        <f t="shared" ref="I129:I142" si="48">H129+J129</f>
        <v>0</v>
      </c>
      <c r="J129" s="344">
        <f t="shared" ref="J129:J142" si="49">SUM(K129:T129)</f>
        <v>0</v>
      </c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</row>
    <row r="130" spans="4:20" ht="36" x14ac:dyDescent="0.2">
      <c r="D130" s="62"/>
      <c r="E130" s="554"/>
      <c r="F130" s="555"/>
      <c r="G130" s="44" t="s">
        <v>322</v>
      </c>
      <c r="H130" s="389">
        <f>121668</f>
        <v>121668</v>
      </c>
      <c r="I130" s="64">
        <f t="shared" si="48"/>
        <v>121668</v>
      </c>
      <c r="J130" s="344">
        <f t="shared" si="49"/>
        <v>0</v>
      </c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</row>
    <row r="131" spans="4:20" x14ac:dyDescent="0.2">
      <c r="D131" s="62"/>
      <c r="E131" s="248"/>
      <c r="F131" s="249"/>
      <c r="G131" s="44" t="s">
        <v>517</v>
      </c>
      <c r="H131" s="389">
        <f>2430000</f>
        <v>2430000</v>
      </c>
      <c r="I131" s="64">
        <f t="shared" si="48"/>
        <v>2430000</v>
      </c>
      <c r="J131" s="344">
        <f t="shared" si="49"/>
        <v>0</v>
      </c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</row>
    <row r="132" spans="4:20" x14ac:dyDescent="0.2">
      <c r="D132" s="62"/>
      <c r="E132" s="248"/>
      <c r="F132" s="249"/>
      <c r="G132" s="44" t="s">
        <v>680</v>
      </c>
      <c r="H132" s="389">
        <f>4049754</f>
        <v>4049754</v>
      </c>
      <c r="I132" s="64">
        <f t="shared" si="48"/>
        <v>4049754</v>
      </c>
      <c r="J132" s="344">
        <f t="shared" si="49"/>
        <v>0</v>
      </c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</row>
    <row r="133" spans="4:20" ht="50.25" customHeight="1" x14ac:dyDescent="0.2">
      <c r="D133" s="62"/>
      <c r="E133" s="248"/>
      <c r="F133" s="249"/>
      <c r="G133" s="44" t="s">
        <v>681</v>
      </c>
      <c r="H133" s="389">
        <f>1000000</f>
        <v>1000000</v>
      </c>
      <c r="I133" s="64">
        <f t="shared" si="48"/>
        <v>1000000</v>
      </c>
      <c r="J133" s="344">
        <f t="shared" si="49"/>
        <v>0</v>
      </c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</row>
    <row r="134" spans="4:20" ht="24" x14ac:dyDescent="0.2">
      <c r="D134" s="62"/>
      <c r="E134" s="554"/>
      <c r="F134" s="555"/>
      <c r="G134" s="44" t="s">
        <v>321</v>
      </c>
      <c r="H134" s="389">
        <f>3859785+708855</f>
        <v>4568640</v>
      </c>
      <c r="I134" s="64">
        <f t="shared" si="48"/>
        <v>4568640</v>
      </c>
      <c r="J134" s="344">
        <f t="shared" si="49"/>
        <v>0</v>
      </c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</row>
    <row r="135" spans="4:20" ht="13.5" customHeight="1" x14ac:dyDescent="0.2">
      <c r="D135" s="62"/>
      <c r="E135" s="554"/>
      <c r="F135" s="555"/>
      <c r="G135" s="44" t="s">
        <v>337</v>
      </c>
      <c r="H135" s="389">
        <v>0</v>
      </c>
      <c r="I135" s="64">
        <f t="shared" si="48"/>
        <v>0</v>
      </c>
      <c r="J135" s="344">
        <f t="shared" si="49"/>
        <v>0</v>
      </c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</row>
    <row r="136" spans="4:20" ht="24" x14ac:dyDescent="0.2">
      <c r="D136" s="62"/>
      <c r="E136" s="554"/>
      <c r="F136" s="555"/>
      <c r="G136" s="44" t="s">
        <v>336</v>
      </c>
      <c r="H136" s="389">
        <f>2765015</f>
        <v>2765015</v>
      </c>
      <c r="I136" s="64">
        <f t="shared" si="48"/>
        <v>3159004</v>
      </c>
      <c r="J136" s="344">
        <f t="shared" si="49"/>
        <v>393989</v>
      </c>
      <c r="K136" s="278"/>
      <c r="L136" s="278"/>
      <c r="M136" s="278">
        <v>393989</v>
      </c>
      <c r="N136" s="278"/>
      <c r="O136" s="278"/>
      <c r="P136" s="278"/>
      <c r="Q136" s="278"/>
      <c r="R136" s="278"/>
      <c r="S136" s="278"/>
      <c r="T136" s="278"/>
    </row>
    <row r="137" spans="4:20" ht="36" x14ac:dyDescent="0.2">
      <c r="D137" s="62"/>
      <c r="E137" s="180"/>
      <c r="F137" s="181"/>
      <c r="G137" s="44" t="s">
        <v>519</v>
      </c>
      <c r="H137" s="389">
        <f>14274+484000</f>
        <v>498274</v>
      </c>
      <c r="I137" s="64">
        <f>H137+J137</f>
        <v>491156</v>
      </c>
      <c r="J137" s="344">
        <f t="shared" si="49"/>
        <v>-7118</v>
      </c>
      <c r="K137" s="278"/>
      <c r="L137" s="278"/>
      <c r="M137" s="278">
        <f>7156-14274</f>
        <v>-7118</v>
      </c>
      <c r="N137" s="278"/>
      <c r="O137" s="278"/>
      <c r="P137" s="278"/>
      <c r="Q137" s="278"/>
      <c r="R137" s="278"/>
      <c r="S137" s="278"/>
      <c r="T137" s="278"/>
    </row>
    <row r="138" spans="4:20" ht="36" x14ac:dyDescent="0.2">
      <c r="D138" s="62"/>
      <c r="E138" s="554"/>
      <c r="F138" s="555"/>
      <c r="G138" s="44" t="s">
        <v>338</v>
      </c>
      <c r="H138" s="389">
        <f>3439446</f>
        <v>3439446</v>
      </c>
      <c r="I138" s="64">
        <f t="shared" si="48"/>
        <v>3392098</v>
      </c>
      <c r="J138" s="344">
        <f t="shared" si="49"/>
        <v>-47348</v>
      </c>
      <c r="K138" s="278"/>
      <c r="L138" s="278"/>
      <c r="M138" s="278">
        <v>-47348</v>
      </c>
      <c r="N138" s="278"/>
      <c r="O138" s="278"/>
      <c r="P138" s="278"/>
      <c r="Q138" s="278"/>
      <c r="R138" s="278"/>
      <c r="S138" s="278"/>
      <c r="T138" s="278"/>
    </row>
    <row r="139" spans="4:20" x14ac:dyDescent="0.2">
      <c r="D139" s="62"/>
      <c r="E139" s="554"/>
      <c r="F139" s="555"/>
      <c r="G139" s="44" t="s">
        <v>339</v>
      </c>
      <c r="H139" s="389">
        <v>0</v>
      </c>
      <c r="I139" s="64">
        <f t="shared" si="48"/>
        <v>0</v>
      </c>
      <c r="J139" s="344">
        <f t="shared" si="49"/>
        <v>0</v>
      </c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</row>
    <row r="140" spans="4:20" ht="24" x14ac:dyDescent="0.2">
      <c r="D140" s="62"/>
      <c r="E140" s="180"/>
      <c r="F140" s="181"/>
      <c r="G140" s="44" t="s">
        <v>520</v>
      </c>
      <c r="H140" s="389">
        <v>0</v>
      </c>
      <c r="I140" s="64">
        <f t="shared" si="48"/>
        <v>0</v>
      </c>
      <c r="J140" s="344">
        <f t="shared" si="49"/>
        <v>0</v>
      </c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</row>
    <row r="141" spans="4:20" ht="15.75" customHeight="1" x14ac:dyDescent="0.2">
      <c r="D141" s="62"/>
      <c r="E141" s="180"/>
      <c r="F141" s="181"/>
      <c r="G141" s="44" t="s">
        <v>538</v>
      </c>
      <c r="H141" s="389">
        <f>2320876</f>
        <v>2320876</v>
      </c>
      <c r="I141" s="64">
        <f t="shared" si="48"/>
        <v>2320876</v>
      </c>
      <c r="J141" s="344">
        <f t="shared" si="49"/>
        <v>0</v>
      </c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</row>
    <row r="142" spans="4:20" x14ac:dyDescent="0.2">
      <c r="D142" s="62"/>
      <c r="E142" s="554"/>
      <c r="F142" s="555"/>
      <c r="G142" s="44" t="s">
        <v>537</v>
      </c>
      <c r="H142" s="389">
        <f>6409892</f>
        <v>6409892</v>
      </c>
      <c r="I142" s="64">
        <f t="shared" si="48"/>
        <v>6409892</v>
      </c>
      <c r="J142" s="344">
        <f t="shared" si="49"/>
        <v>0</v>
      </c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</row>
    <row r="143" spans="4:20" x14ac:dyDescent="0.2">
      <c r="D143" s="62"/>
      <c r="E143" s="554"/>
      <c r="F143" s="555"/>
      <c r="G143" s="44"/>
      <c r="H143" s="389"/>
      <c r="I143" s="64"/>
      <c r="J143" s="344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</row>
    <row r="144" spans="4:20" x14ac:dyDescent="0.2">
      <c r="D144" s="62"/>
      <c r="E144" s="554"/>
      <c r="F144" s="555"/>
      <c r="G144" s="44"/>
      <c r="H144" s="389"/>
      <c r="I144" s="64"/>
      <c r="J144" s="344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</row>
    <row r="145" spans="4:20" x14ac:dyDescent="0.2">
      <c r="D145" s="62"/>
      <c r="E145" s="554"/>
      <c r="F145" s="555"/>
      <c r="G145" s="44"/>
      <c r="H145" s="389"/>
      <c r="I145" s="64"/>
      <c r="J145" s="344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</row>
    <row r="146" spans="4:20" s="186" customFormat="1" x14ac:dyDescent="0.2">
      <c r="D146" s="68"/>
      <c r="E146" s="76"/>
      <c r="F146" s="77"/>
      <c r="G146" s="35" t="s">
        <v>235</v>
      </c>
      <c r="H146" s="36">
        <f>SUM(H147:H168)</f>
        <v>11006636</v>
      </c>
      <c r="I146" s="47">
        <f>SUM(I147:I168)</f>
        <v>13832416</v>
      </c>
      <c r="J146" s="338">
        <f>SUM(J147:J168)</f>
        <v>2825780</v>
      </c>
      <c r="K146" s="339">
        <f t="shared" ref="K146:T146" si="50">SUM(K147:K168)</f>
        <v>35324</v>
      </c>
      <c r="L146" s="339">
        <f t="shared" si="50"/>
        <v>2725194</v>
      </c>
      <c r="M146" s="339">
        <f t="shared" si="50"/>
        <v>65120</v>
      </c>
      <c r="N146" s="339">
        <f t="shared" si="50"/>
        <v>142</v>
      </c>
      <c r="O146" s="339">
        <f t="shared" si="50"/>
        <v>0</v>
      </c>
      <c r="P146" s="339">
        <f t="shared" si="50"/>
        <v>0</v>
      </c>
      <c r="Q146" s="339">
        <f t="shared" si="50"/>
        <v>0</v>
      </c>
      <c r="R146" s="339">
        <f t="shared" si="50"/>
        <v>0</v>
      </c>
      <c r="S146" s="339">
        <f t="shared" si="50"/>
        <v>0</v>
      </c>
      <c r="T146" s="340">
        <f t="shared" si="50"/>
        <v>0</v>
      </c>
    </row>
    <row r="147" spans="4:20" ht="12" hidden="1" customHeight="1" outlineLevel="1" x14ac:dyDescent="0.2">
      <c r="D147" s="56"/>
      <c r="E147" s="74"/>
      <c r="F147" s="75"/>
      <c r="G147" s="78" t="s">
        <v>236</v>
      </c>
      <c r="H147" s="393">
        <f>10465797</f>
        <v>10465797</v>
      </c>
      <c r="I147" s="50">
        <f t="shared" ref="I147:I168" si="51">H147+J147</f>
        <v>11175309</v>
      </c>
      <c r="J147" s="344">
        <f t="shared" ref="J147:J168" si="52">SUM(K147:T147)</f>
        <v>709512</v>
      </c>
      <c r="K147" s="278"/>
      <c r="L147" s="278">
        <f>857335-147823</f>
        <v>709512</v>
      </c>
      <c r="M147" s="278"/>
      <c r="N147" s="278"/>
      <c r="O147" s="278"/>
      <c r="P147" s="278"/>
      <c r="Q147" s="278"/>
      <c r="R147" s="278"/>
      <c r="S147" s="278"/>
      <c r="T147" s="278"/>
    </row>
    <row r="148" spans="4:20" ht="12" hidden="1" customHeight="1" outlineLevel="1" x14ac:dyDescent="0.2">
      <c r="D148" s="56"/>
      <c r="E148" s="74"/>
      <c r="F148" s="75"/>
      <c r="G148" s="44" t="s">
        <v>237</v>
      </c>
      <c r="H148" s="391">
        <f>292723</f>
        <v>292723</v>
      </c>
      <c r="I148" s="50">
        <f t="shared" si="51"/>
        <v>478816</v>
      </c>
      <c r="J148" s="349">
        <f>SUM(K148:T148)</f>
        <v>186093</v>
      </c>
      <c r="K148" s="279">
        <v>35324</v>
      </c>
      <c r="L148" s="278">
        <v>85507</v>
      </c>
      <c r="M148" s="278">
        <f>65120</f>
        <v>65120</v>
      </c>
      <c r="N148" s="278">
        <f>142</f>
        <v>142</v>
      </c>
      <c r="O148" s="278"/>
      <c r="P148" s="278"/>
      <c r="Q148" s="278"/>
      <c r="R148" s="278"/>
      <c r="S148" s="278"/>
      <c r="T148" s="278"/>
    </row>
    <row r="149" spans="4:20" ht="12" hidden="1" customHeight="1" outlineLevel="1" x14ac:dyDescent="0.2">
      <c r="D149" s="56"/>
      <c r="E149" s="74"/>
      <c r="F149" s="75"/>
      <c r="G149" s="78" t="s">
        <v>151</v>
      </c>
      <c r="H149" s="393">
        <f>135094</f>
        <v>135094</v>
      </c>
      <c r="I149" s="50">
        <f t="shared" si="51"/>
        <v>1365277</v>
      </c>
      <c r="J149" s="344">
        <f t="shared" si="52"/>
        <v>1230183</v>
      </c>
      <c r="K149" s="278"/>
      <c r="L149" s="278">
        <f>1199113-11+3096+18500+56+797+805+1107+5585+991+144</f>
        <v>1230183</v>
      </c>
      <c r="M149" s="278"/>
      <c r="N149" s="278"/>
      <c r="O149" s="278"/>
      <c r="P149" s="278"/>
      <c r="Q149" s="278"/>
      <c r="R149" s="278"/>
      <c r="S149" s="278"/>
      <c r="T149" s="278"/>
    </row>
    <row r="150" spans="4:20" ht="12" hidden="1" customHeight="1" outlineLevel="1" x14ac:dyDescent="0.2">
      <c r="D150" s="56"/>
      <c r="E150" s="74"/>
      <c r="F150" s="75"/>
      <c r="G150" s="44" t="s">
        <v>94</v>
      </c>
      <c r="H150" s="391">
        <v>0</v>
      </c>
      <c r="I150" s="50">
        <f t="shared" si="51"/>
        <v>5150</v>
      </c>
      <c r="J150" s="344">
        <f t="shared" si="52"/>
        <v>5150</v>
      </c>
      <c r="K150" s="278"/>
      <c r="L150" s="278">
        <v>5150</v>
      </c>
      <c r="M150" s="278"/>
      <c r="N150" s="278"/>
      <c r="O150" s="278"/>
      <c r="P150" s="278"/>
      <c r="Q150" s="278"/>
      <c r="R150" s="278"/>
      <c r="S150" s="278"/>
      <c r="T150" s="278"/>
    </row>
    <row r="151" spans="4:20" ht="12" hidden="1" customHeight="1" outlineLevel="1" x14ac:dyDescent="0.2">
      <c r="D151" s="56"/>
      <c r="E151" s="74"/>
      <c r="F151" s="75"/>
      <c r="G151" s="78" t="s">
        <v>153</v>
      </c>
      <c r="H151" s="393">
        <f>1248</f>
        <v>1248</v>
      </c>
      <c r="I151" s="50">
        <f t="shared" si="51"/>
        <v>34694</v>
      </c>
      <c r="J151" s="344">
        <f t="shared" si="52"/>
        <v>33446</v>
      </c>
      <c r="K151" s="278"/>
      <c r="L151" s="278">
        <f>33446</f>
        <v>33446</v>
      </c>
      <c r="M151" s="278"/>
      <c r="N151" s="278"/>
      <c r="O151" s="278"/>
      <c r="P151" s="278"/>
      <c r="Q151" s="278"/>
      <c r="R151" s="278"/>
      <c r="S151" s="278"/>
      <c r="T151" s="278"/>
    </row>
    <row r="152" spans="4:20" ht="24" hidden="1" customHeight="1" outlineLevel="1" x14ac:dyDescent="0.2">
      <c r="D152" s="56"/>
      <c r="E152" s="74"/>
      <c r="F152" s="75"/>
      <c r="G152" s="78" t="s">
        <v>521</v>
      </c>
      <c r="H152" s="393">
        <v>0</v>
      </c>
      <c r="I152" s="50">
        <f t="shared" si="51"/>
        <v>0</v>
      </c>
      <c r="J152" s="344">
        <f t="shared" si="52"/>
        <v>0</v>
      </c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</row>
    <row r="153" spans="4:20" ht="24" hidden="1" customHeight="1" outlineLevel="1" x14ac:dyDescent="0.2">
      <c r="D153" s="56"/>
      <c r="E153" s="74"/>
      <c r="F153" s="75"/>
      <c r="G153" s="78" t="s">
        <v>522</v>
      </c>
      <c r="H153" s="393">
        <v>0</v>
      </c>
      <c r="I153" s="50">
        <f t="shared" si="51"/>
        <v>5736</v>
      </c>
      <c r="J153" s="344">
        <f t="shared" si="52"/>
        <v>5736</v>
      </c>
      <c r="K153" s="278"/>
      <c r="L153" s="278">
        <f>5736</f>
        <v>5736</v>
      </c>
      <c r="M153" s="278"/>
      <c r="N153" s="278"/>
      <c r="O153" s="278"/>
      <c r="P153" s="278"/>
      <c r="Q153" s="278"/>
      <c r="R153" s="278"/>
      <c r="S153" s="278"/>
      <c r="T153" s="278"/>
    </row>
    <row r="154" spans="4:20" ht="12" hidden="1" customHeight="1" outlineLevel="1" x14ac:dyDescent="0.2">
      <c r="D154" s="56"/>
      <c r="E154" s="74"/>
      <c r="F154" s="75"/>
      <c r="G154" s="78" t="s">
        <v>311</v>
      </c>
      <c r="H154" s="393">
        <v>0</v>
      </c>
      <c r="I154" s="50">
        <f t="shared" si="51"/>
        <v>134</v>
      </c>
      <c r="J154" s="344">
        <f t="shared" si="52"/>
        <v>134</v>
      </c>
      <c r="K154" s="278"/>
      <c r="L154" s="278">
        <v>134</v>
      </c>
      <c r="M154" s="278"/>
      <c r="N154" s="278"/>
      <c r="O154" s="278"/>
      <c r="P154" s="278"/>
      <c r="Q154" s="278"/>
      <c r="R154" s="278"/>
      <c r="S154" s="278"/>
      <c r="T154" s="278"/>
    </row>
    <row r="155" spans="4:20" ht="12" hidden="1" customHeight="1" outlineLevel="1" x14ac:dyDescent="0.2">
      <c r="D155" s="56"/>
      <c r="E155" s="74"/>
      <c r="F155" s="75"/>
      <c r="G155" s="78" t="s">
        <v>186</v>
      </c>
      <c r="H155" s="393">
        <f>39959</f>
        <v>39959</v>
      </c>
      <c r="I155" s="50">
        <f t="shared" si="51"/>
        <v>141862</v>
      </c>
      <c r="J155" s="344">
        <f t="shared" si="52"/>
        <v>101903</v>
      </c>
      <c r="K155" s="278"/>
      <c r="L155" s="278">
        <f>101903</f>
        <v>101903</v>
      </c>
      <c r="M155" s="278"/>
      <c r="N155" s="278"/>
      <c r="O155" s="278"/>
      <c r="P155" s="278"/>
      <c r="Q155" s="278"/>
      <c r="R155" s="278"/>
      <c r="S155" s="278"/>
      <c r="T155" s="278"/>
    </row>
    <row r="156" spans="4:20" ht="24" hidden="1" customHeight="1" outlineLevel="1" x14ac:dyDescent="0.2">
      <c r="D156" s="56"/>
      <c r="E156" s="74"/>
      <c r="F156" s="75"/>
      <c r="G156" s="78" t="s">
        <v>677</v>
      </c>
      <c r="H156" s="393">
        <f>531</f>
        <v>531</v>
      </c>
      <c r="I156" s="50">
        <f t="shared" si="51"/>
        <v>546</v>
      </c>
      <c r="J156" s="344">
        <f t="shared" si="52"/>
        <v>15</v>
      </c>
      <c r="K156" s="278"/>
      <c r="L156" s="278">
        <v>15</v>
      </c>
      <c r="M156" s="278"/>
      <c r="N156" s="278"/>
      <c r="O156" s="278"/>
      <c r="P156" s="278"/>
      <c r="Q156" s="278"/>
      <c r="R156" s="278"/>
      <c r="S156" s="278"/>
      <c r="T156" s="278"/>
    </row>
    <row r="157" spans="4:20" ht="24" hidden="1" customHeight="1" outlineLevel="1" x14ac:dyDescent="0.2">
      <c r="D157" s="56"/>
      <c r="E157" s="74"/>
      <c r="F157" s="75"/>
      <c r="G157" s="78" t="s">
        <v>694</v>
      </c>
      <c r="H157" s="393">
        <f>1163</f>
        <v>1163</v>
      </c>
      <c r="I157" s="50">
        <f t="shared" si="51"/>
        <v>2161</v>
      </c>
      <c r="J157" s="344">
        <f t="shared" si="52"/>
        <v>998</v>
      </c>
      <c r="K157" s="278"/>
      <c r="L157" s="278">
        <f>998</f>
        <v>998</v>
      </c>
      <c r="M157" s="278"/>
      <c r="N157" s="278"/>
      <c r="O157" s="278"/>
      <c r="P157" s="278"/>
      <c r="Q157" s="278"/>
      <c r="R157" s="278"/>
      <c r="S157" s="278"/>
      <c r="T157" s="278"/>
    </row>
    <row r="158" spans="4:20" ht="12" hidden="1" customHeight="1" outlineLevel="1" x14ac:dyDescent="0.2">
      <c r="D158" s="56"/>
      <c r="E158" s="74"/>
      <c r="F158" s="75"/>
      <c r="G158" s="78" t="s">
        <v>300</v>
      </c>
      <c r="H158" s="393">
        <v>0</v>
      </c>
      <c r="I158" s="50">
        <f t="shared" si="51"/>
        <v>20680</v>
      </c>
      <c r="J158" s="344">
        <f t="shared" si="52"/>
        <v>20680</v>
      </c>
      <c r="K158" s="278"/>
      <c r="L158" s="278">
        <f>20680</f>
        <v>20680</v>
      </c>
      <c r="M158" s="278"/>
      <c r="N158" s="278"/>
      <c r="O158" s="278"/>
      <c r="P158" s="278"/>
      <c r="Q158" s="278"/>
      <c r="R158" s="278"/>
      <c r="S158" s="278"/>
      <c r="T158" s="278"/>
    </row>
    <row r="159" spans="4:20" ht="24" hidden="1" customHeight="1" outlineLevel="1" x14ac:dyDescent="0.2">
      <c r="D159" s="56"/>
      <c r="E159" s="74"/>
      <c r="F159" s="75"/>
      <c r="G159" s="78" t="s">
        <v>172</v>
      </c>
      <c r="H159" s="393">
        <v>0</v>
      </c>
      <c r="I159" s="50">
        <f t="shared" si="51"/>
        <v>0</v>
      </c>
      <c r="J159" s="344">
        <f t="shared" si="52"/>
        <v>0</v>
      </c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</row>
    <row r="160" spans="4:20" ht="12" hidden="1" customHeight="1" outlineLevel="1" x14ac:dyDescent="0.2">
      <c r="D160" s="56"/>
      <c r="E160" s="74"/>
      <c r="F160" s="75"/>
      <c r="G160" s="78" t="s">
        <v>171</v>
      </c>
      <c r="H160" s="393">
        <v>0</v>
      </c>
      <c r="I160" s="50">
        <f t="shared" si="51"/>
        <v>0</v>
      </c>
      <c r="J160" s="344">
        <f t="shared" si="52"/>
        <v>0</v>
      </c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</row>
    <row r="161" spans="4:20" ht="12" hidden="1" customHeight="1" outlineLevel="1" x14ac:dyDescent="0.2">
      <c r="D161" s="56"/>
      <c r="E161" s="74"/>
      <c r="F161" s="75"/>
      <c r="G161" s="78" t="s">
        <v>299</v>
      </c>
      <c r="H161" s="393">
        <v>0</v>
      </c>
      <c r="I161" s="50">
        <f t="shared" si="51"/>
        <v>0</v>
      </c>
      <c r="J161" s="344">
        <f t="shared" si="52"/>
        <v>0</v>
      </c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</row>
    <row r="162" spans="4:20" ht="12" hidden="1" customHeight="1" outlineLevel="1" x14ac:dyDescent="0.2">
      <c r="D162" s="56"/>
      <c r="E162" s="74"/>
      <c r="F162" s="75"/>
      <c r="G162" s="78" t="s">
        <v>157</v>
      </c>
      <c r="H162" s="393">
        <f>33500</f>
        <v>33500</v>
      </c>
      <c r="I162" s="50">
        <f t="shared" si="51"/>
        <v>147823</v>
      </c>
      <c r="J162" s="344">
        <f t="shared" si="52"/>
        <v>114323</v>
      </c>
      <c r="K162" s="278"/>
      <c r="L162" s="278">
        <v>114323</v>
      </c>
      <c r="M162" s="278"/>
      <c r="N162" s="278"/>
      <c r="O162" s="278"/>
      <c r="P162" s="278"/>
      <c r="Q162" s="278"/>
      <c r="R162" s="278"/>
      <c r="S162" s="278"/>
      <c r="T162" s="278"/>
    </row>
    <row r="163" spans="4:20" ht="12" hidden="1" customHeight="1" outlineLevel="1" x14ac:dyDescent="0.2">
      <c r="D163" s="56"/>
      <c r="E163" s="74"/>
      <c r="F163" s="75"/>
      <c r="G163" s="57" t="s">
        <v>58</v>
      </c>
      <c r="H163" s="393">
        <v>0</v>
      </c>
      <c r="I163" s="50">
        <f t="shared" si="51"/>
        <v>126</v>
      </c>
      <c r="J163" s="344">
        <f t="shared" si="52"/>
        <v>126</v>
      </c>
      <c r="K163" s="278"/>
      <c r="L163" s="278">
        <v>126</v>
      </c>
      <c r="M163" s="278"/>
      <c r="N163" s="278"/>
      <c r="O163" s="278"/>
      <c r="P163" s="278"/>
      <c r="Q163" s="278"/>
      <c r="R163" s="278"/>
      <c r="S163" s="278"/>
      <c r="T163" s="278"/>
    </row>
    <row r="164" spans="4:20" ht="24" hidden="1" customHeight="1" outlineLevel="1" x14ac:dyDescent="0.2">
      <c r="D164" s="56"/>
      <c r="E164" s="74"/>
      <c r="F164" s="75"/>
      <c r="G164" s="57" t="s">
        <v>92</v>
      </c>
      <c r="H164" s="393">
        <f>5355+20473</f>
        <v>25828</v>
      </c>
      <c r="I164" s="50">
        <f t="shared" si="51"/>
        <v>26192</v>
      </c>
      <c r="J164" s="344">
        <f t="shared" si="52"/>
        <v>364</v>
      </c>
      <c r="K164" s="278"/>
      <c r="L164" s="278">
        <v>364</v>
      </c>
      <c r="M164" s="278"/>
      <c r="N164" s="278"/>
      <c r="O164" s="278"/>
      <c r="P164" s="278"/>
      <c r="Q164" s="278"/>
      <c r="R164" s="278"/>
      <c r="S164" s="278"/>
      <c r="T164" s="278"/>
    </row>
    <row r="165" spans="4:20" ht="12" hidden="1" customHeight="1" outlineLevel="1" x14ac:dyDescent="0.2">
      <c r="D165" s="56"/>
      <c r="E165" s="74"/>
      <c r="F165" s="75"/>
      <c r="G165" s="57" t="s">
        <v>216</v>
      </c>
      <c r="H165" s="393">
        <v>0</v>
      </c>
      <c r="I165" s="50">
        <f t="shared" si="51"/>
        <v>6802</v>
      </c>
      <c r="J165" s="344">
        <f t="shared" si="52"/>
        <v>6802</v>
      </c>
      <c r="K165" s="278"/>
      <c r="L165" s="278">
        <v>6802</v>
      </c>
      <c r="M165" s="278"/>
      <c r="N165" s="278"/>
      <c r="O165" s="278"/>
      <c r="P165" s="278"/>
      <c r="Q165" s="278"/>
      <c r="R165" s="278"/>
      <c r="S165" s="278"/>
      <c r="T165" s="278"/>
    </row>
    <row r="166" spans="4:20" ht="12" hidden="1" customHeight="1" outlineLevel="1" x14ac:dyDescent="0.2">
      <c r="D166" s="56"/>
      <c r="E166" s="74"/>
      <c r="F166" s="75"/>
      <c r="G166" s="57" t="s">
        <v>141</v>
      </c>
      <c r="H166" s="393">
        <f>10793</f>
        <v>10793</v>
      </c>
      <c r="I166" s="50">
        <f t="shared" si="51"/>
        <v>273285</v>
      </c>
      <c r="J166" s="344">
        <f t="shared" si="52"/>
        <v>262492</v>
      </c>
      <c r="K166" s="278"/>
      <c r="L166" s="278">
        <f>262492</f>
        <v>262492</v>
      </c>
      <c r="M166" s="278"/>
      <c r="N166" s="278"/>
      <c r="O166" s="278"/>
      <c r="P166" s="278"/>
      <c r="Q166" s="278"/>
      <c r="R166" s="278"/>
      <c r="S166" s="278"/>
      <c r="T166" s="278"/>
    </row>
    <row r="167" spans="4:20" ht="24" hidden="1" customHeight="1" outlineLevel="1" x14ac:dyDescent="0.2">
      <c r="D167" s="56"/>
      <c r="E167" s="74"/>
      <c r="F167" s="75"/>
      <c r="G167" s="57" t="s">
        <v>182</v>
      </c>
      <c r="H167" s="393">
        <v>0</v>
      </c>
      <c r="I167" s="50">
        <f t="shared" si="51"/>
        <v>0</v>
      </c>
      <c r="J167" s="344">
        <f t="shared" si="52"/>
        <v>0</v>
      </c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</row>
    <row r="168" spans="4:20" ht="12" hidden="1" customHeight="1" outlineLevel="1" x14ac:dyDescent="0.2">
      <c r="D168" s="56"/>
      <c r="E168" s="74"/>
      <c r="F168" s="75"/>
      <c r="G168" s="57" t="s">
        <v>735</v>
      </c>
      <c r="H168" s="393">
        <v>0</v>
      </c>
      <c r="I168" s="50">
        <f t="shared" si="51"/>
        <v>147823</v>
      </c>
      <c r="J168" s="344">
        <f t="shared" si="52"/>
        <v>147823</v>
      </c>
      <c r="K168" s="278"/>
      <c r="L168" s="278">
        <v>147823</v>
      </c>
      <c r="M168" s="278"/>
      <c r="N168" s="278"/>
      <c r="O168" s="278"/>
      <c r="P168" s="278"/>
      <c r="Q168" s="278"/>
      <c r="R168" s="278"/>
      <c r="S168" s="278"/>
      <c r="T168" s="278"/>
    </row>
    <row r="169" spans="4:20" ht="12" hidden="1" customHeight="1" outlineLevel="1" x14ac:dyDescent="0.2">
      <c r="D169" s="56"/>
      <c r="E169" s="74"/>
      <c r="F169" s="75"/>
      <c r="G169" s="57"/>
      <c r="H169" s="393"/>
      <c r="I169" s="50"/>
      <c r="J169" s="344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</row>
    <row r="170" spans="4:20" collapsed="1" x14ac:dyDescent="0.2">
      <c r="D170" s="79"/>
      <c r="E170" s="80"/>
      <c r="F170" s="81"/>
      <c r="G170" s="57"/>
      <c r="H170" s="408"/>
      <c r="I170" s="61"/>
      <c r="J170" s="344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</row>
    <row r="171" spans="4:20" x14ac:dyDescent="0.2">
      <c r="D171" s="556" t="s">
        <v>204</v>
      </c>
      <c r="E171" s="557"/>
      <c r="F171" s="557"/>
      <c r="G171" s="558"/>
      <c r="H171" s="409">
        <f>SUM(H173,H178)</f>
        <v>26666</v>
      </c>
      <c r="I171" s="89">
        <f>SUM(I173,I178)</f>
        <v>30860</v>
      </c>
      <c r="J171" s="350">
        <f t="shared" ref="J171:T171" si="53">SUM(J173,J178)</f>
        <v>4194</v>
      </c>
      <c r="K171" s="351">
        <f t="shared" si="53"/>
        <v>0</v>
      </c>
      <c r="L171" s="351">
        <f t="shared" si="53"/>
        <v>4403</v>
      </c>
      <c r="M171" s="351">
        <f t="shared" si="53"/>
        <v>-209</v>
      </c>
      <c r="N171" s="351">
        <f t="shared" si="53"/>
        <v>0</v>
      </c>
      <c r="O171" s="351">
        <f t="shared" si="53"/>
        <v>0</v>
      </c>
      <c r="P171" s="351">
        <f t="shared" si="53"/>
        <v>0</v>
      </c>
      <c r="Q171" s="351">
        <f t="shared" si="53"/>
        <v>0</v>
      </c>
      <c r="R171" s="351">
        <f t="shared" si="53"/>
        <v>0</v>
      </c>
      <c r="S171" s="351">
        <f t="shared" si="53"/>
        <v>0</v>
      </c>
      <c r="T171" s="352">
        <f t="shared" si="53"/>
        <v>0</v>
      </c>
    </row>
    <row r="172" spans="4:20" x14ac:dyDescent="0.2">
      <c r="D172" s="79"/>
      <c r="E172" s="80"/>
      <c r="F172" s="81"/>
      <c r="G172" s="57"/>
      <c r="H172" s="408"/>
      <c r="I172" s="86"/>
      <c r="J172" s="344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</row>
    <row r="173" spans="4:20" x14ac:dyDescent="0.2">
      <c r="D173" s="543" t="s">
        <v>127</v>
      </c>
      <c r="E173" s="544"/>
      <c r="F173" s="545"/>
      <c r="G173" s="88" t="s">
        <v>205</v>
      </c>
      <c r="H173" s="410">
        <f>SUM(H174:H175)</f>
        <v>3530</v>
      </c>
      <c r="I173" s="90">
        <f>SUM(I174:I175)</f>
        <v>3530</v>
      </c>
      <c r="J173" s="353">
        <f t="shared" ref="J173:T173" si="54">SUM(J174:J175)</f>
        <v>0</v>
      </c>
      <c r="K173" s="354">
        <f t="shared" si="54"/>
        <v>0</v>
      </c>
      <c r="L173" s="354">
        <f t="shared" si="54"/>
        <v>0</v>
      </c>
      <c r="M173" s="354">
        <f t="shared" si="54"/>
        <v>0</v>
      </c>
      <c r="N173" s="354">
        <f t="shared" si="54"/>
        <v>0</v>
      </c>
      <c r="O173" s="354">
        <f t="shared" si="54"/>
        <v>0</v>
      </c>
      <c r="P173" s="354">
        <f t="shared" si="54"/>
        <v>0</v>
      </c>
      <c r="Q173" s="354">
        <f t="shared" si="54"/>
        <v>0</v>
      </c>
      <c r="R173" s="354">
        <f t="shared" si="54"/>
        <v>0</v>
      </c>
      <c r="S173" s="354">
        <f t="shared" si="54"/>
        <v>0</v>
      </c>
      <c r="T173" s="355">
        <f t="shared" si="54"/>
        <v>0</v>
      </c>
    </row>
    <row r="174" spans="4:20" s="186" customFormat="1" x14ac:dyDescent="0.2">
      <c r="D174" s="68"/>
      <c r="E174" s="546" t="s">
        <v>184</v>
      </c>
      <c r="F174" s="547"/>
      <c r="G174" s="57" t="s">
        <v>185</v>
      </c>
      <c r="H174" s="393">
        <v>0</v>
      </c>
      <c r="I174" s="50">
        <f>H174+J174</f>
        <v>0</v>
      </c>
      <c r="J174" s="376">
        <f>SUM(K174:T174)</f>
        <v>0</v>
      </c>
      <c r="K174" s="377"/>
      <c r="L174" s="377"/>
      <c r="M174" s="377"/>
      <c r="N174" s="377"/>
      <c r="O174" s="377"/>
      <c r="P174" s="377"/>
      <c r="Q174" s="377"/>
      <c r="R174" s="377"/>
      <c r="S174" s="377"/>
      <c r="T174" s="377"/>
    </row>
    <row r="175" spans="4:20" s="186" customFormat="1" ht="24" x14ac:dyDescent="0.2">
      <c r="D175" s="68"/>
      <c r="E175" s="546" t="s">
        <v>128</v>
      </c>
      <c r="F175" s="547"/>
      <c r="G175" s="57" t="s">
        <v>210</v>
      </c>
      <c r="H175" s="393">
        <f>3530</f>
        <v>3530</v>
      </c>
      <c r="I175" s="50">
        <f>H175+J175</f>
        <v>3530</v>
      </c>
      <c r="J175" s="376">
        <f>SUM(K175:T175)</f>
        <v>0</v>
      </c>
      <c r="K175" s="377"/>
      <c r="L175" s="377"/>
      <c r="M175" s="377"/>
      <c r="N175" s="377"/>
      <c r="O175" s="377"/>
      <c r="P175" s="377"/>
      <c r="Q175" s="377"/>
      <c r="R175" s="377"/>
      <c r="S175" s="377"/>
      <c r="T175" s="377"/>
    </row>
    <row r="176" spans="4:20" x14ac:dyDescent="0.2">
      <c r="D176" s="79"/>
      <c r="E176" s="80"/>
      <c r="F176" s="81"/>
      <c r="G176" s="57"/>
      <c r="H176" s="408"/>
      <c r="I176" s="86"/>
      <c r="J176" s="344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</row>
    <row r="177" spans="4:20" x14ac:dyDescent="0.2">
      <c r="D177" s="79"/>
      <c r="E177" s="80"/>
      <c r="F177" s="81"/>
      <c r="G177" s="57"/>
      <c r="H177" s="408"/>
      <c r="I177" s="86"/>
      <c r="J177" s="344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</row>
    <row r="178" spans="4:20" x14ac:dyDescent="0.2">
      <c r="D178" s="79"/>
      <c r="E178" s="80"/>
      <c r="F178" s="81"/>
      <c r="G178" s="69" t="s">
        <v>206</v>
      </c>
      <c r="H178" s="392">
        <f>SUM(H179)</f>
        <v>23136</v>
      </c>
      <c r="I178" s="94">
        <f>SUM(I179)</f>
        <v>27330</v>
      </c>
      <c r="J178" s="356">
        <f t="shared" ref="J178:T178" si="55">SUM(J179)</f>
        <v>4194</v>
      </c>
      <c r="K178" s="357">
        <f t="shared" si="55"/>
        <v>0</v>
      </c>
      <c r="L178" s="357">
        <f t="shared" si="55"/>
        <v>4403</v>
      </c>
      <c r="M178" s="357">
        <f t="shared" si="55"/>
        <v>-209</v>
      </c>
      <c r="N178" s="357">
        <f t="shared" si="55"/>
        <v>0</v>
      </c>
      <c r="O178" s="357">
        <f t="shared" si="55"/>
        <v>0</v>
      </c>
      <c r="P178" s="357">
        <f t="shared" si="55"/>
        <v>0</v>
      </c>
      <c r="Q178" s="357">
        <f t="shared" si="55"/>
        <v>0</v>
      </c>
      <c r="R178" s="357">
        <f t="shared" si="55"/>
        <v>0</v>
      </c>
      <c r="S178" s="357">
        <f t="shared" si="55"/>
        <v>0</v>
      </c>
      <c r="T178" s="358">
        <f t="shared" si="55"/>
        <v>0</v>
      </c>
    </row>
    <row r="179" spans="4:20" x14ac:dyDescent="0.2">
      <c r="D179" s="79"/>
      <c r="E179" s="80"/>
      <c r="F179" s="81"/>
      <c r="G179" s="57" t="s">
        <v>207</v>
      </c>
      <c r="H179" s="408">
        <f>SUM(H180:H181)</f>
        <v>23136</v>
      </c>
      <c r="I179" s="61">
        <f>SUM(I180:I181)</f>
        <v>27330</v>
      </c>
      <c r="J179" s="359">
        <f t="shared" ref="J179:T179" si="56">SUM(J180:J181)</f>
        <v>4194</v>
      </c>
      <c r="K179" s="360">
        <f t="shared" si="56"/>
        <v>0</v>
      </c>
      <c r="L179" s="360">
        <f t="shared" si="56"/>
        <v>4403</v>
      </c>
      <c r="M179" s="360">
        <f t="shared" si="56"/>
        <v>-209</v>
      </c>
      <c r="N179" s="360">
        <f t="shared" si="56"/>
        <v>0</v>
      </c>
      <c r="O179" s="360">
        <f t="shared" si="56"/>
        <v>0</v>
      </c>
      <c r="P179" s="360">
        <f t="shared" si="56"/>
        <v>0</v>
      </c>
      <c r="Q179" s="360">
        <f t="shared" si="56"/>
        <v>0</v>
      </c>
      <c r="R179" s="360">
        <f t="shared" si="56"/>
        <v>0</v>
      </c>
      <c r="S179" s="360">
        <f t="shared" si="56"/>
        <v>0</v>
      </c>
      <c r="T179" s="361">
        <f t="shared" si="56"/>
        <v>0</v>
      </c>
    </row>
    <row r="180" spans="4:20" ht="24" x14ac:dyDescent="0.2">
      <c r="D180" s="79"/>
      <c r="E180" s="80"/>
      <c r="F180" s="81"/>
      <c r="G180" s="91" t="s">
        <v>208</v>
      </c>
      <c r="H180" s="408">
        <f>14931</f>
        <v>14931</v>
      </c>
      <c r="I180" s="61">
        <f>H180+J180</f>
        <v>17905</v>
      </c>
      <c r="J180" s="344">
        <f>SUM(K180:T180)</f>
        <v>2974</v>
      </c>
      <c r="K180" s="278"/>
      <c r="L180" s="278">
        <v>2974</v>
      </c>
      <c r="M180" s="278"/>
      <c r="N180" s="278"/>
      <c r="O180" s="278"/>
      <c r="P180" s="278"/>
      <c r="Q180" s="278"/>
      <c r="R180" s="278"/>
      <c r="S180" s="278"/>
      <c r="T180" s="278"/>
    </row>
    <row r="181" spans="4:20" ht="24" x14ac:dyDescent="0.2">
      <c r="D181" s="79"/>
      <c r="E181" s="80"/>
      <c r="F181" s="81"/>
      <c r="G181" s="91" t="s">
        <v>209</v>
      </c>
      <c r="H181" s="408">
        <f>8205</f>
        <v>8205</v>
      </c>
      <c r="I181" s="61">
        <f>H181+J181</f>
        <v>9425</v>
      </c>
      <c r="J181" s="344">
        <f>SUM(K181:T181)</f>
        <v>1220</v>
      </c>
      <c r="K181" s="278"/>
      <c r="L181" s="278">
        <f>1220+209</f>
        <v>1429</v>
      </c>
      <c r="M181" s="278">
        <f>-209</f>
        <v>-209</v>
      </c>
      <c r="N181" s="278"/>
      <c r="O181" s="278"/>
      <c r="P181" s="278"/>
      <c r="Q181" s="278"/>
      <c r="R181" s="278"/>
      <c r="S181" s="278"/>
      <c r="T181" s="278"/>
    </row>
    <row r="182" spans="4:20" x14ac:dyDescent="0.2">
      <c r="D182" s="79"/>
      <c r="E182" s="80"/>
      <c r="F182" s="81"/>
      <c r="G182" s="57"/>
      <c r="H182" s="408"/>
      <c r="I182" s="61"/>
      <c r="J182" s="344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</row>
    <row r="183" spans="4:20" x14ac:dyDescent="0.2">
      <c r="D183" s="56"/>
      <c r="E183" s="74"/>
      <c r="F183" s="75"/>
      <c r="G183" s="57"/>
      <c r="H183" s="408"/>
      <c r="I183" s="61"/>
      <c r="J183" s="344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</row>
    <row r="184" spans="4:20" s="186" customFormat="1" ht="24.75" customHeight="1" thickBot="1" x14ac:dyDescent="0.25">
      <c r="D184" s="548" t="s">
        <v>148</v>
      </c>
      <c r="E184" s="549"/>
      <c r="F184" s="549"/>
      <c r="G184" s="550"/>
      <c r="H184" s="411">
        <f t="shared" ref="H184:T184" si="57">SUM(H173,H118)</f>
        <v>70540942</v>
      </c>
      <c r="I184" s="82">
        <f>SUM(I173,I118)</f>
        <v>69633883</v>
      </c>
      <c r="J184" s="362">
        <f t="shared" si="57"/>
        <v>-907059</v>
      </c>
      <c r="K184" s="363">
        <f t="shared" si="57"/>
        <v>7491</v>
      </c>
      <c r="L184" s="363">
        <f t="shared" si="57"/>
        <v>-1038789</v>
      </c>
      <c r="M184" s="363">
        <f t="shared" si="57"/>
        <v>46703</v>
      </c>
      <c r="N184" s="363">
        <f t="shared" si="57"/>
        <v>77536</v>
      </c>
      <c r="O184" s="363">
        <f t="shared" si="57"/>
        <v>0</v>
      </c>
      <c r="P184" s="363">
        <f t="shared" si="57"/>
        <v>0</v>
      </c>
      <c r="Q184" s="363">
        <f t="shared" si="57"/>
        <v>0</v>
      </c>
      <c r="R184" s="363">
        <f t="shared" si="57"/>
        <v>0</v>
      </c>
      <c r="S184" s="363">
        <f t="shared" si="57"/>
        <v>0</v>
      </c>
      <c r="T184" s="364">
        <f t="shared" si="57"/>
        <v>0</v>
      </c>
    </row>
    <row r="185" spans="4:20" s="186" customFormat="1" ht="12.75" thickBot="1" x14ac:dyDescent="0.25">
      <c r="D185" s="551" t="s">
        <v>134</v>
      </c>
      <c r="E185" s="552"/>
      <c r="F185" s="552"/>
      <c r="G185" s="553"/>
      <c r="H185" s="412">
        <f t="shared" ref="H185:T185" si="58">SUM(H10,H171)</f>
        <v>109347454</v>
      </c>
      <c r="I185" s="82">
        <f>SUM(I10,I171)</f>
        <v>111609892</v>
      </c>
      <c r="J185" s="362">
        <f t="shared" si="58"/>
        <v>2262438</v>
      </c>
      <c r="K185" s="363">
        <f t="shared" si="58"/>
        <v>42815</v>
      </c>
      <c r="L185" s="363">
        <f t="shared" si="58"/>
        <v>1690808</v>
      </c>
      <c r="M185" s="363">
        <f t="shared" si="58"/>
        <v>451137</v>
      </c>
      <c r="N185" s="363">
        <f t="shared" si="58"/>
        <v>77678</v>
      </c>
      <c r="O185" s="363">
        <f t="shared" si="58"/>
        <v>0</v>
      </c>
      <c r="P185" s="363">
        <f t="shared" si="58"/>
        <v>0</v>
      </c>
      <c r="Q185" s="363">
        <f t="shared" si="58"/>
        <v>0</v>
      </c>
      <c r="R185" s="363">
        <f t="shared" si="58"/>
        <v>0</v>
      </c>
      <c r="S185" s="363">
        <f t="shared" si="58"/>
        <v>0</v>
      </c>
      <c r="T185" s="364">
        <f t="shared" si="58"/>
        <v>0</v>
      </c>
    </row>
    <row r="188" spans="4:20" x14ac:dyDescent="0.2">
      <c r="D188" s="542"/>
      <c r="E188" s="542"/>
      <c r="F188" s="542"/>
      <c r="G188" s="542"/>
      <c r="H188" s="542"/>
      <c r="I188" s="542"/>
      <c r="J188" s="542"/>
      <c r="K188" s="542"/>
    </row>
    <row r="189" spans="4:20" x14ac:dyDescent="0.2">
      <c r="D189" s="542"/>
      <c r="E189" s="542"/>
      <c r="F189" s="542"/>
      <c r="G189" s="542"/>
      <c r="H189" s="542"/>
      <c r="I189" s="542"/>
      <c r="J189" s="542"/>
      <c r="K189" s="542"/>
    </row>
  </sheetData>
  <sheetProtection algorithmName="SHA-512" hashValue="XXUYlTLKqE6bO5Jn7w2P7tg66UT9I2q1nOuTSRngFUOzcg6cEa6ces4cwKBM6VQyfApl9lL/w7FslyuPcbDzfg==" saltValue="lslAe+9TogqmWVtoRv3TGg==" spinCount="100000" sheet="1" objects="1" scenarios="1"/>
  <mergeCells count="127">
    <mergeCell ref="D189:K189"/>
    <mergeCell ref="D173:F173"/>
    <mergeCell ref="E174:F174"/>
    <mergeCell ref="E175:F175"/>
    <mergeCell ref="D184:G184"/>
    <mergeCell ref="D185:G185"/>
    <mergeCell ref="D188:K188"/>
    <mergeCell ref="E139:F139"/>
    <mergeCell ref="E142:F142"/>
    <mergeCell ref="E143:F143"/>
    <mergeCell ref="E144:F144"/>
    <mergeCell ref="E145:F145"/>
    <mergeCell ref="D171:G171"/>
    <mergeCell ref="E129:F129"/>
    <mergeCell ref="E130:F130"/>
    <mergeCell ref="E134:F134"/>
    <mergeCell ref="E135:F135"/>
    <mergeCell ref="E136:F136"/>
    <mergeCell ref="E138:F138"/>
    <mergeCell ref="E114:F114"/>
    <mergeCell ref="D118:G118"/>
    <mergeCell ref="E120:F120"/>
    <mergeCell ref="E123:F123"/>
    <mergeCell ref="E125:F125"/>
    <mergeCell ref="E126:F126"/>
    <mergeCell ref="E108:F108"/>
    <mergeCell ref="E109:F109"/>
    <mergeCell ref="E110:F110"/>
    <mergeCell ref="E111:F111"/>
    <mergeCell ref="E112:F112"/>
    <mergeCell ref="E113:F113"/>
    <mergeCell ref="E101:F101"/>
    <mergeCell ref="E102:F102"/>
    <mergeCell ref="E104:F104"/>
    <mergeCell ref="E105:F105"/>
    <mergeCell ref="E106:F106"/>
    <mergeCell ref="E107:F107"/>
    <mergeCell ref="E95:F95"/>
    <mergeCell ref="E96:F96"/>
    <mergeCell ref="E97:F97"/>
    <mergeCell ref="E98:F98"/>
    <mergeCell ref="E99:F99"/>
    <mergeCell ref="E100:F100"/>
    <mergeCell ref="E88:F88"/>
    <mergeCell ref="D89:F89"/>
    <mergeCell ref="E90:F90"/>
    <mergeCell ref="E91:F91"/>
    <mergeCell ref="E93:F93"/>
    <mergeCell ref="E94:F94"/>
    <mergeCell ref="E92:F92"/>
    <mergeCell ref="E81:F81"/>
    <mergeCell ref="E82:F82"/>
    <mergeCell ref="E83:F83"/>
    <mergeCell ref="D84:F84"/>
    <mergeCell ref="E86:F86"/>
    <mergeCell ref="E87:F87"/>
    <mergeCell ref="E75:F75"/>
    <mergeCell ref="E76:F76"/>
    <mergeCell ref="E77:F77"/>
    <mergeCell ref="E78:F78"/>
    <mergeCell ref="D79:F79"/>
    <mergeCell ref="E80:F80"/>
    <mergeCell ref="E85:F85"/>
    <mergeCell ref="E67:F67"/>
    <mergeCell ref="D68:F68"/>
    <mergeCell ref="E70:F70"/>
    <mergeCell ref="E71:F71"/>
    <mergeCell ref="E72:F72"/>
    <mergeCell ref="E73:F73"/>
    <mergeCell ref="D58:F58"/>
    <mergeCell ref="E59:F59"/>
    <mergeCell ref="E60:F60"/>
    <mergeCell ref="E61:F61"/>
    <mergeCell ref="E65:F65"/>
    <mergeCell ref="E66:F66"/>
    <mergeCell ref="E62:F62"/>
    <mergeCell ref="E63:F63"/>
    <mergeCell ref="E64:F64"/>
    <mergeCell ref="E50:F50"/>
    <mergeCell ref="E52:F52"/>
    <mergeCell ref="D53:F53"/>
    <mergeCell ref="E54:F54"/>
    <mergeCell ref="E55:F55"/>
    <mergeCell ref="E56:F56"/>
    <mergeCell ref="E44:F44"/>
    <mergeCell ref="E45:F45"/>
    <mergeCell ref="E46:F46"/>
    <mergeCell ref="E47:F47"/>
    <mergeCell ref="E48:F48"/>
    <mergeCell ref="E49:F49"/>
    <mergeCell ref="E51:F51"/>
    <mergeCell ref="E37:F37"/>
    <mergeCell ref="E38:F38"/>
    <mergeCell ref="E39:F39"/>
    <mergeCell ref="D42:F42"/>
    <mergeCell ref="E43:F43"/>
    <mergeCell ref="E29:F29"/>
    <mergeCell ref="D31:F31"/>
    <mergeCell ref="E32:F32"/>
    <mergeCell ref="E33:F33"/>
    <mergeCell ref="E34:F34"/>
    <mergeCell ref="E35:F35"/>
    <mergeCell ref="E40:F40"/>
    <mergeCell ref="C6:U6"/>
    <mergeCell ref="D1:I1"/>
    <mergeCell ref="E57:F57"/>
    <mergeCell ref="D10:G10"/>
    <mergeCell ref="D12:F12"/>
    <mergeCell ref="E13:F13"/>
    <mergeCell ref="E14:F14"/>
    <mergeCell ref="E15:F15"/>
    <mergeCell ref="E16:F16"/>
    <mergeCell ref="D8:F8"/>
    <mergeCell ref="D9:F9"/>
    <mergeCell ref="E23:F23"/>
    <mergeCell ref="E24:F24"/>
    <mergeCell ref="D25:F25"/>
    <mergeCell ref="E26:F26"/>
    <mergeCell ref="E27:F27"/>
    <mergeCell ref="E28:F28"/>
    <mergeCell ref="D17:F17"/>
    <mergeCell ref="E18:F18"/>
    <mergeCell ref="E19:F19"/>
    <mergeCell ref="E20:F20"/>
    <mergeCell ref="E21:F21"/>
    <mergeCell ref="E22:F22"/>
    <mergeCell ref="E36:F36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5" orientation="portrait" r:id="rId1"/>
  <headerFooter differentFirst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Izdevumi</vt:lpstr>
      <vt:lpstr>Ienemumi2</vt:lpstr>
      <vt:lpstr>Ienemumi</vt:lpstr>
      <vt:lpstr>Ienemumi!Print_Area</vt:lpstr>
      <vt:lpstr>Ienemumi2!Print_Area</vt:lpstr>
      <vt:lpstr>Izdevumi!Print_Area</vt:lpstr>
      <vt:lpstr>Ienemumi!Print_Titles</vt:lpstr>
      <vt:lpstr>Ienemumi2!Print_Titles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Zalkovska</cp:lastModifiedBy>
  <cp:lastPrinted>2015-06-17T09:17:05Z</cp:lastPrinted>
  <dcterms:created xsi:type="dcterms:W3CDTF">2006-10-31T12:58:11Z</dcterms:created>
  <dcterms:modified xsi:type="dcterms:W3CDTF">2015-06-17T10:01:31Z</dcterms:modified>
</cp:coreProperties>
</file>