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8800" windowHeight="11235"/>
  </bookViews>
  <sheets>
    <sheet name="Izdevumi" sheetId="5" r:id="rId1"/>
    <sheet name="Ienemumi" sheetId="4" state="hidden" r:id="rId2"/>
  </sheets>
  <definedNames>
    <definedName name="_xlnm._FilterDatabase" localSheetId="0" hidden="1">Izdevumi!$A$11:$BI$269</definedName>
    <definedName name="_xlnm.Print_Area" localSheetId="1">Ienemumi!$C$1:$U$188</definedName>
    <definedName name="_xlnm.Print_Area" localSheetId="0">Izdevumi!$A$1:$BI$266</definedName>
    <definedName name="_xlnm.Print_Titles" localSheetId="1">Ienemumi!$8:$8</definedName>
    <definedName name="_xlnm.Print_Titles" localSheetId="0">Izdevumi!$8:$11</definedName>
    <definedName name="Z_C32C0FCD_AE7D_41A3_975E_D7367DDEA994_.wvu.PrintArea" localSheetId="1" hidden="1">Ienemumi!$D$5:$K$188</definedName>
    <definedName name="Z_C32C0FCD_AE7D_41A3_975E_D7367DDEA994_.wvu.PrintArea" localSheetId="0" hidden="1">Izdevumi!$B$6:$BI$266</definedName>
    <definedName name="Z_C32C0FCD_AE7D_41A3_975E_D7367DDEA994_.wvu.PrintTitles" localSheetId="1" hidden="1">Ienemumi!$8:$9</definedName>
    <definedName name="Z_C32C0FCD_AE7D_41A3_975E_D7367DDEA994_.wvu.PrintTitles" localSheetId="0" hidden="1">Izdevumi!$8:$11</definedName>
    <definedName name="Z_C32C0FCD_AE7D_41A3_975E_D7367DDEA994_.wvu.Rows" localSheetId="1" hidden="1">Ienemumi!#REF!,Ienemumi!#REF!,Ienemumi!$176:$186</definedName>
  </definedNames>
  <calcPr calcId="152511" iterateDelta="252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V264" i="5" l="1"/>
  <c r="J20" i="5" l="1"/>
  <c r="I20" i="5" s="1"/>
  <c r="G20" i="5" s="1"/>
  <c r="AT264" i="5" l="1"/>
  <c r="V59" i="5" l="1"/>
  <c r="V104" i="5"/>
  <c r="V122" i="5" l="1"/>
  <c r="V218" i="5" l="1"/>
  <c r="P81" i="4" l="1"/>
  <c r="T25" i="4" l="1"/>
  <c r="S25" i="4"/>
  <c r="R25" i="4"/>
  <c r="Q25" i="4"/>
  <c r="P25" i="4"/>
  <c r="O25" i="4"/>
  <c r="N25" i="4"/>
  <c r="M25" i="4"/>
  <c r="L25" i="4"/>
  <c r="K25" i="4"/>
  <c r="J27" i="4"/>
  <c r="I27" i="4" s="1"/>
  <c r="J26" i="4"/>
  <c r="J25" i="4" s="1"/>
  <c r="H25" i="4"/>
  <c r="I26" i="4" l="1"/>
  <c r="I25" i="4" s="1"/>
  <c r="V79" i="5" l="1"/>
  <c r="P112" i="4" l="1"/>
  <c r="V102" i="5" l="1"/>
  <c r="U124" i="5" l="1"/>
  <c r="U25" i="5"/>
  <c r="J210" i="5" l="1"/>
  <c r="I210" i="5" s="1"/>
  <c r="G210" i="5" s="1"/>
  <c r="P84" i="4" l="1"/>
  <c r="AF149" i="5" l="1"/>
  <c r="AE149" i="5" s="1"/>
  <c r="AO48" i="5" l="1"/>
  <c r="AN48" i="5" s="1"/>
  <c r="J48" i="5"/>
  <c r="I48" i="5" s="1"/>
  <c r="G48" i="5" l="1"/>
  <c r="AO135" i="5" l="1"/>
  <c r="AN135" i="5" s="1"/>
  <c r="AF135" i="5"/>
  <c r="AE135" i="5" s="1"/>
  <c r="J135" i="5"/>
  <c r="I135" i="5" s="1"/>
  <c r="G135" i="5" l="1"/>
  <c r="AV263" i="5" l="1"/>
  <c r="AU263" i="5"/>
  <c r="AV234" i="5"/>
  <c r="AU234" i="5"/>
  <c r="AV141" i="5"/>
  <c r="AU141" i="5"/>
  <c r="AV101" i="5"/>
  <c r="AU101" i="5"/>
  <c r="AV92" i="5"/>
  <c r="AU92" i="5"/>
  <c r="AV78" i="5"/>
  <c r="AU78" i="5"/>
  <c r="AV64" i="5"/>
  <c r="AU64" i="5"/>
  <c r="AV36" i="5"/>
  <c r="AU36" i="5"/>
  <c r="AV28" i="5"/>
  <c r="AU28" i="5"/>
  <c r="AV21" i="5"/>
  <c r="AV13" i="5" s="1"/>
  <c r="AU21" i="5"/>
  <c r="AU13" i="5" s="1"/>
  <c r="AU265" i="5" s="1"/>
  <c r="AV266" i="5" l="1"/>
  <c r="AU266" i="5"/>
  <c r="AV265" i="5"/>
  <c r="AA263" i="5" l="1"/>
  <c r="Z263" i="5"/>
  <c r="Y263" i="5"/>
  <c r="X263" i="5"/>
  <c r="W263" i="5"/>
  <c r="V263" i="5"/>
  <c r="AA234" i="5"/>
  <c r="Z234" i="5"/>
  <c r="Y234" i="5"/>
  <c r="X234" i="5"/>
  <c r="W234" i="5"/>
  <c r="V234" i="5"/>
  <c r="AA224" i="5"/>
  <c r="AA141" i="5" s="1"/>
  <c r="Z224" i="5"/>
  <c r="Z141" i="5" s="1"/>
  <c r="Y224" i="5"/>
  <c r="X224" i="5"/>
  <c r="X141" i="5" s="1"/>
  <c r="W224" i="5"/>
  <c r="V224" i="5"/>
  <c r="V141" i="5" s="1"/>
  <c r="Y141" i="5"/>
  <c r="W141" i="5"/>
  <c r="AA101" i="5"/>
  <c r="Z101" i="5"/>
  <c r="Y101" i="5"/>
  <c r="X101" i="5"/>
  <c r="W101" i="5"/>
  <c r="V101" i="5"/>
  <c r="AA92" i="5"/>
  <c r="Z92" i="5"/>
  <c r="Y92" i="5"/>
  <c r="X92" i="5"/>
  <c r="W92" i="5"/>
  <c r="V92" i="5"/>
  <c r="AA78" i="5"/>
  <c r="Z78" i="5"/>
  <c r="Y78" i="5"/>
  <c r="X78" i="5"/>
  <c r="W78" i="5"/>
  <c r="V78" i="5"/>
  <c r="AA64" i="5"/>
  <c r="Z64" i="5"/>
  <c r="Y64" i="5"/>
  <c r="X64" i="5"/>
  <c r="W64" i="5"/>
  <c r="V64" i="5"/>
  <c r="AA36" i="5"/>
  <c r="Z36" i="5"/>
  <c r="Y36" i="5"/>
  <c r="X36" i="5"/>
  <c r="W36" i="5"/>
  <c r="V36" i="5"/>
  <c r="AA28" i="5"/>
  <c r="Z28" i="5"/>
  <c r="Y28" i="5"/>
  <c r="X28" i="5"/>
  <c r="W28" i="5"/>
  <c r="V28" i="5"/>
  <c r="AA21" i="5"/>
  <c r="AA13" i="5" s="1"/>
  <c r="Z21" i="5"/>
  <c r="Z13" i="5" s="1"/>
  <c r="Y21" i="5"/>
  <c r="Y13" i="5" s="1"/>
  <c r="X21" i="5"/>
  <c r="X13" i="5" s="1"/>
  <c r="W21" i="5"/>
  <c r="W13" i="5" s="1"/>
  <c r="V21" i="5"/>
  <c r="V13" i="5" s="1"/>
  <c r="F276" i="5"/>
  <c r="F275" i="5"/>
  <c r="F277" i="5" s="1"/>
  <c r="BH268" i="5"/>
  <c r="BH267" i="5"/>
  <c r="BH269" i="5" s="1"/>
  <c r="BB264" i="5"/>
  <c r="AY264" i="5"/>
  <c r="AY263" i="5" s="1"/>
  <c r="AR264" i="5"/>
  <c r="AM264" i="5"/>
  <c r="AM263" i="5" s="1"/>
  <c r="AH264" i="5"/>
  <c r="AD264" i="5"/>
  <c r="R264" i="5"/>
  <c r="R263" i="5" s="1"/>
  <c r="P264" i="5"/>
  <c r="O264" i="5"/>
  <c r="N264" i="5"/>
  <c r="N263" i="5" s="1"/>
  <c r="H264" i="5"/>
  <c r="BG263" i="5"/>
  <c r="BF263" i="5"/>
  <c r="BE263" i="5"/>
  <c r="BD263" i="5"/>
  <c r="BC263" i="5"/>
  <c r="AX263" i="5"/>
  <c r="AW263" i="5"/>
  <c r="AT263" i="5"/>
  <c r="AS263" i="5"/>
  <c r="AQ263" i="5"/>
  <c r="AP263" i="5"/>
  <c r="AL263" i="5"/>
  <c r="AK263" i="5"/>
  <c r="AJ263" i="5"/>
  <c r="AI263" i="5"/>
  <c r="AG263" i="5"/>
  <c r="AD263" i="5"/>
  <c r="AC263" i="5"/>
  <c r="AB263" i="5"/>
  <c r="U263" i="5"/>
  <c r="T263" i="5"/>
  <c r="S263" i="5"/>
  <c r="Q263" i="5"/>
  <c r="P263" i="5"/>
  <c r="O263" i="5"/>
  <c r="M263" i="5"/>
  <c r="L263" i="5"/>
  <c r="K263" i="5"/>
  <c r="H263" i="5"/>
  <c r="G261" i="5"/>
  <c r="G260" i="5"/>
  <c r="AO259" i="5"/>
  <c r="AN259" i="5" s="1"/>
  <c r="J259" i="5"/>
  <c r="H259" i="5"/>
  <c r="AO258" i="5"/>
  <c r="AN258" i="5" s="1"/>
  <c r="J258" i="5"/>
  <c r="I258" i="5"/>
  <c r="H258" i="5"/>
  <c r="AO257" i="5"/>
  <c r="AN257" i="5" s="1"/>
  <c r="J257" i="5"/>
  <c r="H257" i="5"/>
  <c r="BA256" i="5"/>
  <c r="AY256" i="5"/>
  <c r="AO256" i="5"/>
  <c r="AN256" i="5" s="1"/>
  <c r="J256" i="5"/>
  <c r="H256" i="5"/>
  <c r="AO255" i="5"/>
  <c r="AN255" i="5" s="1"/>
  <c r="J255" i="5"/>
  <c r="I255" i="5" s="1"/>
  <c r="H255" i="5"/>
  <c r="AO254" i="5"/>
  <c r="AN254" i="5" s="1"/>
  <c r="J254" i="5"/>
  <c r="I254" i="5" s="1"/>
  <c r="H254" i="5"/>
  <c r="AO253" i="5"/>
  <c r="AN253" i="5" s="1"/>
  <c r="J253" i="5"/>
  <c r="I253" i="5" s="1"/>
  <c r="H253" i="5"/>
  <c r="AO252" i="5"/>
  <c r="AN252" i="5" s="1"/>
  <c r="J252" i="5"/>
  <c r="I252" i="5" s="1"/>
  <c r="H252" i="5"/>
  <c r="AO251" i="5"/>
  <c r="AN251" i="5" s="1"/>
  <c r="J251" i="5"/>
  <c r="I251" i="5" s="1"/>
  <c r="H251" i="5"/>
  <c r="AO250" i="5"/>
  <c r="J250" i="5"/>
  <c r="H250" i="5"/>
  <c r="AO249" i="5"/>
  <c r="AN249" i="5" s="1"/>
  <c r="J249" i="5"/>
  <c r="I249" i="5" s="1"/>
  <c r="H249" i="5"/>
  <c r="AO248" i="5"/>
  <c r="AN248" i="5" s="1"/>
  <c r="J248" i="5"/>
  <c r="I248" i="5" s="1"/>
  <c r="H248" i="5"/>
  <c r="AO247" i="5"/>
  <c r="AN247" i="5" s="1"/>
  <c r="J247" i="5"/>
  <c r="I247" i="5" s="1"/>
  <c r="H247" i="5"/>
  <c r="BA246" i="5"/>
  <c r="AZ246" i="5" s="1"/>
  <c r="AO246" i="5"/>
  <c r="AN246" i="5" s="1"/>
  <c r="AM246" i="5"/>
  <c r="AM234" i="5" s="1"/>
  <c r="AF246" i="5"/>
  <c r="AD246" i="5"/>
  <c r="J246" i="5"/>
  <c r="I246" i="5" s="1"/>
  <c r="H246" i="5"/>
  <c r="AO245" i="5"/>
  <c r="AN245" i="5" s="1"/>
  <c r="J245" i="5"/>
  <c r="I245" i="5" s="1"/>
  <c r="H245" i="5"/>
  <c r="AO244" i="5"/>
  <c r="AN244" i="5" s="1"/>
  <c r="J244" i="5"/>
  <c r="H244" i="5"/>
  <c r="AO243" i="5"/>
  <c r="AN243" i="5" s="1"/>
  <c r="J243" i="5"/>
  <c r="I243" i="5" s="1"/>
  <c r="H243" i="5"/>
  <c r="AO242" i="5"/>
  <c r="AN242" i="5" s="1"/>
  <c r="J242" i="5"/>
  <c r="H242" i="5"/>
  <c r="AO241" i="5"/>
  <c r="AN241" i="5" s="1"/>
  <c r="J241" i="5"/>
  <c r="I241" i="5" s="1"/>
  <c r="H241" i="5"/>
  <c r="AO240" i="5"/>
  <c r="AN240" i="5" s="1"/>
  <c r="J240" i="5"/>
  <c r="H240" i="5"/>
  <c r="AO239" i="5"/>
  <c r="AN239" i="5" s="1"/>
  <c r="AF239" i="5"/>
  <c r="AE239" i="5" s="1"/>
  <c r="AD239" i="5"/>
  <c r="J239" i="5"/>
  <c r="H239" i="5"/>
  <c r="AO238" i="5"/>
  <c r="AN238" i="5" s="1"/>
  <c r="AF238" i="5"/>
  <c r="AD238" i="5"/>
  <c r="J238" i="5"/>
  <c r="I238" i="5" s="1"/>
  <c r="H238" i="5"/>
  <c r="AO237" i="5"/>
  <c r="AN237" i="5" s="1"/>
  <c r="J237" i="5"/>
  <c r="I237" i="5" s="1"/>
  <c r="H237" i="5"/>
  <c r="AO236" i="5"/>
  <c r="AN236" i="5" s="1"/>
  <c r="R236" i="5"/>
  <c r="J236" i="5"/>
  <c r="I236" i="5" s="1"/>
  <c r="AO235" i="5"/>
  <c r="AN235" i="5" s="1"/>
  <c r="J235" i="5"/>
  <c r="H235" i="5"/>
  <c r="I235" i="5" s="1"/>
  <c r="BG234" i="5"/>
  <c r="BF234" i="5"/>
  <c r="BE234" i="5"/>
  <c r="BD234" i="5"/>
  <c r="BC234" i="5"/>
  <c r="BB234" i="5"/>
  <c r="AX234" i="5"/>
  <c r="AW234" i="5"/>
  <c r="AT234" i="5"/>
  <c r="AS234" i="5"/>
  <c r="AR234" i="5"/>
  <c r="AQ234" i="5"/>
  <c r="AP234" i="5"/>
  <c r="AL234" i="5"/>
  <c r="AK234" i="5"/>
  <c r="AJ234" i="5"/>
  <c r="AI234" i="5"/>
  <c r="AH234" i="5"/>
  <c r="AG234" i="5"/>
  <c r="AD234" i="5"/>
  <c r="AC234" i="5"/>
  <c r="AB234" i="5"/>
  <c r="U234" i="5"/>
  <c r="T234" i="5"/>
  <c r="S234" i="5"/>
  <c r="R234" i="5"/>
  <c r="Q234" i="5"/>
  <c r="P234" i="5"/>
  <c r="O234" i="5"/>
  <c r="N234" i="5"/>
  <c r="M234" i="5"/>
  <c r="L234" i="5"/>
  <c r="K234" i="5"/>
  <c r="H234" i="5"/>
  <c r="G232" i="5"/>
  <c r="G231" i="5"/>
  <c r="G230" i="5"/>
  <c r="G229" i="5"/>
  <c r="G228" i="5"/>
  <c r="AO227" i="5"/>
  <c r="J227" i="5"/>
  <c r="I227" i="5" s="1"/>
  <c r="G227" i="5" s="1"/>
  <c r="H227" i="5"/>
  <c r="AO226" i="5"/>
  <c r="J226" i="5"/>
  <c r="I226" i="5" s="1"/>
  <c r="G226" i="5" s="1"/>
  <c r="H226" i="5"/>
  <c r="AO225" i="5"/>
  <c r="J225" i="5"/>
  <c r="H225" i="5"/>
  <c r="AO224" i="5"/>
  <c r="AC224" i="5"/>
  <c r="AC141" i="5" s="1"/>
  <c r="AB224" i="5"/>
  <c r="U224" i="5"/>
  <c r="U141" i="5" s="1"/>
  <c r="T224" i="5"/>
  <c r="T141" i="5" s="1"/>
  <c r="S224" i="5"/>
  <c r="S141" i="5" s="1"/>
  <c r="R224" i="5"/>
  <c r="Q224" i="5"/>
  <c r="Q141" i="5" s="1"/>
  <c r="P224" i="5"/>
  <c r="O224" i="5"/>
  <c r="O141" i="5" s="1"/>
  <c r="N224" i="5"/>
  <c r="M224" i="5"/>
  <c r="M141" i="5" s="1"/>
  <c r="H224" i="5"/>
  <c r="AO223" i="5"/>
  <c r="AN223" i="5" s="1"/>
  <c r="AG223" i="5"/>
  <c r="AF223" i="5" s="1"/>
  <c r="AE223" i="5" s="1"/>
  <c r="AD223" i="5"/>
  <c r="J223" i="5"/>
  <c r="I223" i="5" s="1"/>
  <c r="AO222" i="5"/>
  <c r="AN222" i="5" s="1"/>
  <c r="J222" i="5"/>
  <c r="I222" i="5" s="1"/>
  <c r="H222" i="5"/>
  <c r="AO221" i="5"/>
  <c r="AN221" i="5" s="1"/>
  <c r="AH221" i="5"/>
  <c r="AF221" i="5"/>
  <c r="AE221" i="5" s="1"/>
  <c r="AD221" i="5"/>
  <c r="J221" i="5"/>
  <c r="I221" i="5" s="1"/>
  <c r="H221" i="5"/>
  <c r="AO220" i="5"/>
  <c r="AN220" i="5" s="1"/>
  <c r="J220" i="5"/>
  <c r="I220" i="5" s="1"/>
  <c r="AO219" i="5"/>
  <c r="AN219" i="5" s="1"/>
  <c r="AF219" i="5"/>
  <c r="AD219" i="5"/>
  <c r="J219" i="5"/>
  <c r="I219" i="5" s="1"/>
  <c r="H219" i="5"/>
  <c r="BA218" i="5"/>
  <c r="AZ218" i="5" s="1"/>
  <c r="AY218" i="5"/>
  <c r="AQ218" i="5"/>
  <c r="AO218" i="5" s="1"/>
  <c r="AN218" i="5" s="1"/>
  <c r="AM218" i="5"/>
  <c r="AG218" i="5"/>
  <c r="AF218" i="5" s="1"/>
  <c r="AE218" i="5" s="1"/>
  <c r="AD218" i="5"/>
  <c r="J218" i="5"/>
  <c r="I218" i="5" s="1"/>
  <c r="H218" i="5"/>
  <c r="AO217" i="5"/>
  <c r="AN217" i="5" s="1"/>
  <c r="AM217" i="5"/>
  <c r="J217" i="5"/>
  <c r="I217" i="5" s="1"/>
  <c r="H217" i="5"/>
  <c r="AR216" i="5"/>
  <c r="AO216" i="5"/>
  <c r="AN216" i="5" s="1"/>
  <c r="AM216" i="5"/>
  <c r="AF216" i="5"/>
  <c r="AE216" i="5" s="1"/>
  <c r="AD216" i="5"/>
  <c r="J216" i="5"/>
  <c r="H216" i="5"/>
  <c r="AQ215" i="5"/>
  <c r="AO215" i="5" s="1"/>
  <c r="AN215" i="5" s="1"/>
  <c r="AM215" i="5"/>
  <c r="AF215" i="5"/>
  <c r="AD215" i="5"/>
  <c r="J215" i="5"/>
  <c r="H215" i="5"/>
  <c r="AO214" i="5"/>
  <c r="AN214" i="5" s="1"/>
  <c r="AH214" i="5"/>
  <c r="AF214" i="5"/>
  <c r="AE214" i="5" s="1"/>
  <c r="AD214" i="5"/>
  <c r="J214" i="5"/>
  <c r="I214" i="5" s="1"/>
  <c r="H214" i="5"/>
  <c r="AO213" i="5"/>
  <c r="AN213" i="5" s="1"/>
  <c r="AM213" i="5"/>
  <c r="AH213" i="5"/>
  <c r="AF213" i="5" s="1"/>
  <c r="AE213" i="5" s="1"/>
  <c r="AD213" i="5"/>
  <c r="P213" i="5"/>
  <c r="J213" i="5" s="1"/>
  <c r="I213" i="5" s="1"/>
  <c r="H213" i="5"/>
  <c r="AO212" i="5"/>
  <c r="AN212" i="5" s="1"/>
  <c r="AF212" i="5"/>
  <c r="AE212" i="5" s="1"/>
  <c r="AD212" i="5"/>
  <c r="J212" i="5"/>
  <c r="I212" i="5" s="1"/>
  <c r="H212" i="5"/>
  <c r="AQ211" i="5"/>
  <c r="AO211" i="5" s="1"/>
  <c r="AN211" i="5" s="1"/>
  <c r="AM211" i="5"/>
  <c r="AG211" i="5"/>
  <c r="AF211" i="5" s="1"/>
  <c r="AD211" i="5"/>
  <c r="J211" i="5"/>
  <c r="I211" i="5" s="1"/>
  <c r="H211" i="5"/>
  <c r="AO209" i="5"/>
  <c r="AN209" i="5" s="1"/>
  <c r="AF209" i="5"/>
  <c r="AD209" i="5"/>
  <c r="J209" i="5"/>
  <c r="H209" i="5"/>
  <c r="AQ208" i="5"/>
  <c r="AO208" i="5" s="1"/>
  <c r="AN208" i="5" s="1"/>
  <c r="AM208" i="5"/>
  <c r="AG208" i="5"/>
  <c r="AF208" i="5" s="1"/>
  <c r="AD208" i="5"/>
  <c r="J208" i="5"/>
  <c r="I208" i="5" s="1"/>
  <c r="H208" i="5"/>
  <c r="AO207" i="5"/>
  <c r="AN207" i="5" s="1"/>
  <c r="AF207" i="5"/>
  <c r="AD207" i="5"/>
  <c r="J207" i="5"/>
  <c r="H207" i="5"/>
  <c r="BA206" i="5"/>
  <c r="AZ206" i="5" s="1"/>
  <c r="AQ206" i="5"/>
  <c r="AO206" i="5" s="1"/>
  <c r="AN206" i="5" s="1"/>
  <c r="AM206" i="5"/>
  <c r="AG206" i="5"/>
  <c r="AF206" i="5"/>
  <c r="AD206" i="5"/>
  <c r="J206" i="5"/>
  <c r="I206" i="5" s="1"/>
  <c r="H206" i="5"/>
  <c r="AO205" i="5"/>
  <c r="AN205" i="5" s="1"/>
  <c r="N205" i="5"/>
  <c r="J205" i="5"/>
  <c r="I205" i="5" s="1"/>
  <c r="H205" i="5"/>
  <c r="AO204" i="5"/>
  <c r="AN204" i="5" s="1"/>
  <c r="J204" i="5"/>
  <c r="H204" i="5"/>
  <c r="AO203" i="5"/>
  <c r="AN203" i="5" s="1"/>
  <c r="AF203" i="5"/>
  <c r="AD203" i="5"/>
  <c r="J203" i="5"/>
  <c r="H203" i="5"/>
  <c r="AO202" i="5"/>
  <c r="AM202" i="5"/>
  <c r="AG202" i="5"/>
  <c r="AF202" i="5" s="1"/>
  <c r="AD202" i="5"/>
  <c r="J202" i="5"/>
  <c r="I202" i="5" s="1"/>
  <c r="H202" i="5"/>
  <c r="AO201" i="5"/>
  <c r="AN201" i="5" s="1"/>
  <c r="J201" i="5"/>
  <c r="I201" i="5" s="1"/>
  <c r="H201" i="5"/>
  <c r="BC200" i="5"/>
  <c r="BA200" i="5"/>
  <c r="AZ200" i="5" s="1"/>
  <c r="AR200" i="5"/>
  <c r="AO200" i="5" s="1"/>
  <c r="AN200" i="5" s="1"/>
  <c r="AM200" i="5"/>
  <c r="AF200" i="5"/>
  <c r="AD200" i="5"/>
  <c r="P200" i="5"/>
  <c r="J200" i="5"/>
  <c r="I200" i="5" s="1"/>
  <c r="H200" i="5"/>
  <c r="AO199" i="5"/>
  <c r="AN199" i="5" s="1"/>
  <c r="J199" i="5"/>
  <c r="H199" i="5"/>
  <c r="AR198" i="5"/>
  <c r="AO198" i="5" s="1"/>
  <c r="AN198" i="5" s="1"/>
  <c r="AM198" i="5"/>
  <c r="AF198" i="5"/>
  <c r="AD198" i="5"/>
  <c r="P198" i="5"/>
  <c r="J198" i="5" s="1"/>
  <c r="H198" i="5"/>
  <c r="AR197" i="5"/>
  <c r="AO197" i="5" s="1"/>
  <c r="AN197" i="5" s="1"/>
  <c r="AM197" i="5"/>
  <c r="AH197" i="5"/>
  <c r="AF197" i="5" s="1"/>
  <c r="AD197" i="5"/>
  <c r="J197" i="5"/>
  <c r="H197" i="5"/>
  <c r="AO196" i="5"/>
  <c r="AN196" i="5" s="1"/>
  <c r="J196" i="5"/>
  <c r="I196" i="5" s="1"/>
  <c r="H196" i="5"/>
  <c r="AO195" i="5"/>
  <c r="AN195" i="5" s="1"/>
  <c r="AG195" i="5"/>
  <c r="AF195" i="5" s="1"/>
  <c r="AD195" i="5"/>
  <c r="J195" i="5"/>
  <c r="H195" i="5"/>
  <c r="AO194" i="5"/>
  <c r="AN194" i="5" s="1"/>
  <c r="J194" i="5"/>
  <c r="I194" i="5" s="1"/>
  <c r="H194" i="5"/>
  <c r="AR193" i="5"/>
  <c r="AO193" i="5"/>
  <c r="AN193" i="5" s="1"/>
  <c r="AM193" i="5"/>
  <c r="AF193" i="5"/>
  <c r="AE193" i="5" s="1"/>
  <c r="AD193" i="5"/>
  <c r="P193" i="5"/>
  <c r="J193" i="5"/>
  <c r="I193" i="5" s="1"/>
  <c r="H193" i="5"/>
  <c r="AO192" i="5"/>
  <c r="AN192" i="5" s="1"/>
  <c r="J192" i="5"/>
  <c r="H192" i="5"/>
  <c r="AR191" i="5"/>
  <c r="AO191" i="5" s="1"/>
  <c r="AN191" i="5" s="1"/>
  <c r="AM191" i="5"/>
  <c r="AH191" i="5"/>
  <c r="AF191" i="5" s="1"/>
  <c r="AD191" i="5"/>
  <c r="P191" i="5"/>
  <c r="J191" i="5" s="1"/>
  <c r="H191" i="5"/>
  <c r="AO190" i="5"/>
  <c r="AN190" i="5" s="1"/>
  <c r="J190" i="5"/>
  <c r="I190" i="5" s="1"/>
  <c r="H190" i="5"/>
  <c r="AR189" i="5"/>
  <c r="AO189" i="5" s="1"/>
  <c r="AN189" i="5" s="1"/>
  <c r="AM189" i="5"/>
  <c r="AH189" i="5"/>
  <c r="AF189" i="5" s="1"/>
  <c r="AD189" i="5"/>
  <c r="P189" i="5"/>
  <c r="J189" i="5" s="1"/>
  <c r="H189" i="5"/>
  <c r="AO188" i="5"/>
  <c r="AN188" i="5" s="1"/>
  <c r="J188" i="5"/>
  <c r="I188" i="5" s="1"/>
  <c r="H188" i="5"/>
  <c r="AO187" i="5"/>
  <c r="AN187" i="5" s="1"/>
  <c r="AM187" i="5"/>
  <c r="AG187" i="5"/>
  <c r="AF187" i="5"/>
  <c r="AE187" i="5" s="1"/>
  <c r="AD187" i="5"/>
  <c r="J187" i="5"/>
  <c r="H187" i="5"/>
  <c r="AO186" i="5"/>
  <c r="AN186" i="5" s="1"/>
  <c r="J186" i="5"/>
  <c r="I186" i="5" s="1"/>
  <c r="H186" i="5"/>
  <c r="AR185" i="5"/>
  <c r="AO185" i="5" s="1"/>
  <c r="AN185" i="5" s="1"/>
  <c r="AM185" i="5"/>
  <c r="AH185" i="5"/>
  <c r="AF185" i="5" s="1"/>
  <c r="AD185" i="5"/>
  <c r="P185" i="5"/>
  <c r="J185" i="5" s="1"/>
  <c r="H185" i="5"/>
  <c r="AO184" i="5"/>
  <c r="AN184" i="5" s="1"/>
  <c r="J184" i="5"/>
  <c r="I184" i="5" s="1"/>
  <c r="H184" i="5"/>
  <c r="AQ183" i="5"/>
  <c r="AO183" i="5"/>
  <c r="AN183" i="5" s="1"/>
  <c r="AM183" i="5"/>
  <c r="AG183" i="5"/>
  <c r="AF183" i="5"/>
  <c r="AE183" i="5" s="1"/>
  <c r="AD183" i="5"/>
  <c r="J183" i="5"/>
  <c r="I183" i="5" s="1"/>
  <c r="H183" i="5"/>
  <c r="AO182" i="5"/>
  <c r="AN182" i="5" s="1"/>
  <c r="AM182" i="5"/>
  <c r="J182" i="5"/>
  <c r="H182" i="5"/>
  <c r="AR181" i="5"/>
  <c r="AO181" i="5"/>
  <c r="AN181" i="5" s="1"/>
  <c r="AM181" i="5"/>
  <c r="P181" i="5"/>
  <c r="J181" i="5"/>
  <c r="I181" i="5" s="1"/>
  <c r="G181" i="5" s="1"/>
  <c r="H181" i="5"/>
  <c r="BA180" i="5"/>
  <c r="AZ180" i="5" s="1"/>
  <c r="AR180" i="5"/>
  <c r="AO180" i="5" s="1"/>
  <c r="AM180" i="5"/>
  <c r="AF180" i="5"/>
  <c r="AD180" i="5"/>
  <c r="J180" i="5"/>
  <c r="I180" i="5" s="1"/>
  <c r="H180" i="5"/>
  <c r="BA179" i="5"/>
  <c r="AZ179" i="5" s="1"/>
  <c r="AQ179" i="5"/>
  <c r="AO179" i="5"/>
  <c r="AN179" i="5" s="1"/>
  <c r="AM179" i="5"/>
  <c r="AH179" i="5"/>
  <c r="AG179" i="5"/>
  <c r="AF179" i="5"/>
  <c r="AE179" i="5" s="1"/>
  <c r="AD179" i="5"/>
  <c r="P179" i="5"/>
  <c r="J179" i="5"/>
  <c r="I179" i="5" s="1"/>
  <c r="H179" i="5"/>
  <c r="AO178" i="5"/>
  <c r="AN178" i="5" s="1"/>
  <c r="AF178" i="5"/>
  <c r="AD178" i="5"/>
  <c r="J178" i="5"/>
  <c r="H178" i="5"/>
  <c r="AR177" i="5"/>
  <c r="AO177" i="5" s="1"/>
  <c r="AM177" i="5"/>
  <c r="AG177" i="5"/>
  <c r="AF177" i="5" s="1"/>
  <c r="AD177" i="5"/>
  <c r="J177" i="5"/>
  <c r="H177" i="5"/>
  <c r="BA176" i="5"/>
  <c r="AY176" i="5"/>
  <c r="AO176" i="5"/>
  <c r="AN176" i="5" s="1"/>
  <c r="AM176" i="5"/>
  <c r="AG176" i="5"/>
  <c r="AF176" i="5"/>
  <c r="AE176" i="5" s="1"/>
  <c r="AD176" i="5"/>
  <c r="J176" i="5"/>
  <c r="I176" i="5" s="1"/>
  <c r="H176" i="5"/>
  <c r="AO175" i="5"/>
  <c r="AN175" i="5" s="1"/>
  <c r="J175" i="5"/>
  <c r="H175" i="5"/>
  <c r="AO174" i="5"/>
  <c r="AN174" i="5" s="1"/>
  <c r="AF174" i="5"/>
  <c r="AE174" i="5" s="1"/>
  <c r="AD174" i="5"/>
  <c r="J174" i="5"/>
  <c r="H174" i="5"/>
  <c r="AO173" i="5"/>
  <c r="AM173" i="5"/>
  <c r="AG173" i="5"/>
  <c r="AF173" i="5" s="1"/>
  <c r="AD173" i="5"/>
  <c r="J173" i="5"/>
  <c r="H173" i="5"/>
  <c r="AO172" i="5"/>
  <c r="AN172" i="5" s="1"/>
  <c r="AH172" i="5"/>
  <c r="AF172" i="5"/>
  <c r="AE172" i="5" s="1"/>
  <c r="AD172" i="5"/>
  <c r="J172" i="5"/>
  <c r="I172" i="5" s="1"/>
  <c r="H172" i="5"/>
  <c r="AR171" i="5"/>
  <c r="AO171" i="5"/>
  <c r="AN171" i="5" s="1"/>
  <c r="AM171" i="5"/>
  <c r="AH171" i="5"/>
  <c r="AF171" i="5"/>
  <c r="AE171" i="5" s="1"/>
  <c r="AD171" i="5"/>
  <c r="P171" i="5"/>
  <c r="J171" i="5"/>
  <c r="I171" i="5" s="1"/>
  <c r="H171" i="5"/>
  <c r="AO170" i="5"/>
  <c r="AN170" i="5" s="1"/>
  <c r="AF170" i="5"/>
  <c r="AD170" i="5"/>
  <c r="J170" i="5"/>
  <c r="H170" i="5"/>
  <c r="AO169" i="5"/>
  <c r="AN169" i="5" s="1"/>
  <c r="AM169" i="5"/>
  <c r="AH169" i="5"/>
  <c r="AF169" i="5" s="1"/>
  <c r="AD169" i="5"/>
  <c r="P169" i="5"/>
  <c r="J169" i="5" s="1"/>
  <c r="H169" i="5"/>
  <c r="AO168" i="5"/>
  <c r="AN168" i="5" s="1"/>
  <c r="AF168" i="5"/>
  <c r="AE168" i="5" s="1"/>
  <c r="AD168" i="5"/>
  <c r="J168" i="5"/>
  <c r="H168" i="5"/>
  <c r="AQ167" i="5"/>
  <c r="AO167" i="5"/>
  <c r="AN167" i="5" s="1"/>
  <c r="AM167" i="5"/>
  <c r="AG167" i="5"/>
  <c r="AF167" i="5"/>
  <c r="AE167" i="5" s="1"/>
  <c r="AD167" i="5"/>
  <c r="J167" i="5"/>
  <c r="H167" i="5"/>
  <c r="AO166" i="5"/>
  <c r="AN166" i="5" s="1"/>
  <c r="J166" i="5"/>
  <c r="I166" i="5" s="1"/>
  <c r="H166" i="5"/>
  <c r="AO165" i="5"/>
  <c r="AN165" i="5" s="1"/>
  <c r="N165" i="5"/>
  <c r="J165" i="5"/>
  <c r="I165" i="5" s="1"/>
  <c r="H165" i="5"/>
  <c r="AO164" i="5"/>
  <c r="AN164" i="5" s="1"/>
  <c r="AF164" i="5"/>
  <c r="AD164" i="5"/>
  <c r="J164" i="5"/>
  <c r="I164" i="5" s="1"/>
  <c r="AQ163" i="5"/>
  <c r="AO163" i="5"/>
  <c r="AN163" i="5" s="1"/>
  <c r="AM163" i="5"/>
  <c r="AG163" i="5"/>
  <c r="AF163" i="5"/>
  <c r="AE163" i="5" s="1"/>
  <c r="AD163" i="5"/>
  <c r="J163" i="5"/>
  <c r="I163" i="5" s="1"/>
  <c r="H163" i="5"/>
  <c r="J162" i="5"/>
  <c r="I162" i="5" s="1"/>
  <c r="G162" i="5" s="1"/>
  <c r="AO161" i="5"/>
  <c r="AN161" i="5" s="1"/>
  <c r="J161" i="5"/>
  <c r="I161" i="5" s="1"/>
  <c r="H161" i="5"/>
  <c r="AO160" i="5"/>
  <c r="AN160" i="5" s="1"/>
  <c r="J160" i="5"/>
  <c r="H160" i="5"/>
  <c r="AR159" i="5"/>
  <c r="AO159" i="5"/>
  <c r="AN159" i="5" s="1"/>
  <c r="AM159" i="5"/>
  <c r="AF159" i="5"/>
  <c r="AD159" i="5"/>
  <c r="P159" i="5"/>
  <c r="J159" i="5" s="1"/>
  <c r="H159" i="5"/>
  <c r="AO158" i="5"/>
  <c r="AN158" i="5" s="1"/>
  <c r="J158" i="5"/>
  <c r="I158" i="5" s="1"/>
  <c r="AO157" i="5"/>
  <c r="AN157" i="5" s="1"/>
  <c r="AF157" i="5"/>
  <c r="AD157" i="5"/>
  <c r="J157" i="5"/>
  <c r="I157" i="5" s="1"/>
  <c r="H157" i="5"/>
  <c r="BA156" i="5"/>
  <c r="AZ156" i="5" s="1"/>
  <c r="AY156" i="5"/>
  <c r="AQ156" i="5"/>
  <c r="AO156" i="5"/>
  <c r="AN156" i="5" s="1"/>
  <c r="AM156" i="5"/>
  <c r="AG156" i="5"/>
  <c r="AF156" i="5"/>
  <c r="AE156" i="5" s="1"/>
  <c r="AD156" i="5"/>
  <c r="N156" i="5"/>
  <c r="J156" i="5"/>
  <c r="I156" i="5" s="1"/>
  <c r="H156" i="5"/>
  <c r="AO155" i="5"/>
  <c r="AN155" i="5" s="1"/>
  <c r="AF155" i="5"/>
  <c r="AD155" i="5"/>
  <c r="J155" i="5"/>
  <c r="H155" i="5"/>
  <c r="AO154" i="5"/>
  <c r="AN154" i="5" s="1"/>
  <c r="AM154" i="5"/>
  <c r="AG154" i="5"/>
  <c r="AD154" i="5"/>
  <c r="J154" i="5"/>
  <c r="I154" i="5" s="1"/>
  <c r="H154" i="5"/>
  <c r="AO153" i="5"/>
  <c r="AN153" i="5" s="1"/>
  <c r="J153" i="5"/>
  <c r="I153" i="5" s="1"/>
  <c r="AO152" i="5"/>
  <c r="AN152" i="5" s="1"/>
  <c r="J152" i="5"/>
  <c r="I152" i="5" s="1"/>
  <c r="AO151" i="5"/>
  <c r="AN151" i="5" s="1"/>
  <c r="J151" i="5"/>
  <c r="I151" i="5" s="1"/>
  <c r="AO150" i="5"/>
  <c r="AN150" i="5" s="1"/>
  <c r="J150" i="5"/>
  <c r="H150" i="5"/>
  <c r="AO149" i="5"/>
  <c r="AN149" i="5" s="1"/>
  <c r="J149" i="5"/>
  <c r="I149" i="5" s="1"/>
  <c r="H149" i="5"/>
  <c r="AO148" i="5"/>
  <c r="AN148" i="5" s="1"/>
  <c r="R148" i="5"/>
  <c r="R141" i="5" s="1"/>
  <c r="P148" i="5"/>
  <c r="O148" i="5"/>
  <c r="J148" i="5"/>
  <c r="I148" i="5" s="1"/>
  <c r="H148" i="5"/>
  <c r="AO147" i="5"/>
  <c r="AN147" i="5" s="1"/>
  <c r="P147" i="5"/>
  <c r="O147" i="5"/>
  <c r="J147" i="5"/>
  <c r="I147" i="5" s="1"/>
  <c r="H147" i="5"/>
  <c r="AO146" i="5"/>
  <c r="AN146" i="5" s="1"/>
  <c r="J146" i="5"/>
  <c r="H146" i="5"/>
  <c r="AO145" i="5"/>
  <c r="AN145" i="5" s="1"/>
  <c r="J145" i="5"/>
  <c r="I145" i="5" s="1"/>
  <c r="H145" i="5"/>
  <c r="AO144" i="5"/>
  <c r="AN144" i="5" s="1"/>
  <c r="J144" i="5"/>
  <c r="H144" i="5"/>
  <c r="AO143" i="5"/>
  <c r="AN143" i="5" s="1"/>
  <c r="J143" i="5"/>
  <c r="H143" i="5"/>
  <c r="AO142" i="5"/>
  <c r="J142" i="5"/>
  <c r="H142" i="5"/>
  <c r="BG141" i="5"/>
  <c r="BF141" i="5"/>
  <c r="BE141" i="5"/>
  <c r="BD141" i="5"/>
  <c r="BC141" i="5"/>
  <c r="BB141" i="5"/>
  <c r="AY141" i="5"/>
  <c r="AX141" i="5"/>
  <c r="AW141" i="5"/>
  <c r="AT141" i="5"/>
  <c r="AS141" i="5"/>
  <c r="AP141" i="5"/>
  <c r="AL141" i="5"/>
  <c r="AK141" i="5"/>
  <c r="AJ141" i="5"/>
  <c r="AI141" i="5"/>
  <c r="AH141" i="5"/>
  <c r="AD141" i="5"/>
  <c r="AB141" i="5"/>
  <c r="N141" i="5"/>
  <c r="L141" i="5"/>
  <c r="K141" i="5"/>
  <c r="AF139" i="5"/>
  <c r="G139" i="5"/>
  <c r="AF138" i="5"/>
  <c r="AE138" i="5" s="1"/>
  <c r="G138" i="5" s="1"/>
  <c r="AF137" i="5"/>
  <c r="AE137" i="5" s="1"/>
  <c r="G137" i="5" s="1"/>
  <c r="AF136" i="5"/>
  <c r="AE136" i="5" s="1"/>
  <c r="G136" i="5" s="1"/>
  <c r="AR134" i="5"/>
  <c r="AO134" i="5" s="1"/>
  <c r="AN134" i="5" s="1"/>
  <c r="AF134" i="5"/>
  <c r="AE134" i="5" s="1"/>
  <c r="P134" i="5"/>
  <c r="J134" i="5"/>
  <c r="I134" i="5" s="1"/>
  <c r="AR133" i="5"/>
  <c r="AO133" i="5"/>
  <c r="AN133" i="5" s="1"/>
  <c r="AF133" i="5"/>
  <c r="AE133" i="5" s="1"/>
  <c r="P133" i="5"/>
  <c r="J133" i="5"/>
  <c r="I133" i="5" s="1"/>
  <c r="AO132" i="5"/>
  <c r="AN132" i="5" s="1"/>
  <c r="AF132" i="5"/>
  <c r="AE132" i="5" s="1"/>
  <c r="P132" i="5"/>
  <c r="J132" i="5" s="1"/>
  <c r="I132" i="5" s="1"/>
  <c r="AO131" i="5"/>
  <c r="AN131" i="5" s="1"/>
  <c r="AF131" i="5"/>
  <c r="AE131" i="5" s="1"/>
  <c r="J131" i="5"/>
  <c r="I131" i="5" s="1"/>
  <c r="H131" i="5"/>
  <c r="AO130" i="5"/>
  <c r="AN130" i="5" s="1"/>
  <c r="AF130" i="5"/>
  <c r="AE130" i="5" s="1"/>
  <c r="J130" i="5"/>
  <c r="I130" i="5" s="1"/>
  <c r="H130" i="5"/>
  <c r="AO129" i="5"/>
  <c r="AN129" i="5" s="1"/>
  <c r="AF129" i="5"/>
  <c r="AE129" i="5" s="1"/>
  <c r="J129" i="5"/>
  <c r="I129" i="5" s="1"/>
  <c r="H129" i="5"/>
  <c r="AO128" i="5"/>
  <c r="AN128" i="5" s="1"/>
  <c r="AF128" i="5"/>
  <c r="AE128" i="5" s="1"/>
  <c r="J128" i="5"/>
  <c r="I128" i="5" s="1"/>
  <c r="H128" i="5"/>
  <c r="AO127" i="5"/>
  <c r="AN127" i="5" s="1"/>
  <c r="AF127" i="5"/>
  <c r="AE127" i="5" s="1"/>
  <c r="J127" i="5"/>
  <c r="I127" i="5" s="1"/>
  <c r="H127" i="5"/>
  <c r="AO126" i="5"/>
  <c r="AN126" i="5" s="1"/>
  <c r="AF126" i="5"/>
  <c r="AE126" i="5" s="1"/>
  <c r="J126" i="5"/>
  <c r="I126" i="5" s="1"/>
  <c r="AO125" i="5"/>
  <c r="AN125" i="5" s="1"/>
  <c r="AF125" i="5"/>
  <c r="AE125" i="5" s="1"/>
  <c r="J125" i="5"/>
  <c r="H125" i="5"/>
  <c r="BA124" i="5"/>
  <c r="AZ124" i="5" s="1"/>
  <c r="AO124" i="5"/>
  <c r="AN124" i="5" s="1"/>
  <c r="AM124" i="5"/>
  <c r="AF124" i="5"/>
  <c r="AE124" i="5" s="1"/>
  <c r="J124" i="5"/>
  <c r="H124" i="5"/>
  <c r="AR123" i="5"/>
  <c r="AO123" i="5"/>
  <c r="AN123" i="5" s="1"/>
  <c r="AM123" i="5"/>
  <c r="AF123" i="5"/>
  <c r="AE123" i="5" s="1"/>
  <c r="P123" i="5"/>
  <c r="J123" i="5" s="1"/>
  <c r="H123" i="5"/>
  <c r="BA122" i="5"/>
  <c r="AZ122" i="5" s="1"/>
  <c r="AQ122" i="5"/>
  <c r="AO122" i="5"/>
  <c r="AN122" i="5" s="1"/>
  <c r="AM122" i="5"/>
  <c r="AF122" i="5"/>
  <c r="AE122" i="5" s="1"/>
  <c r="N122" i="5"/>
  <c r="J122" i="5" s="1"/>
  <c r="H122" i="5"/>
  <c r="AQ121" i="5"/>
  <c r="AO121" i="5"/>
  <c r="AN121" i="5" s="1"/>
  <c r="AM121" i="5"/>
  <c r="AF121" i="5"/>
  <c r="AE121" i="5" s="1"/>
  <c r="J121" i="5"/>
  <c r="I121" i="5" s="1"/>
  <c r="H121" i="5"/>
  <c r="AQ120" i="5"/>
  <c r="AO120" i="5"/>
  <c r="AN120" i="5" s="1"/>
  <c r="AM120" i="5"/>
  <c r="AF120" i="5"/>
  <c r="AE120" i="5" s="1"/>
  <c r="J120" i="5"/>
  <c r="H120" i="5"/>
  <c r="AO119" i="5"/>
  <c r="AN119" i="5" s="1"/>
  <c r="AF119" i="5"/>
  <c r="AE119" i="5" s="1"/>
  <c r="J119" i="5"/>
  <c r="H119" i="5"/>
  <c r="AO118" i="5"/>
  <c r="AN118" i="5" s="1"/>
  <c r="AF118" i="5"/>
  <c r="AE118" i="5" s="1"/>
  <c r="J118" i="5"/>
  <c r="H118" i="5"/>
  <c r="AO117" i="5"/>
  <c r="AN117" i="5" s="1"/>
  <c r="AF117" i="5"/>
  <c r="AE117" i="5" s="1"/>
  <c r="J117" i="5"/>
  <c r="H117" i="5"/>
  <c r="AO116" i="5"/>
  <c r="AN116" i="5" s="1"/>
  <c r="AF116" i="5"/>
  <c r="AE116" i="5" s="1"/>
  <c r="J116" i="5"/>
  <c r="H116" i="5"/>
  <c r="AO115" i="5"/>
  <c r="AN115" i="5" s="1"/>
  <c r="AF115" i="5"/>
  <c r="AE115" i="5" s="1"/>
  <c r="J115" i="5"/>
  <c r="H115" i="5"/>
  <c r="AO114" i="5"/>
  <c r="AN114" i="5" s="1"/>
  <c r="AF114" i="5"/>
  <c r="AE114" i="5" s="1"/>
  <c r="J114" i="5"/>
  <c r="H114" i="5"/>
  <c r="AO113" i="5"/>
  <c r="AN113" i="5" s="1"/>
  <c r="AF113" i="5"/>
  <c r="AE113" i="5" s="1"/>
  <c r="J113" i="5"/>
  <c r="H113" i="5"/>
  <c r="AO112" i="5"/>
  <c r="AN112" i="5" s="1"/>
  <c r="AF112" i="5"/>
  <c r="AE112" i="5" s="1"/>
  <c r="N112" i="5"/>
  <c r="J112" i="5" s="1"/>
  <c r="I112" i="5" s="1"/>
  <c r="H112" i="5"/>
  <c r="AO111" i="5"/>
  <c r="AN111" i="5" s="1"/>
  <c r="AF111" i="5"/>
  <c r="J111" i="5"/>
  <c r="H111" i="5"/>
  <c r="AO110" i="5"/>
  <c r="AN110" i="5" s="1"/>
  <c r="AF110" i="5"/>
  <c r="J110" i="5"/>
  <c r="I110" i="5" s="1"/>
  <c r="H110" i="5"/>
  <c r="BA109" i="5"/>
  <c r="AZ109" i="5" s="1"/>
  <c r="AO109" i="5"/>
  <c r="AN109" i="5" s="1"/>
  <c r="AF109" i="5"/>
  <c r="AE109" i="5" s="1"/>
  <c r="AD109" i="5"/>
  <c r="AD101" i="5" s="1"/>
  <c r="J109" i="5"/>
  <c r="H109" i="5"/>
  <c r="AO108" i="5"/>
  <c r="AN108" i="5" s="1"/>
  <c r="J108" i="5"/>
  <c r="H108" i="5"/>
  <c r="AO107" i="5"/>
  <c r="AN107" i="5" s="1"/>
  <c r="J107" i="5"/>
  <c r="H107" i="5"/>
  <c r="AO106" i="5"/>
  <c r="AN106" i="5" s="1"/>
  <c r="J106" i="5"/>
  <c r="H106" i="5"/>
  <c r="AO105" i="5"/>
  <c r="AN105" i="5" s="1"/>
  <c r="J105" i="5"/>
  <c r="H105" i="5"/>
  <c r="AO104" i="5"/>
  <c r="AN104" i="5" s="1"/>
  <c r="J104" i="5"/>
  <c r="H104" i="5"/>
  <c r="AO103" i="5"/>
  <c r="AN103" i="5" s="1"/>
  <c r="J103" i="5"/>
  <c r="H103" i="5"/>
  <c r="AO102" i="5"/>
  <c r="AN102" i="5" s="1"/>
  <c r="J102" i="5"/>
  <c r="H102" i="5"/>
  <c r="BG101" i="5"/>
  <c r="BF101" i="5"/>
  <c r="BE101" i="5"/>
  <c r="BD101" i="5"/>
  <c r="BC101" i="5"/>
  <c r="BB101" i="5"/>
  <c r="AY101" i="5"/>
  <c r="AX101" i="5"/>
  <c r="AW101" i="5"/>
  <c r="AT101" i="5"/>
  <c r="AS101" i="5"/>
  <c r="AR101" i="5"/>
  <c r="AQ101" i="5"/>
  <c r="AP101" i="5"/>
  <c r="AM101" i="5"/>
  <c r="AL101" i="5"/>
  <c r="AK101" i="5"/>
  <c r="AJ101" i="5"/>
  <c r="AI101" i="5"/>
  <c r="AH101" i="5"/>
  <c r="AG101" i="5"/>
  <c r="AC101" i="5"/>
  <c r="AB101" i="5"/>
  <c r="U101" i="5"/>
  <c r="T101" i="5"/>
  <c r="S101" i="5"/>
  <c r="R101" i="5"/>
  <c r="Q101" i="5"/>
  <c r="O101" i="5"/>
  <c r="M101" i="5"/>
  <c r="L101" i="5"/>
  <c r="K101" i="5"/>
  <c r="AO99" i="5"/>
  <c r="AN99" i="5" s="1"/>
  <c r="J99" i="5"/>
  <c r="I99" i="5" s="1"/>
  <c r="H99" i="5"/>
  <c r="AO98" i="5"/>
  <c r="AN98" i="5" s="1"/>
  <c r="J98" i="5"/>
  <c r="I98" i="5" s="1"/>
  <c r="BA97" i="5"/>
  <c r="BA92" i="5" s="1"/>
  <c r="AO97" i="5"/>
  <c r="AN97" i="5" s="1"/>
  <c r="AM97" i="5"/>
  <c r="J97" i="5"/>
  <c r="H97" i="5"/>
  <c r="AO96" i="5"/>
  <c r="AN96" i="5" s="1"/>
  <c r="J96" i="5"/>
  <c r="H96" i="5"/>
  <c r="AO95" i="5"/>
  <c r="AN95" i="5" s="1"/>
  <c r="J95" i="5"/>
  <c r="H95" i="5"/>
  <c r="AO94" i="5"/>
  <c r="AN94" i="5" s="1"/>
  <c r="J94" i="5"/>
  <c r="H94" i="5"/>
  <c r="AO93" i="5"/>
  <c r="AN93" i="5" s="1"/>
  <c r="J93" i="5"/>
  <c r="H93" i="5"/>
  <c r="BG92" i="5"/>
  <c r="BF92" i="5"/>
  <c r="BE92" i="5"/>
  <c r="BD92" i="5"/>
  <c r="BC92" i="5"/>
  <c r="BB92" i="5"/>
  <c r="AZ92" i="5"/>
  <c r="AY92" i="5"/>
  <c r="AX92" i="5"/>
  <c r="AW92" i="5"/>
  <c r="AT92" i="5"/>
  <c r="AS92" i="5"/>
  <c r="AR92" i="5"/>
  <c r="AQ92" i="5"/>
  <c r="AP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U92" i="5"/>
  <c r="T92" i="5"/>
  <c r="S92" i="5"/>
  <c r="R92" i="5"/>
  <c r="Q92" i="5"/>
  <c r="P92" i="5"/>
  <c r="O92" i="5"/>
  <c r="N92" i="5"/>
  <c r="M92" i="5"/>
  <c r="L92" i="5"/>
  <c r="K92" i="5"/>
  <c r="G90" i="5"/>
  <c r="G89" i="5"/>
  <c r="J88" i="5"/>
  <c r="I88" i="5" s="1"/>
  <c r="G88" i="5" s="1"/>
  <c r="H88" i="5"/>
  <c r="AO87" i="5"/>
  <c r="AN87" i="5" s="1"/>
  <c r="J87" i="5"/>
  <c r="I87" i="5" s="1"/>
  <c r="H87" i="5"/>
  <c r="AO86" i="5"/>
  <c r="AN86" i="5" s="1"/>
  <c r="J86" i="5"/>
  <c r="I86" i="5" s="1"/>
  <c r="H86" i="5"/>
  <c r="AO85" i="5"/>
  <c r="AN85" i="5" s="1"/>
  <c r="J85" i="5"/>
  <c r="I85" i="5" s="1"/>
  <c r="H85" i="5"/>
  <c r="BA84" i="5"/>
  <c r="AO84" i="5"/>
  <c r="AN84" i="5" s="1"/>
  <c r="AM84" i="5"/>
  <c r="R84" i="5"/>
  <c r="J84" i="5"/>
  <c r="H84" i="5"/>
  <c r="AO83" i="5"/>
  <c r="AN83" i="5" s="1"/>
  <c r="J83" i="5"/>
  <c r="H83" i="5"/>
  <c r="AO82" i="5"/>
  <c r="AN82" i="5" s="1"/>
  <c r="J82" i="5"/>
  <c r="H82" i="5"/>
  <c r="AO81" i="5"/>
  <c r="AN81" i="5" s="1"/>
  <c r="R81" i="5"/>
  <c r="R78" i="5" s="1"/>
  <c r="P81" i="5"/>
  <c r="O81" i="5"/>
  <c r="J81" i="5" s="1"/>
  <c r="H81" i="5"/>
  <c r="AO80" i="5"/>
  <c r="AN80" i="5" s="1"/>
  <c r="J80" i="5"/>
  <c r="I80" i="5" s="1"/>
  <c r="H80" i="5"/>
  <c r="BA79" i="5"/>
  <c r="BA78" i="5" s="1"/>
  <c r="AO79" i="5"/>
  <c r="AN79" i="5" s="1"/>
  <c r="AM79" i="5"/>
  <c r="AM78" i="5" s="1"/>
  <c r="J79" i="5"/>
  <c r="I79" i="5" s="1"/>
  <c r="H79" i="5"/>
  <c r="BG78" i="5"/>
  <c r="BF78" i="5"/>
  <c r="BE78" i="5"/>
  <c r="BD78" i="5"/>
  <c r="BC78" i="5"/>
  <c r="BB78" i="5"/>
  <c r="AZ78" i="5"/>
  <c r="AY78" i="5"/>
  <c r="AX78" i="5"/>
  <c r="AW78" i="5"/>
  <c r="AT78" i="5"/>
  <c r="AS78" i="5"/>
  <c r="AR78" i="5"/>
  <c r="AQ78" i="5"/>
  <c r="AP78" i="5"/>
  <c r="AL78" i="5"/>
  <c r="AK78" i="5"/>
  <c r="AJ78" i="5"/>
  <c r="AI78" i="5"/>
  <c r="AH78" i="5"/>
  <c r="AG78" i="5"/>
  <c r="AF78" i="5"/>
  <c r="AE78" i="5"/>
  <c r="AD78" i="5"/>
  <c r="AC78" i="5"/>
  <c r="AB78" i="5"/>
  <c r="U78" i="5"/>
  <c r="T78" i="5"/>
  <c r="S78" i="5"/>
  <c r="Q78" i="5"/>
  <c r="P78" i="5"/>
  <c r="O78" i="5"/>
  <c r="N78" i="5"/>
  <c r="M78" i="5"/>
  <c r="L78" i="5"/>
  <c r="K78" i="5"/>
  <c r="H78" i="5"/>
  <c r="G76" i="5"/>
  <c r="J75" i="5"/>
  <c r="I75" i="5" s="1"/>
  <c r="G75" i="5" s="1"/>
  <c r="AO74" i="5"/>
  <c r="AN74" i="5" s="1"/>
  <c r="J74" i="5"/>
  <c r="H74" i="5"/>
  <c r="AO73" i="5"/>
  <c r="AN73" i="5" s="1"/>
  <c r="J73" i="5"/>
  <c r="H73" i="5"/>
  <c r="AO72" i="5"/>
  <c r="AN72" i="5" s="1"/>
  <c r="J72" i="5"/>
  <c r="I72" i="5" s="1"/>
  <c r="AO71" i="5"/>
  <c r="AN71" i="5" s="1"/>
  <c r="J71" i="5"/>
  <c r="I71" i="5" s="1"/>
  <c r="H71" i="5"/>
  <c r="AO70" i="5"/>
  <c r="AN70" i="5" s="1"/>
  <c r="J70" i="5"/>
  <c r="I70" i="5" s="1"/>
  <c r="H70" i="5"/>
  <c r="AO69" i="5"/>
  <c r="AN69" i="5" s="1"/>
  <c r="AF69" i="5"/>
  <c r="AE69" i="5" s="1"/>
  <c r="AE64" i="5" s="1"/>
  <c r="AD69" i="5"/>
  <c r="J69" i="5"/>
  <c r="H69" i="5"/>
  <c r="AO68" i="5"/>
  <c r="AN68" i="5" s="1"/>
  <c r="N68" i="5"/>
  <c r="J68" i="5" s="1"/>
  <c r="H68" i="5"/>
  <c r="AO67" i="5"/>
  <c r="AN67" i="5" s="1"/>
  <c r="J67" i="5"/>
  <c r="I67" i="5" s="1"/>
  <c r="H67" i="5"/>
  <c r="AO66" i="5"/>
  <c r="AN66" i="5" s="1"/>
  <c r="J66" i="5"/>
  <c r="I66" i="5" s="1"/>
  <c r="H66" i="5"/>
  <c r="AO65" i="5"/>
  <c r="AN65" i="5" s="1"/>
  <c r="J65" i="5"/>
  <c r="I65" i="5" s="1"/>
  <c r="H65" i="5"/>
  <c r="BG64" i="5"/>
  <c r="BF64" i="5"/>
  <c r="BE64" i="5"/>
  <c r="BD64" i="5"/>
  <c r="BC64" i="5"/>
  <c r="BB64" i="5"/>
  <c r="BA64" i="5"/>
  <c r="AZ64" i="5"/>
  <c r="AY64" i="5"/>
  <c r="AX64" i="5"/>
  <c r="AW64" i="5"/>
  <c r="AT64" i="5"/>
  <c r="AS64" i="5"/>
  <c r="AR64" i="5"/>
  <c r="AQ64" i="5"/>
  <c r="AP64" i="5"/>
  <c r="AM64" i="5"/>
  <c r="AL64" i="5"/>
  <c r="AK64" i="5"/>
  <c r="AJ64" i="5"/>
  <c r="AI64" i="5"/>
  <c r="AH64" i="5"/>
  <c r="AG64" i="5"/>
  <c r="AD64" i="5"/>
  <c r="AC64" i="5"/>
  <c r="AB64" i="5"/>
  <c r="U64" i="5"/>
  <c r="T64" i="5"/>
  <c r="S64" i="5"/>
  <c r="R64" i="5"/>
  <c r="Q64" i="5"/>
  <c r="P64" i="5"/>
  <c r="O64" i="5"/>
  <c r="N64" i="5"/>
  <c r="M64" i="5"/>
  <c r="L64" i="5"/>
  <c r="K64" i="5"/>
  <c r="H64" i="5"/>
  <c r="AX62" i="5"/>
  <c r="G62" i="5" s="1"/>
  <c r="G61" i="5"/>
  <c r="G60" i="5"/>
  <c r="J59" i="5"/>
  <c r="H59" i="5"/>
  <c r="J58" i="5"/>
  <c r="H58" i="5"/>
  <c r="J57" i="5"/>
  <c r="H57" i="5"/>
  <c r="AO56" i="5"/>
  <c r="AN56" i="5" s="1"/>
  <c r="J56" i="5"/>
  <c r="H56" i="5"/>
  <c r="AO55" i="5"/>
  <c r="AN55" i="5" s="1"/>
  <c r="J55" i="5"/>
  <c r="I55" i="5" s="1"/>
  <c r="AO54" i="5"/>
  <c r="AN54" i="5" s="1"/>
  <c r="J54" i="5"/>
  <c r="I54" i="5" s="1"/>
  <c r="AO53" i="5"/>
  <c r="AN53" i="5" s="1"/>
  <c r="J53" i="5"/>
  <c r="H53" i="5"/>
  <c r="AO52" i="5"/>
  <c r="AN52" i="5" s="1"/>
  <c r="J52" i="5"/>
  <c r="H52" i="5"/>
  <c r="AO51" i="5"/>
  <c r="AN51" i="5" s="1"/>
  <c r="J51" i="5"/>
  <c r="H51" i="5"/>
  <c r="AO50" i="5"/>
  <c r="AN50" i="5" s="1"/>
  <c r="J50" i="5"/>
  <c r="H50" i="5"/>
  <c r="AO49" i="5"/>
  <c r="AN49" i="5" s="1"/>
  <c r="P49" i="5"/>
  <c r="J49" i="5" s="1"/>
  <c r="I49" i="5" s="1"/>
  <c r="H49" i="5"/>
  <c r="AO47" i="5"/>
  <c r="AN47" i="5" s="1"/>
  <c r="Q47" i="5"/>
  <c r="J47" i="5"/>
  <c r="H47" i="5"/>
  <c r="AO46" i="5"/>
  <c r="AN46" i="5" s="1"/>
  <c r="AM46" i="5"/>
  <c r="J46" i="5"/>
  <c r="I46" i="5" s="1"/>
  <c r="H46" i="5"/>
  <c r="AO45" i="5"/>
  <c r="AN45" i="5" s="1"/>
  <c r="AM45" i="5"/>
  <c r="J45" i="5"/>
  <c r="H45" i="5"/>
  <c r="AO44" i="5"/>
  <c r="AN44" i="5" s="1"/>
  <c r="AF44" i="5"/>
  <c r="AD44" i="5"/>
  <c r="J44" i="5"/>
  <c r="I44" i="5" s="1"/>
  <c r="H44" i="5"/>
  <c r="AO43" i="5"/>
  <c r="AN43" i="5" s="1"/>
  <c r="AF43" i="5"/>
  <c r="AE43" i="5" s="1"/>
  <c r="AD43" i="5"/>
  <c r="J43" i="5"/>
  <c r="H43" i="5"/>
  <c r="AO42" i="5"/>
  <c r="AN42" i="5" s="1"/>
  <c r="J42" i="5"/>
  <c r="H42" i="5"/>
  <c r="AO41" i="5"/>
  <c r="AN41" i="5" s="1"/>
  <c r="J41" i="5"/>
  <c r="H41" i="5"/>
  <c r="AO40" i="5"/>
  <c r="AN40" i="5" s="1"/>
  <c r="J40" i="5"/>
  <c r="H40" i="5"/>
  <c r="AO39" i="5"/>
  <c r="AN39" i="5" s="1"/>
  <c r="J39" i="5"/>
  <c r="H39" i="5"/>
  <c r="AO38" i="5"/>
  <c r="AN38" i="5" s="1"/>
  <c r="J38" i="5"/>
  <c r="H38" i="5"/>
  <c r="AO37" i="5"/>
  <c r="AN37" i="5" s="1"/>
  <c r="J37" i="5"/>
  <c r="H37" i="5"/>
  <c r="BG36" i="5"/>
  <c r="BF36" i="5"/>
  <c r="BE36" i="5"/>
  <c r="BD36" i="5"/>
  <c r="BC36" i="5"/>
  <c r="BB36" i="5"/>
  <c r="BA36" i="5"/>
  <c r="AZ36" i="5"/>
  <c r="AY36" i="5"/>
  <c r="AX36" i="5"/>
  <c r="AW36" i="5"/>
  <c r="AT36" i="5"/>
  <c r="AS36" i="5"/>
  <c r="AR36" i="5"/>
  <c r="AQ36" i="5"/>
  <c r="AP36" i="5"/>
  <c r="AM36" i="5"/>
  <c r="AL36" i="5"/>
  <c r="AK36" i="5"/>
  <c r="AJ36" i="5"/>
  <c r="AI36" i="5"/>
  <c r="AH36" i="5"/>
  <c r="AG36" i="5"/>
  <c r="AC36" i="5"/>
  <c r="AB36" i="5"/>
  <c r="U36" i="5"/>
  <c r="T36" i="5"/>
  <c r="S36" i="5"/>
  <c r="R36" i="5"/>
  <c r="Q36" i="5"/>
  <c r="O36" i="5"/>
  <c r="N36" i="5"/>
  <c r="M36" i="5"/>
  <c r="L36" i="5"/>
  <c r="K36" i="5"/>
  <c r="AO34" i="5"/>
  <c r="AN34" i="5" s="1"/>
  <c r="J34" i="5"/>
  <c r="I34" i="5" s="1"/>
  <c r="H34" i="5"/>
  <c r="BA33" i="5"/>
  <c r="AZ33" i="5" s="1"/>
  <c r="AO33" i="5"/>
  <c r="AN33" i="5" s="1"/>
  <c r="AM33" i="5"/>
  <c r="J33" i="5"/>
  <c r="H33" i="5"/>
  <c r="AO32" i="5"/>
  <c r="AN32" i="5" s="1"/>
  <c r="J32" i="5"/>
  <c r="H32" i="5"/>
  <c r="H28" i="5" s="1"/>
  <c r="AO31" i="5"/>
  <c r="AN31" i="5" s="1"/>
  <c r="J31" i="5"/>
  <c r="H31" i="5"/>
  <c r="BA30" i="5"/>
  <c r="AZ30" i="5" s="1"/>
  <c r="AR30" i="5"/>
  <c r="AO30" i="5" s="1"/>
  <c r="AN30" i="5" s="1"/>
  <c r="AM30" i="5"/>
  <c r="J30" i="5"/>
  <c r="I30" i="5" s="1"/>
  <c r="AO29" i="5"/>
  <c r="AN29" i="5" s="1"/>
  <c r="J29" i="5"/>
  <c r="I29" i="5" s="1"/>
  <c r="H29" i="5"/>
  <c r="BG28" i="5"/>
  <c r="BF28" i="5"/>
  <c r="BE28" i="5"/>
  <c r="BD28" i="5"/>
  <c r="BC28" i="5"/>
  <c r="BB28" i="5"/>
  <c r="AY28" i="5"/>
  <c r="AX28" i="5"/>
  <c r="AW28" i="5"/>
  <c r="AT28" i="5"/>
  <c r="AS28" i="5"/>
  <c r="AR28" i="5"/>
  <c r="AQ28" i="5"/>
  <c r="AP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U28" i="5"/>
  <c r="T28" i="5"/>
  <c r="S28" i="5"/>
  <c r="R28" i="5"/>
  <c r="Q28" i="5"/>
  <c r="P28" i="5"/>
  <c r="O28" i="5"/>
  <c r="N28" i="5"/>
  <c r="M28" i="5"/>
  <c r="L28" i="5"/>
  <c r="K28" i="5"/>
  <c r="J26" i="5"/>
  <c r="I26" i="5" s="1"/>
  <c r="G26" i="5" s="1"/>
  <c r="R25" i="5"/>
  <c r="R21" i="5" s="1"/>
  <c r="Q25" i="5"/>
  <c r="Q21" i="5" s="1"/>
  <c r="P25" i="5"/>
  <c r="N25" i="5"/>
  <c r="M25" i="5"/>
  <c r="J25" i="5" s="1"/>
  <c r="H25" i="5"/>
  <c r="J24" i="5"/>
  <c r="I24" i="5" s="1"/>
  <c r="G24" i="5" s="1"/>
  <c r="H24" i="5"/>
  <c r="J23" i="5"/>
  <c r="I23" i="5" s="1"/>
  <c r="G23" i="5" s="1"/>
  <c r="H23" i="5"/>
  <c r="J22" i="5"/>
  <c r="I22" i="5" s="1"/>
  <c r="G22" i="5" s="1"/>
  <c r="H22" i="5"/>
  <c r="BG21" i="5"/>
  <c r="BG275" i="5" s="1"/>
  <c r="BF21" i="5"/>
  <c r="BF275" i="5" s="1"/>
  <c r="BE21" i="5"/>
  <c r="BE275" i="5" s="1"/>
  <c r="BD21" i="5"/>
  <c r="BD275" i="5" s="1"/>
  <c r="BC21" i="5"/>
  <c r="BC275" i="5" s="1"/>
  <c r="BB21" i="5"/>
  <c r="BB275" i="5" s="1"/>
  <c r="BA21" i="5"/>
  <c r="BA13" i="5" s="1"/>
  <c r="AZ21" i="5"/>
  <c r="AZ13" i="5" s="1"/>
  <c r="AY21" i="5"/>
  <c r="AY275" i="5" s="1"/>
  <c r="AX21" i="5"/>
  <c r="AX13" i="5" s="1"/>
  <c r="AW21" i="5"/>
  <c r="AW275" i="5" s="1"/>
  <c r="AT21" i="5"/>
  <c r="AT275" i="5" s="1"/>
  <c r="AS21" i="5"/>
  <c r="AS275" i="5" s="1"/>
  <c r="AR21" i="5"/>
  <c r="AQ21" i="5"/>
  <c r="AQ13" i="5" s="1"/>
  <c r="AP21" i="5"/>
  <c r="AP275" i="5" s="1"/>
  <c r="AO21" i="5"/>
  <c r="AN21" i="5"/>
  <c r="AM21" i="5"/>
  <c r="AL21" i="5"/>
  <c r="AL275" i="5" s="1"/>
  <c r="AK21" i="5"/>
  <c r="AK275" i="5" s="1"/>
  <c r="AJ21" i="5"/>
  <c r="AJ275" i="5" s="1"/>
  <c r="AI21" i="5"/>
  <c r="AI275" i="5" s="1"/>
  <c r="AH21" i="5"/>
  <c r="AH275" i="5" s="1"/>
  <c r="AG21" i="5"/>
  <c r="AG275" i="5" s="1"/>
  <c r="AF21" i="5"/>
  <c r="AF13" i="5" s="1"/>
  <c r="AE21" i="5"/>
  <c r="AE13" i="5" s="1"/>
  <c r="AD21" i="5"/>
  <c r="AD275" i="5" s="1"/>
  <c r="AC21" i="5"/>
  <c r="AC13" i="5" s="1"/>
  <c r="AB21" i="5"/>
  <c r="AB13" i="5" s="1"/>
  <c r="U21" i="5"/>
  <c r="T21" i="5"/>
  <c r="T275" i="5" s="1"/>
  <c r="S21" i="5"/>
  <c r="S13" i="5" s="1"/>
  <c r="P21" i="5"/>
  <c r="O21" i="5"/>
  <c r="O13" i="5" s="1"/>
  <c r="N21" i="5"/>
  <c r="L21" i="5"/>
  <c r="L275" i="5" s="1"/>
  <c r="K21" i="5"/>
  <c r="K275" i="5" s="1"/>
  <c r="H21" i="5"/>
  <c r="H13" i="5" s="1"/>
  <c r="AO19" i="5"/>
  <c r="AN19" i="5" s="1"/>
  <c r="J19" i="5"/>
  <c r="I19" i="5" s="1"/>
  <c r="H19" i="5"/>
  <c r="AO18" i="5"/>
  <c r="AN18" i="5" s="1"/>
  <c r="J18" i="5"/>
  <c r="H18" i="5"/>
  <c r="AO17" i="5"/>
  <c r="AN17" i="5" s="1"/>
  <c r="J17" i="5"/>
  <c r="I17" i="5" s="1"/>
  <c r="H17" i="5"/>
  <c r="AO16" i="5"/>
  <c r="AN16" i="5" s="1"/>
  <c r="J16" i="5"/>
  <c r="H16" i="5"/>
  <c r="AO15" i="5"/>
  <c r="AN15" i="5" s="1"/>
  <c r="N15" i="5"/>
  <c r="H15" i="5"/>
  <c r="AR14" i="5"/>
  <c r="AM14" i="5"/>
  <c r="J14" i="5"/>
  <c r="I14" i="5" s="1"/>
  <c r="H14" i="5"/>
  <c r="K13" i="5" l="1"/>
  <c r="AY13" i="5"/>
  <c r="BF13" i="5"/>
  <c r="BF265" i="5" s="1"/>
  <c r="G258" i="5"/>
  <c r="BB13" i="5"/>
  <c r="BB265" i="5" s="1"/>
  <c r="W266" i="5"/>
  <c r="O275" i="5"/>
  <c r="AT13" i="5"/>
  <c r="AT276" i="5" s="1"/>
  <c r="AI13" i="5"/>
  <c r="AI265" i="5" s="1"/>
  <c r="G152" i="5"/>
  <c r="AE155" i="5"/>
  <c r="AE157" i="5"/>
  <c r="G157" i="5" s="1"/>
  <c r="AE159" i="5"/>
  <c r="AE170" i="5"/>
  <c r="BE13" i="5"/>
  <c r="BE265" i="5" s="1"/>
  <c r="AM275" i="5"/>
  <c r="G147" i="5"/>
  <c r="I170" i="5"/>
  <c r="I187" i="5"/>
  <c r="G187" i="5" s="1"/>
  <c r="G247" i="5"/>
  <c r="U275" i="5"/>
  <c r="AL13" i="5"/>
  <c r="AL276" i="5" s="1"/>
  <c r="AF36" i="5"/>
  <c r="G46" i="5"/>
  <c r="G194" i="5"/>
  <c r="AZ101" i="5"/>
  <c r="L13" i="5"/>
  <c r="L276" i="5" s="1"/>
  <c r="AG13" i="5"/>
  <c r="I74" i="5"/>
  <c r="G74" i="5" s="1"/>
  <c r="I215" i="5"/>
  <c r="AF64" i="5"/>
  <c r="I53" i="5"/>
  <c r="G53" i="5" s="1"/>
  <c r="I114" i="5"/>
  <c r="G114" i="5" s="1"/>
  <c r="I120" i="5"/>
  <c r="G120" i="5" s="1"/>
  <c r="G223" i="5"/>
  <c r="AS13" i="5"/>
  <c r="AS276" i="5" s="1"/>
  <c r="BG13" i="5"/>
  <c r="BG266" i="5" s="1"/>
  <c r="AK13" i="5"/>
  <c r="AK265" i="5" s="1"/>
  <c r="BC13" i="5"/>
  <c r="BC276" i="5" s="1"/>
  <c r="AB275" i="5"/>
  <c r="G55" i="5"/>
  <c r="G165" i="5"/>
  <c r="AE215" i="5"/>
  <c r="G218" i="5"/>
  <c r="AA266" i="5"/>
  <c r="AH13" i="5"/>
  <c r="AH265" i="5" s="1"/>
  <c r="AP13" i="5"/>
  <c r="AP276" i="5" s="1"/>
  <c r="AZ28" i="5"/>
  <c r="I94" i="5"/>
  <c r="G94" i="5" s="1"/>
  <c r="AZ176" i="5"/>
  <c r="G176" i="5" s="1"/>
  <c r="G201" i="5"/>
  <c r="I203" i="5"/>
  <c r="AE208" i="5"/>
  <c r="G208" i="5" s="1"/>
  <c r="I209" i="5"/>
  <c r="AE219" i="5"/>
  <c r="G219" i="5" s="1"/>
  <c r="I239" i="5"/>
  <c r="G239" i="5" s="1"/>
  <c r="AE246" i="5"/>
  <c r="G246" i="5" s="1"/>
  <c r="G254" i="5"/>
  <c r="BD13" i="5"/>
  <c r="BD276" i="5" s="1"/>
  <c r="P275" i="5"/>
  <c r="AE44" i="5"/>
  <c r="AE36" i="5" s="1"/>
  <c r="G170" i="5"/>
  <c r="G236" i="5"/>
  <c r="G252" i="5"/>
  <c r="AD13" i="5"/>
  <c r="N275" i="5"/>
  <c r="I150" i="5"/>
  <c r="G150" i="5" s="1"/>
  <c r="AE164" i="5"/>
  <c r="G164" i="5" s="1"/>
  <c r="I168" i="5"/>
  <c r="G168" i="5" s="1"/>
  <c r="AE203" i="5"/>
  <c r="AE209" i="5"/>
  <c r="I250" i="5"/>
  <c r="Z265" i="5"/>
  <c r="G145" i="5"/>
  <c r="G148" i="5"/>
  <c r="G151" i="5"/>
  <c r="AN173" i="5"/>
  <c r="I197" i="5"/>
  <c r="AE198" i="5"/>
  <c r="I199" i="5"/>
  <c r="G199" i="5" s="1"/>
  <c r="AE207" i="5"/>
  <c r="AE211" i="5"/>
  <c r="G161" i="5"/>
  <c r="I39" i="5"/>
  <c r="G39" i="5" s="1"/>
  <c r="I43" i="5"/>
  <c r="I47" i="5"/>
  <c r="G47" i="5" s="1"/>
  <c r="I102" i="5"/>
  <c r="G102" i="5" s="1"/>
  <c r="I142" i="5"/>
  <c r="G166" i="5"/>
  <c r="I174" i="5"/>
  <c r="G174" i="5" s="1"/>
  <c r="I177" i="5"/>
  <c r="AE178" i="5"/>
  <c r="AE180" i="5"/>
  <c r="I192" i="5"/>
  <c r="G192" i="5" s="1"/>
  <c r="AE197" i="5"/>
  <c r="I207" i="5"/>
  <c r="I182" i="5"/>
  <c r="G182" i="5" s="1"/>
  <c r="U13" i="5"/>
  <c r="U265" i="5" s="1"/>
  <c r="I57" i="5"/>
  <c r="G57" i="5" s="1"/>
  <c r="I59" i="5"/>
  <c r="G59" i="5" s="1"/>
  <c r="V266" i="5"/>
  <c r="T13" i="5"/>
  <c r="T265" i="5" s="1"/>
  <c r="I50" i="5"/>
  <c r="G50" i="5" s="1"/>
  <c r="G54" i="5"/>
  <c r="I69" i="5"/>
  <c r="G69" i="5" s="1"/>
  <c r="I73" i="5"/>
  <c r="G73" i="5" s="1"/>
  <c r="I82" i="5"/>
  <c r="G82" i="5" s="1"/>
  <c r="I103" i="5"/>
  <c r="G103" i="5" s="1"/>
  <c r="I111" i="5"/>
  <c r="G111" i="5" s="1"/>
  <c r="I115" i="5"/>
  <c r="G115" i="5" s="1"/>
  <c r="G127" i="5"/>
  <c r="G129" i="5"/>
  <c r="G85" i="5"/>
  <c r="G86" i="5"/>
  <c r="I106" i="5"/>
  <c r="G106" i="5" s="1"/>
  <c r="G126" i="5"/>
  <c r="G128" i="5"/>
  <c r="G34" i="5"/>
  <c r="I18" i="5"/>
  <c r="G18" i="5" s="1"/>
  <c r="I31" i="5"/>
  <c r="G31" i="5" s="1"/>
  <c r="J36" i="5"/>
  <c r="I40" i="5"/>
  <c r="G40" i="5" s="1"/>
  <c r="I93" i="5"/>
  <c r="G93" i="5" s="1"/>
  <c r="I97" i="5"/>
  <c r="G97" i="5" s="1"/>
  <c r="I117" i="5"/>
  <c r="G117" i="5" s="1"/>
  <c r="G121" i="5"/>
  <c r="I107" i="5"/>
  <c r="G107" i="5" s="1"/>
  <c r="AN28" i="5"/>
  <c r="G87" i="5"/>
  <c r="G237" i="5"/>
  <c r="G253" i="5"/>
  <c r="AO28" i="5"/>
  <c r="G43" i="5"/>
  <c r="G70" i="5"/>
  <c r="G98" i="5"/>
  <c r="G99" i="5"/>
  <c r="G110" i="5"/>
  <c r="G184" i="5"/>
  <c r="G190" i="5"/>
  <c r="G214" i="5"/>
  <c r="G249" i="5"/>
  <c r="G19" i="5"/>
  <c r="AO36" i="5"/>
  <c r="G65" i="5"/>
  <c r="G66" i="5"/>
  <c r="G71" i="5"/>
  <c r="G132" i="5"/>
  <c r="G158" i="5"/>
  <c r="G163" i="5"/>
  <c r="G186" i="5"/>
  <c r="G220" i="5"/>
  <c r="G67" i="5"/>
  <c r="G80" i="5"/>
  <c r="AO92" i="5"/>
  <c r="AO101" i="5"/>
  <c r="G134" i="5"/>
  <c r="G149" i="5"/>
  <c r="G153" i="5"/>
  <c r="G171" i="5"/>
  <c r="G188" i="5"/>
  <c r="G217" i="5"/>
  <c r="G222" i="5"/>
  <c r="G243" i="5"/>
  <c r="G245" i="5"/>
  <c r="G255" i="5"/>
  <c r="Y265" i="5"/>
  <c r="AC275" i="5"/>
  <c r="O276" i="5"/>
  <c r="AW13" i="5"/>
  <c r="AW266" i="5" s="1"/>
  <c r="X265" i="5"/>
  <c r="X266" i="5"/>
  <c r="V265" i="5"/>
  <c r="I225" i="5"/>
  <c r="G225" i="5" s="1"/>
  <c r="W265" i="5"/>
  <c r="AA265" i="5"/>
  <c r="Y266" i="5"/>
  <c r="J28" i="5"/>
  <c r="I38" i="5"/>
  <c r="G38" i="5" s="1"/>
  <c r="I42" i="5"/>
  <c r="G42" i="5" s="1"/>
  <c r="I45" i="5"/>
  <c r="G45" i="5" s="1"/>
  <c r="I52" i="5"/>
  <c r="G52" i="5" s="1"/>
  <c r="I56" i="5"/>
  <c r="G56" i="5" s="1"/>
  <c r="I84" i="5"/>
  <c r="G84" i="5" s="1"/>
  <c r="J92" i="5"/>
  <c r="I96" i="5"/>
  <c r="G96" i="5" s="1"/>
  <c r="I105" i="5"/>
  <c r="G105" i="5" s="1"/>
  <c r="I109" i="5"/>
  <c r="G109" i="5" s="1"/>
  <c r="I113" i="5"/>
  <c r="G113" i="5" s="1"/>
  <c r="I118" i="5"/>
  <c r="G118" i="5" s="1"/>
  <c r="I146" i="5"/>
  <c r="G146" i="5" s="1"/>
  <c r="I155" i="5"/>
  <c r="I173" i="5"/>
  <c r="I256" i="5"/>
  <c r="Z266" i="5"/>
  <c r="I16" i="5"/>
  <c r="G16" i="5" s="1"/>
  <c r="I33" i="5"/>
  <c r="G33" i="5" s="1"/>
  <c r="I37" i="5"/>
  <c r="I41" i="5"/>
  <c r="G41" i="5" s="1"/>
  <c r="I51" i="5"/>
  <c r="G51" i="5" s="1"/>
  <c r="I58" i="5"/>
  <c r="G58" i="5" s="1"/>
  <c r="I83" i="5"/>
  <c r="G83" i="5" s="1"/>
  <c r="I95" i="5"/>
  <c r="G95" i="5" s="1"/>
  <c r="I104" i="5"/>
  <c r="G104" i="5" s="1"/>
  <c r="I108" i="5"/>
  <c r="G108" i="5" s="1"/>
  <c r="I116" i="5"/>
  <c r="G116" i="5" s="1"/>
  <c r="I119" i="5"/>
  <c r="G119" i="5" s="1"/>
  <c r="I122" i="5"/>
  <c r="G122" i="5" s="1"/>
  <c r="I124" i="5"/>
  <c r="G124" i="5" s="1"/>
  <c r="I125" i="5"/>
  <c r="G125" i="5" s="1"/>
  <c r="I144" i="5"/>
  <c r="G144" i="5" s="1"/>
  <c r="I159" i="5"/>
  <c r="G159" i="5" s="1"/>
  <c r="I160" i="5"/>
  <c r="G160" i="5" s="1"/>
  <c r="I167" i="5"/>
  <c r="G167" i="5" s="1"/>
  <c r="I175" i="5"/>
  <c r="G175" i="5" s="1"/>
  <c r="I178" i="5"/>
  <c r="I195" i="5"/>
  <c r="I216" i="5"/>
  <c r="G216" i="5" s="1"/>
  <c r="I240" i="5"/>
  <c r="G240" i="5" s="1"/>
  <c r="I242" i="5"/>
  <c r="G242" i="5" s="1"/>
  <c r="I244" i="5"/>
  <c r="G244" i="5" s="1"/>
  <c r="I257" i="5"/>
  <c r="G257" i="5" s="1"/>
  <c r="I259" i="5"/>
  <c r="G259" i="5" s="1"/>
  <c r="J224" i="5"/>
  <c r="J141" i="5" s="1"/>
  <c r="P13" i="5"/>
  <c r="AJ13" i="5"/>
  <c r="AJ276" i="5" s="1"/>
  <c r="AR275" i="5"/>
  <c r="AN64" i="5"/>
  <c r="AE101" i="5"/>
  <c r="J78" i="5"/>
  <c r="I81" i="5"/>
  <c r="G81" i="5" s="1"/>
  <c r="G30" i="5"/>
  <c r="AN36" i="5"/>
  <c r="Q275" i="5"/>
  <c r="Q13" i="5"/>
  <c r="G49" i="5"/>
  <c r="J101" i="5"/>
  <c r="G112" i="5"/>
  <c r="G17" i="5"/>
  <c r="I25" i="5"/>
  <c r="G25" i="5" s="1"/>
  <c r="J21" i="5"/>
  <c r="I21" i="5" s="1"/>
  <c r="G21" i="5" s="1"/>
  <c r="R275" i="5"/>
  <c r="R13" i="5"/>
  <c r="I68" i="5"/>
  <c r="G68" i="5" s="1"/>
  <c r="J64" i="5"/>
  <c r="G72" i="5"/>
  <c r="AN78" i="5"/>
  <c r="G79" i="5"/>
  <c r="AN92" i="5"/>
  <c r="AN101" i="5"/>
  <c r="AP265" i="5"/>
  <c r="G131" i="5"/>
  <c r="AN250" i="5"/>
  <c r="AN234" i="5" s="1"/>
  <c r="AO234" i="5"/>
  <c r="U276" i="5"/>
  <c r="AM13" i="5"/>
  <c r="H275" i="5"/>
  <c r="M21" i="5"/>
  <c r="AQ275" i="5"/>
  <c r="I32" i="5"/>
  <c r="G32" i="5" s="1"/>
  <c r="H36" i="5"/>
  <c r="P36" i="5"/>
  <c r="AD36" i="5"/>
  <c r="H92" i="5"/>
  <c r="H101" i="5"/>
  <c r="P101" i="5"/>
  <c r="P141" i="5"/>
  <c r="AQ141" i="5"/>
  <c r="AQ266" i="5" s="1"/>
  <c r="AF154" i="5"/>
  <c r="AF141" i="5" s="1"/>
  <c r="AG141" i="5"/>
  <c r="AE169" i="5"/>
  <c r="G172" i="5"/>
  <c r="AN177" i="5"/>
  <c r="G179" i="5"/>
  <c r="AN180" i="5"/>
  <c r="AE185" i="5"/>
  <c r="AE189" i="5"/>
  <c r="I191" i="5"/>
  <c r="G193" i="5"/>
  <c r="AE195" i="5"/>
  <c r="I198" i="5"/>
  <c r="AN142" i="5"/>
  <c r="AO141" i="5"/>
  <c r="N13" i="5"/>
  <c r="AB276" i="5"/>
  <c r="AB266" i="5"/>
  <c r="AB265" i="5"/>
  <c r="AR13" i="5"/>
  <c r="AX268" i="5"/>
  <c r="AX276" i="5"/>
  <c r="AX266" i="5"/>
  <c r="AX265" i="5"/>
  <c r="BF276" i="5"/>
  <c r="BF266" i="5"/>
  <c r="AO14" i="5"/>
  <c r="AX267" i="5"/>
  <c r="AX275" i="5"/>
  <c r="G29" i="5"/>
  <c r="BA101" i="5"/>
  <c r="I123" i="5"/>
  <c r="G123" i="5" s="1"/>
  <c r="G130" i="5"/>
  <c r="G133" i="5"/>
  <c r="H141" i="5"/>
  <c r="I143" i="5"/>
  <c r="AE173" i="5"/>
  <c r="AE177" i="5"/>
  <c r="G183" i="5"/>
  <c r="G196" i="5"/>
  <c r="G213" i="5"/>
  <c r="G235" i="5"/>
  <c r="AE238" i="5"/>
  <c r="AF234" i="5"/>
  <c r="K276" i="5"/>
  <c r="K266" i="5"/>
  <c r="K265" i="5"/>
  <c r="S266" i="5"/>
  <c r="S265" i="5"/>
  <c r="AC276" i="5"/>
  <c r="AC266" i="5"/>
  <c r="AC265" i="5"/>
  <c r="J15" i="5"/>
  <c r="I15" i="5" s="1"/>
  <c r="G15" i="5" s="1"/>
  <c r="BA28" i="5"/>
  <c r="AO64" i="5"/>
  <c r="AO78" i="5"/>
  <c r="N101" i="5"/>
  <c r="AF101" i="5"/>
  <c r="AM141" i="5"/>
  <c r="BA141" i="5"/>
  <c r="G156" i="5"/>
  <c r="I169" i="5"/>
  <c r="I185" i="5"/>
  <c r="I189" i="5"/>
  <c r="AE191" i="5"/>
  <c r="AF264" i="5"/>
  <c r="AF263" i="5" s="1"/>
  <c r="AH263" i="5"/>
  <c r="BA264" i="5"/>
  <c r="BA263" i="5" s="1"/>
  <c r="BB263" i="5"/>
  <c r="AR141" i="5"/>
  <c r="AN202" i="5"/>
  <c r="G212" i="5"/>
  <c r="G221" i="5"/>
  <c r="J234" i="5"/>
  <c r="AZ256" i="5"/>
  <c r="AZ234" i="5" s="1"/>
  <c r="AY234" i="5"/>
  <c r="AY266" i="5" s="1"/>
  <c r="AE202" i="5"/>
  <c r="I204" i="5"/>
  <c r="G204" i="5" s="1"/>
  <c r="G241" i="5"/>
  <c r="G248" i="5"/>
  <c r="G251" i="5"/>
  <c r="AE200" i="5"/>
  <c r="G200" i="5" s="1"/>
  <c r="G205" i="5"/>
  <c r="AE206" i="5"/>
  <c r="G206" i="5" s="1"/>
  <c r="G211" i="5"/>
  <c r="BA234" i="5"/>
  <c r="J264" i="5"/>
  <c r="AO264" i="5"/>
  <c r="AR263" i="5"/>
  <c r="BD265" i="5" l="1"/>
  <c r="AG265" i="5"/>
  <c r="AT265" i="5"/>
  <c r="AT266" i="5"/>
  <c r="AT277" i="5" s="1"/>
  <c r="BB276" i="5"/>
  <c r="BG276" i="5"/>
  <c r="AI266" i="5"/>
  <c r="G142" i="5"/>
  <c r="AI276" i="5"/>
  <c r="G169" i="5"/>
  <c r="G215" i="5"/>
  <c r="L265" i="5"/>
  <c r="AH266" i="5"/>
  <c r="AK266" i="5"/>
  <c r="G195" i="5"/>
  <c r="BC265" i="5"/>
  <c r="BE276" i="5"/>
  <c r="AP266" i="5"/>
  <c r="L266" i="5"/>
  <c r="L277" i="5" s="1"/>
  <c r="G155" i="5"/>
  <c r="BC266" i="5"/>
  <c r="BC277" i="5" s="1"/>
  <c r="BE266" i="5"/>
  <c r="AJ265" i="5"/>
  <c r="G189" i="5"/>
  <c r="G197" i="5"/>
  <c r="G178" i="5"/>
  <c r="AS265" i="5"/>
  <c r="O265" i="5"/>
  <c r="AG276" i="5"/>
  <c r="I224" i="5"/>
  <c r="G224" i="5" s="1"/>
  <c r="AS266" i="5"/>
  <c r="AS277" i="5" s="1"/>
  <c r="G209" i="5"/>
  <c r="AK276" i="5"/>
  <c r="AK277" i="5" s="1"/>
  <c r="AJ266" i="5"/>
  <c r="AJ277" i="5" s="1"/>
  <c r="T266" i="5"/>
  <c r="U266" i="5"/>
  <c r="U277" i="5" s="1"/>
  <c r="AL265" i="5"/>
  <c r="T276" i="5"/>
  <c r="AL266" i="5"/>
  <c r="AL277" i="5" s="1"/>
  <c r="AZ141" i="5"/>
  <c r="AZ265" i="5" s="1"/>
  <c r="O266" i="5"/>
  <c r="O277" i="5" s="1"/>
  <c r="H266" i="5"/>
  <c r="G44" i="5"/>
  <c r="G203" i="5"/>
  <c r="BA266" i="5"/>
  <c r="BG265" i="5"/>
  <c r="BB266" i="5"/>
  <c r="G180" i="5"/>
  <c r="AD276" i="5"/>
  <c r="AE234" i="5"/>
  <c r="G198" i="5"/>
  <c r="G202" i="5"/>
  <c r="AY265" i="5"/>
  <c r="H276" i="5"/>
  <c r="AW265" i="5"/>
  <c r="BD266" i="5"/>
  <c r="BD277" i="5" s="1"/>
  <c r="AB277" i="5"/>
  <c r="H265" i="5"/>
  <c r="G173" i="5"/>
  <c r="G177" i="5"/>
  <c r="I36" i="5"/>
  <c r="G36" i="5" s="1"/>
  <c r="G207" i="5"/>
  <c r="I234" i="5"/>
  <c r="G37" i="5"/>
  <c r="AE264" i="5"/>
  <c r="AE263" i="5" s="1"/>
  <c r="AF265" i="5"/>
  <c r="BA265" i="5"/>
  <c r="AG266" i="5"/>
  <c r="AQ265" i="5"/>
  <c r="AW276" i="5"/>
  <c r="AW277" i="5" s="1"/>
  <c r="I78" i="5"/>
  <c r="G78" i="5" s="1"/>
  <c r="I92" i="5"/>
  <c r="G92" i="5" s="1"/>
  <c r="AY276" i="5"/>
  <c r="AY277" i="5" s="1"/>
  <c r="P266" i="5"/>
  <c r="AF276" i="5"/>
  <c r="N276" i="5"/>
  <c r="N266" i="5"/>
  <c r="N265" i="5"/>
  <c r="AH276" i="5"/>
  <c r="P276" i="5"/>
  <c r="AZ264" i="5"/>
  <c r="I264" i="5"/>
  <c r="J263" i="5"/>
  <c r="G250" i="5"/>
  <c r="G185" i="5"/>
  <c r="J275" i="5"/>
  <c r="AC277" i="5"/>
  <c r="K277" i="5"/>
  <c r="BF277" i="5"/>
  <c r="J13" i="5"/>
  <c r="G191" i="5"/>
  <c r="BA276" i="5"/>
  <c r="AM265" i="5"/>
  <c r="AM266" i="5"/>
  <c r="AM276" i="5"/>
  <c r="AP277" i="5"/>
  <c r="AD265" i="5"/>
  <c r="P265" i="5"/>
  <c r="I101" i="5"/>
  <c r="G101" i="5" s="1"/>
  <c r="G143" i="5"/>
  <c r="AF275" i="5"/>
  <c r="AR276" i="5"/>
  <c r="AR266" i="5"/>
  <c r="AR265" i="5"/>
  <c r="AF266" i="5"/>
  <c r="AE154" i="5"/>
  <c r="AE141" i="5" s="1"/>
  <c r="AQ276" i="5"/>
  <c r="AQ277" i="5" s="1"/>
  <c r="AD266" i="5"/>
  <c r="R276" i="5"/>
  <c r="R265" i="5"/>
  <c r="R266" i="5"/>
  <c r="Q265" i="5"/>
  <c r="Q276" i="5"/>
  <c r="Q266" i="5"/>
  <c r="I28" i="5"/>
  <c r="G28" i="5" s="1"/>
  <c r="AN264" i="5"/>
  <c r="AN263" i="5" s="1"/>
  <c r="AO263" i="5"/>
  <c r="AN141" i="5"/>
  <c r="G256" i="5"/>
  <c r="G238" i="5"/>
  <c r="BG277" i="5"/>
  <c r="AO275" i="5"/>
  <c r="AO13" i="5"/>
  <c r="AN14" i="5"/>
  <c r="AX277" i="5"/>
  <c r="AX269" i="5"/>
  <c r="BA275" i="5"/>
  <c r="M275" i="5"/>
  <c r="M13" i="5"/>
  <c r="I64" i="5"/>
  <c r="G64" i="5" s="1"/>
  <c r="I13" i="5"/>
  <c r="N117" i="4"/>
  <c r="BE277" i="5" l="1"/>
  <c r="AI277" i="5"/>
  <c r="AH277" i="5"/>
  <c r="BB277" i="5"/>
  <c r="G234" i="5"/>
  <c r="T277" i="5"/>
  <c r="I141" i="5"/>
  <c r="I265" i="5" s="1"/>
  <c r="I275" i="5"/>
  <c r="AG277" i="5"/>
  <c r="BA277" i="5"/>
  <c r="AD277" i="5"/>
  <c r="H277" i="5"/>
  <c r="AE266" i="5"/>
  <c r="P277" i="5"/>
  <c r="AF277" i="5"/>
  <c r="R277" i="5"/>
  <c r="N277" i="5"/>
  <c r="M265" i="5"/>
  <c r="M276" i="5"/>
  <c r="M266" i="5"/>
  <c r="AO276" i="5"/>
  <c r="AO266" i="5"/>
  <c r="AO265" i="5"/>
  <c r="Q277" i="5"/>
  <c r="AR277" i="5"/>
  <c r="AM277" i="5"/>
  <c r="J276" i="5"/>
  <c r="J265" i="5"/>
  <c r="J266" i="5"/>
  <c r="I263" i="5"/>
  <c r="G264" i="5"/>
  <c r="AN267" i="5"/>
  <c r="AN13" i="5"/>
  <c r="G13" i="5" s="1"/>
  <c r="AN275" i="5"/>
  <c r="G14" i="5"/>
  <c r="G154" i="5"/>
  <c r="AE275" i="5"/>
  <c r="AE267" i="5"/>
  <c r="AZ263" i="5"/>
  <c r="AZ275" i="5"/>
  <c r="N151" i="4"/>
  <c r="I276" i="5" l="1"/>
  <c r="I268" i="5"/>
  <c r="AZ267" i="5"/>
  <c r="AZ276" i="5"/>
  <c r="AZ268" i="5"/>
  <c r="AZ266" i="5"/>
  <c r="G275" i="5"/>
  <c r="G263" i="5"/>
  <c r="I267" i="5"/>
  <c r="AO277" i="5"/>
  <c r="I266" i="5"/>
  <c r="M277" i="5"/>
  <c r="AN276" i="5"/>
  <c r="AN268" i="5"/>
  <c r="AN265" i="5"/>
  <c r="AN266" i="5"/>
  <c r="J277" i="5"/>
  <c r="AE265" i="5"/>
  <c r="AE276" i="5"/>
  <c r="AE268" i="5"/>
  <c r="G141" i="5"/>
  <c r="M112" i="4"/>
  <c r="G276" i="5" l="1"/>
  <c r="G266" i="5"/>
  <c r="G265" i="5"/>
  <c r="G268" i="5"/>
  <c r="AE269" i="5"/>
  <c r="AE277" i="5"/>
  <c r="I277" i="5"/>
  <c r="I269" i="5"/>
  <c r="G267" i="5"/>
  <c r="AZ269" i="5"/>
  <c r="AZ277" i="5"/>
  <c r="AN277" i="5"/>
  <c r="AN269" i="5"/>
  <c r="L150" i="4"/>
  <c r="G269" i="5" l="1"/>
  <c r="G277" i="5"/>
  <c r="M184" i="4"/>
  <c r="M151" i="4" l="1"/>
  <c r="M140" i="4" l="1"/>
  <c r="H169" i="4" l="1"/>
  <c r="H167" i="4"/>
  <c r="H165" i="4"/>
  <c r="H160" i="4"/>
  <c r="H159" i="4"/>
  <c r="H158" i="4"/>
  <c r="H154" i="4"/>
  <c r="H152" i="4"/>
  <c r="H151" i="4"/>
  <c r="H150" i="4"/>
  <c r="H184" i="4"/>
  <c r="H183" i="4"/>
  <c r="H178" i="4"/>
  <c r="H145" i="4"/>
  <c r="H144" i="4"/>
  <c r="H141" i="4"/>
  <c r="H140" i="4"/>
  <c r="H139" i="4"/>
  <c r="H137" i="4"/>
  <c r="H136" i="4"/>
  <c r="H135" i="4"/>
  <c r="H134" i="4"/>
  <c r="H133" i="4"/>
  <c r="H128" i="4"/>
  <c r="H125" i="4" s="1"/>
  <c r="H117" i="4"/>
  <c r="H116" i="4"/>
  <c r="H112" i="4"/>
  <c r="H109" i="4"/>
  <c r="H108" i="4"/>
  <c r="H105" i="4"/>
  <c r="H103" i="4" s="1"/>
  <c r="H104" i="4"/>
  <c r="H102" i="4"/>
  <c r="H100" i="4"/>
  <c r="H99" i="4"/>
  <c r="H98" i="4"/>
  <c r="H91" i="4"/>
  <c r="H89" i="4" s="1"/>
  <c r="H87" i="4" s="1"/>
  <c r="H90" i="4"/>
  <c r="H86" i="4"/>
  <c r="H85" i="4"/>
  <c r="H84" i="4"/>
  <c r="H81" i="4"/>
  <c r="H80" i="4"/>
  <c r="H79" i="4"/>
  <c r="H74" i="4"/>
  <c r="H73" i="4" s="1"/>
  <c r="H70" i="4"/>
  <c r="H69" i="4"/>
  <c r="H63" i="4"/>
  <c r="H60" i="4"/>
  <c r="H58" i="4"/>
  <c r="H55" i="4"/>
  <c r="H53" i="4"/>
  <c r="H52" i="4"/>
  <c r="H51" i="4"/>
  <c r="H48" i="4"/>
  <c r="H47" i="4"/>
  <c r="H44" i="4"/>
  <c r="H42" i="4"/>
  <c r="H38" i="4"/>
  <c r="H37" i="4" s="1"/>
  <c r="H33" i="4"/>
  <c r="H30" i="4"/>
  <c r="H29" i="4" s="1"/>
  <c r="H24" i="4"/>
  <c r="H23" i="4"/>
  <c r="H21" i="4"/>
  <c r="H20" i="4"/>
  <c r="H16" i="4"/>
  <c r="H15" i="4"/>
  <c r="H176" i="4"/>
  <c r="H114" i="4"/>
  <c r="H101" i="4"/>
  <c r="H93" i="4"/>
  <c r="H65" i="4"/>
  <c r="H57" i="4"/>
  <c r="H41" i="4"/>
  <c r="H35" i="4"/>
  <c r="H32" i="4"/>
  <c r="H31" i="4" s="1"/>
  <c r="J20" i="4"/>
  <c r="H182" i="4" l="1"/>
  <c r="H181" i="4" s="1"/>
  <c r="H68" i="4"/>
  <c r="H64" i="4" s="1"/>
  <c r="H49" i="4"/>
  <c r="H78" i="4"/>
  <c r="H71" i="4" s="1"/>
  <c r="I20" i="4"/>
  <c r="H43" i="4"/>
  <c r="H56" i="4"/>
  <c r="H14" i="4"/>
  <c r="H13" i="4" s="1"/>
  <c r="H12" i="4" s="1"/>
  <c r="H46" i="4"/>
  <c r="H62" i="4"/>
  <c r="H113" i="4"/>
  <c r="H22" i="4"/>
  <c r="H83" i="4"/>
  <c r="H82" i="4" s="1"/>
  <c r="H131" i="4"/>
  <c r="H124" i="4" s="1"/>
  <c r="H123" i="4" s="1"/>
  <c r="H107" i="4"/>
  <c r="H97" i="4"/>
  <c r="H40" i="4"/>
  <c r="H34" i="4" s="1"/>
  <c r="H28" i="4"/>
  <c r="H19" i="4"/>
  <c r="H174" i="4"/>
  <c r="H18" i="4" l="1"/>
  <c r="H17" i="4" s="1"/>
  <c r="H45" i="4"/>
  <c r="H96" i="4"/>
  <c r="H92" i="4" s="1"/>
  <c r="H61" i="4"/>
  <c r="H121" i="4" l="1"/>
  <c r="H187" i="4" s="1"/>
  <c r="T182" i="4" l="1"/>
  <c r="T181" i="4" s="1"/>
  <c r="S182" i="4"/>
  <c r="S181" i="4" s="1"/>
  <c r="R182" i="4"/>
  <c r="R181" i="4" s="1"/>
  <c r="Q182" i="4"/>
  <c r="Q181" i="4" s="1"/>
  <c r="P182" i="4"/>
  <c r="P181" i="4" s="1"/>
  <c r="O182" i="4"/>
  <c r="O181" i="4" s="1"/>
  <c r="N182" i="4"/>
  <c r="N181" i="4" s="1"/>
  <c r="M182" i="4"/>
  <c r="M181" i="4" s="1"/>
  <c r="K182" i="4"/>
  <c r="K181" i="4" s="1"/>
  <c r="T176" i="4"/>
  <c r="S176" i="4"/>
  <c r="R176" i="4"/>
  <c r="Q176" i="4"/>
  <c r="P176" i="4"/>
  <c r="O176" i="4"/>
  <c r="N176" i="4"/>
  <c r="M176" i="4"/>
  <c r="L176" i="4"/>
  <c r="K176" i="4"/>
  <c r="T149" i="4"/>
  <c r="S149" i="4"/>
  <c r="R149" i="4"/>
  <c r="Q149" i="4"/>
  <c r="P149" i="4"/>
  <c r="O149" i="4"/>
  <c r="N149" i="4"/>
  <c r="M149" i="4"/>
  <c r="K149" i="4"/>
  <c r="T131" i="4"/>
  <c r="S131" i="4"/>
  <c r="R131" i="4"/>
  <c r="Q131" i="4"/>
  <c r="P131" i="4"/>
  <c r="O131" i="4"/>
  <c r="N131" i="4"/>
  <c r="M131" i="4"/>
  <c r="L131" i="4"/>
  <c r="K131" i="4"/>
  <c r="T125" i="4"/>
  <c r="S125" i="4"/>
  <c r="R125" i="4"/>
  <c r="Q125" i="4"/>
  <c r="P125" i="4"/>
  <c r="O125" i="4"/>
  <c r="N125" i="4"/>
  <c r="M125" i="4"/>
  <c r="L125" i="4"/>
  <c r="K125" i="4"/>
  <c r="T114" i="4"/>
  <c r="T113" i="4" s="1"/>
  <c r="S114" i="4"/>
  <c r="S113" i="4" s="1"/>
  <c r="R114" i="4"/>
  <c r="R113" i="4" s="1"/>
  <c r="Q114" i="4"/>
  <c r="Q113" i="4" s="1"/>
  <c r="P114" i="4"/>
  <c r="P113" i="4" s="1"/>
  <c r="O114" i="4"/>
  <c r="O113" i="4" s="1"/>
  <c r="N114" i="4"/>
  <c r="N113" i="4" s="1"/>
  <c r="M114" i="4"/>
  <c r="M113" i="4" s="1"/>
  <c r="L114" i="4"/>
  <c r="K114" i="4"/>
  <c r="K113" i="4" s="1"/>
  <c r="T107" i="4"/>
  <c r="S107" i="4"/>
  <c r="R107" i="4"/>
  <c r="Q107" i="4"/>
  <c r="P107" i="4"/>
  <c r="O107" i="4"/>
  <c r="N107" i="4"/>
  <c r="M107" i="4"/>
  <c r="K107" i="4"/>
  <c r="T103" i="4"/>
  <c r="S103" i="4"/>
  <c r="R103" i="4"/>
  <c r="Q103" i="4"/>
  <c r="P103" i="4"/>
  <c r="O103" i="4"/>
  <c r="N103" i="4"/>
  <c r="M103" i="4"/>
  <c r="K103" i="4"/>
  <c r="T101" i="4"/>
  <c r="S101" i="4"/>
  <c r="R101" i="4"/>
  <c r="Q101" i="4"/>
  <c r="P101" i="4"/>
  <c r="O101" i="4"/>
  <c r="N101" i="4"/>
  <c r="M101" i="4"/>
  <c r="L101" i="4"/>
  <c r="K101" i="4"/>
  <c r="T97" i="4"/>
  <c r="S97" i="4"/>
  <c r="R97" i="4"/>
  <c r="Q97" i="4"/>
  <c r="P97" i="4"/>
  <c r="O97" i="4"/>
  <c r="N97" i="4"/>
  <c r="M97" i="4"/>
  <c r="K97" i="4"/>
  <c r="T93" i="4"/>
  <c r="S93" i="4"/>
  <c r="R93" i="4"/>
  <c r="Q93" i="4"/>
  <c r="P93" i="4"/>
  <c r="O93" i="4"/>
  <c r="N93" i="4"/>
  <c r="M93" i="4"/>
  <c r="L93" i="4"/>
  <c r="K93" i="4"/>
  <c r="T89" i="4"/>
  <c r="T87" i="4" s="1"/>
  <c r="S89" i="4"/>
  <c r="S87" i="4" s="1"/>
  <c r="R89" i="4"/>
  <c r="Q89" i="4"/>
  <c r="P89" i="4"/>
  <c r="P87" i="4" s="1"/>
  <c r="O89" i="4"/>
  <c r="O87" i="4" s="1"/>
  <c r="N89" i="4"/>
  <c r="N87" i="4" s="1"/>
  <c r="M89" i="4"/>
  <c r="M87" i="4" s="1"/>
  <c r="L89" i="4"/>
  <c r="L87" i="4" s="1"/>
  <c r="K89" i="4"/>
  <c r="K87" i="4" s="1"/>
  <c r="R87" i="4"/>
  <c r="Q87" i="4"/>
  <c r="T83" i="4"/>
  <c r="T82" i="4" s="1"/>
  <c r="S83" i="4"/>
  <c r="S82" i="4" s="1"/>
  <c r="R83" i="4"/>
  <c r="R82" i="4" s="1"/>
  <c r="Q83" i="4"/>
  <c r="Q82" i="4" s="1"/>
  <c r="P83" i="4"/>
  <c r="P82" i="4" s="1"/>
  <c r="O83" i="4"/>
  <c r="O82" i="4" s="1"/>
  <c r="N83" i="4"/>
  <c r="N82" i="4" s="1"/>
  <c r="M83" i="4"/>
  <c r="M82" i="4" s="1"/>
  <c r="K83" i="4"/>
  <c r="K82" i="4" s="1"/>
  <c r="T78" i="4"/>
  <c r="S78" i="4"/>
  <c r="R78" i="4"/>
  <c r="Q78" i="4"/>
  <c r="P78" i="4"/>
  <c r="O78" i="4"/>
  <c r="N78" i="4"/>
  <c r="M78" i="4"/>
  <c r="L78" i="4"/>
  <c r="K78" i="4"/>
  <c r="T73" i="4"/>
  <c r="S73" i="4"/>
  <c r="R73" i="4"/>
  <c r="Q73" i="4"/>
  <c r="P73" i="4"/>
  <c r="O73" i="4"/>
  <c r="N73" i="4"/>
  <c r="M73" i="4"/>
  <c r="L73" i="4"/>
  <c r="K73" i="4"/>
  <c r="T68" i="4"/>
  <c r="S68" i="4"/>
  <c r="R68" i="4"/>
  <c r="Q68" i="4"/>
  <c r="P68" i="4"/>
  <c r="O68" i="4"/>
  <c r="N68" i="4"/>
  <c r="M68" i="4"/>
  <c r="K68" i="4"/>
  <c r="T65" i="4"/>
  <c r="S65" i="4"/>
  <c r="R65" i="4"/>
  <c r="Q65" i="4"/>
  <c r="P65" i="4"/>
  <c r="O65" i="4"/>
  <c r="N65" i="4"/>
  <c r="M65" i="4"/>
  <c r="K65" i="4"/>
  <c r="T62" i="4"/>
  <c r="S62" i="4"/>
  <c r="R62" i="4"/>
  <c r="Q62" i="4"/>
  <c r="P62" i="4"/>
  <c r="O62" i="4"/>
  <c r="N62" i="4"/>
  <c r="M62" i="4"/>
  <c r="L62" i="4"/>
  <c r="K62" i="4"/>
  <c r="T57" i="4"/>
  <c r="T56" i="4" s="1"/>
  <c r="S57" i="4"/>
  <c r="S56" i="4" s="1"/>
  <c r="R57" i="4"/>
  <c r="R56" i="4" s="1"/>
  <c r="Q57" i="4"/>
  <c r="Q56" i="4" s="1"/>
  <c r="P57" i="4"/>
  <c r="P56" i="4" s="1"/>
  <c r="O57" i="4"/>
  <c r="O56" i="4" s="1"/>
  <c r="N57" i="4"/>
  <c r="N56" i="4" s="1"/>
  <c r="M57" i="4"/>
  <c r="M56" i="4" s="1"/>
  <c r="L57" i="4"/>
  <c r="L56" i="4" s="1"/>
  <c r="K57" i="4"/>
  <c r="K56" i="4" s="1"/>
  <c r="T49" i="4"/>
  <c r="S49" i="4"/>
  <c r="R49" i="4"/>
  <c r="Q49" i="4"/>
  <c r="P49" i="4"/>
  <c r="O49" i="4"/>
  <c r="N49" i="4"/>
  <c r="M49" i="4"/>
  <c r="L49" i="4"/>
  <c r="K49" i="4"/>
  <c r="T46" i="4"/>
  <c r="S46" i="4"/>
  <c r="R46" i="4"/>
  <c r="Q46" i="4"/>
  <c r="P46" i="4"/>
  <c r="O46" i="4"/>
  <c r="N46" i="4"/>
  <c r="M46" i="4"/>
  <c r="L46" i="4"/>
  <c r="K46" i="4"/>
  <c r="T43" i="4"/>
  <c r="S43" i="4"/>
  <c r="R43" i="4"/>
  <c r="Q43" i="4"/>
  <c r="P43" i="4"/>
  <c r="O43" i="4"/>
  <c r="N43" i="4"/>
  <c r="M43" i="4"/>
  <c r="L43" i="4"/>
  <c r="K43" i="4"/>
  <c r="T41" i="4"/>
  <c r="S41" i="4"/>
  <c r="R41" i="4"/>
  <c r="Q41" i="4"/>
  <c r="P41" i="4"/>
  <c r="O41" i="4"/>
  <c r="N41" i="4"/>
  <c r="M41" i="4"/>
  <c r="L41" i="4"/>
  <c r="K41" i="4"/>
  <c r="T38" i="4"/>
  <c r="T37" i="4" s="1"/>
  <c r="S38" i="4"/>
  <c r="S37" i="4" s="1"/>
  <c r="R38" i="4"/>
  <c r="R37" i="4" s="1"/>
  <c r="Q38" i="4"/>
  <c r="Q37" i="4" s="1"/>
  <c r="P38" i="4"/>
  <c r="P37" i="4" s="1"/>
  <c r="O38" i="4"/>
  <c r="O37" i="4" s="1"/>
  <c r="N38" i="4"/>
  <c r="N37" i="4" s="1"/>
  <c r="M38" i="4"/>
  <c r="M37" i="4" s="1"/>
  <c r="L38" i="4"/>
  <c r="L37" i="4" s="1"/>
  <c r="K38" i="4"/>
  <c r="K37" i="4" s="1"/>
  <c r="T35" i="4"/>
  <c r="S35" i="4"/>
  <c r="R35" i="4"/>
  <c r="Q35" i="4"/>
  <c r="P35" i="4"/>
  <c r="O35" i="4"/>
  <c r="N35" i="4"/>
  <c r="M35" i="4"/>
  <c r="L35" i="4"/>
  <c r="K35" i="4"/>
  <c r="T32" i="4"/>
  <c r="T31" i="4" s="1"/>
  <c r="S32" i="4"/>
  <c r="S31" i="4" s="1"/>
  <c r="R32" i="4"/>
  <c r="Q32" i="4"/>
  <c r="P32" i="4"/>
  <c r="P31" i="4" s="1"/>
  <c r="O32" i="4"/>
  <c r="O31" i="4" s="1"/>
  <c r="N32" i="4"/>
  <c r="N31" i="4" s="1"/>
  <c r="M32" i="4"/>
  <c r="M31" i="4" s="1"/>
  <c r="L32" i="4"/>
  <c r="L31" i="4" s="1"/>
  <c r="K32" i="4"/>
  <c r="K31" i="4" s="1"/>
  <c r="R31" i="4"/>
  <c r="Q31" i="4"/>
  <c r="T29" i="4"/>
  <c r="S29" i="4"/>
  <c r="R29" i="4"/>
  <c r="Q29" i="4"/>
  <c r="P29" i="4"/>
  <c r="O29" i="4"/>
  <c r="N29" i="4"/>
  <c r="M29" i="4"/>
  <c r="L29" i="4"/>
  <c r="K29" i="4"/>
  <c r="T22" i="4"/>
  <c r="S22" i="4"/>
  <c r="R22" i="4"/>
  <c r="Q22" i="4"/>
  <c r="P22" i="4"/>
  <c r="O22" i="4"/>
  <c r="N22" i="4"/>
  <c r="M22" i="4"/>
  <c r="L22" i="4"/>
  <c r="K22" i="4"/>
  <c r="T19" i="4"/>
  <c r="S19" i="4"/>
  <c r="R19" i="4"/>
  <c r="Q19" i="4"/>
  <c r="P19" i="4"/>
  <c r="O19" i="4"/>
  <c r="N19" i="4"/>
  <c r="M19" i="4"/>
  <c r="L19" i="4"/>
  <c r="K19" i="4"/>
  <c r="T14" i="4"/>
  <c r="T13" i="4" s="1"/>
  <c r="T12" i="4" s="1"/>
  <c r="S14" i="4"/>
  <c r="S13" i="4" s="1"/>
  <c r="S12" i="4" s="1"/>
  <c r="R14" i="4"/>
  <c r="Q14" i="4"/>
  <c r="P14" i="4"/>
  <c r="P13" i="4" s="1"/>
  <c r="P12" i="4" s="1"/>
  <c r="O14" i="4"/>
  <c r="O13" i="4" s="1"/>
  <c r="O12" i="4" s="1"/>
  <c r="N14" i="4"/>
  <c r="N13" i="4" s="1"/>
  <c r="N12" i="4" s="1"/>
  <c r="M14" i="4"/>
  <c r="M13" i="4" s="1"/>
  <c r="M12" i="4" s="1"/>
  <c r="L14" i="4"/>
  <c r="L13" i="4" s="1"/>
  <c r="L12" i="4" s="1"/>
  <c r="K14" i="4"/>
  <c r="K13" i="4" s="1"/>
  <c r="K12" i="4" s="1"/>
  <c r="R13" i="4"/>
  <c r="R12" i="4" s="1"/>
  <c r="Q13" i="4"/>
  <c r="Q12" i="4" s="1"/>
  <c r="K18" i="4" l="1"/>
  <c r="O18" i="4"/>
  <c r="S18" i="4"/>
  <c r="S17" i="4" s="1"/>
  <c r="R64" i="4"/>
  <c r="R61" i="4" s="1"/>
  <c r="T174" i="4"/>
  <c r="L18" i="4"/>
  <c r="T18" i="4"/>
  <c r="M18" i="4"/>
  <c r="Q18" i="4"/>
  <c r="Q17" i="4" s="1"/>
  <c r="N64" i="4"/>
  <c r="N18" i="4"/>
  <c r="N17" i="4" s="1"/>
  <c r="R18" i="4"/>
  <c r="R17" i="4" s="1"/>
  <c r="P18" i="4"/>
  <c r="L40" i="4"/>
  <c r="T45" i="4"/>
  <c r="M17" i="4"/>
  <c r="K40" i="4"/>
  <c r="O40" i="4"/>
  <c r="O34" i="4" s="1"/>
  <c r="M64" i="4"/>
  <c r="M61" i="4" s="1"/>
  <c r="Q64" i="4"/>
  <c r="Q61" i="4" s="1"/>
  <c r="K64" i="4"/>
  <c r="N96" i="4"/>
  <c r="N92" i="4" s="1"/>
  <c r="K45" i="4"/>
  <c r="O45" i="4"/>
  <c r="K124" i="4"/>
  <c r="K123" i="4" s="1"/>
  <c r="R174" i="4"/>
  <c r="T40" i="4"/>
  <c r="T34" i="4" s="1"/>
  <c r="N45" i="4"/>
  <c r="R45" i="4"/>
  <c r="L45" i="4"/>
  <c r="P45" i="4"/>
  <c r="L71" i="4"/>
  <c r="P71" i="4"/>
  <c r="T71" i="4"/>
  <c r="N71" i="4"/>
  <c r="R71" i="4"/>
  <c r="L124" i="4"/>
  <c r="L123" i="4" s="1"/>
  <c r="N28" i="4"/>
  <c r="S40" i="4"/>
  <c r="S34" i="4" s="1"/>
  <c r="Q96" i="4"/>
  <c r="Q92" i="4" s="1"/>
  <c r="P174" i="4"/>
  <c r="S45" i="4"/>
  <c r="M71" i="4"/>
  <c r="Q71" i="4"/>
  <c r="Q28" i="4"/>
  <c r="M28" i="4"/>
  <c r="T64" i="4"/>
  <c r="T61" i="4" s="1"/>
  <c r="M96" i="4"/>
  <c r="M92" i="4" s="1"/>
  <c r="S124" i="4"/>
  <c r="S123" i="4" s="1"/>
  <c r="T124" i="4"/>
  <c r="T123" i="4" s="1"/>
  <c r="R28" i="4"/>
  <c r="N40" i="4"/>
  <c r="N34" i="4" s="1"/>
  <c r="R40" i="4"/>
  <c r="P40" i="4"/>
  <c r="P34" i="4" s="1"/>
  <c r="P64" i="4"/>
  <c r="P61" i="4" s="1"/>
  <c r="K71" i="4"/>
  <c r="O71" i="4"/>
  <c r="S71" i="4"/>
  <c r="K96" i="4"/>
  <c r="K92" i="4" s="1"/>
  <c r="O96" i="4"/>
  <c r="O92" i="4" s="1"/>
  <c r="S96" i="4"/>
  <c r="S92" i="4" s="1"/>
  <c r="R96" i="4"/>
  <c r="R92" i="4" s="1"/>
  <c r="Q124" i="4"/>
  <c r="Q123" i="4" s="1"/>
  <c r="O124" i="4"/>
  <c r="O123" i="4" s="1"/>
  <c r="P96" i="4"/>
  <c r="P92" i="4" s="1"/>
  <c r="T96" i="4"/>
  <c r="T92" i="4" s="1"/>
  <c r="N124" i="4"/>
  <c r="N123" i="4" s="1"/>
  <c r="R124" i="4"/>
  <c r="R123" i="4" s="1"/>
  <c r="P124" i="4"/>
  <c r="P123" i="4" s="1"/>
  <c r="N174" i="4"/>
  <c r="N61" i="4"/>
  <c r="M124" i="4"/>
  <c r="M123" i="4" s="1"/>
  <c r="K174" i="4"/>
  <c r="O174" i="4"/>
  <c r="S174" i="4"/>
  <c r="M174" i="4"/>
  <c r="Q174" i="4"/>
  <c r="O64" i="4"/>
  <c r="O61" i="4" s="1"/>
  <c r="S64" i="4"/>
  <c r="S61" i="4" s="1"/>
  <c r="K61" i="4"/>
  <c r="M45" i="4"/>
  <c r="Q45" i="4"/>
  <c r="M40" i="4"/>
  <c r="M34" i="4" s="1"/>
  <c r="Q40" i="4"/>
  <c r="Q34" i="4" s="1"/>
  <c r="K34" i="4"/>
  <c r="R34" i="4"/>
  <c r="L34" i="4"/>
  <c r="K28" i="4"/>
  <c r="O28" i="4"/>
  <c r="S28" i="4"/>
  <c r="L28" i="4"/>
  <c r="P28" i="4"/>
  <c r="T28" i="4"/>
  <c r="K17" i="4"/>
  <c r="O17" i="4"/>
  <c r="L17" i="4"/>
  <c r="P17" i="4"/>
  <c r="T17" i="4"/>
  <c r="M121" i="4" l="1"/>
  <c r="M187" i="4" s="1"/>
  <c r="S121" i="4"/>
  <c r="S187" i="4" s="1"/>
  <c r="Q121" i="4"/>
  <c r="Q187" i="4" s="1"/>
  <c r="N121" i="4"/>
  <c r="N10" i="4" s="1"/>
  <c r="N188" i="4" s="1"/>
  <c r="T121" i="4"/>
  <c r="T187" i="4" s="1"/>
  <c r="O121" i="4"/>
  <c r="O187" i="4" s="1"/>
  <c r="P121" i="4"/>
  <c r="K121" i="4"/>
  <c r="K187" i="4" s="1"/>
  <c r="R121" i="4"/>
  <c r="R187" i="4" s="1"/>
  <c r="R10" i="4" l="1"/>
  <c r="R188" i="4" s="1"/>
  <c r="S10" i="4"/>
  <c r="S188" i="4" s="1"/>
  <c r="O10" i="4"/>
  <c r="O188" i="4" s="1"/>
  <c r="M10" i="4"/>
  <c r="M188" i="4" s="1"/>
  <c r="Q10" i="4"/>
  <c r="Q188" i="4" s="1"/>
  <c r="N187" i="4"/>
  <c r="T10" i="4"/>
  <c r="T188" i="4" s="1"/>
  <c r="K10" i="4"/>
  <c r="K188" i="4" s="1"/>
  <c r="P187" i="4"/>
  <c r="P10" i="4"/>
  <c r="P188" i="4" s="1"/>
  <c r="L184" i="4"/>
  <c r="L182" i="4" s="1"/>
  <c r="L181" i="4" s="1"/>
  <c r="L174" i="4" s="1"/>
  <c r="L117" i="4" l="1"/>
  <c r="L113" i="4" s="1"/>
  <c r="L70" i="4" l="1"/>
  <c r="L68" i="4" s="1"/>
  <c r="L84" i="4" l="1"/>
  <c r="L66" i="4" l="1"/>
  <c r="L65" i="4" s="1"/>
  <c r="L64" i="4" s="1"/>
  <c r="L61" i="4" s="1"/>
  <c r="L169" i="4"/>
  <c r="L158" i="4" l="1"/>
  <c r="L156" i="4"/>
  <c r="L160" i="4"/>
  <c r="L161" i="4"/>
  <c r="L154" i="4"/>
  <c r="L152" i="4" l="1"/>
  <c r="L149" i="4" s="1"/>
  <c r="L85" i="4" l="1"/>
  <c r="L83" i="4" s="1"/>
  <c r="L82" i="4" s="1"/>
  <c r="L99" i="4"/>
  <c r="L97" i="4" s="1"/>
  <c r="L112" i="4" l="1"/>
  <c r="L107" i="4" s="1"/>
  <c r="L104" i="4"/>
  <c r="L103" i="4" s="1"/>
  <c r="L96" i="4" l="1"/>
  <c r="L92" i="4" s="1"/>
  <c r="L121" i="4" s="1"/>
  <c r="L187" i="4" s="1"/>
  <c r="L10" i="4" l="1"/>
  <c r="L188" i="4" s="1"/>
  <c r="J151" i="4" l="1"/>
  <c r="I151" i="4" s="1"/>
  <c r="J184" i="4"/>
  <c r="I184" i="4" s="1"/>
  <c r="J183" i="4"/>
  <c r="I183" i="4" s="1"/>
  <c r="J178" i="4"/>
  <c r="I178" i="4" s="1"/>
  <c r="J177" i="4"/>
  <c r="I177" i="4" s="1"/>
  <c r="J171" i="4"/>
  <c r="I171" i="4" s="1"/>
  <c r="J170" i="4"/>
  <c r="I170" i="4" s="1"/>
  <c r="J169" i="4"/>
  <c r="I169" i="4" s="1"/>
  <c r="J168" i="4"/>
  <c r="I168" i="4" s="1"/>
  <c r="J167" i="4"/>
  <c r="I167" i="4" s="1"/>
  <c r="J166" i="4"/>
  <c r="I166" i="4" s="1"/>
  <c r="J165" i="4"/>
  <c r="I165" i="4" s="1"/>
  <c r="J164" i="4"/>
  <c r="I164" i="4" s="1"/>
  <c r="J163" i="4"/>
  <c r="I163" i="4" s="1"/>
  <c r="J162" i="4"/>
  <c r="I162" i="4" s="1"/>
  <c r="J161" i="4"/>
  <c r="I161" i="4" s="1"/>
  <c r="J160" i="4"/>
  <c r="I160" i="4" s="1"/>
  <c r="J159" i="4"/>
  <c r="I159" i="4" s="1"/>
  <c r="J158" i="4"/>
  <c r="I158" i="4" s="1"/>
  <c r="J157" i="4"/>
  <c r="I157" i="4" s="1"/>
  <c r="J156" i="4"/>
  <c r="I156" i="4" s="1"/>
  <c r="J155" i="4"/>
  <c r="I155" i="4" s="1"/>
  <c r="J154" i="4"/>
  <c r="I154" i="4" s="1"/>
  <c r="J153" i="4"/>
  <c r="I153" i="4" s="1"/>
  <c r="J152" i="4"/>
  <c r="I152" i="4" s="1"/>
  <c r="J150" i="4"/>
  <c r="I150" i="4" s="1"/>
  <c r="J145" i="4"/>
  <c r="I145" i="4" s="1"/>
  <c r="J144" i="4"/>
  <c r="I144" i="4" s="1"/>
  <c r="J143" i="4"/>
  <c r="I143" i="4" s="1"/>
  <c r="J142" i="4"/>
  <c r="I142" i="4" s="1"/>
  <c r="J141" i="4"/>
  <c r="I141" i="4" s="1"/>
  <c r="J140" i="4"/>
  <c r="I140" i="4" s="1"/>
  <c r="J139" i="4"/>
  <c r="I139" i="4" s="1"/>
  <c r="J138" i="4"/>
  <c r="I138" i="4" s="1"/>
  <c r="J137" i="4"/>
  <c r="I137" i="4" s="1"/>
  <c r="J136" i="4"/>
  <c r="I136" i="4" s="1"/>
  <c r="J135" i="4"/>
  <c r="I135" i="4" s="1"/>
  <c r="J134" i="4"/>
  <c r="I134" i="4" s="1"/>
  <c r="J133" i="4"/>
  <c r="I133" i="4" s="1"/>
  <c r="J132" i="4"/>
  <c r="I132" i="4" s="1"/>
  <c r="J129" i="4"/>
  <c r="I129" i="4" s="1"/>
  <c r="J128" i="4"/>
  <c r="I128" i="4" s="1"/>
  <c r="J127" i="4"/>
  <c r="I127" i="4" s="1"/>
  <c r="J117" i="4"/>
  <c r="I117" i="4" s="1"/>
  <c r="J116" i="4"/>
  <c r="J114" i="4"/>
  <c r="J112" i="4"/>
  <c r="I112" i="4" s="1"/>
  <c r="J111" i="4"/>
  <c r="I111" i="4" s="1"/>
  <c r="J110" i="4"/>
  <c r="I110" i="4" s="1"/>
  <c r="J109" i="4"/>
  <c r="I109" i="4" s="1"/>
  <c r="J108" i="4"/>
  <c r="I108" i="4" s="1"/>
  <c r="J106" i="4"/>
  <c r="I106" i="4" s="1"/>
  <c r="J105" i="4"/>
  <c r="I105" i="4" s="1"/>
  <c r="J104" i="4"/>
  <c r="I104" i="4" s="1"/>
  <c r="J102" i="4"/>
  <c r="J100" i="4"/>
  <c r="I100" i="4" s="1"/>
  <c r="J99" i="4"/>
  <c r="I99" i="4" s="1"/>
  <c r="J98" i="4"/>
  <c r="I98" i="4" s="1"/>
  <c r="J95" i="4"/>
  <c r="I95" i="4" s="1"/>
  <c r="J94" i="4"/>
  <c r="I94" i="4" s="1"/>
  <c r="J91" i="4"/>
  <c r="I91" i="4" s="1"/>
  <c r="J90" i="4"/>
  <c r="I90" i="4" s="1"/>
  <c r="J88" i="4"/>
  <c r="I88" i="4" s="1"/>
  <c r="J86" i="4"/>
  <c r="I86" i="4" s="1"/>
  <c r="J85" i="4"/>
  <c r="I85" i="4" s="1"/>
  <c r="J84" i="4"/>
  <c r="I84" i="4" s="1"/>
  <c r="J81" i="4"/>
  <c r="I81" i="4" s="1"/>
  <c r="J80" i="4"/>
  <c r="I80" i="4" s="1"/>
  <c r="J79" i="4"/>
  <c r="J77" i="4"/>
  <c r="I77" i="4" s="1"/>
  <c r="J76" i="4"/>
  <c r="I76" i="4" s="1"/>
  <c r="J75" i="4"/>
  <c r="I75" i="4" s="1"/>
  <c r="J74" i="4"/>
  <c r="J72" i="4"/>
  <c r="I72" i="4" s="1"/>
  <c r="J70" i="4"/>
  <c r="I70" i="4" s="1"/>
  <c r="J69" i="4"/>
  <c r="I69" i="4" s="1"/>
  <c r="J67" i="4"/>
  <c r="I67" i="4" s="1"/>
  <c r="J66" i="4"/>
  <c r="I66" i="4" s="1"/>
  <c r="J65" i="4"/>
  <c r="J63" i="4"/>
  <c r="I63" i="4" s="1"/>
  <c r="J60" i="4"/>
  <c r="I60" i="4" s="1"/>
  <c r="J59" i="4"/>
  <c r="I59" i="4" s="1"/>
  <c r="J58" i="4"/>
  <c r="I58" i="4" s="1"/>
  <c r="J55" i="4"/>
  <c r="I55" i="4" s="1"/>
  <c r="J54" i="4"/>
  <c r="I54" i="4" s="1"/>
  <c r="J53" i="4"/>
  <c r="I53" i="4" s="1"/>
  <c r="J52" i="4"/>
  <c r="I52" i="4" s="1"/>
  <c r="J51" i="4"/>
  <c r="I51" i="4" s="1"/>
  <c r="J50" i="4"/>
  <c r="J48" i="4"/>
  <c r="I48" i="4" s="1"/>
  <c r="J47" i="4"/>
  <c r="J44" i="4"/>
  <c r="J42" i="4"/>
  <c r="J39" i="4"/>
  <c r="I39" i="4" s="1"/>
  <c r="J36" i="4"/>
  <c r="I36" i="4" s="1"/>
  <c r="I35" i="4" s="1"/>
  <c r="J33" i="4"/>
  <c r="J30" i="4"/>
  <c r="J24" i="4"/>
  <c r="J23" i="4"/>
  <c r="I23" i="4" s="1"/>
  <c r="J21" i="4"/>
  <c r="I21" i="4" s="1"/>
  <c r="J16" i="4"/>
  <c r="I16" i="4" s="1"/>
  <c r="J15" i="4"/>
  <c r="I24" i="4" l="1"/>
  <c r="J22" i="4"/>
  <c r="I176" i="4"/>
  <c r="J38" i="4"/>
  <c r="J37" i="4" s="1"/>
  <c r="J89" i="4"/>
  <c r="J87" i="4" s="1"/>
  <c r="I149" i="4"/>
  <c r="J43" i="4"/>
  <c r="I44" i="4"/>
  <c r="J46" i="4"/>
  <c r="I47" i="4"/>
  <c r="J101" i="4"/>
  <c r="I102" i="4"/>
  <c r="I101" i="4" s="1"/>
  <c r="J35" i="4"/>
  <c r="J32" i="4"/>
  <c r="J31" i="4" s="1"/>
  <c r="I33" i="4"/>
  <c r="J14" i="4"/>
  <c r="J13" i="4" s="1"/>
  <c r="J12" i="4" s="1"/>
  <c r="I15" i="4"/>
  <c r="J62" i="4"/>
  <c r="J19" i="4"/>
  <c r="J29" i="4"/>
  <c r="I30" i="4"/>
  <c r="J41" i="4"/>
  <c r="I42" i="4"/>
  <c r="I116" i="4"/>
  <c r="I114" i="4" s="1"/>
  <c r="I113" i="4" s="1"/>
  <c r="J73" i="4"/>
  <c r="I74" i="4"/>
  <c r="J78" i="4"/>
  <c r="I79" i="4"/>
  <c r="I78" i="4" s="1"/>
  <c r="J93" i="4"/>
  <c r="J49" i="4"/>
  <c r="I50" i="4"/>
  <c r="J57" i="4"/>
  <c r="J56" i="4" s="1"/>
  <c r="J125" i="4"/>
  <c r="I73" i="4"/>
  <c r="I93" i="4"/>
  <c r="J149" i="4"/>
  <c r="J113" i="4"/>
  <c r="J182" i="4"/>
  <c r="J181" i="4" s="1"/>
  <c r="I182" i="4"/>
  <c r="I181" i="4" s="1"/>
  <c r="J103" i="4"/>
  <c r="J68" i="4"/>
  <c r="J64" i="4" s="1"/>
  <c r="J83" i="4"/>
  <c r="J82" i="4" s="1"/>
  <c r="J131" i="4"/>
  <c r="J28" i="4"/>
  <c r="J97" i="4"/>
  <c r="J107" i="4"/>
  <c r="J176" i="4"/>
  <c r="J18" i="4" l="1"/>
  <c r="J17" i="4" s="1"/>
  <c r="J45" i="4"/>
  <c r="I174" i="4"/>
  <c r="J71" i="4"/>
  <c r="J40" i="4"/>
  <c r="J34" i="4" s="1"/>
  <c r="J124" i="4"/>
  <c r="J123" i="4" s="1"/>
  <c r="J96" i="4"/>
  <c r="J92" i="4" s="1"/>
  <c r="J61" i="4"/>
  <c r="I71" i="4"/>
  <c r="H149" i="4"/>
  <c r="H10" i="4" s="1"/>
  <c r="H188" i="4" s="1"/>
  <c r="J174" i="4"/>
  <c r="J121" i="4" l="1"/>
  <c r="J187" i="4" s="1"/>
  <c r="J10" i="4" l="1"/>
  <c r="J188" i="4" s="1"/>
  <c r="I65" i="4"/>
  <c r="I43" i="4" l="1"/>
  <c r="I32" i="4"/>
  <c r="I68" i="4" l="1"/>
  <c r="I64" i="4" s="1"/>
  <c r="I131" i="4" l="1"/>
  <c r="I125" i="4"/>
  <c r="I89" i="4"/>
  <c r="I87" i="4" s="1"/>
  <c r="I62" i="4"/>
  <c r="I57" i="4"/>
  <c r="I56" i="4" s="1"/>
  <c r="I49" i="4"/>
  <c r="I46" i="4"/>
  <c r="I41" i="4"/>
  <c r="I40" i="4" s="1"/>
  <c r="I38" i="4"/>
  <c r="I37" i="4" s="1"/>
  <c r="I31" i="4"/>
  <c r="I29" i="4"/>
  <c r="I22" i="4"/>
  <c r="I19" i="4"/>
  <c r="I14" i="4"/>
  <c r="I18" i="4" l="1"/>
  <c r="I17" i="4" s="1"/>
  <c r="I34" i="4"/>
  <c r="I28" i="4"/>
  <c r="I103" i="4"/>
  <c r="I13" i="4"/>
  <c r="I12" i="4" s="1"/>
  <c r="I45" i="4"/>
  <c r="I61" i="4"/>
  <c r="I107" i="4"/>
  <c r="I83" i="4"/>
  <c r="I97" i="4"/>
  <c r="I124" i="4"/>
  <c r="I123" i="4" s="1"/>
  <c r="I96" i="4" l="1"/>
  <c r="I82" i="4"/>
  <c r="I92" i="4" l="1"/>
  <c r="I121" i="4" l="1"/>
  <c r="I187" i="4" l="1"/>
  <c r="I10" i="4"/>
  <c r="I188" i="4" s="1"/>
  <c r="F274" i="5" s="1"/>
</calcChain>
</file>

<file path=xl/comments1.xml><?xml version="1.0" encoding="utf-8"?>
<comments xmlns="http://schemas.openxmlformats.org/spreadsheetml/2006/main">
  <authors>
    <author>Sandra Dzerve</author>
    <author>Elina Markaine</author>
  </authors>
  <commentList>
    <comment ref="I63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7380; noma EUR 21000</t>
        </r>
      </text>
    </comment>
    <comment ref="N84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"Ar mērķi nākotnē"</t>
        </r>
      </text>
    </comment>
    <comment ref="N85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proj."dalība starpt.izst"</t>
        </r>
      </text>
    </comment>
    <comment ref="Q95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proj."Pieredzes apmaiņa…"</t>
        </r>
      </text>
    </comment>
    <comment ref="N116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proj."Lietprat.pārvlad."</t>
        </r>
      </text>
    </comment>
    <comment ref="N117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proj."Eurodesk", LP, D.06.1.2., SSC</t>
        </r>
      </text>
    </comment>
    <comment ref="I150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saist.ar privat. Ls 3496</t>
        </r>
      </text>
    </comment>
    <comment ref="K151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Majoru vidusskolas sporta laukuma darbības nodrošināšana</t>
        </r>
      </text>
    </comment>
    <comment ref="N151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</t>
        </r>
      </text>
    </comment>
    <comment ref="I154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1248 €- VK konts (interešu izglītība)</t>
        </r>
      </text>
    </comment>
    <comment ref="I167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5355, noma EUR 20473</t>
        </r>
      </text>
    </comment>
  </commentList>
</comments>
</file>

<file path=xl/sharedStrings.xml><?xml version="1.0" encoding="utf-8"?>
<sst xmlns="http://schemas.openxmlformats.org/spreadsheetml/2006/main" count="949" uniqueCount="808">
  <si>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</si>
  <si>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</si>
  <si>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</si>
  <si>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</si>
  <si>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</si>
  <si>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</si>
  <si>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</si>
  <si>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</si>
  <si>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</si>
  <si>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</si>
  <si>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</si>
  <si>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</si>
  <si>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SIA "Jūrmalas gaisma"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</si>
  <si>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</si>
  <si>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</si>
  <si>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</si>
  <si>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</si>
  <si>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</si>
  <si>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</si>
  <si>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</si>
  <si>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</si>
  <si>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</si>
  <si>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</si>
  <si>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</si>
  <si>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</si>
  <si>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</si>
  <si>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</si>
  <si>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</si>
  <si>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</si>
  <si>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</si>
  <si>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</si>
  <si>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</si>
  <si>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</si>
  <si>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</si>
  <si>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</si>
  <si>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</si>
  <si>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</si>
  <si>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</si>
  <si>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</si>
  <si>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</si>
  <si>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</si>
  <si>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</si>
  <si>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</si>
  <si>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</si>
  <si>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</si>
  <si>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</si>
  <si>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</si>
  <si>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</si>
  <si>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</si>
  <si>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</si>
  <si>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</si>
  <si>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</si>
  <si>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</si>
  <si>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</si>
  <si>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</si>
  <si>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</si>
  <si>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</si>
  <si>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</si>
  <si>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</si>
  <si>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</si>
  <si>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</si>
  <si>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</si>
  <si>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</si>
  <si>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</si>
  <si>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</si>
  <si>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</si>
  <si>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</si>
  <si>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</si>
  <si>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</si>
  <si>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</si>
  <si>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</si>
  <si>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</si>
  <si>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</si>
  <si>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</si>
  <si>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</si>
  <si>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</si>
  <si>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</si>
  <si>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</si>
  <si>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</si>
  <si>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</si>
  <si>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</si>
  <si>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</si>
  <si>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</si>
  <si>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</si>
  <si>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</si>
  <si>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</si>
  <si>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</si>
  <si>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</si>
  <si>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</si>
  <si>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</si>
  <si>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</si>
  <si>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</si>
  <si>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</si>
  <si>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</si>
  <si>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</si>
  <si>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</si>
  <si>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</si>
  <si>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</si>
  <si>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</si>
  <si>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</si>
  <si>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</si>
  <si>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</si>
  <si>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</si>
  <si>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</si>
  <si>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</si>
  <si>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 xml:space="preserve">19.2.4.0. 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</si>
  <si>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</si>
  <si>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</si>
  <si>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</si>
  <si>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</si>
  <si>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</si>
  <si>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</si>
  <si>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</si>
  <si>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</si>
  <si>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</si>
  <si>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</si>
  <si>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</si>
  <si>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</si>
  <si>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</si>
  <si>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</si>
  <si>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</si>
  <si>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</si>
  <si>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</si>
  <si>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</si>
  <si>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21.3.9.5.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</si>
  <si>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</si>
  <si>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</si>
  <si>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</si>
  <si>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</si>
  <si>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</si>
  <si>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</si>
  <si>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</si>
  <si>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</si>
  <si>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</si>
  <si>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</si>
  <si>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</si>
  <si>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</si>
  <si>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</si>
  <si>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</si>
  <si>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</si>
  <si>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</si>
  <si>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</si>
  <si>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</si>
  <si>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</si>
  <si>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Pašvaldības pamatbudžets, t.sk:</t>
  </si>
  <si>
    <t>PVN nomaksa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</si>
  <si>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</si>
  <si>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</si>
  <si>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</si>
  <si>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</si>
  <si>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</si>
  <si>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</si>
  <si>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Kredīta atmaksa - Ūdenssaimniecības attīstības projekta I kārta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</si>
  <si>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</si>
  <si>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</si>
  <si>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</si>
  <si>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</si>
  <si>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</si>
  <si>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</si>
  <si>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</si>
  <si>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</si>
  <si>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</si>
  <si>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</si>
  <si>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</si>
  <si>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13.3.3.0.</t>
  </si>
  <si>
    <t>Ieņēmumi no iedzīvotāju ienākuma nodokļa un īpašuma nodokļa pamatparāda kapitalizācijas</t>
  </si>
  <si>
    <t>21.1.9.1.</t>
  </si>
  <si>
    <t>13.5.0.0.</t>
  </si>
  <si>
    <t>13.5.1.0.</t>
  </si>
  <si>
    <t>13.5.2.0.</t>
  </si>
  <si>
    <t>13.5.3.0.</t>
  </si>
  <si>
    <t>Mērķdotācija sociālās nodrošināšanas pasākumiem</t>
  </si>
  <si>
    <t>Mērķdotācija bezmaksas interneta un datora izmantošanai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</si>
  <si>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</si>
  <si>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</si>
  <si>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</si>
  <si>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</si>
  <si>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</si>
  <si>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</si>
  <si>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</si>
  <si>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</si>
  <si>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</si>
  <si>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</si>
  <si>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</si>
  <si>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</si>
  <si>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</si>
  <si>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</si>
  <si>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</si>
  <si>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</si>
  <si>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</si>
  <si>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</si>
  <si>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</si>
  <si>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</si>
  <si>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PSIA "Jūrmalas kapi"</t>
  </si>
  <si>
    <t>Jūrmalas Bērnu un jauniešu interešu centrs</t>
  </si>
  <si>
    <t>Jūrmalas pilsētas Lielupes vidusskola</t>
  </si>
  <si>
    <t>Jūrmalas pilsētas Mežmalas vidusskola</t>
  </si>
  <si>
    <t>Jūrmalas sākumskola "Atvase"</t>
  </si>
  <si>
    <t>Jūrmalas vakara vidusskola</t>
  </si>
  <si>
    <t>PA "Jūrmalas sociālās aprūpes centrs"</t>
  </si>
  <si>
    <t>Jūrmalas pilsētas PI "Sprīdītis"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</si>
  <si>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</si>
  <si>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</si>
  <si>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</si>
  <si>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</si>
  <si>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</si>
  <si>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</si>
  <si>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</si>
  <si>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</si>
  <si>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</si>
  <si>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</si>
  <si>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</si>
  <si>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</si>
  <si>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</si>
  <si>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</si>
  <si>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</si>
  <si>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</si>
  <si>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</si>
  <si>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</si>
  <si>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</si>
  <si>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</si>
  <si>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</si>
  <si>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</si>
  <si>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</si>
  <si>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</si>
  <si>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</si>
  <si>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</si>
  <si>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</si>
  <si>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</si>
  <si>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</si>
  <si>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</si>
  <si>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</si>
  <si>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</si>
  <si>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Ieņēmumi par projektu īstenošanu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</si>
  <si>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</si>
  <si>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</si>
  <si>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</si>
  <si>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</si>
  <si>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</si>
  <si>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</si>
  <si>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Procentu maksājumi Valsts kasei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</si>
  <si>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</si>
  <si>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</si>
  <si>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</si>
  <si>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</si>
  <si>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</si>
  <si>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</si>
  <si>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</si>
  <si>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</si>
  <si>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</si>
  <si>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</si>
  <si>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</si>
  <si>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</si>
  <si>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</si>
  <si>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</si>
  <si>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</si>
  <si>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PI "Lielupes ostas pārvalde"</t>
  </si>
  <si>
    <t>Jūrmalas Centrālā bibliotēka</t>
  </si>
  <si>
    <t>Jūrmalas pilsētas bāriņtiesa</t>
  </si>
  <si>
    <t>Jūrmalas Kauguru vidusskola</t>
  </si>
  <si>
    <t>Ķemeru vidusskola</t>
  </si>
  <si>
    <t>Majoru vidusskola</t>
  </si>
  <si>
    <t>Sākumskola "Ābelīte"</t>
  </si>
  <si>
    <t>Jūrmalas sākumskola "Taurenītis"</t>
  </si>
  <si>
    <t>Slokas pamatskola</t>
  </si>
  <si>
    <t>Ieņēmumi par līdzfinansējuma projektu īstenošanu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</si>
  <si>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</si>
  <si>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</si>
  <si>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</si>
  <si>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</si>
  <si>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</si>
  <si>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</si>
  <si>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</si>
  <si>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</si>
  <si>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</si>
  <si>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</si>
  <si>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</si>
  <si>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</si>
  <si>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</si>
  <si>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</si>
  <si>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</si>
  <si>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</si>
  <si>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</si>
  <si>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</si>
  <si>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</si>
  <si>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</si>
  <si>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</si>
  <si>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</si>
  <si>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</si>
  <si>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</si>
  <si>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</si>
  <si>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</si>
  <si>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</si>
  <si>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</si>
  <si>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</si>
  <si>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</si>
  <si>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</si>
  <si>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Ēkas rekonstrukcijai ar funkcijas maiņu par sociālās aprūpes ēku ar publiski pieejamām telpām 1.stāvā Skolas ielā 44</t>
  </si>
  <si>
    <t>Pilsētas svētku noformējums</t>
  </si>
  <si>
    <t>Budžeta transferti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</si>
  <si>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</si>
  <si>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</si>
  <si>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</si>
  <si>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</si>
  <si>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Pamatkapitāla palielināšana</t>
  </si>
  <si>
    <t>Iestādes uzturēšana un kultūras pakalpojumu sniegšanas nodrošinājums</t>
  </si>
  <si>
    <t>Iestādes uzturēšana un bibliotēku pakalpojumu pieejamības nodrošinājums</t>
  </si>
  <si>
    <t>Iestādes uzturēšana un muzeju un izstāžu pakalpojumu sniegšanas nodrošinājums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</si>
  <si>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</si>
  <si>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</si>
  <si>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</si>
  <si>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</si>
  <si>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</si>
  <si>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</si>
  <si>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</si>
  <si>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</si>
  <si>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</si>
  <si>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</si>
  <si>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9.pielikums</t>
  </si>
  <si>
    <t>16.pielikums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</si>
  <si>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</si>
  <si>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</si>
  <si>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</si>
  <si>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</si>
  <si>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</si>
  <si>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</si>
  <si>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</si>
  <si>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</si>
  <si>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</si>
  <si>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21.3.8.9.</t>
  </si>
  <si>
    <t>Pārējie ieņēmumi par nomu un īri</t>
  </si>
  <si>
    <t>PSIA Veselības un sociālās aprūpes centrs - Sloka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</si>
  <si>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</si>
  <si>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</si>
  <si>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</si>
  <si>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</si>
  <si>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</si>
  <si>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</si>
  <si>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Pašvaldības iestādes "Sprīdītis" rekonstrukcija</t>
  </si>
  <si>
    <t>Pirmsskolas izglītības iestāžu labiekārtošanas pasākumi</t>
  </si>
  <si>
    <t>Jūrmalas sporta centrs</t>
  </si>
  <si>
    <t>Majoru vidusskolas sporta laukuma darbības nodrošināšana</t>
  </si>
  <si>
    <t>Pilsētas kultūrvēsturiskā mantojuma saglabāšana</t>
  </si>
  <si>
    <t>22.pielikums</t>
  </si>
  <si>
    <t>Budžeta finansētas institūcijas reģistrācijas  Nr.</t>
  </si>
  <si>
    <t>Pirmsskolas izglītības iestāde "Austras koks"</t>
  </si>
  <si>
    <t>Brīvpusdienu nodrošināšana</t>
  </si>
  <si>
    <t>Pilsētas stadiona uzturēšana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</si>
  <si>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</si>
  <si>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</si>
  <si>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</si>
  <si>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Sporta pasākumi, sacensības</t>
  </si>
  <si>
    <t>Projekts "Jūrmalas pilsētas tranzītielas P128 (Talsu šoseja/Kolkas iela) izbūve"</t>
  </si>
  <si>
    <t>Projekts "Songs Make Impossible Look Easy"</t>
  </si>
  <si>
    <t>Projekts "Solis ilgtspējīgā uzņēmējdarbībā"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</si>
  <si>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</si>
  <si>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</si>
  <si>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</si>
  <si>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</si>
  <si>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24.pielikums</t>
  </si>
  <si>
    <t>Ar ārējo sakaru attīstību saistītās starptautiskās un institucionālās sadarbības aktivitātes</t>
  </si>
  <si>
    <t>Jūrmalas Alternatīvā skola</t>
  </si>
  <si>
    <t>Latvijas Starptautiskā skola</t>
  </si>
  <si>
    <t>Kredīta atmaksa - Mācību korpusa lit.002 rekonstrukcija bez apjoma palielināšanas Dūņu ceļš 2, Jūrmalā</t>
  </si>
  <si>
    <t>Pamatkapitāla palielināšana, projekts "Jūrmalas ūdenssaimniecības attīstība II kārta"</t>
  </si>
  <si>
    <t>Pamatkapitāla palielināšana, projekts "Jūrmalas ūdenssaimniecības attīstība III kārta"</t>
  </si>
  <si>
    <t>13.pielikums</t>
  </si>
  <si>
    <t>14.pielikums</t>
  </si>
  <si>
    <t>23.pielikums</t>
  </si>
  <si>
    <t>27.pielikums</t>
  </si>
  <si>
    <t>3.pielikums</t>
  </si>
  <si>
    <t>01.1.1.</t>
  </si>
  <si>
    <t>01.1.5.</t>
  </si>
  <si>
    <t>03.1.1.</t>
  </si>
  <si>
    <t>03.1.2.</t>
  </si>
  <si>
    <t>03.2.1.</t>
  </si>
  <si>
    <t>03.3.1.</t>
  </si>
  <si>
    <t>03.4.1.</t>
  </si>
  <si>
    <t>04.1.1.</t>
  </si>
  <si>
    <t>04.1.2.</t>
  </si>
  <si>
    <t>04.1.4.</t>
  </si>
  <si>
    <t>04.1.5.</t>
  </si>
  <si>
    <t>04.1.9.</t>
  </si>
  <si>
    <t>04.1.10.</t>
  </si>
  <si>
    <t>04.1.11.</t>
  </si>
  <si>
    <t>04.2.1.</t>
  </si>
  <si>
    <t>05.1.4.</t>
  </si>
  <si>
    <t>05.2.1.</t>
  </si>
  <si>
    <t>05.2.2.</t>
  </si>
  <si>
    <t>05.2.3.</t>
  </si>
  <si>
    <t>05.2.4.</t>
  </si>
  <si>
    <t>06.1.2.</t>
  </si>
  <si>
    <t>06.1.4.</t>
  </si>
  <si>
    <t>06.2.1.</t>
  </si>
  <si>
    <t>06.3.1.</t>
  </si>
  <si>
    <t>07.1.1.</t>
  </si>
  <si>
    <t>07.1.2.</t>
  </si>
  <si>
    <t>07.1.3.</t>
  </si>
  <si>
    <t>07.2.1.</t>
  </si>
  <si>
    <t>07.2.2.</t>
  </si>
  <si>
    <t>08.1.4.</t>
  </si>
  <si>
    <t>08.1.5.</t>
  </si>
  <si>
    <t>08.2.1.</t>
  </si>
  <si>
    <t>08.3.1.</t>
  </si>
  <si>
    <t>08.4.1.</t>
  </si>
  <si>
    <t>08.4.2.</t>
  </si>
  <si>
    <t>08.5.1.</t>
  </si>
  <si>
    <t>08.6.1.</t>
  </si>
  <si>
    <t>08.6.2.</t>
  </si>
  <si>
    <t>08.7.1.</t>
  </si>
  <si>
    <t>09.1.1.</t>
  </si>
  <si>
    <t>09.1.3.</t>
  </si>
  <si>
    <t>09.2.1.</t>
  </si>
  <si>
    <t>09.2.2.</t>
  </si>
  <si>
    <t>09.3.1.</t>
  </si>
  <si>
    <t>09.3.2.</t>
  </si>
  <si>
    <t>09.4.1.</t>
  </si>
  <si>
    <t>09.4.2.</t>
  </si>
  <si>
    <t>09.4.3.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</si>
  <si>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</si>
  <si>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</si>
  <si>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</si>
  <si>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</si>
  <si>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</si>
  <si>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</si>
  <si>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</si>
  <si>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</si>
  <si>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</si>
  <si>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</si>
  <si>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09.9.3.</t>
  </si>
  <si>
    <t>09.10.1.</t>
  </si>
  <si>
    <t>09.11.1.</t>
  </si>
  <si>
    <t>09.11.2.</t>
  </si>
  <si>
    <t>09.12.1.</t>
  </si>
  <si>
    <t>09.13.1.</t>
  </si>
  <si>
    <t>09.13.2.</t>
  </si>
  <si>
    <t>09.13.3.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</si>
  <si>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</si>
  <si>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</si>
  <si>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</si>
  <si>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</si>
  <si>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</si>
  <si>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</si>
  <si>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</si>
  <si>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</si>
  <si>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</si>
  <si>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</si>
  <si>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</si>
  <si>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</si>
  <si>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</si>
  <si>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09.20.2.</t>
  </si>
  <si>
    <t>09.21.1.</t>
  </si>
  <si>
    <t>09.22.1.</t>
  </si>
  <si>
    <t>09.22.2.</t>
  </si>
  <si>
    <t>09.23.1.</t>
  </si>
  <si>
    <t>09.23.2.</t>
  </si>
  <si>
    <t>09.24.1.</t>
  </si>
  <si>
    <t>09.24.2.</t>
  </si>
  <si>
    <t>09.24.3.</t>
  </si>
  <si>
    <t>09.25.1.</t>
  </si>
  <si>
    <t>09.25.2.</t>
  </si>
  <si>
    <t>09.26.1.</t>
  </si>
  <si>
    <t>09.26.2.</t>
  </si>
  <si>
    <t>09.27.1.</t>
  </si>
  <si>
    <t>09.27.2.</t>
  </si>
  <si>
    <t>09.28.1.</t>
  </si>
  <si>
    <t>09.28.2.</t>
  </si>
  <si>
    <t>09.29.1.</t>
  </si>
  <si>
    <t>09.30.1.</t>
  </si>
  <si>
    <t>09.30.2.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</si>
  <si>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</si>
  <si>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</si>
  <si>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</si>
  <si>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</si>
  <si>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</si>
  <si>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</si>
  <si>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</si>
  <si>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</si>
  <si>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</si>
  <si>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</si>
  <si>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</si>
  <si>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</si>
  <si>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</si>
  <si>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</si>
  <si>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</si>
  <si>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</si>
  <si>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</si>
  <si>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</si>
  <si>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</si>
  <si>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10.3.9.</t>
  </si>
  <si>
    <t>10.4.1.</t>
  </si>
  <si>
    <t>10.4.2.</t>
  </si>
  <si>
    <t>10.5.1.</t>
  </si>
  <si>
    <t>10.6.1.</t>
  </si>
  <si>
    <r>
      <t>Jūrmalas pilsētas pašvaldības budžeta izdevumi 2015.gadam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</si>
  <si>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2015.gadam</t>
  </si>
  <si>
    <t>Notekūdeņu apsaimniekošana (meliorācijas sistēmas apsaimniekošana)</t>
  </si>
  <si>
    <t>Notekūdeņu apsaimniekošana (lietus ūdens kanalizācija)</t>
  </si>
  <si>
    <t>Metadona kabinets</t>
  </si>
  <si>
    <t>Atbalstāmie pasākumi Dzintaru koncertzālē</t>
  </si>
  <si>
    <t>Iestādes uzturēšana, interešu izglītības un jaunatnes darba nodrošinājums</t>
  </si>
  <si>
    <t>Projekts "Eiropas brīvprātīgais Jūrmalas BJIC"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</si>
  <si>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</si>
  <si>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</si>
  <si>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</si>
  <si>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</si>
  <si>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 xml:space="preserve">Projekts "Skolotāji-mācīšanās līderi" </t>
  </si>
  <si>
    <t>Projekts "Eko-mijiedarbība"</t>
  </si>
  <si>
    <t>Kapitālsabiedrības organizēto koncertu pieejamības veicināšana</t>
  </si>
  <si>
    <t>Saņemts  no Valsts kases sadales konta pārskata gadā ieskaitītais iedzīvotāju ienākuma nodoklis</t>
  </si>
  <si>
    <t>10.1.5.0.</t>
  </si>
  <si>
    <t xml:space="preserve">Naudas sodi, ko uzliek par pārkāpumiem ceļu satiksmē </t>
  </si>
  <si>
    <t>Ieņēmumi no valsts un pašvaldību kustamā īpašuma un mantas realizācijas</t>
  </si>
  <si>
    <t>21.3.9.7.</t>
  </si>
  <si>
    <t>F55 01 00 20</t>
  </si>
  <si>
    <t>Akcijas un cita līdzdalība komersantu pašu kapitālā, neskaitot kopieguldījumu fondu akcijas (pārdošana)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</si>
  <si>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</si>
  <si>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</si>
  <si>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</si>
  <si>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Nekustamā īpašuma iegāde Tukuma ielā 42, Jūrmalā iegāde</t>
  </si>
  <si>
    <t xml:space="preserve">Mērķdotācija tautas tērpu un to detaļu vai mūzikas instrumentu iegādei </t>
  </si>
  <si>
    <t>Mērķdotācija pedagogu atalgojumam profesionālās ievirzes izglītības programmu finansēšanai</t>
  </si>
  <si>
    <r>
      <t>Jūrmalas pilsētas pašvaldības 2015.gada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</si>
  <si>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</si>
  <si>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</si>
  <si>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</si>
  <si>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</si>
  <si>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</si>
  <si>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</si>
  <si>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</si>
  <si>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</si>
  <si>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</si>
  <si>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</si>
  <si>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</si>
  <si>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</si>
  <si>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</si>
  <si>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</si>
  <si>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</si>
  <si>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</si>
  <si>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</si>
  <si>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</si>
  <si>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</si>
  <si>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</si>
  <si>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</si>
  <si>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</si>
  <si>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</si>
  <si>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15.pielikums</t>
  </si>
  <si>
    <t>Pilsētas ekonomiskās attīstības pasākumi</t>
  </si>
  <si>
    <t>4.pielikums</t>
  </si>
  <si>
    <t>12.pielikums</t>
  </si>
  <si>
    <t>Jūrmalas pilsētas pašvaldības 2015.-2017.gada Ceļu fonda izlietojuma programma</t>
  </si>
  <si>
    <t>8.pielikums</t>
  </si>
  <si>
    <t>Projekts "Jūrmalas kūrortpilsētas dalība ārvalstu starptautiskajās tūrisma izstādēs, gadatirgos un konferencēs-2014"</t>
  </si>
  <si>
    <t>Projekts "Jūrmalas kūrortpilsētas dalība ārvalstu starptautiskajās tūrisma izstādēs, gadatirgos un konferencēs - 2015"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</si>
  <si>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</si>
  <si>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</si>
  <si>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</si>
  <si>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</si>
  <si>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</si>
  <si>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</si>
  <si>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</si>
  <si>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</si>
  <si>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</si>
  <si>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</si>
  <si>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</si>
  <si>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</si>
  <si>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</si>
  <si>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</si>
  <si>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</si>
  <si>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Kulturas pasākumi</t>
  </si>
  <si>
    <t>Sabiedrisko attiecību veidošanas pasākumi</t>
  </si>
  <si>
    <t>Zivju resursu atjaunošana</t>
  </si>
  <si>
    <t>Vides piesārņojuma novēršana un samazināšana</t>
  </si>
  <si>
    <t>05.1.1.</t>
  </si>
  <si>
    <t>Vides aizsardzības pasākumi bioloģiskās daudzveidības un ainavas aizsardzības jomā</t>
  </si>
  <si>
    <t>05.1.2.</t>
  </si>
  <si>
    <t>05.1.3.</t>
  </si>
  <si>
    <t>01.1.4.</t>
  </si>
  <si>
    <t>Ar tiesvedības procesiem saistīti izdevumi</t>
  </si>
  <si>
    <t>Juridiskie pakalpojumi ar pašvaldības darbu saistītos jautājumos</t>
  </si>
  <si>
    <t>21.pielikums</t>
  </si>
  <si>
    <t>11., 12.pielikums</t>
  </si>
  <si>
    <t>10., 13.pielikums</t>
  </si>
  <si>
    <t>10.pielikums</t>
  </si>
  <si>
    <t>6.pielikums</t>
  </si>
  <si>
    <t>18.pielikums</t>
  </si>
  <si>
    <t>17.pielikums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</si>
  <si>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</si>
  <si>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</si>
  <si>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</si>
  <si>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</si>
  <si>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</si>
  <si>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</si>
  <si>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>28.pielikums</t>
  </si>
  <si>
    <t xml:space="preserve">Pārējais citur neklasificēts atbalsts sociāli atstumtām personām </t>
  </si>
  <si>
    <t>Pārējie citur neklasificētie sociālās aizsardzības pasākumi</t>
  </si>
  <si>
    <t xml:space="preserve">Projekts "Kompleksi risinājumi siltumnīcefekta gāzu emisijas samazināšanai Jūrmalas pilsētas Mežmalas vidusskolā" </t>
  </si>
  <si>
    <t>Projekts "Inovatīvi risinājumi pieejama – sociāli iekļaujoša tūrisma produkta attīstībai Latvijas pašvaldībās"</t>
  </si>
  <si>
    <t>5., 7.,8.pielikums</t>
  </si>
  <si>
    <t>Bilance</t>
  </si>
  <si>
    <t>9.5.1.9.</t>
  </si>
  <si>
    <t>Pašvaldības nodeva par pašvaldības simbolikas izmantošanu</t>
  </si>
  <si>
    <t>12.3.1.0.</t>
  </si>
  <si>
    <t>12.3.1.2.</t>
  </si>
  <si>
    <t>12.3.1.3.</t>
  </si>
  <si>
    <t>Ieņēmumi no privatizācijs</t>
  </si>
  <si>
    <t>Ieņēmumi no dzīvojamo māju privatizācijas</t>
  </si>
  <si>
    <t>Ieņēmumi no neapbūvēta zemesgabala privatizācijas</t>
  </si>
  <si>
    <t>19.1.0.0.</t>
  </si>
  <si>
    <t>Pašvaldības budžeta iekšējie transferti starp vienas pašvaldības budžeta veidiem</t>
  </si>
  <si>
    <t>01.1.3.</t>
  </si>
  <si>
    <t>03.1.3.</t>
  </si>
  <si>
    <t>04.1.6.
04.1.8.</t>
  </si>
  <si>
    <t>04.1.7.</t>
  </si>
  <si>
    <t>04.1.12.</t>
  </si>
  <si>
    <t>04.1.14.</t>
  </si>
  <si>
    <t>04.1.15.</t>
  </si>
  <si>
    <t>04.1.16.</t>
  </si>
  <si>
    <t>05.1.5.</t>
  </si>
  <si>
    <t>01.1.2. 01.1.6</t>
  </si>
  <si>
    <t>06.1.5.</t>
  </si>
  <si>
    <t>06.1.1. 06.1.6.</t>
  </si>
  <si>
    <t>06.1.7.</t>
  </si>
  <si>
    <t>06.3.2.</t>
  </si>
  <si>
    <t>08.1.3.</t>
  </si>
  <si>
    <t>08.1.2.</t>
  </si>
  <si>
    <t>08.1.7.</t>
  </si>
  <si>
    <t>08.1.8.
08.1.9.</t>
  </si>
  <si>
    <t>08.1.10.</t>
  </si>
  <si>
    <t>08.1.11.</t>
  </si>
  <si>
    <t>08.2.2.</t>
  </si>
  <si>
    <t>08.2.3.</t>
  </si>
  <si>
    <t>08.2.4.</t>
  </si>
  <si>
    <t>08.2.5.</t>
  </si>
  <si>
    <t>08.2.6.</t>
  </si>
  <si>
    <t>08.2.7.</t>
  </si>
  <si>
    <t>08.7.2.</t>
  </si>
  <si>
    <t>08.7.3.</t>
  </si>
  <si>
    <t>08.7.4.</t>
  </si>
  <si>
    <t>09.1.9.</t>
  </si>
  <si>
    <t>09.1.2.</t>
  </si>
  <si>
    <t>09.1.8.</t>
  </si>
  <si>
    <t>09.1.7.</t>
  </si>
  <si>
    <t>09.1.10.</t>
  </si>
  <si>
    <t>09.5.3.</t>
  </si>
  <si>
    <t>09.5.4.</t>
  </si>
  <si>
    <t>09.24.4.</t>
  </si>
  <si>
    <t>10.1.1.</t>
  </si>
  <si>
    <t>Jūrmalas pilsētas muzeja filiāles, Aspazijas mājas digitālās ekspozīcijas ieviešana</t>
  </si>
  <si>
    <t>08.6.3.</t>
  </si>
  <si>
    <t>Mājas aprūpes un pavadoņu pakalpojuma nodrošināšana</t>
  </si>
  <si>
    <t>Projekta "Dienas aprūpe bērniem ar funkcionāliem traucējumiem" ilgtspējas nodrošināšana</t>
  </si>
  <si>
    <t>Iepriekšējo gadu pamatkapitāla palielināšana</t>
  </si>
  <si>
    <t>Pilsētas teritoriju labiekārtošanas pasākumi</t>
  </si>
  <si>
    <t>01.2.1.</t>
  </si>
  <si>
    <t>01.2.2.</t>
  </si>
  <si>
    <t>01.2.3.</t>
  </si>
  <si>
    <t>01.2.4.</t>
  </si>
  <si>
    <t>04.3.1.</t>
  </si>
  <si>
    <t>04.3.2.</t>
  </si>
  <si>
    <t>04.3.3.</t>
  </si>
  <si>
    <t>10.2.9.</t>
  </si>
  <si>
    <t>Pilsētas ielu apgaismojuma nodrošināšana</t>
  </si>
  <si>
    <t>10.3.8.</t>
  </si>
  <si>
    <t>10.3.10.</t>
  </si>
  <si>
    <t>Pilsētas kultūras un atpūtas pasākumi</t>
  </si>
  <si>
    <t>Pirmsskolas izglītības iestāde "Podziņa"</t>
  </si>
  <si>
    <t>01.1.7.</t>
  </si>
  <si>
    <t>08.1.1.
08.1.12</t>
  </si>
  <si>
    <t>09.1.5.</t>
  </si>
  <si>
    <t>Projekta "Grupu dzīvokļa pakalpojuma izveide un nodrošināšana Jūrmalā" ilgtspējas nodrošināšana</t>
  </si>
  <si>
    <t>Projekta "Sociālās rehabilitācijas programmas izstrāde un ieviešana dienas centrā Jūrmalas pilsētā dzīvojošo Romu tautības iedzīvotājiem" ilgtspējas nodrošināšana</t>
  </si>
  <si>
    <t>31.pielikums</t>
  </si>
  <si>
    <t>04.1.13.</t>
  </si>
  <si>
    <t>Dienas aprūpe bērniem ar funkcionāliem traucējumiem</t>
  </si>
  <si>
    <t>SIA "Jūrmalas slimnīca"</t>
  </si>
  <si>
    <t>Mēķdotācijamāksliniecisko kolektīvu vadītājiem (Mūz.sk.)</t>
  </si>
  <si>
    <t>30.pielikums</t>
  </si>
  <si>
    <t>29.pielikums</t>
  </si>
  <si>
    <t>Mūzikas skolas būvniecība</t>
  </si>
  <si>
    <t>Lielupes vidusskolas rekonstrukcija 2 kārtās (t.sk. sporta zāles būvniecība), (2.kārtas projektēšana, skolas ēkas būvniecība)</t>
  </si>
  <si>
    <t>Pamatkapitāla palielināšana - Ķemeru kapličas kapitālais remonts un atkritumu konteineru iegāde</t>
  </si>
  <si>
    <t>Jūrmalas pilsētas Pašvaldības policija</t>
  </si>
  <si>
    <t>Jūrmalas pilsētas Jaundubultu vidusskola</t>
  </si>
  <si>
    <t>Jūrmalas Mākslas skola</t>
  </si>
  <si>
    <t>Jūrmalas Mūzikas vidusskola</t>
  </si>
  <si>
    <t>Jūrmalas Sporta skola</t>
  </si>
  <si>
    <t>08.1.6. 08.1.14.</t>
  </si>
  <si>
    <t>04.1.3. 04.1.18.</t>
  </si>
  <si>
    <t>07.3.1.</t>
  </si>
  <si>
    <t>09.1.4. 09.1.6. 09.1.11.</t>
  </si>
  <si>
    <t>10.2.5.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</si>
  <si>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</si>
  <si>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</si>
  <si>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</si>
  <si>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</si>
  <si>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20.pielikums</t>
  </si>
  <si>
    <t>13., 19., 20.pielikums</t>
  </si>
  <si>
    <t>10., 20.pielikums</t>
  </si>
  <si>
    <t>26.pielikums</t>
  </si>
  <si>
    <t>21., 24.pielikums</t>
  </si>
  <si>
    <t>24., 25.pielikums</t>
  </si>
  <si>
    <t>21., 24., 25.pielikums</t>
  </si>
  <si>
    <t>2015.gada budžets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</si>
  <si>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</si>
  <si>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</si>
  <si>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</si>
  <si>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</si>
  <si>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citu Eiropas Savienības politiku instrumentu līdzfinansēto projektu un pasākumu īstenošanas un saņemtās ārvalstu finanšu palīdzības, kas nav Eiropas Savienības struktūrfondi</t>
  </si>
  <si>
    <t>Ieņēmumi no iestāžu sniegtajiem maksas pakalpojumiem un citi pašu ieņēmumi</t>
  </si>
  <si>
    <t>Ieņēmumi par pārējiem sniegtajiem maksas pakalpojumiem</t>
  </si>
  <si>
    <t>Iestādes saņemtā atlīdzība no apdrošināšanas sabiedrības par bojātu nekustamo īpašumu un kustamo mantu, tai skaitā autoavārijā cietušu automašīnu</t>
  </si>
  <si>
    <t>Pārējie 21.3.0.0.grupā neklasificētie iestāžu ieņēmumi par iestāžu sniegtajiem maksas pakalpojumiem un citi pašu ieņēmumi</t>
  </si>
  <si>
    <t>2.pielikums Jūrmalas pilsētas domes</t>
  </si>
  <si>
    <t>1.pielikums Jūrmalas pilsētas domes</t>
  </si>
  <si>
    <t xml:space="preserve">ERASMUS+ Projekts "Dažādu metožu izmantošana dabaszinātņu mācīšanā, lai veicinātu skolēnu motivāciju un uzlabotu viņu izglītības līmeni" </t>
  </si>
  <si>
    <t>09.31.3.</t>
  </si>
  <si>
    <t>PB grozījumi, kopā</t>
  </si>
  <si>
    <t>Privatizājamā SIA "Jūrmalas namsaimnieks"</t>
  </si>
  <si>
    <t>Pašvaldības nekustamo īpasūmu (dzīvojamā, nedzīvojamā un vasarnīcu fondu) apsaimniekošana</t>
  </si>
  <si>
    <t>Pašvaldības izglītības iestāžu ēku un teritoriju apsaimniekošana, t.sk:</t>
  </si>
  <si>
    <t>Pirmsskolas izglītības iestāžu un teritoriju apsaimniekošana</t>
  </si>
  <si>
    <t>Interešu un profesionālās izglītības iestāžu un teritoriju apsaimniekošana</t>
  </si>
  <si>
    <t>Vispārējās izglītības iestāžu un teritoriju apsaimniekošana</t>
  </si>
  <si>
    <t>VB grozījumi, kopā</t>
  </si>
  <si>
    <t>MP grozījumi, kopā</t>
  </si>
  <si>
    <t>Izmaiņas, kopā</t>
  </si>
  <si>
    <t>Projekts "Jūrmalas jauniešu mēnesis 2014"</t>
  </si>
  <si>
    <t>09.1.12.</t>
  </si>
  <si>
    <t>Projekts "Siltumnīcefekta gāzu emisiju samazināšana transporta sektora Jūrmalas pilsētā"</t>
  </si>
  <si>
    <t>SN 03.02.2015., Nr.3</t>
  </si>
  <si>
    <t>Pašvaldības budžeta norēķini ar valsts budžetu</t>
  </si>
  <si>
    <t>08.6.4.</t>
  </si>
  <si>
    <t>Projekts "Dream Do Decide"</t>
  </si>
  <si>
    <t>Atlikums gada beigās, t.sk. ieņēmumu pārsniegums pār izdevumiem</t>
  </si>
  <si>
    <t>Atlikums pamatkapitāla palielinājumam</t>
  </si>
  <si>
    <t>08.1.13. 08.1.15.</t>
  </si>
  <si>
    <t xml:space="preserve"> </t>
  </si>
  <si>
    <t>Projekts "Algoti pagaidu sabiedriskie darbi"</t>
  </si>
  <si>
    <t>Aspazijas mājā skan radio;  Aspazijas māja Jūrmalā; Dalība Starptautiskā Literatūras muzeju komitejā Krievijā; Koka zvejas kuģa "Marts" pieejamības nodrošināšana Jūrmalas Brīvdabas muzejā</t>
  </si>
  <si>
    <t>Pamatbudžets apstiprināts</t>
  </si>
  <si>
    <t>SN 19.02.2015., Nr.5</t>
  </si>
  <si>
    <t>Valsts budžeta transferti, aptiprināti</t>
  </si>
  <si>
    <t>Maksas pakalpojumi, apstiprināti</t>
  </si>
  <si>
    <t>Ziedojumi, apstiprināti</t>
  </si>
  <si>
    <t>9</t>
  </si>
  <si>
    <t>Ziedojumi, grozījumi, kopā</t>
  </si>
  <si>
    <t>Kopā, apstiprināts</t>
  </si>
  <si>
    <t>2015.gada budžets, apstiprināts</t>
  </si>
  <si>
    <t>Rīkojums 22.01.2015., Nr.1.1-14/30</t>
  </si>
  <si>
    <t>Rīkojums 27.01.2015., Nr.1.1-14/35</t>
  </si>
  <si>
    <t>06.1.3.
06.1.8. 06.1.9.
06.1.10.</t>
  </si>
  <si>
    <t>Jūrmalas sporta servisa centrs</t>
  </si>
  <si>
    <t>08.8.1.</t>
  </si>
  <si>
    <t>08.8.2.</t>
  </si>
  <si>
    <t>08.8.3.</t>
  </si>
  <si>
    <t>Majoru sporta laukuma uzturēšana</t>
  </si>
  <si>
    <t>Jūrmalas pilsētas stadiona "Sloka" uzturēšana</t>
  </si>
  <si>
    <t>PSIA "Kauguru veselības centrs"</t>
  </si>
  <si>
    <t>Pamatkapitāla palielināšana, Ūdensvada un kanalizācijas izbūve</t>
  </si>
  <si>
    <t>07.4.1.</t>
  </si>
  <si>
    <t>Ūdensapgādes un kanalizācijas tīklu attīstība Jūrmalas pašvaldībā (pamatkapitāla palielināšana)</t>
  </si>
  <si>
    <t>05.2.5.</t>
  </si>
  <si>
    <t>05.2.6.</t>
  </si>
  <si>
    <t>R 24.02.2015., Nr.1.1-14/70, 25.02.2015., Nr.1.1-14/72</t>
  </si>
  <si>
    <t>SN 05.03.2015., Nr.13</t>
  </si>
  <si>
    <t>SN 05.03.2015. Nr.13</t>
  </si>
  <si>
    <t>01.2.5.</t>
  </si>
  <si>
    <t>04.1.17.</t>
  </si>
  <si>
    <t>04.1.19.</t>
  </si>
  <si>
    <t>Projekts "Pašvaldību dalība starptautiskās izstādēs"</t>
  </si>
  <si>
    <t>04.1.20.</t>
  </si>
  <si>
    <t>Projekts "Eurodesk reģionālā koordinatora pakalpojumi 2015.gadā"</t>
  </si>
  <si>
    <t>09.4.4.</t>
  </si>
  <si>
    <t>SN nākamie</t>
  </si>
  <si>
    <t>Projekts "Ar mērķi nākotnē"</t>
  </si>
  <si>
    <t>09.1.13.</t>
  </si>
  <si>
    <t>Projekts "Lietpratīga pārvaldība un Latvijas pašvaldību veiktspējas uzlabošana"</t>
  </si>
  <si>
    <t>09.1.14.</t>
  </si>
  <si>
    <t>R 16.03.2015., Nr.1.1-14/100, 02.04.2015., Nr.1.1-14/122, 09.04.2015., Nr.1.1-14/131, 20.04.2015., Nr.1.1-14/140, 28.04.2015., Nr.1.1-14/151</t>
  </si>
  <si>
    <t>Pašvaldības nekustamo īpašumu, kuros tiek nodrošināta ilgstoša sociālā aprūpe būvniecība, atjaunošana un uzlabošana</t>
  </si>
  <si>
    <t>10.1.2.</t>
  </si>
  <si>
    <t>SN 07.05.2015., Nr.21</t>
  </si>
  <si>
    <t>2014.gada 18.decembra saistošajiem noteikumiem Nr.37</t>
  </si>
  <si>
    <t>(Protokols Nr.18, 15.punkts)</t>
  </si>
  <si>
    <t>Sabiedrība ar ierobežotu atbildību "Dzintaru koncertzāle"</t>
  </si>
  <si>
    <t>R 22.05.2015., Nr.1.1-14/170, 26.05.2015., Nr.1.1-14/173</t>
  </si>
  <si>
    <t>Sabiedrība ar ierobežotu atbildību "JŪRMALAS ŪDENS"</t>
  </si>
  <si>
    <t xml:space="preserve">Sporta nama ''Taurenītis '' uzturēšana </t>
  </si>
  <si>
    <t>08.8.4.</t>
  </si>
  <si>
    <t>SN 11.06.2015., Nr.23</t>
  </si>
  <si>
    <t>Ostas būvniecība, atjaunošana un uzlabošana</t>
  </si>
  <si>
    <t>04.1.21.</t>
  </si>
  <si>
    <t>Projekts "Kreatīva pieeja mūzikas mācīšanā pirmsskolā un sākumskolā"</t>
  </si>
  <si>
    <t>09.26.3.</t>
  </si>
  <si>
    <t>4.1.3.0.</t>
  </si>
  <si>
    <t>Nekustamā īpašuma nodoklis par mājokļiem</t>
  </si>
  <si>
    <t>4.1.3.1.</t>
  </si>
  <si>
    <t>4.1.3.2.</t>
  </si>
  <si>
    <t>Nekustamā īpašuma nodokļa par mājokļiem  kārtējā saimnieciskā gada ieņēmumi</t>
  </si>
  <si>
    <t>Nekustamā īpašuma nodokļa par mājokļiem parādi par iepriekšējiem gadiem</t>
  </si>
  <si>
    <t>SN 09.07.2015., Nr.28</t>
  </si>
  <si>
    <t>R 29.05.2015., Nr.1.1-14/203, Nr.1.1-14/204, Nr.1.1-14/208</t>
  </si>
  <si>
    <t>Projekts "Pieredzes apmaiņa un labas prakses piemēri Baltijas un Ziemeļu valstu dabas centros"</t>
  </si>
  <si>
    <t>01.1.8.</t>
  </si>
  <si>
    <t>R 15.07.2015., Nr.1.1-14/222, R 16.07.2015., Nr.1.1-14/229</t>
  </si>
  <si>
    <t>SN 30.07.2015. Nr.30</t>
  </si>
  <si>
    <t>ārkārtas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</si>
</sst>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i/>
      <sz val="14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color indexed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28">
    <xf numFmtId="0" fontId="0" fillId="0" borderId="0" xfId="0"/>
    <xf numFmtId="0" fontId="3" fillId="0" borderId="0" xfId="2" applyFont="1" applyFill="1" applyBorder="1"/>
    <xf numFmtId="0" fontId="6" fillId="0" borderId="28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3" fontId="6" fillId="0" borderId="29" xfId="2" applyNumberFormat="1" applyFont="1" applyFill="1" applyBorder="1" applyAlignment="1">
      <alignment horizontal="right" vertical="center" wrapText="1"/>
    </xf>
    <xf numFmtId="0" fontId="7" fillId="3" borderId="29" xfId="2" applyFont="1" applyFill="1" applyBorder="1" applyAlignment="1">
      <alignment horizontal="left" vertical="center" wrapText="1"/>
    </xf>
    <xf numFmtId="3" fontId="7" fillId="3" borderId="29" xfId="2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horizontal="right" vertical="center" wrapText="1"/>
    </xf>
    <xf numFmtId="0" fontId="3" fillId="0" borderId="30" xfId="2" applyFont="1" applyFill="1" applyBorder="1" applyAlignment="1">
      <alignment vertical="center"/>
    </xf>
    <xf numFmtId="0" fontId="3" fillId="0" borderId="31" xfId="2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/>
    </xf>
    <xf numFmtId="0" fontId="3" fillId="0" borderId="32" xfId="2" applyFont="1" applyFill="1" applyBorder="1" applyAlignment="1">
      <alignment vertical="center"/>
    </xf>
    <xf numFmtId="0" fontId="3" fillId="0" borderId="33" xfId="2" applyFont="1" applyFill="1" applyBorder="1" applyAlignment="1">
      <alignment vertical="center" wrapText="1"/>
    </xf>
    <xf numFmtId="3" fontId="3" fillId="0" borderId="33" xfId="2" applyNumberFormat="1" applyFont="1" applyFill="1" applyBorder="1" applyAlignment="1">
      <alignment vertical="center"/>
    </xf>
    <xf numFmtId="0" fontId="3" fillId="0" borderId="34" xfId="2" applyFont="1" applyFill="1" applyBorder="1" applyAlignment="1">
      <alignment vertical="center"/>
    </xf>
    <xf numFmtId="0" fontId="3" fillId="0" borderId="35" xfId="2" applyFont="1" applyFill="1" applyBorder="1" applyAlignment="1">
      <alignment vertical="center" wrapText="1"/>
    </xf>
    <xf numFmtId="3" fontId="3" fillId="0" borderId="35" xfId="2" applyNumberFormat="1" applyFont="1" applyFill="1" applyBorder="1" applyAlignment="1">
      <alignment vertical="center"/>
    </xf>
    <xf numFmtId="3" fontId="7" fillId="3" borderId="29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vertical="center"/>
    </xf>
    <xf numFmtId="0" fontId="3" fillId="0" borderId="28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 wrapText="1"/>
    </xf>
    <xf numFmtId="3" fontId="3" fillId="0" borderId="29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 wrapText="1"/>
    </xf>
    <xf numFmtId="3" fontId="3" fillId="0" borderId="3" xfId="2" applyNumberFormat="1" applyFont="1" applyFill="1" applyBorder="1" applyAlignment="1">
      <alignment vertical="center"/>
    </xf>
    <xf numFmtId="0" fontId="4" fillId="0" borderId="15" xfId="2" applyFont="1" applyFill="1" applyBorder="1" applyAlignment="1">
      <alignment wrapText="1"/>
    </xf>
    <xf numFmtId="0" fontId="3" fillId="0" borderId="28" xfId="2" applyFont="1" applyFill="1" applyBorder="1"/>
    <xf numFmtId="0" fontId="3" fillId="0" borderId="29" xfId="2" applyFont="1" applyFill="1" applyBorder="1" applyAlignment="1">
      <alignment wrapText="1"/>
    </xf>
    <xf numFmtId="0" fontId="7" fillId="3" borderId="29" xfId="2" applyFont="1" applyFill="1" applyBorder="1" applyAlignment="1">
      <alignment vertical="center" wrapText="1"/>
    </xf>
    <xf numFmtId="0" fontId="3" fillId="0" borderId="13" xfId="2" applyFont="1" applyFill="1" applyBorder="1" applyAlignment="1">
      <alignment vertical="center"/>
    </xf>
    <xf numFmtId="0" fontId="3" fillId="0" borderId="15" xfId="2" applyFont="1" applyFill="1" applyBorder="1" applyAlignment="1">
      <alignment vertical="center" wrapText="1"/>
    </xf>
    <xf numFmtId="3" fontId="3" fillId="0" borderId="15" xfId="2" applyNumberFormat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 wrapText="1"/>
    </xf>
    <xf numFmtId="3" fontId="3" fillId="0" borderId="38" xfId="2" applyNumberFormat="1" applyFont="1" applyFill="1" applyBorder="1" applyAlignment="1">
      <alignment vertical="center"/>
    </xf>
    <xf numFmtId="0" fontId="4" fillId="0" borderId="15" xfId="2" applyFont="1" applyFill="1" applyBorder="1" applyAlignment="1">
      <alignment vertical="top" wrapText="1"/>
    </xf>
    <xf numFmtId="0" fontId="3" fillId="0" borderId="29" xfId="2" applyFont="1" applyFill="1" applyBorder="1" applyAlignment="1">
      <alignment vertical="top" wrapText="1"/>
    </xf>
    <xf numFmtId="0" fontId="4" fillId="0" borderId="28" xfId="2" applyFont="1" applyFill="1" applyBorder="1" applyAlignment="1">
      <alignment horizontal="left" vertical="center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3" fillId="0" borderId="40" xfId="2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0" fontId="3" fillId="0" borderId="25" xfId="2" applyFont="1" applyFill="1" applyBorder="1" applyAlignment="1">
      <alignment vertical="center"/>
    </xf>
    <xf numFmtId="0" fontId="3" fillId="0" borderId="26" xfId="2" applyFont="1" applyFill="1" applyBorder="1" applyAlignment="1">
      <alignment vertical="center"/>
    </xf>
    <xf numFmtId="0" fontId="3" fillId="0" borderId="25" xfId="2" applyFont="1" applyFill="1" applyBorder="1"/>
    <xf numFmtId="0" fontId="3" fillId="0" borderId="26" xfId="2" applyFont="1" applyFill="1" applyBorder="1"/>
    <xf numFmtId="0" fontId="4" fillId="0" borderId="25" xfId="2" applyFont="1" applyFill="1" applyBorder="1"/>
    <xf numFmtId="0" fontId="4" fillId="0" borderId="26" xfId="2" applyFont="1" applyFill="1" applyBorder="1"/>
    <xf numFmtId="0" fontId="3" fillId="0" borderId="29" xfId="2" applyFont="1" applyFill="1" applyBorder="1" applyAlignment="1">
      <alignment horizontal="left" wrapText="1"/>
    </xf>
    <xf numFmtId="0" fontId="3" fillId="0" borderId="13" xfId="2" applyFont="1" applyFill="1" applyBorder="1"/>
    <xf numFmtId="0" fontId="3" fillId="0" borderId="14" xfId="2" applyFont="1" applyFill="1" applyBorder="1"/>
    <xf numFmtId="0" fontId="3" fillId="0" borderId="42" xfId="2" applyFont="1" applyFill="1" applyBorder="1"/>
    <xf numFmtId="3" fontId="4" fillId="0" borderId="43" xfId="2" applyNumberFormat="1" applyFont="1" applyFill="1" applyBorder="1" applyAlignment="1">
      <alignment vertical="center"/>
    </xf>
    <xf numFmtId="0" fontId="3" fillId="0" borderId="0" xfId="2" applyFont="1" applyFill="1"/>
    <xf numFmtId="3" fontId="3" fillId="0" borderId="15" xfId="2" applyNumberFormat="1" applyFont="1" applyFill="1" applyBorder="1" applyAlignment="1">
      <alignment horizontal="right" vertical="center"/>
    </xf>
    <xf numFmtId="0" fontId="8" fillId="0" borderId="45" xfId="2" applyFont="1" applyFill="1" applyBorder="1" applyAlignment="1">
      <alignment horizontal="center" vertical="center"/>
    </xf>
    <xf numFmtId="0" fontId="7" fillId="4" borderId="29" xfId="2" applyFont="1" applyFill="1" applyBorder="1" applyAlignment="1">
      <alignment wrapText="1"/>
    </xf>
    <xf numFmtId="3" fontId="3" fillId="5" borderId="15" xfId="2" applyNumberFormat="1" applyFont="1" applyFill="1" applyBorder="1" applyAlignment="1">
      <alignment horizontal="right" vertical="center"/>
    </xf>
    <xf numFmtId="3" fontId="7" fillId="4" borderId="15" xfId="2" applyNumberFormat="1" applyFont="1" applyFill="1" applyBorder="1" applyAlignment="1">
      <alignment horizontal="right" vertical="center"/>
    </xf>
    <xf numFmtId="0" fontId="3" fillId="0" borderId="29" xfId="2" applyFont="1" applyFill="1" applyBorder="1" applyAlignment="1">
      <alignment horizontal="right" wrapText="1"/>
    </xf>
    <xf numFmtId="0" fontId="3" fillId="0" borderId="46" xfId="2" applyFont="1" applyFill="1" applyBorder="1" applyAlignment="1">
      <alignment vertical="center" wrapText="1"/>
    </xf>
    <xf numFmtId="3" fontId="3" fillId="0" borderId="46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horizontal="right" vertical="center"/>
    </xf>
    <xf numFmtId="3" fontId="3" fillId="6" borderId="31" xfId="2" applyNumberFormat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0" fontId="4" fillId="0" borderId="31" xfId="2" applyFont="1" applyFill="1" applyBorder="1" applyAlignment="1">
      <alignment vertical="center" wrapText="1"/>
    </xf>
    <xf numFmtId="3" fontId="3" fillId="0" borderId="29" xfId="2" applyNumberFormat="1" applyFont="1" applyFill="1" applyBorder="1" applyAlignment="1">
      <alignment horizontal="right" vertical="center"/>
    </xf>
    <xf numFmtId="0" fontId="10" fillId="0" borderId="28" xfId="2" applyFont="1" applyFill="1" applyBorder="1" applyAlignment="1">
      <alignment vertical="center"/>
    </xf>
    <xf numFmtId="0" fontId="10" fillId="0" borderId="25" xfId="2" applyFont="1" applyFill="1" applyBorder="1" applyAlignment="1">
      <alignment horizontal="left" vertical="center"/>
    </xf>
    <xf numFmtId="0" fontId="10" fillId="0" borderId="29" xfId="2" applyFont="1" applyFill="1" applyBorder="1" applyAlignment="1">
      <alignment vertical="center" wrapText="1"/>
    </xf>
    <xf numFmtId="3" fontId="3" fillId="0" borderId="59" xfId="2" applyNumberFormat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left" vertical="center"/>
    </xf>
    <xf numFmtId="0" fontId="3" fillId="0" borderId="74" xfId="2" applyFont="1" applyFill="1" applyBorder="1" applyAlignment="1">
      <alignment horizontal="right" vertical="center"/>
    </xf>
    <xf numFmtId="0" fontId="3" fillId="0" borderId="30" xfId="2" applyFont="1" applyFill="1" applyBorder="1"/>
    <xf numFmtId="0" fontId="3" fillId="0" borderId="40" xfId="2" applyFont="1" applyFill="1" applyBorder="1"/>
    <xf numFmtId="0" fontId="4" fillId="0" borderId="40" xfId="0" applyFont="1" applyBorder="1" applyAlignment="1">
      <alignment horizontal="center"/>
    </xf>
    <xf numFmtId="0" fontId="3" fillId="0" borderId="31" xfId="2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8" xfId="2" applyFont="1" applyFill="1" applyBorder="1" applyAlignment="1">
      <alignment horizontal="right" vertical="center"/>
    </xf>
    <xf numFmtId="0" fontId="3" fillId="0" borderId="63" xfId="2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97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7" fillId="0" borderId="0" xfId="2" applyFont="1" applyFill="1" applyBorder="1"/>
    <xf numFmtId="0" fontId="3" fillId="0" borderId="111" xfId="2" applyFont="1" applyFill="1" applyBorder="1" applyAlignment="1">
      <alignment vertical="center"/>
    </xf>
    <xf numFmtId="0" fontId="3" fillId="0" borderId="112" xfId="2" applyFont="1" applyFill="1" applyBorder="1" applyAlignment="1">
      <alignment vertical="center"/>
    </xf>
    <xf numFmtId="0" fontId="3" fillId="0" borderId="112" xfId="2" applyFont="1" applyFill="1" applyBorder="1" applyAlignment="1">
      <alignment horizontal="left" vertical="center"/>
    </xf>
    <xf numFmtId="0" fontId="3" fillId="0" borderId="111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74" xfId="2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 vertical="center"/>
    </xf>
    <xf numFmtId="0" fontId="4" fillId="8" borderId="30" xfId="2" applyFont="1" applyFill="1" applyBorder="1"/>
    <xf numFmtId="0" fontId="4" fillId="8" borderId="25" xfId="0" applyFont="1" applyFill="1" applyBorder="1"/>
    <xf numFmtId="0" fontId="4" fillId="8" borderId="26" xfId="2" applyFont="1" applyFill="1" applyBorder="1" applyAlignment="1">
      <alignment horizontal="center"/>
    </xf>
    <xf numFmtId="0" fontId="4" fillId="8" borderId="25" xfId="0" applyFont="1" applyFill="1" applyBorder="1" applyAlignment="1">
      <alignment wrapText="1"/>
    </xf>
    <xf numFmtId="3" fontId="4" fillId="8" borderId="29" xfId="2" applyNumberFormat="1" applyFont="1" applyFill="1" applyBorder="1" applyAlignment="1">
      <alignment horizontal="right" vertical="center"/>
    </xf>
    <xf numFmtId="3" fontId="10" fillId="0" borderId="29" xfId="2" applyNumberFormat="1" applyFont="1" applyFill="1" applyBorder="1" applyAlignment="1">
      <alignment vertical="center"/>
    </xf>
    <xf numFmtId="0" fontId="10" fillId="0" borderId="0" xfId="2" applyFont="1" applyFill="1" applyBorder="1"/>
    <xf numFmtId="0" fontId="3" fillId="0" borderId="25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 vertical="center"/>
    </xf>
    <xf numFmtId="0" fontId="3" fillId="0" borderId="25" xfId="2" applyFont="1" applyFill="1" applyBorder="1" applyAlignment="1">
      <alignment horizontal="right"/>
    </xf>
    <xf numFmtId="0" fontId="4" fillId="0" borderId="30" xfId="2" applyFont="1" applyFill="1" applyBorder="1" applyAlignment="1">
      <alignment vertical="center"/>
    </xf>
    <xf numFmtId="0" fontId="3" fillId="0" borderId="48" xfId="2" applyFont="1" applyFill="1" applyBorder="1" applyAlignment="1">
      <alignment horizontal="right" vertical="center"/>
    </xf>
    <xf numFmtId="0" fontId="3" fillId="0" borderId="63" xfId="2" applyFont="1" applyFill="1" applyBorder="1" applyAlignment="1">
      <alignment horizontal="right" vertical="center"/>
    </xf>
    <xf numFmtId="0" fontId="3" fillId="0" borderId="27" xfId="2" applyFont="1" applyFill="1" applyBorder="1" applyAlignment="1">
      <alignment horizontal="center" vertical="center" wrapText="1"/>
    </xf>
    <xf numFmtId="3" fontId="3" fillId="0" borderId="118" xfId="2" applyNumberFormat="1" applyFont="1" applyFill="1" applyBorder="1"/>
    <xf numFmtId="3" fontId="3" fillId="0" borderId="118" xfId="2" applyNumberFormat="1" applyFont="1" applyFill="1" applyBorder="1" applyAlignment="1"/>
    <xf numFmtId="3" fontId="19" fillId="0" borderId="118" xfId="3" applyNumberFormat="1" applyFont="1" applyFill="1" applyBorder="1" applyAlignment="1" applyProtection="1"/>
    <xf numFmtId="3" fontId="7" fillId="3" borderId="123" xfId="2" applyNumberFormat="1" applyFont="1" applyFill="1" applyBorder="1" applyAlignment="1">
      <alignment horizontal="right" vertical="center" wrapText="1"/>
    </xf>
    <xf numFmtId="3" fontId="7" fillId="3" borderId="124" xfId="2" applyNumberFormat="1" applyFont="1" applyFill="1" applyBorder="1" applyAlignment="1">
      <alignment horizontal="right" vertical="center" wrapText="1"/>
    </xf>
    <xf numFmtId="3" fontId="7" fillId="3" borderId="125" xfId="2" applyNumberFormat="1" applyFont="1" applyFill="1" applyBorder="1" applyAlignment="1">
      <alignment horizontal="right" vertical="center" wrapText="1"/>
    </xf>
    <xf numFmtId="3" fontId="4" fillId="0" borderId="123" xfId="2" applyNumberFormat="1" applyFont="1" applyFill="1" applyBorder="1" applyAlignment="1">
      <alignment horizontal="right" vertical="center" wrapText="1"/>
    </xf>
    <xf numFmtId="3" fontId="4" fillId="0" borderId="124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horizontal="right" vertical="center" wrapText="1"/>
    </xf>
    <xf numFmtId="3" fontId="3" fillId="0" borderId="126" xfId="2" applyNumberFormat="1" applyFont="1" applyFill="1" applyBorder="1" applyAlignment="1">
      <alignment vertical="center"/>
    </xf>
    <xf numFmtId="3" fontId="3" fillId="0" borderId="127" xfId="2" applyNumberFormat="1" applyFont="1" applyFill="1" applyBorder="1" applyAlignment="1">
      <alignment vertical="center"/>
    </xf>
    <xf numFmtId="3" fontId="3" fillId="0" borderId="128" xfId="2" applyNumberFormat="1" applyFont="1" applyFill="1" applyBorder="1" applyAlignment="1">
      <alignment vertical="center"/>
    </xf>
    <xf numFmtId="3" fontId="7" fillId="3" borderId="123" xfId="2" applyNumberFormat="1" applyFont="1" applyFill="1" applyBorder="1" applyAlignment="1">
      <alignment vertical="center"/>
    </xf>
    <xf numFmtId="3" fontId="7" fillId="3" borderId="124" xfId="2" applyNumberFormat="1" applyFont="1" applyFill="1" applyBorder="1" applyAlignment="1">
      <alignment vertical="center"/>
    </xf>
    <xf numFmtId="3" fontId="7" fillId="3" borderId="125" xfId="2" applyNumberFormat="1" applyFont="1" applyFill="1" applyBorder="1" applyAlignment="1">
      <alignment vertical="center"/>
    </xf>
    <xf numFmtId="3" fontId="4" fillId="0" borderId="123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5" xfId="2" applyNumberFormat="1" applyFont="1" applyFill="1" applyBorder="1" applyAlignment="1">
      <alignment vertical="center"/>
    </xf>
    <xf numFmtId="3" fontId="3" fillId="0" borderId="123" xfId="2" applyNumberFormat="1" applyFont="1" applyFill="1" applyBorder="1" applyAlignment="1">
      <alignment vertical="center"/>
    </xf>
    <xf numFmtId="3" fontId="3" fillId="0" borderId="124" xfId="2" applyNumberFormat="1" applyFont="1" applyFill="1" applyBorder="1" applyAlignment="1">
      <alignment vertical="center"/>
    </xf>
    <xf numFmtId="3" fontId="3" fillId="0" borderId="125" xfId="2" applyNumberFormat="1" applyFont="1" applyFill="1" applyBorder="1" applyAlignment="1">
      <alignment vertical="center"/>
    </xf>
    <xf numFmtId="3" fontId="3" fillId="0" borderId="122" xfId="2" applyNumberFormat="1" applyFont="1" applyFill="1" applyBorder="1"/>
    <xf numFmtId="3" fontId="3" fillId="0" borderId="122" xfId="3" applyNumberFormat="1" applyFont="1" applyFill="1" applyBorder="1" applyAlignment="1" applyProtection="1"/>
    <xf numFmtId="3" fontId="3" fillId="0" borderId="123" xfId="2" applyNumberFormat="1" applyFont="1" applyFill="1" applyBorder="1" applyAlignment="1">
      <alignment horizontal="right" vertical="center"/>
    </xf>
    <xf numFmtId="3" fontId="3" fillId="0" borderId="124" xfId="2" applyNumberFormat="1" applyFont="1" applyFill="1" applyBorder="1" applyAlignment="1">
      <alignment horizontal="right" vertical="center"/>
    </xf>
    <xf numFmtId="3" fontId="3" fillId="0" borderId="125" xfId="2" applyNumberFormat="1" applyFont="1" applyFill="1" applyBorder="1" applyAlignment="1">
      <alignment horizontal="right" vertical="center"/>
    </xf>
    <xf numFmtId="3" fontId="3" fillId="0" borderId="122" xfId="2" applyNumberFormat="1" applyFont="1" applyFill="1" applyBorder="1" applyAlignment="1"/>
    <xf numFmtId="3" fontId="3" fillId="5" borderId="129" xfId="2" applyNumberFormat="1" applyFont="1" applyFill="1" applyBorder="1" applyAlignment="1">
      <alignment horizontal="right" vertical="center"/>
    </xf>
    <xf numFmtId="3" fontId="3" fillId="5" borderId="130" xfId="2" applyNumberFormat="1" applyFont="1" applyFill="1" applyBorder="1" applyAlignment="1">
      <alignment horizontal="right" vertical="center"/>
    </xf>
    <xf numFmtId="3" fontId="3" fillId="5" borderId="131" xfId="2" applyNumberFormat="1" applyFont="1" applyFill="1" applyBorder="1" applyAlignment="1">
      <alignment horizontal="right" vertical="center"/>
    </xf>
    <xf numFmtId="3" fontId="7" fillId="4" borderId="129" xfId="2" applyNumberFormat="1" applyFont="1" applyFill="1" applyBorder="1" applyAlignment="1">
      <alignment horizontal="right" vertical="center"/>
    </xf>
    <xf numFmtId="3" fontId="7" fillId="4" borderId="130" xfId="2" applyNumberFormat="1" applyFont="1" applyFill="1" applyBorder="1" applyAlignment="1">
      <alignment horizontal="right" vertical="center"/>
    </xf>
    <xf numFmtId="3" fontId="7" fillId="4" borderId="131" xfId="2" applyNumberFormat="1" applyFont="1" applyFill="1" applyBorder="1" applyAlignment="1">
      <alignment horizontal="right" vertical="center"/>
    </xf>
    <xf numFmtId="3" fontId="4" fillId="0" borderId="129" xfId="2" applyNumberFormat="1" applyFont="1" applyFill="1" applyBorder="1" applyAlignment="1">
      <alignment horizontal="right" vertical="center"/>
    </xf>
    <xf numFmtId="3" fontId="4" fillId="0" borderId="130" xfId="2" applyNumberFormat="1" applyFont="1" applyFill="1" applyBorder="1" applyAlignment="1">
      <alignment horizontal="right" vertical="center"/>
    </xf>
    <xf numFmtId="3" fontId="4" fillId="0" borderId="131" xfId="2" applyNumberFormat="1" applyFont="1" applyFill="1" applyBorder="1" applyAlignment="1">
      <alignment horizontal="right" vertical="center"/>
    </xf>
    <xf numFmtId="3" fontId="3" fillId="0" borderId="129" xfId="2" applyNumberFormat="1" applyFont="1" applyFill="1" applyBorder="1" applyAlignment="1">
      <alignment vertical="center"/>
    </xf>
    <xf numFmtId="3" fontId="3" fillId="0" borderId="130" xfId="2" applyNumberFormat="1" applyFont="1" applyFill="1" applyBorder="1" applyAlignment="1">
      <alignment vertical="center"/>
    </xf>
    <xf numFmtId="3" fontId="3" fillId="0" borderId="131" xfId="2" applyNumberFormat="1" applyFont="1" applyFill="1" applyBorder="1" applyAlignment="1">
      <alignment vertical="center"/>
    </xf>
    <xf numFmtId="3" fontId="4" fillId="0" borderId="132" xfId="2" applyNumberFormat="1" applyFont="1" applyFill="1" applyBorder="1" applyAlignment="1">
      <alignment vertical="center"/>
    </xf>
    <xf numFmtId="3" fontId="4" fillId="0" borderId="133" xfId="2" applyNumberFormat="1" applyFont="1" applyFill="1" applyBorder="1" applyAlignment="1">
      <alignment vertical="center"/>
    </xf>
    <xf numFmtId="3" fontId="4" fillId="0" borderId="134" xfId="2" applyNumberFormat="1" applyFont="1" applyFill="1" applyBorder="1" applyAlignment="1">
      <alignment vertical="center"/>
    </xf>
    <xf numFmtId="0" fontId="8" fillId="0" borderId="15" xfId="2" applyFont="1" applyFill="1" applyBorder="1" applyAlignment="1">
      <alignment horizontal="center" vertical="center" wrapText="1"/>
    </xf>
    <xf numFmtId="3" fontId="6" fillId="2" borderId="135" xfId="2" applyNumberFormat="1" applyFont="1" applyFill="1" applyBorder="1" applyAlignment="1">
      <alignment horizontal="right" vertical="center" wrapText="1"/>
    </xf>
    <xf numFmtId="3" fontId="6" fillId="2" borderId="138" xfId="2" applyNumberFormat="1" applyFont="1" applyFill="1" applyBorder="1" applyAlignment="1">
      <alignment horizontal="right" vertical="center" wrapText="1"/>
    </xf>
    <xf numFmtId="3" fontId="6" fillId="2" borderId="139" xfId="2" applyNumberFormat="1" applyFont="1" applyFill="1" applyBorder="1" applyAlignment="1">
      <alignment horizontal="right" vertical="center" wrapText="1"/>
    </xf>
    <xf numFmtId="3" fontId="6" fillId="2" borderId="14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/>
    <xf numFmtId="3" fontId="3" fillId="0" borderId="0" xfId="2" applyNumberFormat="1" applyFont="1" applyFill="1" applyBorder="1"/>
    <xf numFmtId="3" fontId="3" fillId="0" borderId="29" xfId="2" applyNumberFormat="1" applyFont="1" applyFill="1" applyBorder="1" applyAlignment="1">
      <alignment horizontal="center" vertical="center" wrapText="1"/>
    </xf>
    <xf numFmtId="3" fontId="3" fillId="0" borderId="29" xfId="2" applyNumberFormat="1" applyFont="1" applyFill="1" applyBorder="1"/>
    <xf numFmtId="3" fontId="3" fillId="0" borderId="136" xfId="2" applyNumberFormat="1" applyFont="1" applyFill="1" applyBorder="1"/>
    <xf numFmtId="3" fontId="3" fillId="0" borderId="137" xfId="2" applyNumberFormat="1" applyFont="1" applyFill="1" applyBorder="1"/>
    <xf numFmtId="3" fontId="4" fillId="0" borderId="122" xfId="2" applyNumberFormat="1" applyFont="1" applyFill="1" applyBorder="1"/>
    <xf numFmtId="3" fontId="4" fillId="0" borderId="118" xfId="2" applyNumberFormat="1" applyFont="1" applyFill="1" applyBorder="1"/>
    <xf numFmtId="3" fontId="7" fillId="0" borderId="122" xfId="2" applyNumberFormat="1" applyFont="1" applyFill="1" applyBorder="1"/>
    <xf numFmtId="3" fontId="7" fillId="0" borderId="118" xfId="2" applyNumberFormat="1" applyFont="1" applyFill="1" applyBorder="1"/>
    <xf numFmtId="3" fontId="10" fillId="0" borderId="122" xfId="2" applyNumberFormat="1" applyFont="1" applyFill="1" applyBorder="1"/>
    <xf numFmtId="3" fontId="10" fillId="0" borderId="118" xfId="2" applyNumberFormat="1" applyFont="1" applyFill="1" applyBorder="1"/>
    <xf numFmtId="3" fontId="4" fillId="8" borderId="123" xfId="2" applyNumberFormat="1" applyFont="1" applyFill="1" applyBorder="1" applyAlignment="1">
      <alignment horizontal="right" vertical="center"/>
    </xf>
    <xf numFmtId="3" fontId="4" fillId="8" borderId="124" xfId="2" applyNumberFormat="1" applyFont="1" applyFill="1" applyBorder="1" applyAlignment="1">
      <alignment horizontal="right" vertical="center"/>
    </xf>
    <xf numFmtId="3" fontId="4" fillId="8" borderId="125" xfId="2" applyNumberFormat="1" applyFont="1" applyFill="1" applyBorder="1" applyAlignment="1">
      <alignment horizontal="right" vertical="center"/>
    </xf>
    <xf numFmtId="3" fontId="8" fillId="0" borderId="15" xfId="2" applyNumberFormat="1" applyFont="1" applyFill="1" applyBorder="1" applyAlignment="1">
      <alignment horizontal="right" vertical="center"/>
    </xf>
    <xf numFmtId="3" fontId="6" fillId="2" borderId="141" xfId="2" applyNumberFormat="1" applyFont="1" applyFill="1" applyBorder="1" applyAlignment="1">
      <alignment horizontal="right" vertical="center" wrapText="1"/>
    </xf>
    <xf numFmtId="3" fontId="3" fillId="0" borderId="31" xfId="2" applyNumberFormat="1" applyFont="1" applyFill="1" applyBorder="1" applyAlignment="1">
      <alignment horizontal="right" vertical="center" wrapText="1"/>
    </xf>
    <xf numFmtId="3" fontId="3" fillId="0" borderId="33" xfId="2" applyNumberFormat="1" applyFont="1" applyFill="1" applyBorder="1" applyAlignment="1">
      <alignment horizontal="right" vertical="center" wrapText="1"/>
    </xf>
    <xf numFmtId="3" fontId="3" fillId="0" borderId="35" xfId="2" applyNumberFormat="1" applyFont="1" applyFill="1" applyBorder="1" applyAlignment="1">
      <alignment horizontal="right" vertical="center" wrapText="1"/>
    </xf>
    <xf numFmtId="3" fontId="3" fillId="0" borderId="29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3" fontId="4" fillId="0" borderId="15" xfId="2" applyNumberFormat="1" applyFont="1" applyFill="1" applyBorder="1" applyAlignment="1">
      <alignment horizontal="right" wrapText="1"/>
    </xf>
    <xf numFmtId="3" fontId="3" fillId="0" borderId="29" xfId="2" applyNumberFormat="1" applyFont="1" applyFill="1" applyBorder="1" applyAlignment="1">
      <alignment horizontal="right" wrapText="1"/>
    </xf>
    <xf numFmtId="3" fontId="3" fillId="0" borderId="3" xfId="2" applyNumberFormat="1" applyFont="1" applyFill="1" applyBorder="1" applyAlignment="1">
      <alignment horizontal="right" wrapText="1"/>
    </xf>
    <xf numFmtId="3" fontId="3" fillId="0" borderId="15" xfId="2" applyNumberFormat="1" applyFont="1" applyFill="1" applyBorder="1" applyAlignment="1">
      <alignment horizontal="right" vertical="center" wrapText="1"/>
    </xf>
    <xf numFmtId="3" fontId="3" fillId="0" borderId="38" xfId="2" applyNumberFormat="1" applyFont="1" applyFill="1" applyBorder="1" applyAlignment="1">
      <alignment horizontal="right" vertical="center" wrapText="1"/>
    </xf>
    <xf numFmtId="3" fontId="3" fillId="0" borderId="31" xfId="2" applyNumberFormat="1" applyFont="1" applyFill="1" applyBorder="1" applyAlignment="1">
      <alignment horizontal="right" vertical="top" wrapText="1"/>
    </xf>
    <xf numFmtId="3" fontId="3" fillId="0" borderId="46" xfId="2" applyNumberFormat="1" applyFont="1" applyFill="1" applyBorder="1" applyAlignment="1">
      <alignment horizontal="right" vertical="center" wrapText="1"/>
    </xf>
    <xf numFmtId="3" fontId="3" fillId="0" borderId="59" xfId="2" applyNumberFormat="1" applyFont="1" applyFill="1" applyBorder="1" applyAlignment="1">
      <alignment horizontal="right" vertical="center" wrapText="1"/>
    </xf>
    <xf numFmtId="3" fontId="10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wrapText="1"/>
    </xf>
    <xf numFmtId="3" fontId="4" fillId="8" borderId="25" xfId="0" applyNumberFormat="1" applyFont="1" applyFill="1" applyBorder="1" applyAlignment="1">
      <alignment horizontal="right" wrapText="1"/>
    </xf>
    <xf numFmtId="3" fontId="10" fillId="0" borderId="26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29" xfId="2" applyNumberFormat="1" applyFont="1" applyFill="1" applyBorder="1" applyAlignment="1">
      <alignment horizontal="right" wrapText="1"/>
    </xf>
    <xf numFmtId="3" fontId="3" fillId="0" borderId="31" xfId="2" applyNumberFormat="1" applyFont="1" applyFill="1" applyBorder="1" applyAlignment="1">
      <alignment horizontal="right" wrapText="1"/>
    </xf>
    <xf numFmtId="3" fontId="3" fillId="0" borderId="15" xfId="2" applyNumberFormat="1" applyFont="1" applyFill="1" applyBorder="1" applyAlignment="1">
      <alignment horizontal="right" wrapText="1"/>
    </xf>
    <xf numFmtId="3" fontId="3" fillId="5" borderId="42" xfId="2" applyNumberFormat="1" applyFont="1" applyFill="1" applyBorder="1" applyAlignment="1">
      <alignment horizontal="right"/>
    </xf>
    <xf numFmtId="3" fontId="7" fillId="4" borderId="15" xfId="2" applyNumberFormat="1" applyFont="1" applyFill="1" applyBorder="1" applyAlignment="1">
      <alignment horizontal="right" wrapText="1"/>
    </xf>
    <xf numFmtId="3" fontId="4" fillId="0" borderId="110" xfId="2" applyNumberFormat="1" applyFont="1" applyFill="1" applyBorder="1" applyAlignment="1">
      <alignment horizontal="right" vertical="center" wrapText="1"/>
    </xf>
    <xf numFmtId="3" fontId="4" fillId="0" borderId="77" xfId="2" applyNumberFormat="1" applyFont="1" applyFill="1" applyBorder="1" applyAlignment="1">
      <alignment horizontal="right"/>
    </xf>
    <xf numFmtId="3" fontId="4" fillId="0" borderId="29" xfId="2" applyNumberFormat="1" applyFont="1" applyFill="1" applyBorder="1" applyAlignment="1">
      <alignment horizontal="right" vertical="top" wrapText="1"/>
    </xf>
    <xf numFmtId="0" fontId="3" fillId="0" borderId="29" xfId="0" applyFont="1" applyFill="1" applyBorder="1" applyAlignment="1">
      <alignment horizontal="center" vertical="center" wrapText="1"/>
    </xf>
    <xf numFmtId="3" fontId="3" fillId="0" borderId="97" xfId="2" applyNumberFormat="1" applyFont="1" applyFill="1" applyBorder="1" applyAlignment="1">
      <alignment horizontal="center" vertical="center" wrapText="1"/>
    </xf>
    <xf numFmtId="3" fontId="3" fillId="0" borderId="143" xfId="2" applyNumberFormat="1" applyFont="1" applyFill="1" applyBorder="1"/>
    <xf numFmtId="3" fontId="3" fillId="0" borderId="144" xfId="2" applyNumberFormat="1" applyFont="1" applyFill="1" applyBorder="1"/>
    <xf numFmtId="3" fontId="3" fillId="0" borderId="145" xfId="2" applyNumberFormat="1" applyFont="1" applyFill="1" applyBorder="1"/>
    <xf numFmtId="3" fontId="3" fillId="0" borderId="146" xfId="2" applyNumberFormat="1" applyFont="1" applyFill="1" applyBorder="1"/>
    <xf numFmtId="0" fontId="3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95" xfId="1" applyFont="1" applyFill="1" applyBorder="1"/>
    <xf numFmtId="0" fontId="3" fillId="0" borderId="27" xfId="1" applyFont="1" applyFill="1" applyBorder="1" applyAlignment="1">
      <alignment horizontal="center" vertical="center" textRotation="90" wrapText="1"/>
    </xf>
    <xf numFmtId="0" fontId="3" fillId="0" borderId="119" xfId="1" applyFont="1" applyFill="1" applyBorder="1" applyAlignment="1">
      <alignment horizontal="center" vertical="center" wrapText="1"/>
    </xf>
    <xf numFmtId="0" fontId="3" fillId="0" borderId="97" xfId="1" applyFont="1" applyFill="1" applyBorder="1" applyAlignment="1">
      <alignment horizontal="center" vertical="center" textRotation="90" wrapText="1"/>
    </xf>
    <xf numFmtId="0" fontId="3" fillId="0" borderId="116" xfId="1" applyFont="1" applyFill="1" applyBorder="1" applyAlignment="1">
      <alignment horizontal="center" vertical="center" textRotation="90" wrapText="1"/>
    </xf>
    <xf numFmtId="0" fontId="3" fillId="0" borderId="92" xfId="1" applyFont="1" applyFill="1" applyBorder="1" applyAlignment="1">
      <alignment horizontal="center" vertical="center" textRotation="90" wrapText="1"/>
    </xf>
    <xf numFmtId="0" fontId="3" fillId="0" borderId="95" xfId="1" applyFont="1" applyFill="1" applyBorder="1" applyAlignment="1">
      <alignment horizontal="center" vertical="center" textRotation="90" wrapText="1"/>
    </xf>
    <xf numFmtId="0" fontId="3" fillId="0" borderId="121" xfId="1" applyFont="1" applyFill="1" applyBorder="1" applyAlignment="1">
      <alignment horizontal="center" vertical="center" textRotation="90" wrapText="1"/>
    </xf>
    <xf numFmtId="0" fontId="3" fillId="0" borderId="45" xfId="1" applyFont="1" applyFill="1" applyBorder="1" applyAlignment="1">
      <alignment horizontal="center" vertical="center" textRotation="90" wrapText="1"/>
    </xf>
    <xf numFmtId="0" fontId="14" fillId="0" borderId="45" xfId="1" applyFont="1" applyFill="1" applyBorder="1" applyAlignment="1">
      <alignment horizontal="center" vertical="center" textRotation="90" wrapText="1"/>
    </xf>
    <xf numFmtId="0" fontId="3" fillId="0" borderId="98" xfId="1" applyFont="1" applyFill="1" applyBorder="1" applyAlignment="1">
      <alignment horizontal="center" vertical="center" textRotation="90" wrapText="1"/>
    </xf>
    <xf numFmtId="0" fontId="3" fillId="0" borderId="117" xfId="1" applyFont="1" applyFill="1" applyBorder="1" applyAlignment="1">
      <alignment horizontal="center" vertical="center" textRotation="90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142" xfId="1" applyFont="1" applyFill="1" applyBorder="1" applyAlignment="1">
      <alignment horizontal="center" vertical="center" wrapText="1"/>
    </xf>
    <xf numFmtId="0" fontId="9" fillId="0" borderId="74" xfId="1" applyFont="1" applyFill="1" applyBorder="1" applyAlignment="1">
      <alignment horizontal="center" vertical="center" wrapText="1"/>
    </xf>
    <xf numFmtId="0" fontId="9" fillId="0" borderId="13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8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left" vertical="center" wrapText="1"/>
    </xf>
    <xf numFmtId="3" fontId="4" fillId="0" borderId="120" xfId="1" applyNumberFormat="1" applyFont="1" applyFill="1" applyBorder="1" applyAlignment="1">
      <alignment horizontal="right" vertical="center" wrapText="1"/>
    </xf>
    <xf numFmtId="3" fontId="4" fillId="0" borderId="98" xfId="1" applyNumberFormat="1" applyFont="1" applyFill="1" applyBorder="1" applyAlignment="1">
      <alignment horizontal="right" vertical="center" wrapText="1"/>
    </xf>
    <xf numFmtId="3" fontId="3" fillId="0" borderId="10" xfId="1" applyNumberFormat="1" applyFont="1" applyFill="1" applyBorder="1" applyAlignment="1">
      <alignment horizontal="right" vertical="center" wrapText="1"/>
    </xf>
    <xf numFmtId="3" fontId="3" fillId="0" borderId="44" xfId="1" applyNumberFormat="1" applyFont="1" applyFill="1" applyBorder="1" applyAlignment="1">
      <alignment horizontal="right" vertical="center" wrapText="1"/>
    </xf>
    <xf numFmtId="49" fontId="3" fillId="0" borderId="12" xfId="1" applyNumberFormat="1" applyFont="1" applyFill="1" applyBorder="1" applyAlignment="1">
      <alignment horizontal="right" vertical="center" wrapText="1"/>
    </xf>
    <xf numFmtId="1" fontId="9" fillId="0" borderId="53" xfId="1" applyNumberFormat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left" vertical="center" wrapText="1"/>
    </xf>
    <xf numFmtId="3" fontId="3" fillId="0" borderId="63" xfId="1" applyNumberFormat="1" applyFont="1" applyFill="1" applyBorder="1" applyAlignment="1">
      <alignment horizontal="right" vertical="center" wrapText="1"/>
    </xf>
    <xf numFmtId="3" fontId="3" fillId="0" borderId="38" xfId="1" applyNumberFormat="1" applyFont="1" applyFill="1" applyBorder="1" applyAlignment="1">
      <alignment horizontal="right" vertical="center" wrapText="1"/>
    </xf>
    <xf numFmtId="3" fontId="3" fillId="0" borderId="68" xfId="1" applyNumberFormat="1" applyFont="1" applyFill="1" applyBorder="1" applyAlignment="1">
      <alignment horizontal="right" vertical="center" wrapText="1"/>
    </xf>
    <xf numFmtId="3" fontId="3" fillId="0" borderId="48" xfId="1" applyNumberFormat="1" applyFont="1" applyFill="1" applyBorder="1" applyAlignment="1">
      <alignment horizontal="right" vertical="center" wrapText="1"/>
    </xf>
    <xf numFmtId="49" fontId="3" fillId="0" borderId="50" xfId="1" applyNumberFormat="1" applyFont="1" applyFill="1" applyBorder="1" applyAlignment="1">
      <alignment horizontal="left" vertical="center" wrapText="1"/>
    </xf>
    <xf numFmtId="0" fontId="3" fillId="0" borderId="50" xfId="1" applyFont="1" applyFill="1" applyBorder="1" applyAlignment="1">
      <alignment horizontal="left" vertical="center" wrapText="1"/>
    </xf>
    <xf numFmtId="1" fontId="9" fillId="0" borderId="58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74" xfId="1" applyFont="1" applyFill="1" applyBorder="1" applyAlignment="1">
      <alignment horizontal="left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left" vertical="center" wrapText="1"/>
    </xf>
    <xf numFmtId="3" fontId="3" fillId="0" borderId="74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65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center" vertical="center" wrapText="1"/>
    </xf>
    <xf numFmtId="3" fontId="12" fillId="0" borderId="38" xfId="1" applyNumberFormat="1" applyFont="1" applyFill="1" applyBorder="1" applyAlignment="1">
      <alignment horizontal="right" vertical="center" wrapText="1"/>
    </xf>
    <xf numFmtId="3" fontId="12" fillId="0" borderId="68" xfId="1" applyNumberFormat="1" applyFont="1" applyFill="1" applyBorder="1" applyAlignment="1">
      <alignment horizontal="right" vertical="center" wrapText="1"/>
    </xf>
    <xf numFmtId="3" fontId="12" fillId="0" borderId="48" xfId="1" applyNumberFormat="1" applyFont="1" applyFill="1" applyBorder="1" applyAlignment="1">
      <alignment horizontal="right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47" xfId="1" applyNumberFormat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3" fontId="4" fillId="0" borderId="44" xfId="1" applyNumberFormat="1" applyFont="1" applyFill="1" applyBorder="1" applyAlignment="1">
      <alignment horizontal="right" vertical="center" wrapText="1"/>
    </xf>
    <xf numFmtId="3" fontId="4" fillId="0" borderId="10" xfId="1" applyNumberFormat="1" applyFont="1" applyFill="1" applyBorder="1" applyAlignment="1">
      <alignment horizontal="right" vertical="center" wrapText="1"/>
    </xf>
    <xf numFmtId="3" fontId="3" fillId="0" borderId="67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right" vertical="center" wrapText="1"/>
    </xf>
    <xf numFmtId="49" fontId="3" fillId="0" borderId="20" xfId="1" applyNumberFormat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11" fillId="0" borderId="60" xfId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horizontal="left" vertical="center" wrapText="1"/>
    </xf>
    <xf numFmtId="49" fontId="3" fillId="0" borderId="57" xfId="1" applyNumberFormat="1" applyFont="1" applyFill="1" applyBorder="1" applyAlignment="1">
      <alignment horizontal="left" vertical="center" wrapText="1"/>
    </xf>
    <xf numFmtId="3" fontId="3" fillId="0" borderId="64" xfId="1" applyNumberFormat="1" applyFont="1" applyFill="1" applyBorder="1" applyAlignment="1">
      <alignment horizontal="right" vertical="center" wrapText="1"/>
    </xf>
    <xf numFmtId="3" fontId="3" fillId="0" borderId="33" xfId="1" applyNumberFormat="1" applyFont="1" applyFill="1" applyBorder="1" applyAlignment="1">
      <alignment horizontal="right" vertical="center" wrapText="1"/>
    </xf>
    <xf numFmtId="3" fontId="3" fillId="0" borderId="70" xfId="1" applyNumberFormat="1" applyFont="1" applyFill="1" applyBorder="1" applyAlignment="1">
      <alignment horizontal="right" vertical="center" wrapText="1"/>
    </xf>
    <xf numFmtId="3" fontId="3" fillId="0" borderId="60" xfId="1" applyNumberFormat="1" applyFont="1" applyFill="1" applyBorder="1" applyAlignment="1">
      <alignment horizontal="right" vertical="center" wrapText="1"/>
    </xf>
    <xf numFmtId="0" fontId="11" fillId="0" borderId="48" xfId="1" applyFont="1" applyFill="1" applyBorder="1" applyAlignment="1">
      <alignment vertical="center" wrapText="1"/>
    </xf>
    <xf numFmtId="0" fontId="11" fillId="0" borderId="63" xfId="1" applyFont="1" applyFill="1" applyBorder="1" applyAlignment="1">
      <alignment vertical="center" wrapText="1"/>
    </xf>
    <xf numFmtId="0" fontId="3" fillId="0" borderId="54" xfId="1" applyFont="1" applyFill="1" applyBorder="1" applyAlignment="1">
      <alignment horizontal="left" vertical="center" wrapText="1"/>
    </xf>
    <xf numFmtId="3" fontId="3" fillId="0" borderId="81" xfId="1" applyNumberFormat="1" applyFont="1" applyFill="1" applyBorder="1" applyAlignment="1">
      <alignment horizontal="right" vertical="center" wrapText="1"/>
    </xf>
    <xf numFmtId="3" fontId="3" fillId="0" borderId="52" xfId="1" applyNumberFormat="1" applyFont="1" applyFill="1" applyBorder="1" applyAlignment="1">
      <alignment horizontal="right" vertical="center" wrapText="1"/>
    </xf>
    <xf numFmtId="3" fontId="3" fillId="0" borderId="69" xfId="1" applyNumberFormat="1" applyFont="1" applyFill="1" applyBorder="1" applyAlignment="1">
      <alignment horizontal="right" vertical="center" wrapText="1"/>
    </xf>
    <xf numFmtId="3" fontId="3" fillId="0" borderId="73" xfId="1" applyNumberFormat="1" applyFont="1" applyFill="1" applyBorder="1" applyAlignment="1">
      <alignment horizontal="right" vertical="center" wrapText="1"/>
    </xf>
    <xf numFmtId="49" fontId="3" fillId="0" borderId="55" xfId="1" applyNumberFormat="1" applyFont="1" applyFill="1" applyBorder="1" applyAlignment="1">
      <alignment horizontal="left" vertical="center" wrapText="1"/>
    </xf>
    <xf numFmtId="0" fontId="3" fillId="0" borderId="55" xfId="1" applyFont="1" applyFill="1" applyBorder="1" applyAlignment="1">
      <alignment horizontal="left" vertical="center" wrapText="1"/>
    </xf>
    <xf numFmtId="0" fontId="3" fillId="0" borderId="36" xfId="1" applyFont="1" applyFill="1" applyBorder="1" applyAlignment="1">
      <alignment horizontal="left" vertical="center" wrapText="1"/>
    </xf>
    <xf numFmtId="3" fontId="3" fillId="9" borderId="38" xfId="1" applyNumberFormat="1" applyFont="1" applyFill="1" applyBorder="1" applyAlignment="1">
      <alignment horizontal="right" vertical="center" wrapText="1"/>
    </xf>
    <xf numFmtId="3" fontId="3" fillId="9" borderId="69" xfId="1" applyNumberFormat="1" applyFont="1" applyFill="1" applyBorder="1" applyAlignment="1">
      <alignment horizontal="right" vertical="center" wrapText="1"/>
    </xf>
    <xf numFmtId="0" fontId="3" fillId="0" borderId="57" xfId="1" applyFont="1" applyFill="1" applyBorder="1" applyAlignment="1">
      <alignment horizontal="left" vertical="center" wrapText="1"/>
    </xf>
    <xf numFmtId="3" fontId="3" fillId="9" borderId="68" xfId="1" applyNumberFormat="1" applyFont="1" applyFill="1" applyBorder="1" applyAlignment="1">
      <alignment horizontal="right" vertical="center" wrapText="1"/>
    </xf>
    <xf numFmtId="0" fontId="20" fillId="0" borderId="48" xfId="1" applyFont="1" applyFill="1" applyBorder="1" applyAlignment="1">
      <alignment horizontal="center" vertical="center" wrapText="1"/>
    </xf>
    <xf numFmtId="0" fontId="20" fillId="0" borderId="39" xfId="1" applyFont="1" applyFill="1" applyBorder="1" applyAlignment="1">
      <alignment horizontal="left" vertical="center" wrapText="1"/>
    </xf>
    <xf numFmtId="3" fontId="20" fillId="0" borderId="63" xfId="1" applyNumberFormat="1" applyFont="1" applyFill="1" applyBorder="1" applyAlignment="1">
      <alignment horizontal="right" vertical="center" wrapText="1"/>
    </xf>
    <xf numFmtId="3" fontId="20" fillId="0" borderId="38" xfId="1" applyNumberFormat="1" applyFont="1" applyFill="1" applyBorder="1" applyAlignment="1">
      <alignment horizontal="right" vertical="center" wrapText="1"/>
    </xf>
    <xf numFmtId="3" fontId="20" fillId="0" borderId="68" xfId="1" applyNumberFormat="1" applyFont="1" applyFill="1" applyBorder="1" applyAlignment="1">
      <alignment horizontal="right" vertical="center" wrapText="1"/>
    </xf>
    <xf numFmtId="3" fontId="20" fillId="0" borderId="48" xfId="1" applyNumberFormat="1" applyFont="1" applyFill="1" applyBorder="1" applyAlignment="1">
      <alignment horizontal="right" vertical="center" wrapText="1"/>
    </xf>
    <xf numFmtId="49" fontId="20" fillId="0" borderId="50" xfId="1" applyNumberFormat="1" applyFont="1" applyFill="1" applyBorder="1" applyAlignment="1">
      <alignment horizontal="left" vertical="center" wrapText="1"/>
    </xf>
    <xf numFmtId="0" fontId="20" fillId="0" borderId="50" xfId="1" applyFont="1" applyFill="1" applyBorder="1" applyAlignment="1">
      <alignment horizontal="left" vertical="center" wrapText="1"/>
    </xf>
    <xf numFmtId="0" fontId="21" fillId="0" borderId="48" xfId="1" applyFont="1" applyFill="1" applyBorder="1" applyAlignment="1">
      <alignment horizontal="left" vertical="center" wrapText="1"/>
    </xf>
    <xf numFmtId="0" fontId="21" fillId="0" borderId="63" xfId="1" applyFont="1" applyFill="1" applyBorder="1" applyAlignment="1">
      <alignment horizontal="left" vertical="center" wrapText="1"/>
    </xf>
    <xf numFmtId="3" fontId="4" fillId="0" borderId="18" xfId="1" applyNumberFormat="1" applyFont="1" applyFill="1" applyBorder="1" applyAlignment="1">
      <alignment horizontal="right" vertical="center" wrapText="1"/>
    </xf>
    <xf numFmtId="0" fontId="11" fillId="0" borderId="48" xfId="1" applyFont="1" applyFill="1" applyBorder="1" applyAlignment="1">
      <alignment horizontal="left" vertical="center"/>
    </xf>
    <xf numFmtId="0" fontId="3" fillId="0" borderId="49" xfId="1" applyFont="1" applyFill="1" applyBorder="1" applyAlignment="1">
      <alignment horizontal="left" vertical="center" wrapText="1"/>
    </xf>
    <xf numFmtId="0" fontId="3" fillId="0" borderId="48" xfId="1" applyFont="1" applyFill="1" applyBorder="1" applyAlignment="1">
      <alignment horizontal="left" vertical="center" wrapText="1"/>
    </xf>
    <xf numFmtId="3" fontId="3" fillId="0" borderId="68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4" fillId="0" borderId="49" xfId="1" applyFont="1" applyFill="1" applyBorder="1" applyAlignment="1">
      <alignment horizontal="center" vertical="center" wrapText="1"/>
    </xf>
    <xf numFmtId="0" fontId="13" fillId="0" borderId="48" xfId="1" applyFont="1" applyFill="1" applyBorder="1" applyAlignment="1">
      <alignment horizontal="left" vertical="center" wrapText="1"/>
    </xf>
    <xf numFmtId="0" fontId="13" fillId="0" borderId="63" xfId="1" applyFont="1" applyFill="1" applyBorder="1" applyAlignment="1">
      <alignment horizontal="left" vertical="center" wrapText="1"/>
    </xf>
    <xf numFmtId="0" fontId="12" fillId="0" borderId="39" xfId="1" applyFont="1" applyFill="1" applyBorder="1" applyAlignment="1">
      <alignment horizontal="right" vertical="center" wrapText="1"/>
    </xf>
    <xf numFmtId="4" fontId="3" fillId="0" borderId="38" xfId="1" applyNumberFormat="1" applyFont="1" applyFill="1" applyBorder="1" applyAlignment="1">
      <alignment horizontal="right" vertical="center" wrapText="1"/>
    </xf>
    <xf numFmtId="0" fontId="3" fillId="0" borderId="56" xfId="1" applyFont="1" applyFill="1" applyBorder="1" applyAlignment="1">
      <alignment horizontal="left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left" vertical="center" wrapText="1"/>
    </xf>
    <xf numFmtId="3" fontId="4" fillId="0" borderId="91" xfId="1" applyNumberFormat="1" applyFont="1" applyFill="1" applyBorder="1" applyAlignment="1">
      <alignment horizontal="right" vertical="center" wrapText="1"/>
    </xf>
    <xf numFmtId="3" fontId="4" fillId="0" borderId="23" xfId="1" applyNumberFormat="1" applyFont="1" applyFill="1" applyBorder="1" applyAlignment="1">
      <alignment horizontal="right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3" fontId="3" fillId="0" borderId="51" xfId="1" applyNumberFormat="1" applyFont="1" applyFill="1" applyBorder="1" applyAlignment="1">
      <alignment horizontal="right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49" fontId="3" fillId="0" borderId="24" xfId="1" applyNumberFormat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3" fontId="3" fillId="0" borderId="42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71" xfId="1" applyNumberFormat="1" applyFont="1" applyFill="1" applyBorder="1" applyAlignment="1">
      <alignment horizontal="right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left" vertical="center" wrapText="1"/>
    </xf>
    <xf numFmtId="3" fontId="3" fillId="0" borderId="91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left" vertical="center" wrapText="1"/>
    </xf>
    <xf numFmtId="49" fontId="3" fillId="0" borderId="20" xfId="1" applyNumberFormat="1" applyFon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3" fontId="4" fillId="8" borderId="0" xfId="1" applyNumberFormat="1" applyFont="1" applyFill="1" applyBorder="1" applyAlignment="1">
      <alignment horizontal="right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3" fillId="0" borderId="92" xfId="1" applyFont="1" applyFill="1" applyBorder="1" applyAlignment="1">
      <alignment horizontal="center" vertical="center" textRotation="90" wrapText="1"/>
    </xf>
    <xf numFmtId="0" fontId="3" fillId="0" borderId="0" xfId="1" applyFont="1" applyFill="1" applyBorder="1" applyAlignment="1">
      <alignment horizontal="center" vertical="center" wrapText="1"/>
    </xf>
    <xf numFmtId="0" fontId="14" fillId="0" borderId="117" xfId="1" applyFont="1" applyFill="1" applyBorder="1" applyAlignment="1">
      <alignment horizontal="center" vertical="center" textRotation="90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left" vertical="center" wrapText="1"/>
    </xf>
    <xf numFmtId="0" fontId="3" fillId="0" borderId="45" xfId="1" applyFont="1" applyFill="1" applyBorder="1" applyAlignment="1">
      <alignment horizontal="center" vertical="center" textRotation="90" wrapText="1"/>
    </xf>
    <xf numFmtId="0" fontId="3" fillId="0" borderId="45" xfId="1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left" vertical="center" wrapText="1"/>
    </xf>
    <xf numFmtId="0" fontId="3" fillId="0" borderId="45" xfId="1" applyFont="1" applyFill="1" applyBorder="1" applyAlignment="1">
      <alignment horizontal="center" vertical="center" textRotation="90" wrapText="1"/>
    </xf>
    <xf numFmtId="3" fontId="3" fillId="0" borderId="123" xfId="2" applyNumberFormat="1" applyFont="1" applyFill="1" applyBorder="1"/>
    <xf numFmtId="3" fontId="3" fillId="0" borderId="124" xfId="2" applyNumberFormat="1" applyFont="1" applyFill="1" applyBorder="1"/>
    <xf numFmtId="3" fontId="3" fillId="0" borderId="125" xfId="2" applyNumberFormat="1" applyFont="1" applyFill="1" applyBorder="1"/>
    <xf numFmtId="3" fontId="3" fillId="0" borderId="147" xfId="2" applyNumberFormat="1" applyFont="1" applyFill="1" applyBorder="1" applyAlignment="1">
      <alignment vertical="center"/>
    </xf>
    <xf numFmtId="3" fontId="3" fillId="0" borderId="148" xfId="2" applyNumberFormat="1" applyFont="1" applyFill="1" applyBorder="1" applyAlignment="1">
      <alignment vertical="center"/>
    </xf>
    <xf numFmtId="3" fontId="3" fillId="0" borderId="149" xfId="2" applyNumberFormat="1" applyFont="1" applyFill="1" applyBorder="1" applyAlignment="1">
      <alignment vertical="center"/>
    </xf>
    <xf numFmtId="3" fontId="3" fillId="0" borderId="150" xfId="2" applyNumberFormat="1" applyFont="1" applyFill="1" applyBorder="1" applyAlignment="1">
      <alignment vertical="center"/>
    </xf>
    <xf numFmtId="0" fontId="3" fillId="0" borderId="45" xfId="1" applyFont="1" applyFill="1" applyBorder="1" applyAlignment="1">
      <alignment horizontal="center" vertical="center" textRotation="90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0" xfId="5" applyFont="1" applyProtection="1">
      <protection locked="0"/>
    </xf>
    <xf numFmtId="0" fontId="22" fillId="0" borderId="0" xfId="5" applyFont="1" applyAlignment="1" applyProtection="1">
      <alignment horizontal="right"/>
      <protection locked="0"/>
    </xf>
    <xf numFmtId="0" fontId="25" fillId="0" borderId="0" xfId="1" applyFont="1" applyFill="1" applyBorder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left" vertical="center" wrapText="1"/>
    </xf>
    <xf numFmtId="0" fontId="14" fillId="10" borderId="45" xfId="1" applyFont="1" applyFill="1" applyBorder="1" applyAlignment="1">
      <alignment horizontal="center" vertical="center" textRotation="90" wrapText="1"/>
    </xf>
    <xf numFmtId="3" fontId="14" fillId="10" borderId="38" xfId="1" applyNumberFormat="1" applyFont="1" applyFill="1" applyBorder="1" applyAlignment="1">
      <alignment horizontal="right" vertical="center" wrapText="1"/>
    </xf>
    <xf numFmtId="0" fontId="3" fillId="0" borderId="45" xfId="1" applyFont="1" applyFill="1" applyBorder="1" applyAlignment="1">
      <alignment horizontal="center" vertical="center" textRotation="90" wrapText="1"/>
    </xf>
    <xf numFmtId="3" fontId="3" fillId="0" borderId="29" xfId="2" applyNumberFormat="1" applyFont="1" applyFill="1" applyBorder="1" applyAlignment="1">
      <alignment horizont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91" xfId="1" applyFont="1" applyFill="1" applyBorder="1" applyAlignment="1">
      <alignment horizontal="left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74" xfId="1" applyNumberFormat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42" xfId="1" applyFont="1" applyFill="1" applyBorder="1" applyAlignment="1">
      <alignment horizontal="left" vertical="center" wrapText="1"/>
    </xf>
    <xf numFmtId="49" fontId="11" fillId="0" borderId="76" xfId="1" applyNumberFormat="1" applyFont="1" applyFill="1" applyBorder="1" applyAlignment="1">
      <alignment horizontal="left" vertical="center" wrapText="1"/>
    </xf>
    <xf numFmtId="49" fontId="11" fillId="0" borderId="77" xfId="1" applyNumberFormat="1" applyFont="1" applyFill="1" applyBorder="1" applyAlignment="1">
      <alignment horizontal="left" vertical="center" wrapText="1"/>
    </xf>
    <xf numFmtId="49" fontId="4" fillId="0" borderId="18" xfId="1" applyNumberFormat="1" applyFont="1" applyFill="1" applyBorder="1" applyAlignment="1">
      <alignment horizontal="center" vertical="center" wrapText="1"/>
    </xf>
    <xf numFmtId="0" fontId="11" fillId="0" borderId="73" xfId="1" applyFont="1" applyFill="1" applyBorder="1" applyAlignment="1">
      <alignment horizontal="left" vertical="center" wrapText="1"/>
    </xf>
    <xf numFmtId="0" fontId="11" fillId="0" borderId="81" xfId="1" applyFont="1" applyFill="1" applyBorder="1" applyAlignment="1">
      <alignment horizontal="left" vertical="center" wrapText="1"/>
    </xf>
    <xf numFmtId="0" fontId="21" fillId="0" borderId="48" xfId="1" applyFont="1" applyFill="1" applyBorder="1" applyAlignment="1">
      <alignment horizontal="left" vertical="center" wrapText="1"/>
    </xf>
    <xf numFmtId="0" fontId="21" fillId="0" borderId="63" xfId="1" applyFont="1" applyFill="1" applyBorder="1" applyAlignment="1">
      <alignment horizontal="left" vertical="center" wrapText="1"/>
    </xf>
    <xf numFmtId="49" fontId="3" fillId="0" borderId="76" xfId="1" applyNumberFormat="1" applyFont="1" applyFill="1" applyBorder="1" applyAlignment="1">
      <alignment horizontal="left" vertical="center" wrapText="1"/>
    </xf>
    <xf numFmtId="49" fontId="3" fillId="0" borderId="77" xfId="1" applyNumberFormat="1" applyFont="1" applyFill="1" applyBorder="1" applyAlignment="1">
      <alignment horizontal="left" vertical="center" wrapText="1"/>
    </xf>
    <xf numFmtId="49" fontId="3" fillId="0" borderId="76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0" fontId="3" fillId="0" borderId="97" xfId="1" applyFont="1" applyFill="1" applyBorder="1" applyAlignment="1">
      <alignment horizontal="center" vertical="center" textRotation="90" wrapText="1"/>
    </xf>
    <xf numFmtId="0" fontId="3" fillId="0" borderId="98" xfId="1" applyFont="1" applyFill="1" applyBorder="1" applyAlignment="1">
      <alignment horizontal="center" vertical="center" textRotation="90" wrapText="1"/>
    </xf>
    <xf numFmtId="0" fontId="3" fillId="0" borderId="96" xfId="1" applyFont="1" applyFill="1" applyBorder="1" applyAlignment="1">
      <alignment horizontal="center" vertical="center" textRotation="90" wrapText="1"/>
    </xf>
    <xf numFmtId="0" fontId="3" fillId="0" borderId="120" xfId="1" applyFont="1" applyFill="1" applyBorder="1" applyAlignment="1">
      <alignment horizontal="center" vertical="center" textRotation="90" wrapText="1"/>
    </xf>
    <xf numFmtId="0" fontId="9" fillId="0" borderId="9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91" xfId="1" applyFont="1" applyFill="1" applyBorder="1" applyAlignment="1">
      <alignment horizontal="center" vertical="center" wrapText="1"/>
    </xf>
    <xf numFmtId="0" fontId="3" fillId="0" borderId="8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5" xfId="1" applyFont="1" applyFill="1" applyBorder="1" applyAlignment="1">
      <alignment horizontal="center" vertical="center" wrapText="1"/>
    </xf>
    <xf numFmtId="49" fontId="4" fillId="0" borderId="75" xfId="1" applyNumberFormat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textRotation="90" wrapText="1"/>
    </xf>
    <xf numFmtId="0" fontId="3" fillId="0" borderId="45" xfId="1" applyFont="1" applyFill="1" applyBorder="1" applyAlignment="1">
      <alignment horizontal="center" vertical="center" textRotation="90" wrapText="1"/>
    </xf>
    <xf numFmtId="0" fontId="3" fillId="0" borderId="92" xfId="1" applyFont="1" applyFill="1" applyBorder="1" applyAlignment="1">
      <alignment horizontal="center" vertical="center" textRotation="90" wrapText="1"/>
    </xf>
    <xf numFmtId="0" fontId="3" fillId="0" borderId="93" xfId="1" applyFont="1" applyFill="1" applyBorder="1" applyAlignment="1">
      <alignment horizontal="center" vertical="center" textRotation="90" wrapText="1"/>
    </xf>
    <xf numFmtId="0" fontId="3" fillId="0" borderId="116" xfId="1" applyFont="1" applyFill="1" applyBorder="1" applyAlignment="1">
      <alignment horizontal="center" vertical="center" wrapText="1"/>
    </xf>
    <xf numFmtId="0" fontId="3" fillId="0" borderId="96" xfId="1" applyFont="1" applyFill="1" applyBorder="1" applyAlignment="1">
      <alignment horizontal="center" vertical="center" wrapText="1"/>
    </xf>
    <xf numFmtId="0" fontId="3" fillId="0" borderId="92" xfId="1" applyFont="1" applyFill="1" applyBorder="1" applyAlignment="1">
      <alignment horizontal="center" vertical="center" wrapText="1"/>
    </xf>
    <xf numFmtId="0" fontId="3" fillId="0" borderId="119" xfId="1" applyFont="1" applyFill="1" applyBorder="1" applyAlignment="1">
      <alignment horizontal="center" vertical="center" wrapText="1"/>
    </xf>
    <xf numFmtId="0" fontId="22" fillId="0" borderId="0" xfId="5" applyFont="1" applyAlignment="1" applyProtection="1">
      <alignment horizontal="right" wrapText="1"/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4" xfId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4" xfId="1" applyFont="1" applyFill="1" applyBorder="1" applyAlignment="1">
      <alignment horizontal="center" vertical="center" wrapText="1"/>
    </xf>
    <xf numFmtId="0" fontId="3" fillId="0" borderId="8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87" xfId="1" applyFont="1" applyFill="1" applyBorder="1" applyAlignment="1">
      <alignment horizontal="center" vertical="center" wrapText="1"/>
    </xf>
    <xf numFmtId="0" fontId="3" fillId="0" borderId="89" xfId="1" applyFont="1" applyFill="1" applyBorder="1" applyAlignment="1">
      <alignment horizontal="center" vertical="center" wrapText="1"/>
    </xf>
    <xf numFmtId="49" fontId="3" fillId="0" borderId="78" xfId="1" applyNumberFormat="1" applyFont="1" applyFill="1" applyBorder="1" applyAlignment="1">
      <alignment horizontal="center" vertical="center" textRotation="90" wrapText="1"/>
    </xf>
    <xf numFmtId="49" fontId="3" fillId="0" borderId="79" xfId="1" applyNumberFormat="1" applyFont="1" applyFill="1" applyBorder="1" applyAlignment="1">
      <alignment horizontal="center" vertical="center" textRotation="90" wrapText="1"/>
    </xf>
    <xf numFmtId="49" fontId="3" fillId="0" borderId="80" xfId="1" applyNumberFormat="1" applyFont="1" applyFill="1" applyBorder="1" applyAlignment="1">
      <alignment horizontal="center" vertical="center" textRotation="90" wrapText="1"/>
    </xf>
    <xf numFmtId="0" fontId="4" fillId="0" borderId="119" xfId="1" applyFont="1" applyFill="1" applyBorder="1" applyAlignment="1">
      <alignment horizontal="center" vertical="center" textRotation="90" wrapText="1"/>
    </xf>
    <xf numFmtId="0" fontId="4" fillId="0" borderId="106" xfId="1" applyFont="1" applyFill="1" applyBorder="1" applyAlignment="1">
      <alignment horizontal="center" vertical="center" textRotation="90" wrapText="1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right" vertical="center" wrapText="1"/>
    </xf>
    <xf numFmtId="0" fontId="3" fillId="0" borderId="62" xfId="2" applyFont="1" applyFill="1" applyBorder="1" applyAlignment="1">
      <alignment horizontal="right" vertical="center"/>
    </xf>
    <xf numFmtId="49" fontId="3" fillId="0" borderId="0" xfId="2" applyNumberFormat="1" applyFont="1" applyFill="1" applyAlignment="1">
      <alignment horizontal="left"/>
    </xf>
    <xf numFmtId="0" fontId="7" fillId="4" borderId="28" xfId="2" applyFont="1" applyFill="1" applyBorder="1" applyAlignment="1">
      <alignment horizontal="center"/>
    </xf>
    <xf numFmtId="0" fontId="7" fillId="4" borderId="25" xfId="2" applyFont="1" applyFill="1" applyBorder="1" applyAlignment="1">
      <alignment horizontal="center"/>
    </xf>
    <xf numFmtId="0" fontId="7" fillId="4" borderId="26" xfId="2" applyFont="1" applyFill="1" applyBorder="1" applyAlignment="1">
      <alignment horizontal="center"/>
    </xf>
    <xf numFmtId="0" fontId="3" fillId="0" borderId="25" xfId="2" applyFont="1" applyFill="1" applyBorder="1" applyAlignment="1">
      <alignment horizontal="center"/>
    </xf>
    <xf numFmtId="0" fontId="3" fillId="0" borderId="26" xfId="2" applyFont="1" applyFill="1" applyBorder="1" applyAlignment="1">
      <alignment horizontal="center"/>
    </xf>
    <xf numFmtId="0" fontId="4" fillId="0" borderId="108" xfId="2" applyFont="1" applyFill="1" applyBorder="1" applyAlignment="1">
      <alignment horizontal="center" vertical="center" wrapText="1"/>
    </xf>
    <xf numFmtId="0" fontId="4" fillId="0" borderId="109" xfId="2" applyFont="1" applyFill="1" applyBorder="1" applyAlignment="1">
      <alignment horizontal="center" vertical="center" wrapText="1"/>
    </xf>
    <xf numFmtId="0" fontId="4" fillId="0" borderId="110" xfId="2" applyFont="1" applyFill="1" applyBorder="1" applyAlignment="1">
      <alignment horizontal="center" vertical="center" wrapText="1"/>
    </xf>
    <xf numFmtId="0" fontId="4" fillId="0" borderId="88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center"/>
    </xf>
    <xf numFmtId="0" fontId="4" fillId="0" borderId="107" xfId="2" applyFont="1" applyFill="1" applyBorder="1" applyAlignment="1">
      <alignment horizontal="center"/>
    </xf>
    <xf numFmtId="0" fontId="3" fillId="0" borderId="48" xfId="2" applyFont="1" applyFill="1" applyBorder="1" applyAlignment="1">
      <alignment horizontal="right" vertical="center"/>
    </xf>
    <xf numFmtId="0" fontId="3" fillId="0" borderId="63" xfId="2" applyFont="1" applyFill="1" applyBorder="1" applyAlignment="1">
      <alignment horizontal="right" vertical="center"/>
    </xf>
    <xf numFmtId="0" fontId="3" fillId="5" borderId="28" xfId="2" applyFont="1" applyFill="1" applyBorder="1" applyAlignment="1">
      <alignment horizontal="center"/>
    </xf>
    <xf numFmtId="0" fontId="3" fillId="5" borderId="25" xfId="2" applyFont="1" applyFill="1" applyBorder="1" applyAlignment="1">
      <alignment horizontal="center"/>
    </xf>
    <xf numFmtId="0" fontId="3" fillId="5" borderId="26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01" xfId="2" applyFont="1" applyFill="1" applyBorder="1" applyAlignment="1">
      <alignment horizontal="right" vertical="center"/>
    </xf>
    <xf numFmtId="0" fontId="3" fillId="0" borderId="102" xfId="2" applyFont="1" applyFill="1" applyBorder="1" applyAlignment="1">
      <alignment horizontal="right" vertical="center"/>
    </xf>
    <xf numFmtId="0" fontId="3" fillId="0" borderId="103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99" xfId="2" applyFont="1" applyFill="1" applyBorder="1" applyAlignment="1">
      <alignment horizontal="right" vertical="center"/>
    </xf>
    <xf numFmtId="0" fontId="3" fillId="0" borderId="100" xfId="2" applyFont="1" applyFill="1" applyBorder="1" applyAlignment="1">
      <alignment horizontal="right" vertical="center"/>
    </xf>
    <xf numFmtId="0" fontId="3" fillId="0" borderId="25" xfId="2" applyFont="1" applyFill="1" applyBorder="1" applyAlignment="1">
      <alignment horizontal="right" vertical="center"/>
    </xf>
    <xf numFmtId="0" fontId="3" fillId="0" borderId="26" xfId="2" applyFont="1" applyFill="1" applyBorder="1" applyAlignment="1">
      <alignment horizontal="right" vertical="center"/>
    </xf>
    <xf numFmtId="0" fontId="3" fillId="0" borderId="40" xfId="2" applyFont="1" applyFill="1" applyBorder="1" applyAlignment="1">
      <alignment horizontal="center" vertical="center"/>
    </xf>
    <xf numFmtId="0" fontId="7" fillId="3" borderId="28" xfId="2" applyFont="1" applyFill="1" applyBorder="1" applyAlignment="1">
      <alignment horizontal="left" vertical="center"/>
    </xf>
    <xf numFmtId="0" fontId="7" fillId="3" borderId="25" xfId="2" applyFont="1" applyFill="1" applyBorder="1" applyAlignment="1">
      <alignment horizontal="left" vertical="center"/>
    </xf>
    <xf numFmtId="0" fontId="7" fillId="3" borderId="26" xfId="2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top"/>
    </xf>
    <xf numFmtId="0" fontId="4" fillId="0" borderId="42" xfId="2" applyFont="1" applyFill="1" applyBorder="1" applyAlignment="1">
      <alignment horizontal="left" vertical="top"/>
    </xf>
    <xf numFmtId="0" fontId="3" fillId="0" borderId="25" xfId="2" applyFont="1" applyFill="1" applyBorder="1" applyAlignment="1">
      <alignment horizontal="center" vertical="top"/>
    </xf>
    <xf numFmtId="0" fontId="3" fillId="0" borderId="26" xfId="2" applyFont="1" applyFill="1" applyBorder="1" applyAlignment="1">
      <alignment horizontal="center" vertical="top"/>
    </xf>
    <xf numFmtId="0" fontId="3" fillId="0" borderId="99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/>
    </xf>
    <xf numFmtId="0" fontId="6" fillId="2" borderId="113" xfId="2" applyFont="1" applyFill="1" applyBorder="1" applyAlignment="1">
      <alignment horizontal="center" vertical="center" wrapText="1"/>
    </xf>
    <xf numFmtId="0" fontId="6" fillId="2" borderId="114" xfId="2" applyFont="1" applyFill="1" applyBorder="1" applyAlignment="1">
      <alignment horizontal="center" vertical="center" wrapText="1"/>
    </xf>
    <xf numFmtId="0" fontId="6" fillId="2" borderId="115" xfId="2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right" vertical="center"/>
    </xf>
    <xf numFmtId="0" fontId="3" fillId="0" borderId="62" xfId="2" applyFont="1" applyFill="1" applyBorder="1" applyAlignment="1">
      <alignment horizontal="right" vertical="center" wrapText="1"/>
    </xf>
    <xf numFmtId="0" fontId="3" fillId="0" borderId="82" xfId="2" applyFont="1" applyFill="1" applyBorder="1" applyAlignment="1">
      <alignment horizontal="center" vertical="center" wrapText="1"/>
    </xf>
    <xf numFmtId="0" fontId="3" fillId="0" borderId="97" xfId="2" applyFont="1" applyFill="1" applyBorder="1" applyAlignment="1">
      <alignment horizontal="center" vertical="center" wrapText="1"/>
    </xf>
    <xf numFmtId="0" fontId="8" fillId="0" borderId="104" xfId="2" applyFont="1" applyFill="1" applyBorder="1" applyAlignment="1">
      <alignment horizontal="center" vertical="center" wrapText="1"/>
    </xf>
    <xf numFmtId="0" fontId="8" fillId="0" borderId="105" xfId="2" applyFont="1" applyFill="1" applyBorder="1" applyAlignment="1">
      <alignment horizontal="center" vertical="center" wrapText="1"/>
    </xf>
    <xf numFmtId="0" fontId="8" fillId="0" borderId="10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/>
    </xf>
    <xf numFmtId="0" fontId="4" fillId="0" borderId="42" xfId="2" applyFont="1" applyFill="1" applyBorder="1" applyAlignment="1">
      <alignment horizontal="left"/>
    </xf>
  </cellXfs>
  <cellStyles count="6">
    <cellStyle name="Hyperlink" xfId="3" builtinId="8"/>
    <cellStyle name="Normal" xfId="0" builtinId="0"/>
    <cellStyle name="Normal 2" xfId="1"/>
    <cellStyle name="Normal 2 3" xfId="4"/>
    <cellStyle name="Normal 3 2 2 2" xfId="5"/>
    <cellStyle name="Normal_2007_budz ienem" xfId="2"/>
  </cellStyles>
  <dxfs count="0"/>
  <tableStyles count="0" defaultTableStyle="TableStyleMedium9" defaultPivotStyle="PivotStyleLight16"/>
  <colors>
    <mruColors>
      <color rgb="FFFFFF57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BI1403"/>
  <sheetViews>
    <sheetView tabSelected="1" view="pageLayout" topLeftCell="E1" zoomScaleNormal="75" workbookViewId="0">
      <selection activeCell="BJ6" sqref="BJ6"/>
    </sheetView>
  </sheetViews>
  <sheetFormatPr defaultColWidth="8.42578125" defaultRowHeight="12" outlineLevelRow="1" outlineLevelCol="1" x14ac:dyDescent="0.2"/>
  <cols>
    <col min="1" max="1" width="12.28515625" style="211" customWidth="1"/>
    <col min="2" max="2" width="4.140625" style="211" customWidth="1"/>
    <col min="3" max="3" width="2.140625" style="212" customWidth="1"/>
    <col min="4" max="4" width="22.85546875" style="211" customWidth="1"/>
    <col min="5" max="5" width="24.85546875" style="211" customWidth="1"/>
    <col min="6" max="6" width="12.42578125" style="211" hidden="1" customWidth="1" outlineLevel="1"/>
    <col min="7" max="7" width="12.42578125" style="211" customWidth="1" collapsed="1"/>
    <col min="8" max="8" width="10" style="211" hidden="1" customWidth="1" outlineLevel="1"/>
    <col min="9" max="9" width="9.5703125" style="213" customWidth="1" collapsed="1"/>
    <col min="10" max="10" width="9.5703125" style="213" hidden="1" customWidth="1" outlineLevel="1"/>
    <col min="11" max="13" width="8" style="213" hidden="1" customWidth="1" outlineLevel="1"/>
    <col min="14" max="14" width="9.140625" style="213" hidden="1" customWidth="1" outlineLevel="1"/>
    <col min="15" max="15" width="10.28515625" style="213" hidden="1" customWidth="1" outlineLevel="1"/>
    <col min="16" max="16" width="8" style="213" hidden="1" customWidth="1" outlineLevel="1"/>
    <col min="17" max="17" width="24" style="213" hidden="1" customWidth="1" outlineLevel="1"/>
    <col min="18" max="18" width="8" style="213" hidden="1" customWidth="1" outlineLevel="1"/>
    <col min="19" max="19" width="10.28515625" style="213" hidden="1" customWidth="1" outlineLevel="1"/>
    <col min="20" max="20" width="8" style="213" hidden="1" customWidth="1" outlineLevel="1"/>
    <col min="21" max="21" width="10.28515625" style="213" hidden="1" customWidth="1" outlineLevel="1"/>
    <col min="22" max="22" width="8" style="213" hidden="1" customWidth="1" outlineLevel="1"/>
    <col min="23" max="23" width="10.28515625" style="213" hidden="1" customWidth="1" outlineLevel="1"/>
    <col min="24" max="24" width="7" style="213" hidden="1" customWidth="1" outlineLevel="1"/>
    <col min="25" max="25" width="9.42578125" style="213" hidden="1" customWidth="1" outlineLevel="1"/>
    <col min="26" max="28" width="7" style="213" hidden="1" customWidth="1" outlineLevel="1"/>
    <col min="29" max="30" width="9.5703125" style="213" hidden="1" customWidth="1" outlineLevel="1"/>
    <col min="31" max="31" width="9.85546875" style="211" customWidth="1" collapsed="1"/>
    <col min="32" max="32" width="9.85546875" style="211" hidden="1" customWidth="1" outlineLevel="1"/>
    <col min="33" max="34" width="8" style="211" hidden="1" customWidth="1" outlineLevel="1"/>
    <col min="35" max="35" width="5.7109375" style="211" hidden="1" customWidth="1" outlineLevel="1"/>
    <col min="36" max="36" width="6" style="211" hidden="1" customWidth="1" outlineLevel="1"/>
    <col min="37" max="38" width="9.85546875" style="211" hidden="1" customWidth="1" outlineLevel="1"/>
    <col min="39" max="39" width="8.85546875" style="211" hidden="1" customWidth="1" outlineLevel="1"/>
    <col min="40" max="40" width="8.42578125" style="211" customWidth="1" collapsed="1"/>
    <col min="41" max="41" width="8.42578125" style="211" hidden="1" customWidth="1" outlineLevel="1"/>
    <col min="42" max="44" width="8" style="211" hidden="1" customWidth="1" outlineLevel="1"/>
    <col min="45" max="45" width="6.42578125" style="211" hidden="1" customWidth="1" outlineLevel="1"/>
    <col min="46" max="46" width="7" style="211" hidden="1" customWidth="1" outlineLevel="1"/>
    <col min="47" max="48" width="8.42578125" style="377" hidden="1" customWidth="1" outlineLevel="1"/>
    <col min="49" max="49" width="8.42578125" style="211" hidden="1" customWidth="1" outlineLevel="1"/>
    <col min="50" max="50" width="8.42578125" style="211" customWidth="1" collapsed="1"/>
    <col min="51" max="51" width="8.42578125" style="211" hidden="1" customWidth="1" outlineLevel="1"/>
    <col min="52" max="52" width="10.28515625" style="213" customWidth="1" collapsed="1"/>
    <col min="53" max="53" width="10.28515625" style="213" hidden="1" customWidth="1" outlineLevel="1"/>
    <col min="54" max="55" width="8" style="213" hidden="1" customWidth="1" outlineLevel="1"/>
    <col min="56" max="59" width="10.28515625" style="213" hidden="1" customWidth="1" outlineLevel="1"/>
    <col min="60" max="60" width="10" style="211" customWidth="1" collapsed="1"/>
    <col min="61" max="61" width="11.28515625" style="211" customWidth="1"/>
    <col min="62" max="16384" width="8.42578125" style="211"/>
  </cols>
  <sheetData>
    <row r="1" spans="1:61" ht="16.5" x14ac:dyDescent="0.25">
      <c r="G1" s="398"/>
      <c r="H1" s="398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8"/>
      <c r="AF1" s="398"/>
      <c r="AG1" s="398"/>
      <c r="AH1" s="398"/>
      <c r="AI1" s="398"/>
      <c r="AJ1" s="398"/>
      <c r="AK1" s="398"/>
      <c r="AL1" s="398"/>
      <c r="AM1" s="398"/>
      <c r="AN1" s="449" t="s">
        <v>713</v>
      </c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</row>
    <row r="2" spans="1:61" ht="16.5" x14ac:dyDescent="0.25">
      <c r="G2" s="398"/>
      <c r="H2" s="398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8"/>
      <c r="AF2" s="398"/>
      <c r="AG2" s="398"/>
      <c r="AH2" s="398"/>
      <c r="AI2" s="398"/>
      <c r="AJ2" s="398"/>
      <c r="AK2" s="398"/>
      <c r="AL2" s="398"/>
      <c r="AM2" s="398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1" t="s">
        <v>783</v>
      </c>
    </row>
    <row r="3" spans="1:61" ht="16.5" x14ac:dyDescent="0.25">
      <c r="G3" s="398"/>
      <c r="H3" s="398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2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8"/>
      <c r="AF3" s="398"/>
      <c r="AG3" s="398"/>
      <c r="AH3" s="398"/>
      <c r="AI3" s="398"/>
      <c r="AJ3" s="398"/>
      <c r="AK3" s="398"/>
      <c r="AL3" s="398"/>
      <c r="AM3" s="398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3" t="s">
        <v>784</v>
      </c>
    </row>
    <row r="6" spans="1:61" ht="18.75" customHeight="1" x14ac:dyDescent="0.2">
      <c r="B6" s="450" t="s">
        <v>494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450"/>
      <c r="BH6" s="450"/>
      <c r="BI6" s="450"/>
    </row>
    <row r="7" spans="1:61" ht="12.75" thickBot="1" x14ac:dyDescent="0.25"/>
    <row r="8" spans="1:61" ht="13.5" customHeight="1" thickBot="1" x14ac:dyDescent="0.25">
      <c r="A8" s="451" t="s">
        <v>344</v>
      </c>
      <c r="B8" s="453" t="s">
        <v>203</v>
      </c>
      <c r="C8" s="454"/>
      <c r="D8" s="446"/>
      <c r="E8" s="458" t="s">
        <v>202</v>
      </c>
      <c r="F8" s="461" t="s">
        <v>495</v>
      </c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214"/>
      <c r="BB8" s="214"/>
      <c r="BC8" s="214"/>
      <c r="BD8" s="214"/>
      <c r="BE8" s="214"/>
      <c r="BF8" s="214"/>
      <c r="BG8" s="214"/>
      <c r="BH8" s="462" t="s">
        <v>201</v>
      </c>
      <c r="BI8" s="462" t="s">
        <v>252</v>
      </c>
    </row>
    <row r="9" spans="1:61" ht="13.5" customHeight="1" x14ac:dyDescent="0.2">
      <c r="A9" s="452"/>
      <c r="B9" s="455"/>
      <c r="C9" s="456"/>
      <c r="D9" s="457"/>
      <c r="E9" s="459"/>
      <c r="F9" s="465" t="s">
        <v>747</v>
      </c>
      <c r="G9" s="465" t="s">
        <v>0</v>
      </c>
      <c r="H9" s="441" t="s">
        <v>740</v>
      </c>
      <c r="I9" s="441" t="s">
        <v>1</v>
      </c>
      <c r="J9" s="430" t="s">
        <v>717</v>
      </c>
      <c r="K9" s="215"/>
      <c r="L9" s="215"/>
      <c r="M9" s="215"/>
      <c r="N9" s="215"/>
      <c r="O9" s="445" t="s">
        <v>766</v>
      </c>
      <c r="P9" s="446"/>
      <c r="Q9" s="447" t="s">
        <v>774</v>
      </c>
      <c r="R9" s="448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5"/>
      <c r="AD9" s="441" t="s">
        <v>742</v>
      </c>
      <c r="AE9" s="441" t="s">
        <v>154</v>
      </c>
      <c r="AF9" s="430" t="s">
        <v>724</v>
      </c>
      <c r="AG9" s="217"/>
      <c r="AH9" s="217"/>
      <c r="AI9" s="217"/>
      <c r="AJ9" s="217"/>
      <c r="AK9" s="217"/>
      <c r="AL9" s="217"/>
      <c r="AM9" s="430" t="s">
        <v>743</v>
      </c>
      <c r="AN9" s="430" t="s">
        <v>2</v>
      </c>
      <c r="AO9" s="430" t="s">
        <v>725</v>
      </c>
      <c r="AP9" s="218"/>
      <c r="AQ9" s="218"/>
      <c r="AR9" s="218"/>
      <c r="AS9" s="219"/>
      <c r="AT9" s="219"/>
      <c r="AU9" s="376"/>
      <c r="AV9" s="376"/>
      <c r="AW9" s="215"/>
      <c r="AX9" s="443" t="s">
        <v>535</v>
      </c>
      <c r="AY9" s="430" t="s">
        <v>744</v>
      </c>
      <c r="AZ9" s="430" t="s">
        <v>3</v>
      </c>
      <c r="BA9" s="432" t="s">
        <v>746</v>
      </c>
      <c r="BB9" s="220"/>
      <c r="BC9" s="218"/>
      <c r="BD9" s="218"/>
      <c r="BE9" s="219"/>
      <c r="BF9" s="219"/>
      <c r="BG9" s="221"/>
      <c r="BH9" s="463"/>
      <c r="BI9" s="463"/>
    </row>
    <row r="10" spans="1:61" ht="78" customHeight="1" thickBot="1" x14ac:dyDescent="0.25">
      <c r="A10" s="452"/>
      <c r="B10" s="455"/>
      <c r="C10" s="456"/>
      <c r="D10" s="457"/>
      <c r="E10" s="460"/>
      <c r="F10" s="466"/>
      <c r="G10" s="466"/>
      <c r="H10" s="442"/>
      <c r="I10" s="442"/>
      <c r="J10" s="431"/>
      <c r="K10" s="222" t="s">
        <v>749</v>
      </c>
      <c r="L10" s="222" t="s">
        <v>750</v>
      </c>
      <c r="M10" s="222" t="s">
        <v>730</v>
      </c>
      <c r="N10" s="222" t="s">
        <v>741</v>
      </c>
      <c r="O10" s="222" t="s">
        <v>764</v>
      </c>
      <c r="P10" s="222" t="s">
        <v>765</v>
      </c>
      <c r="Q10" s="222" t="s">
        <v>779</v>
      </c>
      <c r="R10" s="222" t="s">
        <v>782</v>
      </c>
      <c r="S10" s="222" t="s">
        <v>786</v>
      </c>
      <c r="T10" s="381" t="s">
        <v>790</v>
      </c>
      <c r="U10" s="389" t="s">
        <v>802</v>
      </c>
      <c r="V10" s="397" t="s">
        <v>801</v>
      </c>
      <c r="W10" s="407" t="s">
        <v>805</v>
      </c>
      <c r="X10" s="409" t="s">
        <v>806</v>
      </c>
      <c r="Y10" s="407" t="s">
        <v>807</v>
      </c>
      <c r="Z10" s="223"/>
      <c r="AA10" s="223"/>
      <c r="AB10" s="223"/>
      <c r="AC10" s="222"/>
      <c r="AD10" s="442"/>
      <c r="AE10" s="442"/>
      <c r="AF10" s="431"/>
      <c r="AG10" s="222" t="s">
        <v>741</v>
      </c>
      <c r="AH10" s="222" t="s">
        <v>765</v>
      </c>
      <c r="AI10" s="222" t="s">
        <v>782</v>
      </c>
      <c r="AJ10" s="397" t="s">
        <v>801</v>
      </c>
      <c r="AK10" s="224"/>
      <c r="AL10" s="224"/>
      <c r="AM10" s="431"/>
      <c r="AN10" s="431"/>
      <c r="AO10" s="431"/>
      <c r="AP10" s="222" t="s">
        <v>730</v>
      </c>
      <c r="AQ10" s="222" t="s">
        <v>741</v>
      </c>
      <c r="AR10" s="222" t="s">
        <v>765</v>
      </c>
      <c r="AS10" s="222" t="s">
        <v>782</v>
      </c>
      <c r="AT10" s="397" t="s">
        <v>801</v>
      </c>
      <c r="AU10" s="378"/>
      <c r="AV10" s="378"/>
      <c r="AW10" s="225"/>
      <c r="AX10" s="444"/>
      <c r="AY10" s="431"/>
      <c r="AZ10" s="431"/>
      <c r="BA10" s="433"/>
      <c r="BB10" s="222" t="s">
        <v>741</v>
      </c>
      <c r="BC10" s="222" t="s">
        <v>765</v>
      </c>
      <c r="BD10" s="222"/>
      <c r="BE10" s="225"/>
      <c r="BF10" s="225"/>
      <c r="BG10" s="225"/>
      <c r="BH10" s="464"/>
      <c r="BI10" s="464"/>
    </row>
    <row r="11" spans="1:61" s="232" customFormat="1" ht="12.75" thickTop="1" thickBot="1" x14ac:dyDescent="0.25">
      <c r="A11" s="226">
        <v>1</v>
      </c>
      <c r="B11" s="434">
        <v>2</v>
      </c>
      <c r="C11" s="435"/>
      <c r="D11" s="436"/>
      <c r="E11" s="227">
        <v>3</v>
      </c>
      <c r="F11" s="228"/>
      <c r="G11" s="229">
        <v>4</v>
      </c>
      <c r="H11" s="228"/>
      <c r="I11" s="230">
        <v>5</v>
      </c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>
        <v>6</v>
      </c>
      <c r="AF11" s="230"/>
      <c r="AG11" s="230"/>
      <c r="AH11" s="230"/>
      <c r="AI11" s="230"/>
      <c r="AJ11" s="230"/>
      <c r="AK11" s="230"/>
      <c r="AL11" s="230"/>
      <c r="AM11" s="230"/>
      <c r="AN11" s="230">
        <v>7</v>
      </c>
      <c r="AO11" s="231"/>
      <c r="AP11" s="231"/>
      <c r="AQ11" s="231"/>
      <c r="AR11" s="231"/>
      <c r="AS11" s="231"/>
      <c r="AT11" s="231"/>
      <c r="AU11" s="231"/>
      <c r="AV11" s="231"/>
      <c r="AW11" s="231"/>
      <c r="AX11" s="231">
        <v>8</v>
      </c>
      <c r="AY11" s="231"/>
      <c r="AZ11" s="230">
        <v>9</v>
      </c>
      <c r="BB11" s="231"/>
      <c r="BC11" s="231"/>
      <c r="BD11" s="231"/>
      <c r="BE11" s="231"/>
      <c r="BF11" s="231"/>
      <c r="BG11" s="231"/>
      <c r="BH11" s="233" t="s">
        <v>745</v>
      </c>
      <c r="BI11" s="226">
        <v>10</v>
      </c>
    </row>
    <row r="12" spans="1:61" ht="13.5" thickTop="1" thickBot="1" x14ac:dyDescent="0.25">
      <c r="A12" s="234"/>
      <c r="B12" s="437"/>
      <c r="C12" s="438"/>
      <c r="D12" s="439"/>
      <c r="E12" s="235"/>
      <c r="F12" s="236"/>
      <c r="G12" s="237"/>
      <c r="H12" s="236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8"/>
      <c r="BA12" s="240"/>
      <c r="BB12" s="239"/>
      <c r="BC12" s="239"/>
      <c r="BD12" s="239"/>
      <c r="BE12" s="239"/>
      <c r="BF12" s="239"/>
      <c r="BG12" s="239"/>
      <c r="BH12" s="241"/>
      <c r="BI12" s="242"/>
    </row>
    <row r="13" spans="1:61" ht="13.5" customHeight="1" thickBot="1" x14ac:dyDescent="0.25">
      <c r="A13" s="243"/>
      <c r="B13" s="440" t="s">
        <v>4</v>
      </c>
      <c r="C13" s="421"/>
      <c r="D13" s="244" t="s">
        <v>211</v>
      </c>
      <c r="E13" s="245"/>
      <c r="F13" s="246">
        <v>14524436.82</v>
      </c>
      <c r="G13" s="247">
        <f>SUM(I13,AE13,AN13,AX13,AZ13)</f>
        <v>14134350</v>
      </c>
      <c r="H13" s="246">
        <f>SUM(H14:H21)</f>
        <v>14491075.82</v>
      </c>
      <c r="I13" s="248">
        <f>SUM(I14:I21)</f>
        <v>14101440</v>
      </c>
      <c r="J13" s="248">
        <f t="shared" ref="J13:AZ13" si="0">SUM(J14:J21)</f>
        <v>-389636</v>
      </c>
      <c r="K13" s="248">
        <f t="shared" si="0"/>
        <v>-21200</v>
      </c>
      <c r="L13" s="248">
        <f>SUM(L14:L21)</f>
        <v>-230</v>
      </c>
      <c r="M13" s="248">
        <f>SUM(M14:M21)</f>
        <v>-1449</v>
      </c>
      <c r="N13" s="248">
        <f t="shared" si="0"/>
        <v>-295653</v>
      </c>
      <c r="O13" s="248">
        <f>SUM(O14:O21)</f>
        <v>0</v>
      </c>
      <c r="P13" s="248">
        <f t="shared" si="0"/>
        <v>301085</v>
      </c>
      <c r="Q13" s="248">
        <f t="shared" si="0"/>
        <v>-35547</v>
      </c>
      <c r="R13" s="248">
        <f t="shared" si="0"/>
        <v>-16009</v>
      </c>
      <c r="S13" s="248">
        <f t="shared" si="0"/>
        <v>-8000</v>
      </c>
      <c r="T13" s="248">
        <f>SUM(T14:T21)</f>
        <v>-169535</v>
      </c>
      <c r="U13" s="248">
        <f>SUM(U14:U21)</f>
        <v>-1707</v>
      </c>
      <c r="V13" s="248">
        <f t="shared" ref="V13:AA13" si="1">SUM(V14:V21)</f>
        <v>250000</v>
      </c>
      <c r="W13" s="248">
        <f t="shared" si="1"/>
        <v>9428</v>
      </c>
      <c r="X13" s="248">
        <f t="shared" si="1"/>
        <v>-50819</v>
      </c>
      <c r="Y13" s="248">
        <f t="shared" si="1"/>
        <v>-350000</v>
      </c>
      <c r="Z13" s="248">
        <f t="shared" si="1"/>
        <v>0</v>
      </c>
      <c r="AA13" s="248">
        <f t="shared" si="1"/>
        <v>0</v>
      </c>
      <c r="AB13" s="248">
        <f>SUM(AB14:AB21)</f>
        <v>0</v>
      </c>
      <c r="AC13" s="248">
        <f t="shared" si="0"/>
        <v>0</v>
      </c>
      <c r="AD13" s="248">
        <f>SUM(AD14:AD21)</f>
        <v>0</v>
      </c>
      <c r="AE13" s="248">
        <f t="shared" si="0"/>
        <v>0</v>
      </c>
      <c r="AF13" s="248">
        <f t="shared" si="0"/>
        <v>0</v>
      </c>
      <c r="AG13" s="248">
        <f t="shared" si="0"/>
        <v>0</v>
      </c>
      <c r="AH13" s="248">
        <f t="shared" si="0"/>
        <v>0</v>
      </c>
      <c r="AI13" s="248">
        <f t="shared" si="0"/>
        <v>0</v>
      </c>
      <c r="AJ13" s="248">
        <f t="shared" si="0"/>
        <v>0</v>
      </c>
      <c r="AK13" s="248">
        <f t="shared" si="0"/>
        <v>0</v>
      </c>
      <c r="AL13" s="248">
        <f t="shared" si="0"/>
        <v>0</v>
      </c>
      <c r="AM13" s="248">
        <f>SUM(AM14:AM21)</f>
        <v>33361</v>
      </c>
      <c r="AN13" s="248">
        <f t="shared" si="0"/>
        <v>32910</v>
      </c>
      <c r="AO13" s="248">
        <f t="shared" si="0"/>
        <v>-451</v>
      </c>
      <c r="AP13" s="248">
        <f t="shared" si="0"/>
        <v>0</v>
      </c>
      <c r="AQ13" s="248">
        <f t="shared" si="0"/>
        <v>0</v>
      </c>
      <c r="AR13" s="248">
        <f t="shared" si="0"/>
        <v>-451</v>
      </c>
      <c r="AS13" s="248">
        <f t="shared" si="0"/>
        <v>0</v>
      </c>
      <c r="AT13" s="248">
        <f t="shared" si="0"/>
        <v>0</v>
      </c>
      <c r="AU13" s="248">
        <f t="shared" ref="AU13:AV13" si="2">SUM(AU14:AU21)</f>
        <v>0</v>
      </c>
      <c r="AV13" s="248">
        <f t="shared" si="2"/>
        <v>0</v>
      </c>
      <c r="AW13" s="248">
        <f t="shared" si="0"/>
        <v>0</v>
      </c>
      <c r="AX13" s="248">
        <f t="shared" si="0"/>
        <v>0</v>
      </c>
      <c r="AY13" s="248">
        <f>SUM(AY14:AY21)</f>
        <v>0</v>
      </c>
      <c r="AZ13" s="248">
        <f t="shared" si="0"/>
        <v>0</v>
      </c>
      <c r="BA13" s="249">
        <f>SUM(BA14:BA21)</f>
        <v>0</v>
      </c>
      <c r="BB13" s="248">
        <f t="shared" ref="BB13:BG13" si="3">SUM(BB14:BB21)</f>
        <v>0</v>
      </c>
      <c r="BC13" s="248">
        <f t="shared" si="3"/>
        <v>0</v>
      </c>
      <c r="BD13" s="248">
        <f t="shared" si="3"/>
        <v>0</v>
      </c>
      <c r="BE13" s="248">
        <f t="shared" si="3"/>
        <v>0</v>
      </c>
      <c r="BF13" s="248">
        <f t="shared" si="3"/>
        <v>0</v>
      </c>
      <c r="BG13" s="248">
        <f t="shared" si="3"/>
        <v>0</v>
      </c>
      <c r="BH13" s="250"/>
      <c r="BI13" s="243"/>
    </row>
    <row r="14" spans="1:61" ht="13.5" thickTop="1" x14ac:dyDescent="0.2">
      <c r="A14" s="251">
        <v>90000056357</v>
      </c>
      <c r="B14" s="252"/>
      <c r="C14" s="422" t="s">
        <v>5</v>
      </c>
      <c r="D14" s="423"/>
      <c r="E14" s="253" t="s">
        <v>239</v>
      </c>
      <c r="F14" s="254">
        <v>500151.82</v>
      </c>
      <c r="G14" s="255">
        <f t="shared" ref="G14:G26" si="4">SUM(I14,AE14,AN14,AX14,AZ14)</f>
        <v>751686</v>
      </c>
      <c r="H14" s="254">
        <f>466790.82</f>
        <v>466790.82</v>
      </c>
      <c r="I14" s="255">
        <f>H14+0.18+J14</f>
        <v>718776</v>
      </c>
      <c r="J14" s="255">
        <f>SUM(K14:AC14)</f>
        <v>251985</v>
      </c>
      <c r="K14" s="255"/>
      <c r="L14" s="255"/>
      <c r="M14" s="255"/>
      <c r="N14" s="255"/>
      <c r="O14" s="255"/>
      <c r="P14" s="255">
        <v>1085</v>
      </c>
      <c r="Q14" s="255">
        <v>900</v>
      </c>
      <c r="R14" s="255"/>
      <c r="S14" s="255"/>
      <c r="T14" s="255"/>
      <c r="U14" s="255"/>
      <c r="V14" s="255">
        <v>250000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>
        <f>33361</f>
        <v>33361</v>
      </c>
      <c r="AN14" s="255">
        <f t="shared" ref="AN14:AN19" si="5">AO14+AM14</f>
        <v>32910</v>
      </c>
      <c r="AO14" s="256">
        <f t="shared" ref="AO14:AO19" si="6">SUM(AP14:AW14)</f>
        <v>-451</v>
      </c>
      <c r="AP14" s="256"/>
      <c r="AQ14" s="256"/>
      <c r="AR14" s="256">
        <f>-451</f>
        <v>-451</v>
      </c>
      <c r="AS14" s="256"/>
      <c r="AT14" s="256"/>
      <c r="AU14" s="256"/>
      <c r="AV14" s="256"/>
      <c r="AW14" s="256"/>
      <c r="AX14" s="256"/>
      <c r="AY14" s="256"/>
      <c r="AZ14" s="255"/>
      <c r="BA14" s="257"/>
      <c r="BB14" s="256"/>
      <c r="BC14" s="256"/>
      <c r="BD14" s="256"/>
      <c r="BE14" s="256"/>
      <c r="BF14" s="256"/>
      <c r="BG14" s="256"/>
      <c r="BH14" s="258" t="s">
        <v>371</v>
      </c>
      <c r="BI14" s="259"/>
    </row>
    <row r="15" spans="1:61" ht="24" x14ac:dyDescent="0.2">
      <c r="A15" s="260"/>
      <c r="C15" s="261"/>
      <c r="D15" s="262"/>
      <c r="E15" s="253" t="s">
        <v>556</v>
      </c>
      <c r="F15" s="254">
        <v>156625</v>
      </c>
      <c r="G15" s="255">
        <f t="shared" si="4"/>
        <v>168845</v>
      </c>
      <c r="H15" s="254">
        <f>156625</f>
        <v>156625</v>
      </c>
      <c r="I15" s="255">
        <f t="shared" ref="I15:I26" si="7">H15+J15</f>
        <v>168845</v>
      </c>
      <c r="J15" s="255">
        <f t="shared" ref="J15:J26" si="8">SUM(K15:AC15)</f>
        <v>12220</v>
      </c>
      <c r="K15" s="255">
        <v>8000</v>
      </c>
      <c r="L15" s="255"/>
      <c r="M15" s="255"/>
      <c r="N15" s="255">
        <f>4220</f>
        <v>4220</v>
      </c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>
        <f t="shared" si="5"/>
        <v>0</v>
      </c>
      <c r="AO15" s="256">
        <f t="shared" si="6"/>
        <v>0</v>
      </c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5"/>
      <c r="BA15" s="257"/>
      <c r="BB15" s="256"/>
      <c r="BC15" s="256"/>
      <c r="BD15" s="256"/>
      <c r="BE15" s="256"/>
      <c r="BF15" s="256"/>
      <c r="BG15" s="256"/>
      <c r="BH15" s="258" t="s">
        <v>619</v>
      </c>
      <c r="BI15" s="259"/>
    </row>
    <row r="16" spans="1:61" ht="24" x14ac:dyDescent="0.2">
      <c r="A16" s="263"/>
      <c r="B16" s="264"/>
      <c r="C16" s="265"/>
      <c r="D16" s="266"/>
      <c r="E16" s="253" t="s">
        <v>557</v>
      </c>
      <c r="F16" s="254">
        <v>499100</v>
      </c>
      <c r="G16" s="255">
        <f t="shared" si="4"/>
        <v>142627</v>
      </c>
      <c r="H16" s="254">
        <f>499100</f>
        <v>499100</v>
      </c>
      <c r="I16" s="255">
        <f t="shared" si="7"/>
        <v>142627</v>
      </c>
      <c r="J16" s="255">
        <f t="shared" si="8"/>
        <v>-356473</v>
      </c>
      <c r="K16" s="255"/>
      <c r="L16" s="255"/>
      <c r="M16" s="255"/>
      <c r="N16" s="255"/>
      <c r="O16" s="255"/>
      <c r="P16" s="255"/>
      <c r="Q16" s="255"/>
      <c r="R16" s="255">
        <v>-6473</v>
      </c>
      <c r="S16" s="255"/>
      <c r="T16" s="255"/>
      <c r="U16" s="255"/>
      <c r="V16" s="255"/>
      <c r="W16" s="255"/>
      <c r="X16" s="255"/>
      <c r="Y16" s="255">
        <v>-350000</v>
      </c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>
        <f t="shared" si="5"/>
        <v>0</v>
      </c>
      <c r="AO16" s="256">
        <f t="shared" si="6"/>
        <v>0</v>
      </c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5"/>
      <c r="BA16" s="257"/>
      <c r="BB16" s="256"/>
      <c r="BC16" s="256"/>
      <c r="BD16" s="256"/>
      <c r="BE16" s="256"/>
      <c r="BF16" s="256"/>
      <c r="BG16" s="256"/>
      <c r="BH16" s="258" t="s">
        <v>610</v>
      </c>
      <c r="BI16" s="259" t="s">
        <v>583</v>
      </c>
    </row>
    <row r="17" spans="1:61" ht="36" x14ac:dyDescent="0.2">
      <c r="A17" s="263"/>
      <c r="B17" s="264"/>
      <c r="C17" s="265"/>
      <c r="D17" s="266"/>
      <c r="E17" s="253" t="s">
        <v>301</v>
      </c>
      <c r="F17" s="254">
        <v>572194</v>
      </c>
      <c r="G17" s="255">
        <f t="shared" si="4"/>
        <v>572194</v>
      </c>
      <c r="H17" s="254">
        <f>572194</f>
        <v>572194</v>
      </c>
      <c r="I17" s="255">
        <f t="shared" si="7"/>
        <v>572194</v>
      </c>
      <c r="J17" s="255">
        <f t="shared" si="8"/>
        <v>0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>
        <f t="shared" si="5"/>
        <v>0</v>
      </c>
      <c r="AO17" s="256">
        <f t="shared" si="6"/>
        <v>0</v>
      </c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5"/>
      <c r="BA17" s="257"/>
      <c r="BB17" s="256"/>
      <c r="BC17" s="256"/>
      <c r="BD17" s="256"/>
      <c r="BE17" s="256"/>
      <c r="BF17" s="256"/>
      <c r="BG17" s="256"/>
      <c r="BH17" s="258" t="s">
        <v>667</v>
      </c>
      <c r="BI17" s="259"/>
    </row>
    <row r="18" spans="1:61" ht="24" x14ac:dyDescent="0.2">
      <c r="A18" s="263"/>
      <c r="B18" s="264"/>
      <c r="C18" s="265"/>
      <c r="D18" s="266"/>
      <c r="E18" s="253" t="s">
        <v>578</v>
      </c>
      <c r="F18" s="254">
        <v>2288602</v>
      </c>
      <c r="G18" s="255">
        <f t="shared" si="4"/>
        <v>2288602</v>
      </c>
      <c r="H18" s="254">
        <f>2288602</f>
        <v>2288602</v>
      </c>
      <c r="I18" s="255">
        <f t="shared" si="7"/>
        <v>2288602</v>
      </c>
      <c r="J18" s="255">
        <f t="shared" si="8"/>
        <v>0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>
        <f t="shared" si="5"/>
        <v>0</v>
      </c>
      <c r="AO18" s="256">
        <f t="shared" si="6"/>
        <v>0</v>
      </c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5"/>
      <c r="BA18" s="257"/>
      <c r="BB18" s="256"/>
      <c r="BC18" s="256"/>
      <c r="BD18" s="256"/>
      <c r="BE18" s="256"/>
      <c r="BF18" s="256"/>
      <c r="BG18" s="256"/>
      <c r="BH18" s="258" t="s">
        <v>577</v>
      </c>
      <c r="BI18" s="259" t="s">
        <v>367</v>
      </c>
    </row>
    <row r="19" spans="1:61" ht="36" x14ac:dyDescent="0.2">
      <c r="A19" s="263"/>
      <c r="B19" s="264"/>
      <c r="C19" s="265"/>
      <c r="D19" s="266"/>
      <c r="E19" s="253" t="s">
        <v>579</v>
      </c>
      <c r="F19" s="254">
        <v>4000</v>
      </c>
      <c r="G19" s="255">
        <f t="shared" si="4"/>
        <v>4000</v>
      </c>
      <c r="H19" s="254">
        <f>4000</f>
        <v>4000</v>
      </c>
      <c r="I19" s="255">
        <f t="shared" si="7"/>
        <v>4000</v>
      </c>
      <c r="J19" s="255">
        <f t="shared" si="8"/>
        <v>0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>
        <f t="shared" si="5"/>
        <v>0</v>
      </c>
      <c r="AO19" s="256">
        <f t="shared" si="6"/>
        <v>0</v>
      </c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257"/>
      <c r="BB19" s="256"/>
      <c r="BC19" s="256"/>
      <c r="BD19" s="256"/>
      <c r="BE19" s="256"/>
      <c r="BF19" s="256"/>
      <c r="BG19" s="256"/>
      <c r="BH19" s="258" t="s">
        <v>372</v>
      </c>
      <c r="BI19" s="259" t="s">
        <v>367</v>
      </c>
    </row>
    <row r="20" spans="1:61" s="404" customFormat="1" ht="36" x14ac:dyDescent="0.2">
      <c r="A20" s="263"/>
      <c r="B20" s="264"/>
      <c r="C20" s="405"/>
      <c r="D20" s="406"/>
      <c r="E20" s="312" t="s">
        <v>803</v>
      </c>
      <c r="F20" s="267"/>
      <c r="G20" s="268">
        <f t="shared" si="4"/>
        <v>12700</v>
      </c>
      <c r="H20" s="267"/>
      <c r="I20" s="268">
        <f t="shared" si="7"/>
        <v>12700</v>
      </c>
      <c r="J20" s="268">
        <f t="shared" si="8"/>
        <v>12700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>
        <v>12700</v>
      </c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300"/>
      <c r="AO20" s="301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8"/>
      <c r="BA20" s="270"/>
      <c r="BB20" s="269"/>
      <c r="BC20" s="269"/>
      <c r="BD20" s="269"/>
      <c r="BE20" s="269"/>
      <c r="BF20" s="269"/>
      <c r="BG20" s="269"/>
      <c r="BH20" s="271" t="s">
        <v>804</v>
      </c>
      <c r="BI20" s="272"/>
    </row>
    <row r="21" spans="1:61" ht="12.75" x14ac:dyDescent="0.2">
      <c r="A21" s="263"/>
      <c r="B21" s="264"/>
      <c r="C21" s="413" t="s">
        <v>144</v>
      </c>
      <c r="D21" s="414"/>
      <c r="E21" s="253"/>
      <c r="F21" s="254">
        <v>10503764</v>
      </c>
      <c r="G21" s="255">
        <f t="shared" si="4"/>
        <v>10193696</v>
      </c>
      <c r="H21" s="254">
        <f>SUM(H22:H26)</f>
        <v>10503764</v>
      </c>
      <c r="I21" s="255">
        <f>H21+J21</f>
        <v>10193696</v>
      </c>
      <c r="J21" s="255">
        <f>SUM(J22:J26)</f>
        <v>-310068</v>
      </c>
      <c r="K21" s="255">
        <f>SUM(K22:K26)</f>
        <v>-29200</v>
      </c>
      <c r="L21" s="255">
        <f>SUM(L22:L26)</f>
        <v>-230</v>
      </c>
      <c r="M21" s="255">
        <f>SUM(M22:M26)</f>
        <v>-1449</v>
      </c>
      <c r="N21" s="255">
        <f>SUM(N22:N26)</f>
        <v>-299873</v>
      </c>
      <c r="O21" s="255">
        <f t="shared" ref="O21:AZ21" si="9">SUM(O22:O26)</f>
        <v>0</v>
      </c>
      <c r="P21" s="255">
        <f t="shared" si="9"/>
        <v>300000</v>
      </c>
      <c r="Q21" s="255">
        <f t="shared" si="9"/>
        <v>-36447</v>
      </c>
      <c r="R21" s="255">
        <f t="shared" si="9"/>
        <v>-9536</v>
      </c>
      <c r="S21" s="255">
        <f t="shared" si="9"/>
        <v>-8000</v>
      </c>
      <c r="T21" s="255">
        <f>SUM(T22:T26)</f>
        <v>-169535</v>
      </c>
      <c r="U21" s="255">
        <f>SUM(U22:U26)</f>
        <v>-1707</v>
      </c>
      <c r="V21" s="255">
        <f t="shared" ref="V21:AA21" si="10">SUM(V22:V26)</f>
        <v>0</v>
      </c>
      <c r="W21" s="255">
        <f t="shared" si="10"/>
        <v>-3272</v>
      </c>
      <c r="X21" s="255">
        <f t="shared" si="10"/>
        <v>-50819</v>
      </c>
      <c r="Y21" s="255">
        <f t="shared" si="10"/>
        <v>0</v>
      </c>
      <c r="Z21" s="255">
        <f t="shared" si="10"/>
        <v>0</v>
      </c>
      <c r="AA21" s="255">
        <f t="shared" si="10"/>
        <v>0</v>
      </c>
      <c r="AB21" s="255">
        <f>SUM(AB22:AB26)</f>
        <v>0</v>
      </c>
      <c r="AC21" s="255">
        <f t="shared" si="9"/>
        <v>0</v>
      </c>
      <c r="AD21" s="255">
        <f>SUM(AD22:AD26)</f>
        <v>0</v>
      </c>
      <c r="AE21" s="255">
        <f t="shared" si="9"/>
        <v>0</v>
      </c>
      <c r="AF21" s="255">
        <f t="shared" si="9"/>
        <v>0</v>
      </c>
      <c r="AG21" s="255">
        <f t="shared" si="9"/>
        <v>0</v>
      </c>
      <c r="AH21" s="255">
        <f t="shared" si="9"/>
        <v>0</v>
      </c>
      <c r="AI21" s="255">
        <f t="shared" si="9"/>
        <v>0</v>
      </c>
      <c r="AJ21" s="255">
        <f t="shared" si="9"/>
        <v>0</v>
      </c>
      <c r="AK21" s="255">
        <f t="shared" si="9"/>
        <v>0</v>
      </c>
      <c r="AL21" s="255">
        <f t="shared" si="9"/>
        <v>0</v>
      </c>
      <c r="AM21" s="255">
        <f>SUM(AM22:AM26)</f>
        <v>0</v>
      </c>
      <c r="AN21" s="255">
        <f t="shared" si="9"/>
        <v>0</v>
      </c>
      <c r="AO21" s="256">
        <f t="shared" si="9"/>
        <v>0</v>
      </c>
      <c r="AP21" s="256">
        <f t="shared" si="9"/>
        <v>0</v>
      </c>
      <c r="AQ21" s="256">
        <f t="shared" si="9"/>
        <v>0</v>
      </c>
      <c r="AR21" s="256">
        <f t="shared" si="9"/>
        <v>0</v>
      </c>
      <c r="AS21" s="256">
        <f t="shared" si="9"/>
        <v>0</v>
      </c>
      <c r="AT21" s="256">
        <f t="shared" si="9"/>
        <v>0</v>
      </c>
      <c r="AU21" s="256">
        <f t="shared" ref="AU21:AV21" si="11">SUM(AU22:AU26)</f>
        <v>0</v>
      </c>
      <c r="AV21" s="256">
        <f t="shared" si="11"/>
        <v>0</v>
      </c>
      <c r="AW21" s="256">
        <f t="shared" si="9"/>
        <v>0</v>
      </c>
      <c r="AX21" s="256">
        <f t="shared" si="9"/>
        <v>0</v>
      </c>
      <c r="AY21" s="256">
        <f>SUM(AY22:AY26)</f>
        <v>0</v>
      </c>
      <c r="AZ21" s="255">
        <f t="shared" si="9"/>
        <v>0</v>
      </c>
      <c r="BA21" s="257">
        <f>SUM(BA22:BA26)</f>
        <v>0</v>
      </c>
      <c r="BB21" s="256">
        <f t="shared" ref="BB21:BG21" si="12">SUM(BB22:BB26)</f>
        <v>0</v>
      </c>
      <c r="BC21" s="256">
        <f t="shared" si="12"/>
        <v>0</v>
      </c>
      <c r="BD21" s="256">
        <f t="shared" si="12"/>
        <v>0</v>
      </c>
      <c r="BE21" s="256">
        <f t="shared" si="12"/>
        <v>0</v>
      </c>
      <c r="BF21" s="256">
        <f t="shared" si="12"/>
        <v>0</v>
      </c>
      <c r="BG21" s="256">
        <f t="shared" si="12"/>
        <v>0</v>
      </c>
      <c r="BH21" s="258"/>
      <c r="BI21" s="259"/>
    </row>
    <row r="22" spans="1:61" ht="12.75" x14ac:dyDescent="0.2">
      <c r="A22" s="263"/>
      <c r="B22" s="264"/>
      <c r="C22" s="265"/>
      <c r="D22" s="273"/>
      <c r="E22" s="253" t="s">
        <v>145</v>
      </c>
      <c r="F22" s="254">
        <v>341490</v>
      </c>
      <c r="G22" s="255">
        <f t="shared" si="4"/>
        <v>341490</v>
      </c>
      <c r="H22" s="254">
        <f>341490</f>
        <v>341490</v>
      </c>
      <c r="I22" s="274">
        <f t="shared" si="7"/>
        <v>341490</v>
      </c>
      <c r="J22" s="274">
        <f>SUM(K22:AC22)</f>
        <v>0</v>
      </c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55"/>
      <c r="AO22" s="256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4"/>
      <c r="BA22" s="276"/>
      <c r="BB22" s="275"/>
      <c r="BC22" s="275"/>
      <c r="BD22" s="275"/>
      <c r="BE22" s="275"/>
      <c r="BF22" s="275"/>
      <c r="BG22" s="275"/>
      <c r="BH22" s="258" t="s">
        <v>654</v>
      </c>
      <c r="BI22" s="259"/>
    </row>
    <row r="23" spans="1:61" ht="12.75" x14ac:dyDescent="0.2">
      <c r="A23" s="263"/>
      <c r="B23" s="264"/>
      <c r="C23" s="265"/>
      <c r="D23" s="273"/>
      <c r="E23" s="253" t="s">
        <v>240</v>
      </c>
      <c r="F23" s="254">
        <v>735764</v>
      </c>
      <c r="G23" s="255">
        <f t="shared" si="4"/>
        <v>735764</v>
      </c>
      <c r="H23" s="254">
        <f>735764</f>
        <v>735764</v>
      </c>
      <c r="I23" s="274">
        <f t="shared" si="7"/>
        <v>735764</v>
      </c>
      <c r="J23" s="274">
        <f t="shared" si="8"/>
        <v>0</v>
      </c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55"/>
      <c r="AO23" s="256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4"/>
      <c r="BA23" s="276"/>
      <c r="BB23" s="275"/>
      <c r="BC23" s="275"/>
      <c r="BD23" s="275"/>
      <c r="BE23" s="275"/>
      <c r="BF23" s="275"/>
      <c r="BG23" s="275"/>
      <c r="BH23" s="258" t="s">
        <v>655</v>
      </c>
      <c r="BI23" s="259"/>
    </row>
    <row r="24" spans="1:61" ht="24" x14ac:dyDescent="0.2">
      <c r="A24" s="263"/>
      <c r="B24" s="264"/>
      <c r="C24" s="265"/>
      <c r="D24" s="273"/>
      <c r="E24" s="253" t="s">
        <v>241</v>
      </c>
      <c r="F24" s="254">
        <v>8926510</v>
      </c>
      <c r="G24" s="255">
        <f t="shared" si="4"/>
        <v>8926510</v>
      </c>
      <c r="H24" s="254">
        <f>8926510</f>
        <v>8926510</v>
      </c>
      <c r="I24" s="274">
        <f t="shared" si="7"/>
        <v>8926510</v>
      </c>
      <c r="J24" s="274">
        <f t="shared" si="8"/>
        <v>0</v>
      </c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55"/>
      <c r="AO24" s="256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4"/>
      <c r="BA24" s="276"/>
      <c r="BB24" s="275"/>
      <c r="BC24" s="275"/>
      <c r="BD24" s="275"/>
      <c r="BE24" s="275"/>
      <c r="BF24" s="275"/>
      <c r="BG24" s="275"/>
      <c r="BH24" s="258" t="s">
        <v>656</v>
      </c>
      <c r="BI24" s="259"/>
    </row>
    <row r="25" spans="1:61" ht="24" x14ac:dyDescent="0.2">
      <c r="A25" s="263"/>
      <c r="B25" s="264"/>
      <c r="C25" s="265"/>
      <c r="D25" s="273"/>
      <c r="E25" s="253" t="s">
        <v>242</v>
      </c>
      <c r="F25" s="254">
        <v>500000</v>
      </c>
      <c r="G25" s="255">
        <f t="shared" si="4"/>
        <v>187008</v>
      </c>
      <c r="H25" s="254">
        <f>500000</f>
        <v>500000</v>
      </c>
      <c r="I25" s="255">
        <f t="shared" si="7"/>
        <v>187008</v>
      </c>
      <c r="J25" s="255">
        <f>SUM(K25:AC25)</f>
        <v>-312992</v>
      </c>
      <c r="K25" s="255">
        <v>-29200</v>
      </c>
      <c r="L25" s="255">
        <v>-230</v>
      </c>
      <c r="M25" s="255">
        <f>23051-24500</f>
        <v>-1449</v>
      </c>
      <c r="N25" s="255">
        <f>-302797</f>
        <v>-302797</v>
      </c>
      <c r="O25" s="255"/>
      <c r="P25" s="255">
        <f>300000</f>
        <v>300000</v>
      </c>
      <c r="Q25" s="255">
        <f>-4750-4795-5000-15946-5956</f>
        <v>-36447</v>
      </c>
      <c r="R25" s="255">
        <f>-1814-2570-493-4659</f>
        <v>-9536</v>
      </c>
      <c r="S25" s="255">
        <v>-8000</v>
      </c>
      <c r="T25" s="255">
        <v>-169535</v>
      </c>
      <c r="U25" s="255">
        <f>-1180-174-353</f>
        <v>-1707</v>
      </c>
      <c r="V25" s="255"/>
      <c r="W25" s="255">
        <v>-3272</v>
      </c>
      <c r="X25" s="255">
        <v>-50819</v>
      </c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5"/>
      <c r="BA25" s="257"/>
      <c r="BB25" s="256"/>
      <c r="BC25" s="256"/>
      <c r="BD25" s="256"/>
      <c r="BE25" s="256"/>
      <c r="BF25" s="256"/>
      <c r="BG25" s="256"/>
      <c r="BH25" s="258" t="s">
        <v>657</v>
      </c>
      <c r="BI25" s="259"/>
    </row>
    <row r="26" spans="1:61" ht="24" x14ac:dyDescent="0.2">
      <c r="A26" s="277"/>
      <c r="B26" s="278"/>
      <c r="C26" s="265"/>
      <c r="D26" s="273"/>
      <c r="E26" s="253" t="s">
        <v>731</v>
      </c>
      <c r="F26" s="254"/>
      <c r="G26" s="255">
        <f t="shared" si="4"/>
        <v>2924</v>
      </c>
      <c r="H26" s="254"/>
      <c r="I26" s="255">
        <f t="shared" si="7"/>
        <v>2924</v>
      </c>
      <c r="J26" s="255">
        <f t="shared" si="8"/>
        <v>2924</v>
      </c>
      <c r="K26" s="255"/>
      <c r="L26" s="255"/>
      <c r="M26" s="255"/>
      <c r="N26" s="255">
        <v>2924</v>
      </c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5"/>
      <c r="BA26" s="257"/>
      <c r="BB26" s="256"/>
      <c r="BC26" s="256"/>
      <c r="BD26" s="256"/>
      <c r="BE26" s="256"/>
      <c r="BF26" s="256"/>
      <c r="BG26" s="256"/>
      <c r="BH26" s="258" t="s">
        <v>767</v>
      </c>
      <c r="BI26" s="259"/>
    </row>
    <row r="27" spans="1:61" ht="12.75" thickBot="1" x14ac:dyDescent="0.25">
      <c r="A27" s="277"/>
      <c r="B27" s="279"/>
      <c r="C27" s="428"/>
      <c r="D27" s="429"/>
      <c r="E27" s="280"/>
      <c r="F27" s="267"/>
      <c r="G27" s="268"/>
      <c r="H27" s="267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8"/>
      <c r="BA27" s="270"/>
      <c r="BB27" s="269"/>
      <c r="BC27" s="269"/>
      <c r="BD27" s="269"/>
      <c r="BE27" s="269"/>
      <c r="BF27" s="269"/>
      <c r="BG27" s="269"/>
      <c r="BH27" s="281"/>
      <c r="BI27" s="272"/>
    </row>
    <row r="28" spans="1:61" ht="24.75" thickBot="1" x14ac:dyDescent="0.25">
      <c r="A28" s="282"/>
      <c r="B28" s="421" t="s">
        <v>6</v>
      </c>
      <c r="C28" s="421"/>
      <c r="D28" s="244" t="s">
        <v>212</v>
      </c>
      <c r="E28" s="283"/>
      <c r="F28" s="284">
        <v>1963264.0055555555</v>
      </c>
      <c r="G28" s="285">
        <f t="shared" ref="G28:G34" si="13">SUM(I28,AE28,AN28,AX28,AZ28)</f>
        <v>1983039</v>
      </c>
      <c r="H28" s="284">
        <f>SUM(H29:H35)</f>
        <v>1819395</v>
      </c>
      <c r="I28" s="248">
        <f>SUM(I29:I35)</f>
        <v>1835079</v>
      </c>
      <c r="J28" s="248">
        <f t="shared" ref="J28:AX28" si="14">SUM(J29:J35)</f>
        <v>15684</v>
      </c>
      <c r="K28" s="248">
        <f t="shared" si="14"/>
        <v>0</v>
      </c>
      <c r="L28" s="248">
        <f>SUM(L29:L35)</f>
        <v>0</v>
      </c>
      <c r="M28" s="248">
        <f>SUM(M29:M35)</f>
        <v>0</v>
      </c>
      <c r="N28" s="248">
        <f t="shared" si="14"/>
        <v>0</v>
      </c>
      <c r="O28" s="248">
        <f t="shared" si="14"/>
        <v>0</v>
      </c>
      <c r="P28" s="248">
        <f t="shared" si="14"/>
        <v>0</v>
      </c>
      <c r="Q28" s="248">
        <f t="shared" si="14"/>
        <v>1722</v>
      </c>
      <c r="R28" s="248">
        <f t="shared" si="14"/>
        <v>0</v>
      </c>
      <c r="S28" s="248">
        <f t="shared" si="14"/>
        <v>0</v>
      </c>
      <c r="T28" s="248">
        <f>SUM(T29:T35)</f>
        <v>0</v>
      </c>
      <c r="U28" s="248">
        <f>SUM(U29:U35)</f>
        <v>0</v>
      </c>
      <c r="V28" s="248">
        <f t="shared" ref="V28:AA28" si="15">SUM(V29:V35)</f>
        <v>13962</v>
      </c>
      <c r="W28" s="248">
        <f t="shared" si="15"/>
        <v>0</v>
      </c>
      <c r="X28" s="248">
        <f t="shared" si="15"/>
        <v>0</v>
      </c>
      <c r="Y28" s="248">
        <f t="shared" si="15"/>
        <v>0</v>
      </c>
      <c r="Z28" s="248">
        <f t="shared" si="15"/>
        <v>0</v>
      </c>
      <c r="AA28" s="248">
        <f t="shared" si="15"/>
        <v>0</v>
      </c>
      <c r="AB28" s="248">
        <f>SUM(AB29:AB35)</f>
        <v>0</v>
      </c>
      <c r="AC28" s="248">
        <f t="shared" si="14"/>
        <v>0</v>
      </c>
      <c r="AD28" s="248">
        <f>SUM(AD29:AD35)</f>
        <v>0</v>
      </c>
      <c r="AE28" s="248">
        <f t="shared" si="14"/>
        <v>0</v>
      </c>
      <c r="AF28" s="248">
        <f t="shared" si="14"/>
        <v>0</v>
      </c>
      <c r="AG28" s="248">
        <f t="shared" si="14"/>
        <v>0</v>
      </c>
      <c r="AH28" s="248">
        <f t="shared" si="14"/>
        <v>0</v>
      </c>
      <c r="AI28" s="248">
        <f t="shared" si="14"/>
        <v>0</v>
      </c>
      <c r="AJ28" s="248">
        <f t="shared" si="14"/>
        <v>0</v>
      </c>
      <c r="AK28" s="248">
        <f t="shared" si="14"/>
        <v>0</v>
      </c>
      <c r="AL28" s="248">
        <f t="shared" si="14"/>
        <v>0</v>
      </c>
      <c r="AM28" s="248">
        <f>SUM(AM29:AM35)</f>
        <v>142843</v>
      </c>
      <c r="AN28" s="248">
        <f t="shared" si="14"/>
        <v>146934</v>
      </c>
      <c r="AO28" s="248">
        <f t="shared" si="14"/>
        <v>4091</v>
      </c>
      <c r="AP28" s="248">
        <f t="shared" si="14"/>
        <v>0</v>
      </c>
      <c r="AQ28" s="248">
        <f t="shared" si="14"/>
        <v>2</v>
      </c>
      <c r="AR28" s="248">
        <f t="shared" si="14"/>
        <v>80</v>
      </c>
      <c r="AS28" s="248">
        <f t="shared" si="14"/>
        <v>0</v>
      </c>
      <c r="AT28" s="248">
        <f t="shared" si="14"/>
        <v>4009</v>
      </c>
      <c r="AU28" s="248">
        <f t="shared" ref="AU28:AV28" si="16">SUM(AU29:AU35)</f>
        <v>0</v>
      </c>
      <c r="AV28" s="248">
        <f t="shared" si="16"/>
        <v>0</v>
      </c>
      <c r="AW28" s="248">
        <f t="shared" si="14"/>
        <v>0</v>
      </c>
      <c r="AX28" s="248">
        <f t="shared" si="14"/>
        <v>0</v>
      </c>
      <c r="AY28" s="286">
        <f>SUM(AY29:AY35)</f>
        <v>1026</v>
      </c>
      <c r="AZ28" s="248">
        <f>SUM(AZ29:AZ35)</f>
        <v>1026</v>
      </c>
      <c r="BA28" s="287">
        <f>SUM(BA29:BA35)</f>
        <v>0</v>
      </c>
      <c r="BB28" s="248">
        <f t="shared" ref="BB28:BG28" si="17">SUM(BB29:BB35)</f>
        <v>0</v>
      </c>
      <c r="BC28" s="248">
        <f t="shared" si="17"/>
        <v>0</v>
      </c>
      <c r="BD28" s="248">
        <f t="shared" si="17"/>
        <v>0</v>
      </c>
      <c r="BE28" s="248">
        <f t="shared" si="17"/>
        <v>0</v>
      </c>
      <c r="BF28" s="248">
        <f t="shared" si="17"/>
        <v>0</v>
      </c>
      <c r="BG28" s="248">
        <f t="shared" si="17"/>
        <v>0</v>
      </c>
      <c r="BH28" s="288"/>
      <c r="BI28" s="289"/>
    </row>
    <row r="29" spans="1:61" ht="13.5" thickTop="1" x14ac:dyDescent="0.2">
      <c r="A29" s="290">
        <v>90000056357</v>
      </c>
      <c r="B29" s="291"/>
      <c r="C29" s="422" t="s">
        <v>5</v>
      </c>
      <c r="D29" s="423"/>
      <c r="E29" s="253" t="s">
        <v>239</v>
      </c>
      <c r="F29" s="254">
        <v>194860.00555555554</v>
      </c>
      <c r="G29" s="255">
        <f>SUM(I29,AE29,AN29,AX29,AZ29)</f>
        <v>191860</v>
      </c>
      <c r="H29" s="254">
        <f>194860</f>
        <v>194860</v>
      </c>
      <c r="I29" s="255">
        <f t="shared" ref="I29:I34" si="18">H29+J29</f>
        <v>191860</v>
      </c>
      <c r="J29" s="255">
        <f t="shared" ref="J29:J34" si="19">SUM(K29:AC29)</f>
        <v>-3000</v>
      </c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>
        <v>-3000</v>
      </c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>
        <f t="shared" ref="AN29:AN34" si="20">AO29+AM29</f>
        <v>0</v>
      </c>
      <c r="AO29" s="256">
        <f t="shared" ref="AO29:AO34" si="21">SUM(AP29:AW29)</f>
        <v>0</v>
      </c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5"/>
      <c r="BA29" s="257"/>
      <c r="BB29" s="256"/>
      <c r="BC29" s="256"/>
      <c r="BD29" s="256"/>
      <c r="BE29" s="256"/>
      <c r="BF29" s="256"/>
      <c r="BG29" s="256"/>
      <c r="BH29" s="258" t="s">
        <v>373</v>
      </c>
      <c r="BI29" s="259"/>
    </row>
    <row r="30" spans="1:61" ht="24" x14ac:dyDescent="0.2">
      <c r="A30" s="292"/>
      <c r="C30" s="261"/>
      <c r="D30" s="262"/>
      <c r="E30" s="253" t="s">
        <v>243</v>
      </c>
      <c r="F30" s="254">
        <v>92985</v>
      </c>
      <c r="G30" s="255">
        <f t="shared" si="13"/>
        <v>95534</v>
      </c>
      <c r="H30" s="254">
        <v>0</v>
      </c>
      <c r="I30" s="255">
        <f t="shared" si="18"/>
        <v>0</v>
      </c>
      <c r="J30" s="255">
        <f t="shared" si="19"/>
        <v>0</v>
      </c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>
        <f>92789</f>
        <v>92789</v>
      </c>
      <c r="AN30" s="255">
        <f t="shared" si="20"/>
        <v>95338</v>
      </c>
      <c r="AO30" s="256">
        <f t="shared" si="21"/>
        <v>2549</v>
      </c>
      <c r="AP30" s="256"/>
      <c r="AQ30" s="256"/>
      <c r="AR30" s="256">
        <f>80</f>
        <v>80</v>
      </c>
      <c r="AS30" s="256"/>
      <c r="AT30" s="256">
        <v>2469</v>
      </c>
      <c r="AU30" s="256"/>
      <c r="AV30" s="256"/>
      <c r="AW30" s="256"/>
      <c r="AX30" s="256"/>
      <c r="AY30" s="256">
        <v>196</v>
      </c>
      <c r="AZ30" s="255">
        <f>AY30+BA30</f>
        <v>196</v>
      </c>
      <c r="BA30" s="257">
        <f>SUM(BB30:BG30)</f>
        <v>0</v>
      </c>
      <c r="BB30" s="256"/>
      <c r="BC30" s="256"/>
      <c r="BD30" s="256"/>
      <c r="BE30" s="256"/>
      <c r="BF30" s="256"/>
      <c r="BG30" s="256"/>
      <c r="BH30" s="258" t="s">
        <v>374</v>
      </c>
      <c r="BI30" s="259"/>
    </row>
    <row r="31" spans="1:61" ht="24" x14ac:dyDescent="0.2">
      <c r="A31" s="263"/>
      <c r="B31" s="264"/>
      <c r="C31" s="265"/>
      <c r="D31" s="266"/>
      <c r="E31" s="253" t="s">
        <v>558</v>
      </c>
      <c r="F31" s="267">
        <v>37150</v>
      </c>
      <c r="G31" s="268">
        <f t="shared" si="13"/>
        <v>37150</v>
      </c>
      <c r="H31" s="267">
        <f>37150</f>
        <v>37150</v>
      </c>
      <c r="I31" s="255">
        <f t="shared" si="18"/>
        <v>37150</v>
      </c>
      <c r="J31" s="268">
        <f t="shared" si="19"/>
        <v>0</v>
      </c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>
        <f t="shared" si="20"/>
        <v>0</v>
      </c>
      <c r="AO31" s="269">
        <f t="shared" si="21"/>
        <v>0</v>
      </c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8"/>
      <c r="BA31" s="270"/>
      <c r="BB31" s="269"/>
      <c r="BC31" s="269"/>
      <c r="BD31" s="269"/>
      <c r="BE31" s="269"/>
      <c r="BF31" s="269"/>
      <c r="BG31" s="269"/>
      <c r="BH31" s="271" t="s">
        <v>611</v>
      </c>
      <c r="BI31" s="259" t="s">
        <v>583</v>
      </c>
    </row>
    <row r="32" spans="1:61" ht="12.75" x14ac:dyDescent="0.2">
      <c r="A32" s="263">
        <v>90000594245</v>
      </c>
      <c r="B32" s="264"/>
      <c r="C32" s="413" t="s">
        <v>24</v>
      </c>
      <c r="D32" s="414"/>
      <c r="E32" s="253" t="s">
        <v>244</v>
      </c>
      <c r="F32" s="254">
        <v>143</v>
      </c>
      <c r="G32" s="255">
        <f t="shared" si="13"/>
        <v>143</v>
      </c>
      <c r="H32" s="254">
        <f>143</f>
        <v>143</v>
      </c>
      <c r="I32" s="255">
        <f t="shared" si="18"/>
        <v>143</v>
      </c>
      <c r="J32" s="255">
        <f t="shared" si="19"/>
        <v>0</v>
      </c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>
        <f t="shared" si="20"/>
        <v>0</v>
      </c>
      <c r="AO32" s="256">
        <f t="shared" si="21"/>
        <v>0</v>
      </c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5"/>
      <c r="BA32" s="257"/>
      <c r="BB32" s="256"/>
      <c r="BC32" s="256"/>
      <c r="BD32" s="256"/>
      <c r="BE32" s="256"/>
      <c r="BF32" s="256"/>
      <c r="BG32" s="256"/>
      <c r="BH32" s="258" t="s">
        <v>375</v>
      </c>
      <c r="BI32" s="259" t="s">
        <v>580</v>
      </c>
    </row>
    <row r="33" spans="1:61" ht="36" x14ac:dyDescent="0.2">
      <c r="A33" s="263">
        <v>90000056554</v>
      </c>
      <c r="B33" s="264"/>
      <c r="C33" s="413" t="s">
        <v>682</v>
      </c>
      <c r="D33" s="414"/>
      <c r="E33" s="253" t="s">
        <v>358</v>
      </c>
      <c r="F33" s="254">
        <v>1608126</v>
      </c>
      <c r="G33" s="255">
        <f>SUM(I33,AE33,AN33,AX33,AZ33)</f>
        <v>1628352</v>
      </c>
      <c r="H33" s="254">
        <f>1557242</f>
        <v>1557242</v>
      </c>
      <c r="I33" s="255">
        <f t="shared" si="18"/>
        <v>1575926</v>
      </c>
      <c r="J33" s="255">
        <f t="shared" si="19"/>
        <v>18684</v>
      </c>
      <c r="K33" s="255"/>
      <c r="L33" s="255"/>
      <c r="M33" s="255"/>
      <c r="N33" s="255"/>
      <c r="O33" s="255"/>
      <c r="P33" s="255"/>
      <c r="Q33" s="255">
        <v>1722</v>
      </c>
      <c r="R33" s="255"/>
      <c r="S33" s="255"/>
      <c r="T33" s="255"/>
      <c r="U33" s="255"/>
      <c r="V33" s="255">
        <v>16962</v>
      </c>
      <c r="W33" s="255"/>
      <c r="X33" s="255"/>
      <c r="Y33" s="255"/>
      <c r="Z33" s="255"/>
      <c r="AA33" s="255"/>
      <c r="AB33" s="255"/>
      <c r="AC33" s="255"/>
      <c r="AD33" s="255">
        <v>0</v>
      </c>
      <c r="AE33" s="255">
        <v>0</v>
      </c>
      <c r="AF33" s="255"/>
      <c r="AG33" s="255"/>
      <c r="AH33" s="255"/>
      <c r="AI33" s="255"/>
      <c r="AJ33" s="255"/>
      <c r="AK33" s="255"/>
      <c r="AL33" s="255"/>
      <c r="AM33" s="255">
        <f>50054</f>
        <v>50054</v>
      </c>
      <c r="AN33" s="255">
        <f t="shared" si="20"/>
        <v>51596</v>
      </c>
      <c r="AO33" s="256">
        <f t="shared" si="21"/>
        <v>1542</v>
      </c>
      <c r="AP33" s="256"/>
      <c r="AQ33" s="256">
        <v>2</v>
      </c>
      <c r="AR33" s="256"/>
      <c r="AS33" s="256"/>
      <c r="AT33" s="256">
        <v>1540</v>
      </c>
      <c r="AU33" s="256"/>
      <c r="AV33" s="256"/>
      <c r="AW33" s="256"/>
      <c r="AX33" s="256"/>
      <c r="AY33" s="256">
        <v>830</v>
      </c>
      <c r="AZ33" s="255">
        <f>AY33+BA33</f>
        <v>830</v>
      </c>
      <c r="BA33" s="257">
        <f>SUM(BB33:BG33)</f>
        <v>0</v>
      </c>
      <c r="BB33" s="256"/>
      <c r="BC33" s="256"/>
      <c r="BD33" s="256"/>
      <c r="BE33" s="256"/>
      <c r="BF33" s="256"/>
      <c r="BG33" s="256"/>
      <c r="BH33" s="258" t="s">
        <v>376</v>
      </c>
      <c r="BI33" s="259"/>
    </row>
    <row r="34" spans="1:61" ht="48" x14ac:dyDescent="0.2">
      <c r="A34" s="263"/>
      <c r="B34" s="264"/>
      <c r="C34" s="413" t="s">
        <v>214</v>
      </c>
      <c r="D34" s="414"/>
      <c r="E34" s="293" t="s">
        <v>302</v>
      </c>
      <c r="F34" s="254">
        <v>30000</v>
      </c>
      <c r="G34" s="255">
        <f t="shared" si="13"/>
        <v>30000</v>
      </c>
      <c r="H34" s="254">
        <f>30000</f>
        <v>30000</v>
      </c>
      <c r="I34" s="255">
        <f t="shared" si="18"/>
        <v>30000</v>
      </c>
      <c r="J34" s="255">
        <f t="shared" si="19"/>
        <v>0</v>
      </c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>
        <f t="shared" si="20"/>
        <v>0</v>
      </c>
      <c r="AO34" s="256">
        <f t="shared" si="21"/>
        <v>0</v>
      </c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5"/>
      <c r="BA34" s="257"/>
      <c r="BB34" s="256"/>
      <c r="BC34" s="256"/>
      <c r="BD34" s="256"/>
      <c r="BE34" s="256"/>
      <c r="BF34" s="256"/>
      <c r="BG34" s="256"/>
      <c r="BH34" s="258" t="s">
        <v>377</v>
      </c>
      <c r="BI34" s="259"/>
    </row>
    <row r="35" spans="1:61" ht="12.75" thickBot="1" x14ac:dyDescent="0.25">
      <c r="A35" s="263"/>
      <c r="B35" s="279"/>
      <c r="C35" s="426"/>
      <c r="D35" s="427"/>
      <c r="E35" s="294"/>
      <c r="F35" s="267"/>
      <c r="G35" s="268"/>
      <c r="H35" s="267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8"/>
      <c r="BA35" s="270"/>
      <c r="BB35" s="269"/>
      <c r="BC35" s="269"/>
      <c r="BD35" s="269"/>
      <c r="BE35" s="269"/>
      <c r="BF35" s="269"/>
      <c r="BG35" s="269"/>
      <c r="BH35" s="271"/>
      <c r="BI35" s="272"/>
    </row>
    <row r="36" spans="1:61" ht="12.75" thickBot="1" x14ac:dyDescent="0.25">
      <c r="A36" s="282"/>
      <c r="B36" s="421" t="s">
        <v>7</v>
      </c>
      <c r="C36" s="421"/>
      <c r="D36" s="244" t="s">
        <v>8</v>
      </c>
      <c r="E36" s="283"/>
      <c r="F36" s="284">
        <v>19545420</v>
      </c>
      <c r="G36" s="285">
        <f>SUM(I36,AE36,AN36,AX36,AZ36)</f>
        <v>19739301</v>
      </c>
      <c r="H36" s="284">
        <f>SUM(H37:H63)</f>
        <v>17452900</v>
      </c>
      <c r="I36" s="248">
        <f>SUM(I37:I63)</f>
        <v>17442734</v>
      </c>
      <c r="J36" s="248">
        <f t="shared" ref="J36:AZ36" si="22">SUM(J37:J63)</f>
        <v>-10166</v>
      </c>
      <c r="K36" s="248">
        <f t="shared" si="22"/>
        <v>0</v>
      </c>
      <c r="L36" s="248">
        <f>SUM(L37:L63)</f>
        <v>0</v>
      </c>
      <c r="M36" s="248">
        <f>SUM(M37:M63)</f>
        <v>24500</v>
      </c>
      <c r="N36" s="248">
        <f t="shared" si="22"/>
        <v>72869</v>
      </c>
      <c r="O36" s="248">
        <f t="shared" si="22"/>
        <v>0</v>
      </c>
      <c r="P36" s="248">
        <f t="shared" si="22"/>
        <v>99479</v>
      </c>
      <c r="Q36" s="248">
        <f t="shared" si="22"/>
        <v>4731</v>
      </c>
      <c r="R36" s="248">
        <f t="shared" si="22"/>
        <v>298</v>
      </c>
      <c r="S36" s="248">
        <f t="shared" si="22"/>
        <v>0</v>
      </c>
      <c r="T36" s="248">
        <f>SUM(T37:T63)</f>
        <v>150000</v>
      </c>
      <c r="U36" s="248">
        <f>SUM(U37:U63)</f>
        <v>0</v>
      </c>
      <c r="V36" s="248">
        <f t="shared" ref="V36:AA36" si="23">SUM(V37:V63)</f>
        <v>83143</v>
      </c>
      <c r="W36" s="248">
        <f t="shared" si="23"/>
        <v>-6325</v>
      </c>
      <c r="X36" s="248">
        <f t="shared" si="23"/>
        <v>0</v>
      </c>
      <c r="Y36" s="248">
        <f t="shared" si="23"/>
        <v>-438861</v>
      </c>
      <c r="Z36" s="248">
        <f t="shared" si="23"/>
        <v>0</v>
      </c>
      <c r="AA36" s="248">
        <f t="shared" si="23"/>
        <v>0</v>
      </c>
      <c r="AB36" s="248">
        <f>SUM(AB37:AB63)</f>
        <v>0</v>
      </c>
      <c r="AC36" s="248">
        <f t="shared" si="22"/>
        <v>0</v>
      </c>
      <c r="AD36" s="248">
        <f>SUM(AD37:AD63)</f>
        <v>851700</v>
      </c>
      <c r="AE36" s="248">
        <f t="shared" si="22"/>
        <v>851700</v>
      </c>
      <c r="AF36" s="248">
        <f t="shared" si="22"/>
        <v>0</v>
      </c>
      <c r="AG36" s="248">
        <f t="shared" si="22"/>
        <v>0</v>
      </c>
      <c r="AH36" s="248">
        <f t="shared" si="22"/>
        <v>0</v>
      </c>
      <c r="AI36" s="248">
        <f t="shared" si="22"/>
        <v>0</v>
      </c>
      <c r="AJ36" s="248">
        <f t="shared" si="22"/>
        <v>0</v>
      </c>
      <c r="AK36" s="248">
        <f t="shared" si="22"/>
        <v>0</v>
      </c>
      <c r="AL36" s="248">
        <f t="shared" si="22"/>
        <v>0</v>
      </c>
      <c r="AM36" s="248">
        <f>SUM(AM37:AM63)</f>
        <v>16178</v>
      </c>
      <c r="AN36" s="248">
        <f t="shared" si="22"/>
        <v>16178</v>
      </c>
      <c r="AO36" s="248">
        <f t="shared" si="22"/>
        <v>0</v>
      </c>
      <c r="AP36" s="248">
        <f t="shared" si="22"/>
        <v>0</v>
      </c>
      <c r="AQ36" s="248">
        <f t="shared" si="22"/>
        <v>0</v>
      </c>
      <c r="AR36" s="248">
        <f t="shared" si="22"/>
        <v>0</v>
      </c>
      <c r="AS36" s="248">
        <f t="shared" si="22"/>
        <v>0</v>
      </c>
      <c r="AT36" s="248">
        <f t="shared" si="22"/>
        <v>0</v>
      </c>
      <c r="AU36" s="248">
        <f t="shared" ref="AU36:AV36" si="24">SUM(AU37:AU63)</f>
        <v>0</v>
      </c>
      <c r="AV36" s="248">
        <f t="shared" si="24"/>
        <v>0</v>
      </c>
      <c r="AW36" s="248">
        <f t="shared" si="22"/>
        <v>0</v>
      </c>
      <c r="AX36" s="248">
        <f t="shared" si="22"/>
        <v>1428689</v>
      </c>
      <c r="AY36" s="248">
        <f>SUM(AY37:AY63)</f>
        <v>0</v>
      </c>
      <c r="AZ36" s="248">
        <f t="shared" si="22"/>
        <v>0</v>
      </c>
      <c r="BA36" s="249">
        <f>SUM(BA37:BA63)</f>
        <v>0</v>
      </c>
      <c r="BB36" s="248">
        <f t="shared" ref="BB36:BG36" si="25">SUM(BB37:BB63)</f>
        <v>0</v>
      </c>
      <c r="BC36" s="248">
        <f t="shared" si="25"/>
        <v>0</v>
      </c>
      <c r="BD36" s="248">
        <f t="shared" si="25"/>
        <v>0</v>
      </c>
      <c r="BE36" s="248">
        <f t="shared" si="25"/>
        <v>0</v>
      </c>
      <c r="BF36" s="248">
        <f t="shared" si="25"/>
        <v>0</v>
      </c>
      <c r="BG36" s="248">
        <f t="shared" si="25"/>
        <v>0</v>
      </c>
      <c r="BH36" s="288"/>
      <c r="BI36" s="289"/>
    </row>
    <row r="37" spans="1:61" ht="24.75" thickTop="1" x14ac:dyDescent="0.2">
      <c r="A37" s="263">
        <v>90000056357</v>
      </c>
      <c r="B37" s="291"/>
      <c r="C37" s="422" t="s">
        <v>5</v>
      </c>
      <c r="D37" s="423"/>
      <c r="E37" s="253" t="s">
        <v>239</v>
      </c>
      <c r="F37" s="254">
        <v>3324186</v>
      </c>
      <c r="G37" s="255">
        <f t="shared" ref="G37:G62" si="26">SUM(I37,AE37,AN37,AX37,AZ37)</f>
        <v>3348101</v>
      </c>
      <c r="H37" s="254">
        <f>3324186</f>
        <v>3324186</v>
      </c>
      <c r="I37" s="255">
        <f t="shared" ref="I37:I59" si="27">H37+J37</f>
        <v>3348101</v>
      </c>
      <c r="J37" s="255">
        <f t="shared" ref="J37:J59" si="28">SUM(K37:AC37)</f>
        <v>23915</v>
      </c>
      <c r="K37" s="255"/>
      <c r="L37" s="255"/>
      <c r="M37" s="255"/>
      <c r="N37" s="255"/>
      <c r="O37" s="255"/>
      <c r="P37" s="255">
        <v>-1085</v>
      </c>
      <c r="Q37" s="255"/>
      <c r="R37" s="255"/>
      <c r="S37" s="255"/>
      <c r="T37" s="255"/>
      <c r="U37" s="255"/>
      <c r="V37" s="255">
        <v>25000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>
        <f t="shared" ref="AN37:AN44" si="29">AO37+AM37</f>
        <v>0</v>
      </c>
      <c r="AO37" s="256">
        <f t="shared" ref="AO37:AO44" si="30">SUM(AP37:AW37)</f>
        <v>0</v>
      </c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5"/>
      <c r="BA37" s="257"/>
      <c r="BB37" s="256"/>
      <c r="BC37" s="256"/>
      <c r="BD37" s="256"/>
      <c r="BE37" s="256"/>
      <c r="BF37" s="256"/>
      <c r="BG37" s="256"/>
      <c r="BH37" s="258" t="s">
        <v>612</v>
      </c>
      <c r="BI37" s="259"/>
    </row>
    <row r="38" spans="1:61" ht="12.75" x14ac:dyDescent="0.2">
      <c r="A38" s="263"/>
      <c r="B38" s="295"/>
      <c r="C38" s="296"/>
      <c r="D38" s="297"/>
      <c r="E38" s="253" t="s">
        <v>556</v>
      </c>
      <c r="F38" s="254">
        <v>595124</v>
      </c>
      <c r="G38" s="255">
        <f t="shared" si="26"/>
        <v>595124</v>
      </c>
      <c r="H38" s="254">
        <f>595124</f>
        <v>595124</v>
      </c>
      <c r="I38" s="255">
        <f t="shared" si="27"/>
        <v>595124</v>
      </c>
      <c r="J38" s="255">
        <f t="shared" si="28"/>
        <v>0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>
        <f t="shared" si="29"/>
        <v>0</v>
      </c>
      <c r="AO38" s="256">
        <f t="shared" si="30"/>
        <v>0</v>
      </c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5"/>
      <c r="BA38" s="257"/>
      <c r="BB38" s="256"/>
      <c r="BC38" s="256"/>
      <c r="BD38" s="256"/>
      <c r="BE38" s="256"/>
      <c r="BF38" s="256"/>
      <c r="BG38" s="256"/>
      <c r="BH38" s="298" t="s">
        <v>382</v>
      </c>
      <c r="BI38" s="259"/>
    </row>
    <row r="39" spans="1:61" ht="12.75" x14ac:dyDescent="0.2">
      <c r="A39" s="263"/>
      <c r="B39" s="295"/>
      <c r="C39" s="296"/>
      <c r="D39" s="297"/>
      <c r="E39" s="253" t="s">
        <v>571</v>
      </c>
      <c r="F39" s="299">
        <v>6000</v>
      </c>
      <c r="G39" s="300">
        <f t="shared" si="26"/>
        <v>6000</v>
      </c>
      <c r="H39" s="299">
        <f>6000</f>
        <v>6000</v>
      </c>
      <c r="I39" s="255">
        <f t="shared" si="27"/>
        <v>6000</v>
      </c>
      <c r="J39" s="300">
        <f t="shared" si="28"/>
        <v>0</v>
      </c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>
        <f t="shared" si="29"/>
        <v>0</v>
      </c>
      <c r="AO39" s="301">
        <f t="shared" si="30"/>
        <v>0</v>
      </c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0"/>
      <c r="BA39" s="302"/>
      <c r="BB39" s="301"/>
      <c r="BC39" s="301"/>
      <c r="BD39" s="301"/>
      <c r="BE39" s="301"/>
      <c r="BF39" s="301"/>
      <c r="BG39" s="301"/>
      <c r="BH39" s="298" t="s">
        <v>379</v>
      </c>
      <c r="BI39" s="259" t="s">
        <v>318</v>
      </c>
    </row>
    <row r="40" spans="1:61" ht="40.5" customHeight="1" x14ac:dyDescent="0.2">
      <c r="A40" s="263"/>
      <c r="B40" s="295"/>
      <c r="C40" s="296"/>
      <c r="D40" s="297"/>
      <c r="E40" s="253" t="s">
        <v>568</v>
      </c>
      <c r="F40" s="299">
        <v>101300</v>
      </c>
      <c r="G40" s="300">
        <f t="shared" si="26"/>
        <v>101300</v>
      </c>
      <c r="H40" s="299">
        <f>101300</f>
        <v>101300</v>
      </c>
      <c r="I40" s="255">
        <f t="shared" si="27"/>
        <v>101300</v>
      </c>
      <c r="J40" s="300">
        <f t="shared" si="28"/>
        <v>0</v>
      </c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>
        <f t="shared" si="29"/>
        <v>0</v>
      </c>
      <c r="AO40" s="301">
        <f t="shared" si="30"/>
        <v>0</v>
      </c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0"/>
      <c r="BA40" s="302"/>
      <c r="BB40" s="301"/>
      <c r="BC40" s="301"/>
      <c r="BD40" s="301"/>
      <c r="BE40" s="301"/>
      <c r="BF40" s="301"/>
      <c r="BG40" s="301"/>
      <c r="BH40" s="298" t="s">
        <v>378</v>
      </c>
      <c r="BI40" s="272" t="s">
        <v>366</v>
      </c>
    </row>
    <row r="41" spans="1:61" ht="48" customHeight="1" x14ac:dyDescent="0.2">
      <c r="A41" s="263"/>
      <c r="B41" s="295"/>
      <c r="C41" s="296"/>
      <c r="D41" s="297"/>
      <c r="E41" s="253" t="s">
        <v>360</v>
      </c>
      <c r="F41" s="254">
        <v>89600</v>
      </c>
      <c r="G41" s="255">
        <f t="shared" si="26"/>
        <v>89600</v>
      </c>
      <c r="H41" s="299">
        <f>89600</f>
        <v>89600</v>
      </c>
      <c r="I41" s="255">
        <f t="shared" si="27"/>
        <v>89600</v>
      </c>
      <c r="J41" s="300">
        <f t="shared" si="28"/>
        <v>0</v>
      </c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>
        <f t="shared" si="29"/>
        <v>0</v>
      </c>
      <c r="AO41" s="301">
        <f t="shared" si="30"/>
        <v>0</v>
      </c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0"/>
      <c r="BA41" s="302"/>
      <c r="BB41" s="301"/>
      <c r="BC41" s="301"/>
      <c r="BD41" s="301"/>
      <c r="BE41" s="301"/>
      <c r="BF41" s="301"/>
      <c r="BG41" s="301"/>
      <c r="BH41" s="298" t="s">
        <v>383</v>
      </c>
      <c r="BI41" s="259" t="s">
        <v>548</v>
      </c>
    </row>
    <row r="42" spans="1:61" ht="12.75" x14ac:dyDescent="0.2">
      <c r="A42" s="263"/>
      <c r="B42" s="264"/>
      <c r="C42" s="265"/>
      <c r="D42" s="266"/>
      <c r="E42" s="253" t="s">
        <v>245</v>
      </c>
      <c r="F42" s="254">
        <v>99789</v>
      </c>
      <c r="G42" s="255">
        <f t="shared" si="26"/>
        <v>124289</v>
      </c>
      <c r="H42" s="254">
        <f>99789</f>
        <v>99789</v>
      </c>
      <c r="I42" s="255">
        <f t="shared" si="27"/>
        <v>124289</v>
      </c>
      <c r="J42" s="255">
        <f t="shared" si="28"/>
        <v>24500</v>
      </c>
      <c r="K42" s="255"/>
      <c r="L42" s="255"/>
      <c r="M42" s="255">
        <v>24500</v>
      </c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>
        <f t="shared" si="29"/>
        <v>0</v>
      </c>
      <c r="AO42" s="256">
        <f t="shared" si="30"/>
        <v>0</v>
      </c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5"/>
      <c r="BA42" s="257"/>
      <c r="BB42" s="256"/>
      <c r="BC42" s="256"/>
      <c r="BD42" s="256"/>
      <c r="BE42" s="256"/>
      <c r="BF42" s="256"/>
      <c r="BG42" s="256"/>
      <c r="BH42" s="258" t="s">
        <v>384</v>
      </c>
      <c r="BI42" s="259" t="s">
        <v>549</v>
      </c>
    </row>
    <row r="43" spans="1:61" ht="36" x14ac:dyDescent="0.2">
      <c r="A43" s="263"/>
      <c r="B43" s="264"/>
      <c r="C43" s="265"/>
      <c r="D43" s="266"/>
      <c r="E43" s="253" t="s">
        <v>550</v>
      </c>
      <c r="F43" s="254">
        <v>4664266</v>
      </c>
      <c r="G43" s="255">
        <f>SUM(I43,AE43,AN43,AX43,AZ43)</f>
        <v>4664266</v>
      </c>
      <c r="H43" s="254">
        <f>3907566</f>
        <v>3907566</v>
      </c>
      <c r="I43" s="255">
        <f t="shared" si="27"/>
        <v>3907566</v>
      </c>
      <c r="J43" s="255">
        <f t="shared" si="28"/>
        <v>0</v>
      </c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>
        <f>756700</f>
        <v>756700</v>
      </c>
      <c r="AE43" s="255">
        <f>AD43+AF43</f>
        <v>756700</v>
      </c>
      <c r="AF43" s="255">
        <f>SUM(AG43:AL43)</f>
        <v>0</v>
      </c>
      <c r="AG43" s="255"/>
      <c r="AH43" s="255"/>
      <c r="AI43" s="255"/>
      <c r="AJ43" s="255"/>
      <c r="AK43" s="255"/>
      <c r="AL43" s="255"/>
      <c r="AM43" s="255"/>
      <c r="AN43" s="255">
        <f t="shared" si="29"/>
        <v>0</v>
      </c>
      <c r="AO43" s="256">
        <f t="shared" si="30"/>
        <v>0</v>
      </c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5"/>
      <c r="BA43" s="257"/>
      <c r="BB43" s="256"/>
      <c r="BC43" s="256"/>
      <c r="BD43" s="256"/>
      <c r="BE43" s="256"/>
      <c r="BF43" s="256"/>
      <c r="BG43" s="256"/>
      <c r="BH43" s="258" t="s">
        <v>688</v>
      </c>
      <c r="BI43" s="259" t="s">
        <v>370</v>
      </c>
    </row>
    <row r="44" spans="1:61" ht="28.5" customHeight="1" x14ac:dyDescent="0.2">
      <c r="A44" s="263"/>
      <c r="B44" s="264"/>
      <c r="C44" s="265"/>
      <c r="D44" s="266"/>
      <c r="E44" s="253" t="s">
        <v>287</v>
      </c>
      <c r="F44" s="254">
        <v>1410435</v>
      </c>
      <c r="G44" s="255">
        <f>SUM(I44,AE44,AN44,AX44,AZ44)</f>
        <v>1410928</v>
      </c>
      <c r="H44" s="254">
        <f>1315435</f>
        <v>1315435</v>
      </c>
      <c r="I44" s="255">
        <f t="shared" si="27"/>
        <v>1315928</v>
      </c>
      <c r="J44" s="255">
        <f t="shared" si="28"/>
        <v>493</v>
      </c>
      <c r="K44" s="255"/>
      <c r="L44" s="255"/>
      <c r="M44" s="255"/>
      <c r="N44" s="255"/>
      <c r="O44" s="255"/>
      <c r="P44" s="255"/>
      <c r="Q44" s="255"/>
      <c r="R44" s="255">
        <v>493</v>
      </c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>
        <f>95000</f>
        <v>95000</v>
      </c>
      <c r="AE44" s="255">
        <f>AD44+AF44</f>
        <v>95000</v>
      </c>
      <c r="AF44" s="255">
        <f>SUM(AG44:AL44)</f>
        <v>0</v>
      </c>
      <c r="AG44" s="255"/>
      <c r="AH44" s="255"/>
      <c r="AI44" s="255"/>
      <c r="AJ44" s="255"/>
      <c r="AK44" s="255"/>
      <c r="AL44" s="255"/>
      <c r="AM44" s="255"/>
      <c r="AN44" s="255">
        <f t="shared" si="29"/>
        <v>0</v>
      </c>
      <c r="AO44" s="256">
        <f t="shared" si="30"/>
        <v>0</v>
      </c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5"/>
      <c r="BA44" s="257"/>
      <c r="BB44" s="256"/>
      <c r="BC44" s="256"/>
      <c r="BD44" s="256"/>
      <c r="BE44" s="256"/>
      <c r="BF44" s="256"/>
      <c r="BG44" s="256"/>
      <c r="BH44" s="258" t="s">
        <v>380</v>
      </c>
      <c r="BI44" s="259" t="s">
        <v>551</v>
      </c>
    </row>
    <row r="45" spans="1:61" ht="28.5" customHeight="1" x14ac:dyDescent="0.2">
      <c r="A45" s="263"/>
      <c r="B45" s="264"/>
      <c r="C45" s="265"/>
      <c r="D45" s="266"/>
      <c r="E45" s="253" t="s">
        <v>555</v>
      </c>
      <c r="F45" s="254">
        <v>34052</v>
      </c>
      <c r="G45" s="255">
        <f>SUM(I45,AE45,AN45,AX45,AZ45)</f>
        <v>34052</v>
      </c>
      <c r="H45" s="254">
        <f>25514</f>
        <v>25514</v>
      </c>
      <c r="I45" s="255">
        <f t="shared" si="27"/>
        <v>25514</v>
      </c>
      <c r="J45" s="255">
        <f t="shared" si="28"/>
        <v>0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>
        <f>8538</f>
        <v>8538</v>
      </c>
      <c r="AN45" s="255">
        <f>AO45+AM45</f>
        <v>8538</v>
      </c>
      <c r="AO45" s="256">
        <f>SUM(AP45:AW45)</f>
        <v>0</v>
      </c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5"/>
      <c r="BA45" s="257"/>
      <c r="BB45" s="256"/>
      <c r="BC45" s="256"/>
      <c r="BD45" s="256"/>
      <c r="BE45" s="256"/>
      <c r="BF45" s="256"/>
      <c r="BG45" s="256"/>
      <c r="BH45" s="258" t="s">
        <v>381</v>
      </c>
      <c r="BI45" s="259"/>
    </row>
    <row r="46" spans="1:61" ht="29.25" customHeight="1" x14ac:dyDescent="0.2">
      <c r="A46" s="263"/>
      <c r="B46" s="264"/>
      <c r="C46" s="265"/>
      <c r="D46" s="266"/>
      <c r="E46" s="253" t="s">
        <v>294</v>
      </c>
      <c r="F46" s="254">
        <v>147927</v>
      </c>
      <c r="G46" s="255">
        <f>SUM(I46,AE46,AN46,AX46,AZ46)</f>
        <v>147927</v>
      </c>
      <c r="H46" s="254">
        <f>140287</f>
        <v>140287</v>
      </c>
      <c r="I46" s="255">
        <f t="shared" si="27"/>
        <v>140287</v>
      </c>
      <c r="J46" s="255">
        <f t="shared" si="28"/>
        <v>0</v>
      </c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>
        <f>7640</f>
        <v>7640</v>
      </c>
      <c r="AN46" s="255">
        <f>AO46+AM46</f>
        <v>7640</v>
      </c>
      <c r="AO46" s="256">
        <f>SUM(AP46:AW46)</f>
        <v>0</v>
      </c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5"/>
      <c r="BA46" s="257"/>
      <c r="BB46" s="256"/>
      <c r="BC46" s="256"/>
      <c r="BD46" s="256"/>
      <c r="BE46" s="256"/>
      <c r="BF46" s="256"/>
      <c r="BG46" s="256"/>
      <c r="BH46" s="258" t="s">
        <v>613</v>
      </c>
      <c r="BI46" s="259" t="s">
        <v>546</v>
      </c>
    </row>
    <row r="47" spans="1:61" ht="27" customHeight="1" x14ac:dyDescent="0.2">
      <c r="A47" s="263"/>
      <c r="B47" s="264"/>
      <c r="C47" s="265"/>
      <c r="D47" s="266"/>
      <c r="E47" s="253" t="s">
        <v>547</v>
      </c>
      <c r="F47" s="254">
        <v>991344</v>
      </c>
      <c r="G47" s="255">
        <f t="shared" si="26"/>
        <v>1256875</v>
      </c>
      <c r="H47" s="254">
        <f>991344</f>
        <v>991344</v>
      </c>
      <c r="I47" s="255">
        <f t="shared" si="27"/>
        <v>1256875</v>
      </c>
      <c r="J47" s="255">
        <f t="shared" si="28"/>
        <v>265531</v>
      </c>
      <c r="K47" s="255"/>
      <c r="L47" s="255"/>
      <c r="M47" s="255"/>
      <c r="N47" s="255"/>
      <c r="O47" s="255"/>
      <c r="P47" s="255"/>
      <c r="Q47" s="255">
        <f>4750+781</f>
        <v>5531</v>
      </c>
      <c r="R47" s="255"/>
      <c r="S47" s="255"/>
      <c r="T47" s="255">
        <v>150000</v>
      </c>
      <c r="U47" s="255"/>
      <c r="V47" s="255">
        <v>110000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>
        <f t="shared" ref="AN47:AN56" si="31">AO47+AM47</f>
        <v>0</v>
      </c>
      <c r="AO47" s="256">
        <f t="shared" ref="AO47:AO56" si="32">SUM(AP47:AW47)</f>
        <v>0</v>
      </c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5"/>
      <c r="BA47" s="257"/>
      <c r="BB47" s="256"/>
      <c r="BC47" s="256"/>
      <c r="BD47" s="256"/>
      <c r="BE47" s="256"/>
      <c r="BF47" s="256"/>
      <c r="BG47" s="256"/>
      <c r="BH47" s="258" t="s">
        <v>614</v>
      </c>
      <c r="BI47" s="259" t="s">
        <v>598</v>
      </c>
    </row>
    <row r="48" spans="1:61" s="385" customFormat="1" ht="27" customHeight="1" x14ac:dyDescent="0.2">
      <c r="A48" s="263"/>
      <c r="B48" s="264"/>
      <c r="C48" s="383"/>
      <c r="D48" s="384"/>
      <c r="E48" s="253" t="s">
        <v>791</v>
      </c>
      <c r="F48" s="254"/>
      <c r="G48" s="255">
        <f t="shared" si="26"/>
        <v>25000</v>
      </c>
      <c r="H48" s="254"/>
      <c r="I48" s="255">
        <f t="shared" si="27"/>
        <v>25000</v>
      </c>
      <c r="J48" s="255">
        <f t="shared" si="28"/>
        <v>25000</v>
      </c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>
        <v>25000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>
        <f t="shared" ref="AN48" si="33">AO48+AM48</f>
        <v>0</v>
      </c>
      <c r="AO48" s="256">
        <f t="shared" ref="AO48" si="34">SUM(AP48:AW48)</f>
        <v>0</v>
      </c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5"/>
      <c r="BA48" s="257"/>
      <c r="BB48" s="256"/>
      <c r="BC48" s="256"/>
      <c r="BD48" s="256"/>
      <c r="BE48" s="256"/>
      <c r="BF48" s="256"/>
      <c r="BG48" s="256"/>
      <c r="BH48" s="258" t="s">
        <v>792</v>
      </c>
      <c r="BI48" s="259" t="s">
        <v>583</v>
      </c>
    </row>
    <row r="49" spans="1:61" ht="36" x14ac:dyDescent="0.2">
      <c r="A49" s="263"/>
      <c r="B49" s="264"/>
      <c r="C49" s="265"/>
      <c r="D49" s="266"/>
      <c r="E49" s="253" t="s">
        <v>352</v>
      </c>
      <c r="F49" s="254">
        <v>5660558</v>
      </c>
      <c r="G49" s="255">
        <f t="shared" si="26"/>
        <v>5761122</v>
      </c>
      <c r="H49" s="254">
        <f>5660558</f>
        <v>5660558</v>
      </c>
      <c r="I49" s="255">
        <f t="shared" si="27"/>
        <v>5761122</v>
      </c>
      <c r="J49" s="255">
        <f t="shared" si="28"/>
        <v>100564</v>
      </c>
      <c r="K49" s="255"/>
      <c r="L49" s="255"/>
      <c r="M49" s="255"/>
      <c r="N49" s="255"/>
      <c r="O49" s="255"/>
      <c r="P49" s="255">
        <f>100564</f>
        <v>100564</v>
      </c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>
        <f t="shared" si="31"/>
        <v>0</v>
      </c>
      <c r="AO49" s="256">
        <f t="shared" si="32"/>
        <v>0</v>
      </c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5"/>
      <c r="BA49" s="257"/>
      <c r="BB49" s="256"/>
      <c r="BC49" s="256"/>
      <c r="BD49" s="256"/>
      <c r="BE49" s="256"/>
      <c r="BF49" s="256"/>
      <c r="BG49" s="256"/>
      <c r="BH49" s="258" t="s">
        <v>673</v>
      </c>
      <c r="BI49" s="259" t="s">
        <v>678</v>
      </c>
    </row>
    <row r="50" spans="1:61" ht="48" x14ac:dyDescent="0.2">
      <c r="A50" s="263"/>
      <c r="B50" s="264"/>
      <c r="C50" s="265"/>
      <c r="D50" s="266"/>
      <c r="E50" s="253" t="s">
        <v>552</v>
      </c>
      <c r="F50" s="254">
        <v>2741</v>
      </c>
      <c r="G50" s="255">
        <f t="shared" si="26"/>
        <v>2741</v>
      </c>
      <c r="H50" s="254">
        <f>2741</f>
        <v>2741</v>
      </c>
      <c r="I50" s="255">
        <f t="shared" si="27"/>
        <v>2741</v>
      </c>
      <c r="J50" s="255">
        <f t="shared" si="28"/>
        <v>0</v>
      </c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>
        <f t="shared" si="31"/>
        <v>0</v>
      </c>
      <c r="AO50" s="256">
        <f t="shared" si="32"/>
        <v>0</v>
      </c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5"/>
      <c r="BA50" s="257"/>
      <c r="BB50" s="256"/>
      <c r="BC50" s="256"/>
      <c r="BD50" s="256"/>
      <c r="BE50" s="256"/>
      <c r="BF50" s="256"/>
      <c r="BG50" s="256"/>
      <c r="BH50" s="258" t="s">
        <v>615</v>
      </c>
      <c r="BI50" s="259"/>
    </row>
    <row r="51" spans="1:61" ht="48" x14ac:dyDescent="0.2">
      <c r="A51" s="263"/>
      <c r="B51" s="264"/>
      <c r="C51" s="265"/>
      <c r="D51" s="266"/>
      <c r="E51" s="253" t="s">
        <v>553</v>
      </c>
      <c r="F51" s="254">
        <v>24500</v>
      </c>
      <c r="G51" s="255">
        <f t="shared" si="26"/>
        <v>28296</v>
      </c>
      <c r="H51" s="254">
        <f>24500</f>
        <v>24500</v>
      </c>
      <c r="I51" s="255">
        <f t="shared" si="27"/>
        <v>28296</v>
      </c>
      <c r="J51" s="255">
        <f t="shared" si="28"/>
        <v>3796</v>
      </c>
      <c r="K51" s="255"/>
      <c r="L51" s="255"/>
      <c r="M51" s="255"/>
      <c r="N51" s="255">
        <v>3796</v>
      </c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>
        <f t="shared" si="31"/>
        <v>0</v>
      </c>
      <c r="AO51" s="256">
        <f t="shared" si="32"/>
        <v>0</v>
      </c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5"/>
      <c r="BA51" s="257"/>
      <c r="BB51" s="256"/>
      <c r="BC51" s="256"/>
      <c r="BD51" s="256"/>
      <c r="BE51" s="256"/>
      <c r="BF51" s="256"/>
      <c r="BG51" s="256"/>
      <c r="BH51" s="258" t="s">
        <v>616</v>
      </c>
      <c r="BI51" s="259"/>
    </row>
    <row r="52" spans="1:61" ht="52.5" customHeight="1" x14ac:dyDescent="0.2">
      <c r="A52" s="263"/>
      <c r="B52" s="264"/>
      <c r="C52" s="265"/>
      <c r="D52" s="266"/>
      <c r="E52" s="253" t="s">
        <v>554</v>
      </c>
      <c r="F52" s="254">
        <v>51569</v>
      </c>
      <c r="G52" s="255">
        <f t="shared" si="26"/>
        <v>51569</v>
      </c>
      <c r="H52" s="254">
        <f>51569</f>
        <v>51569</v>
      </c>
      <c r="I52" s="255">
        <f t="shared" si="27"/>
        <v>51569</v>
      </c>
      <c r="J52" s="255">
        <f>SUM(K52:AC52)</f>
        <v>0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>
        <f t="shared" si="31"/>
        <v>0</v>
      </c>
      <c r="AO52" s="256">
        <f t="shared" si="32"/>
        <v>0</v>
      </c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5"/>
      <c r="BA52" s="257"/>
      <c r="BB52" s="256"/>
      <c r="BC52" s="256"/>
      <c r="BD52" s="256"/>
      <c r="BE52" s="256"/>
      <c r="BF52" s="256"/>
      <c r="BG52" s="256"/>
      <c r="BH52" s="258" t="s">
        <v>617</v>
      </c>
      <c r="BI52" s="259"/>
    </row>
    <row r="53" spans="1:61" ht="24" x14ac:dyDescent="0.2">
      <c r="A53" s="263"/>
      <c r="B53" s="264"/>
      <c r="C53" s="265"/>
      <c r="D53" s="266"/>
      <c r="E53" s="253" t="s">
        <v>738</v>
      </c>
      <c r="F53" s="254"/>
      <c r="G53" s="255">
        <f t="shared" si="26"/>
        <v>50573</v>
      </c>
      <c r="H53" s="254">
        <f>0</f>
        <v>0</v>
      </c>
      <c r="I53" s="255">
        <f t="shared" si="27"/>
        <v>50573</v>
      </c>
      <c r="J53" s="255">
        <f>SUM(K53:AC53)</f>
        <v>50573</v>
      </c>
      <c r="K53" s="255"/>
      <c r="L53" s="255"/>
      <c r="M53" s="255"/>
      <c r="N53" s="255">
        <v>50573</v>
      </c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>
        <f t="shared" si="31"/>
        <v>0</v>
      </c>
      <c r="AO53" s="256">
        <f t="shared" si="32"/>
        <v>0</v>
      </c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5"/>
      <c r="BA53" s="257"/>
      <c r="BB53" s="256"/>
      <c r="BC53" s="256"/>
      <c r="BD53" s="256"/>
      <c r="BE53" s="256"/>
      <c r="BF53" s="256"/>
      <c r="BG53" s="256"/>
      <c r="BH53" s="258" t="s">
        <v>769</v>
      </c>
      <c r="BI53" s="259"/>
    </row>
    <row r="54" spans="1:61" ht="36" x14ac:dyDescent="0.2">
      <c r="A54" s="263"/>
      <c r="B54" s="264"/>
      <c r="C54" s="265"/>
      <c r="D54" s="266"/>
      <c r="E54" s="253" t="s">
        <v>729</v>
      </c>
      <c r="F54" s="254"/>
      <c r="G54" s="255">
        <f>SUM(I54,AE54,AN54,AX54,AZ54)</f>
        <v>18500</v>
      </c>
      <c r="H54" s="254"/>
      <c r="I54" s="255">
        <f t="shared" si="27"/>
        <v>18500</v>
      </c>
      <c r="J54" s="255">
        <f>SUM(K54:AC54)</f>
        <v>18500</v>
      </c>
      <c r="K54" s="255"/>
      <c r="L54" s="255"/>
      <c r="M54" s="255"/>
      <c r="N54" s="255">
        <v>18500</v>
      </c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>
        <f t="shared" si="31"/>
        <v>0</v>
      </c>
      <c r="AO54" s="256">
        <f t="shared" si="32"/>
        <v>0</v>
      </c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5"/>
      <c r="BA54" s="257"/>
      <c r="BB54" s="256"/>
      <c r="BC54" s="256"/>
      <c r="BD54" s="256"/>
      <c r="BE54" s="256"/>
      <c r="BF54" s="256"/>
      <c r="BG54" s="256"/>
      <c r="BH54" s="258" t="s">
        <v>768</v>
      </c>
      <c r="BI54" s="259"/>
    </row>
    <row r="55" spans="1:61" ht="24" x14ac:dyDescent="0.2">
      <c r="A55" s="263"/>
      <c r="B55" s="264"/>
      <c r="C55" s="265"/>
      <c r="D55" s="266"/>
      <c r="E55" s="253" t="s">
        <v>770</v>
      </c>
      <c r="F55" s="254"/>
      <c r="G55" s="255">
        <f>SUM(I55,AE55,AN55,AX55,AZ55)</f>
        <v>18984</v>
      </c>
      <c r="H55" s="254"/>
      <c r="I55" s="255">
        <f>H55+J55</f>
        <v>18984</v>
      </c>
      <c r="J55" s="255">
        <f>SUM(K55:AC55)</f>
        <v>18984</v>
      </c>
      <c r="K55" s="255"/>
      <c r="L55" s="255"/>
      <c r="M55" s="255"/>
      <c r="N55" s="255"/>
      <c r="O55" s="255"/>
      <c r="P55" s="255"/>
      <c r="Q55" s="255"/>
      <c r="R55" s="255">
        <v>18984</v>
      </c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>
        <f>AO55+AM55</f>
        <v>0</v>
      </c>
      <c r="AO55" s="256">
        <f>SUM(AP55:AW55)</f>
        <v>0</v>
      </c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5"/>
      <c r="BA55" s="257"/>
      <c r="BB55" s="256"/>
      <c r="BC55" s="256"/>
      <c r="BD55" s="256"/>
      <c r="BE55" s="256"/>
      <c r="BF55" s="256"/>
      <c r="BG55" s="256"/>
      <c r="BH55" s="258" t="s">
        <v>771</v>
      </c>
      <c r="BI55" s="259"/>
    </row>
    <row r="56" spans="1:61" ht="33.75" customHeight="1" x14ac:dyDescent="0.2">
      <c r="A56" s="263">
        <v>90000518538</v>
      </c>
      <c r="B56" s="264"/>
      <c r="C56" s="413" t="s">
        <v>256</v>
      </c>
      <c r="D56" s="414"/>
      <c r="E56" s="253" t="s">
        <v>246</v>
      </c>
      <c r="F56" s="254">
        <v>336696</v>
      </c>
      <c r="G56" s="255">
        <f t="shared" si="26"/>
        <v>311696</v>
      </c>
      <c r="H56" s="254">
        <f>336696</f>
        <v>336696</v>
      </c>
      <c r="I56" s="255">
        <f t="shared" si="27"/>
        <v>311696</v>
      </c>
      <c r="J56" s="255">
        <f>SUM(K56:AC56)</f>
        <v>-25000</v>
      </c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>
        <v>-25000</v>
      </c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>
        <f t="shared" si="31"/>
        <v>0</v>
      </c>
      <c r="AO56" s="256">
        <f t="shared" si="32"/>
        <v>0</v>
      </c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5"/>
      <c r="BA56" s="257"/>
      <c r="BB56" s="256"/>
      <c r="BC56" s="256"/>
      <c r="BD56" s="256"/>
      <c r="BE56" s="256"/>
      <c r="BF56" s="256"/>
      <c r="BG56" s="256"/>
      <c r="BH56" s="258" t="s">
        <v>385</v>
      </c>
      <c r="BI56" s="259"/>
    </row>
    <row r="57" spans="1:61" ht="68.25" customHeight="1" x14ac:dyDescent="0.2">
      <c r="A57" s="263"/>
      <c r="B57" s="264"/>
      <c r="C57" s="413" t="s">
        <v>214</v>
      </c>
      <c r="D57" s="414"/>
      <c r="E57" s="293" t="s">
        <v>215</v>
      </c>
      <c r="F57" s="254">
        <v>534375</v>
      </c>
      <c r="G57" s="255">
        <f t="shared" si="26"/>
        <v>65614</v>
      </c>
      <c r="H57" s="254">
        <f>534375</f>
        <v>534375</v>
      </c>
      <c r="I57" s="255">
        <f t="shared" si="27"/>
        <v>65614</v>
      </c>
      <c r="J57" s="255">
        <f t="shared" si="28"/>
        <v>-468761</v>
      </c>
      <c r="K57" s="255"/>
      <c r="L57" s="255"/>
      <c r="M57" s="255"/>
      <c r="N57" s="255"/>
      <c r="O57" s="255"/>
      <c r="P57" s="255"/>
      <c r="Q57" s="255">
        <v>-800</v>
      </c>
      <c r="R57" s="255">
        <v>-19179</v>
      </c>
      <c r="S57" s="255"/>
      <c r="T57" s="255"/>
      <c r="U57" s="255"/>
      <c r="V57" s="255">
        <v>-3596</v>
      </c>
      <c r="W57" s="255">
        <v>-6325</v>
      </c>
      <c r="X57" s="255"/>
      <c r="Y57" s="255">
        <v>-438861</v>
      </c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5"/>
      <c r="BA57" s="257"/>
      <c r="BB57" s="256"/>
      <c r="BC57" s="256"/>
      <c r="BD57" s="256"/>
      <c r="BE57" s="256"/>
      <c r="BF57" s="256"/>
      <c r="BG57" s="256"/>
      <c r="BH57" s="258" t="s">
        <v>658</v>
      </c>
      <c r="BI57" s="259"/>
    </row>
    <row r="58" spans="1:61" ht="25.5" customHeight="1" x14ac:dyDescent="0.2">
      <c r="A58" s="263"/>
      <c r="B58" s="264"/>
      <c r="C58" s="265"/>
      <c r="D58" s="266"/>
      <c r="E58" s="293" t="s">
        <v>255</v>
      </c>
      <c r="F58" s="254">
        <v>14100</v>
      </c>
      <c r="G58" s="255">
        <f t="shared" si="26"/>
        <v>14100</v>
      </c>
      <c r="H58" s="254">
        <f>14100</f>
        <v>14100</v>
      </c>
      <c r="I58" s="255">
        <f t="shared" si="27"/>
        <v>14100</v>
      </c>
      <c r="J58" s="255">
        <f t="shared" si="28"/>
        <v>0</v>
      </c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5"/>
      <c r="BA58" s="257"/>
      <c r="BB58" s="256"/>
      <c r="BC58" s="256"/>
      <c r="BD58" s="256"/>
      <c r="BE58" s="256"/>
      <c r="BF58" s="256"/>
      <c r="BG58" s="256"/>
      <c r="BH58" s="258" t="s">
        <v>659</v>
      </c>
      <c r="BI58" s="259"/>
    </row>
    <row r="59" spans="1:61" ht="12.75" x14ac:dyDescent="0.2">
      <c r="A59" s="263"/>
      <c r="B59" s="264"/>
      <c r="C59" s="265"/>
      <c r="D59" s="266"/>
      <c r="E59" s="293" t="s">
        <v>238</v>
      </c>
      <c r="F59" s="254">
        <v>232216</v>
      </c>
      <c r="G59" s="255">
        <f t="shared" si="26"/>
        <v>183955</v>
      </c>
      <c r="H59" s="254">
        <f>232216</f>
        <v>232216</v>
      </c>
      <c r="I59" s="255">
        <f t="shared" si="27"/>
        <v>183955</v>
      </c>
      <c r="J59" s="255">
        <f t="shared" si="28"/>
        <v>-48261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>
        <f>-16962-7713-7000-8586-8000</f>
        <v>-48261</v>
      </c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5"/>
      <c r="BA59" s="257"/>
      <c r="BB59" s="256"/>
      <c r="BC59" s="256"/>
      <c r="BD59" s="256"/>
      <c r="BE59" s="256"/>
      <c r="BF59" s="256"/>
      <c r="BG59" s="256"/>
      <c r="BH59" s="258" t="s">
        <v>660</v>
      </c>
      <c r="BI59" s="259"/>
    </row>
    <row r="60" spans="1:61" ht="29.25" customHeight="1" x14ac:dyDescent="0.2">
      <c r="A60" s="263"/>
      <c r="B60" s="264"/>
      <c r="C60" s="303"/>
      <c r="D60" s="304"/>
      <c r="E60" s="293" t="s">
        <v>529</v>
      </c>
      <c r="F60" s="254">
        <v>239470</v>
      </c>
      <c r="G60" s="255">
        <f t="shared" si="26"/>
        <v>239470</v>
      </c>
      <c r="H60" s="25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>
        <v>239470</v>
      </c>
      <c r="AY60" s="256"/>
      <c r="AZ60" s="255"/>
      <c r="BA60" s="257"/>
      <c r="BB60" s="255"/>
      <c r="BC60" s="255"/>
      <c r="BD60" s="255"/>
      <c r="BE60" s="255"/>
      <c r="BF60" s="255"/>
      <c r="BG60" s="255"/>
      <c r="BH60" s="258"/>
      <c r="BI60" s="259"/>
    </row>
    <row r="61" spans="1:61" ht="48" customHeight="1" x14ac:dyDescent="0.2">
      <c r="A61" s="263"/>
      <c r="B61" s="264"/>
      <c r="C61" s="303"/>
      <c r="D61" s="304"/>
      <c r="E61" s="293" t="s">
        <v>525</v>
      </c>
      <c r="F61" s="254">
        <v>256117</v>
      </c>
      <c r="G61" s="255">
        <f t="shared" si="26"/>
        <v>256117</v>
      </c>
      <c r="H61" s="25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>
        <v>256117</v>
      </c>
      <c r="AY61" s="256"/>
      <c r="AZ61" s="255"/>
      <c r="BA61" s="257"/>
      <c r="BB61" s="255"/>
      <c r="BC61" s="255"/>
      <c r="BD61" s="255"/>
      <c r="BE61" s="255"/>
      <c r="BF61" s="255"/>
      <c r="BG61" s="255"/>
      <c r="BH61" s="258"/>
      <c r="BI61" s="259"/>
    </row>
    <row r="62" spans="1:61" ht="36" x14ac:dyDescent="0.2">
      <c r="A62" s="263"/>
      <c r="B62" s="264"/>
      <c r="C62" s="303"/>
      <c r="D62" s="304"/>
      <c r="E62" s="293" t="s">
        <v>530</v>
      </c>
      <c r="F62" s="254">
        <v>729055</v>
      </c>
      <c r="G62" s="255">
        <f t="shared" si="26"/>
        <v>933102</v>
      </c>
      <c r="H62" s="25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>
        <f>729055+204047</f>
        <v>933102</v>
      </c>
      <c r="AY62" s="256"/>
      <c r="AZ62" s="255"/>
      <c r="BA62" s="257"/>
      <c r="BB62" s="255"/>
      <c r="BC62" s="255"/>
      <c r="BD62" s="255"/>
      <c r="BE62" s="255"/>
      <c r="BF62" s="255"/>
      <c r="BG62" s="255"/>
      <c r="BH62" s="258"/>
      <c r="BI62" s="259"/>
    </row>
    <row r="63" spans="1:61" ht="13.5" thickBot="1" x14ac:dyDescent="0.25">
      <c r="A63" s="263"/>
      <c r="B63" s="279"/>
      <c r="C63" s="419"/>
      <c r="D63" s="420"/>
      <c r="E63" s="294"/>
      <c r="F63" s="267"/>
      <c r="G63" s="268"/>
      <c r="H63" s="267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8"/>
      <c r="BA63" s="270"/>
      <c r="BB63" s="269"/>
      <c r="BC63" s="269"/>
      <c r="BD63" s="269"/>
      <c r="BE63" s="269"/>
      <c r="BF63" s="269"/>
      <c r="BG63" s="269"/>
      <c r="BH63" s="271"/>
      <c r="BI63" s="272"/>
    </row>
    <row r="64" spans="1:61" ht="12.75" thickBot="1" x14ac:dyDescent="0.25">
      <c r="A64" s="282"/>
      <c r="B64" s="421" t="s">
        <v>9</v>
      </c>
      <c r="C64" s="421"/>
      <c r="D64" s="244" t="s">
        <v>10</v>
      </c>
      <c r="E64" s="283"/>
      <c r="F64" s="284">
        <v>13280401</v>
      </c>
      <c r="G64" s="285">
        <f>SUM(I64,AE64,AN64,AX64,AZ64)</f>
        <v>13906992</v>
      </c>
      <c r="H64" s="284">
        <f>SUM(H65:H77)</f>
        <v>12419268</v>
      </c>
      <c r="I64" s="248">
        <f>SUM(I65:I77)</f>
        <v>13045859</v>
      </c>
      <c r="J64" s="248">
        <f t="shared" ref="J64:AZ64" si="35">SUM(J65:J77)</f>
        <v>626591</v>
      </c>
      <c r="K64" s="248">
        <f t="shared" si="35"/>
        <v>0</v>
      </c>
      <c r="L64" s="248">
        <f>SUM(L65:L77)</f>
        <v>0</v>
      </c>
      <c r="M64" s="248">
        <f>SUM(M65:M77)</f>
        <v>263877</v>
      </c>
      <c r="N64" s="248">
        <f t="shared" si="35"/>
        <v>235000</v>
      </c>
      <c r="O64" s="248">
        <f t="shared" si="35"/>
        <v>35051</v>
      </c>
      <c r="P64" s="248">
        <f t="shared" si="35"/>
        <v>76178</v>
      </c>
      <c r="Q64" s="248">
        <f t="shared" si="35"/>
        <v>8485</v>
      </c>
      <c r="R64" s="248">
        <f t="shared" si="35"/>
        <v>0</v>
      </c>
      <c r="S64" s="248">
        <f t="shared" si="35"/>
        <v>8000</v>
      </c>
      <c r="T64" s="248">
        <f>SUM(T65:T77)</f>
        <v>0</v>
      </c>
      <c r="U64" s="248">
        <f>SUM(U65:U77)</f>
        <v>0</v>
      </c>
      <c r="V64" s="248">
        <f t="shared" ref="V64:AA64" si="36">SUM(V65:V77)</f>
        <v>0</v>
      </c>
      <c r="W64" s="248">
        <f t="shared" si="36"/>
        <v>0</v>
      </c>
      <c r="X64" s="248">
        <f t="shared" si="36"/>
        <v>0</v>
      </c>
      <c r="Y64" s="248">
        <f t="shared" si="36"/>
        <v>0</v>
      </c>
      <c r="Z64" s="248">
        <f t="shared" si="36"/>
        <v>0</v>
      </c>
      <c r="AA64" s="248">
        <f t="shared" si="36"/>
        <v>0</v>
      </c>
      <c r="AB64" s="248">
        <f>SUM(AB65:AB77)</f>
        <v>0</v>
      </c>
      <c r="AC64" s="248">
        <f t="shared" si="35"/>
        <v>0</v>
      </c>
      <c r="AD64" s="248">
        <f>SUM(AD65:AD77)</f>
        <v>647702</v>
      </c>
      <c r="AE64" s="248">
        <f t="shared" si="35"/>
        <v>647702</v>
      </c>
      <c r="AF64" s="248">
        <f t="shared" si="35"/>
        <v>0</v>
      </c>
      <c r="AG64" s="248">
        <f t="shared" si="35"/>
        <v>0</v>
      </c>
      <c r="AH64" s="248">
        <f t="shared" si="35"/>
        <v>0</v>
      </c>
      <c r="AI64" s="248">
        <f t="shared" si="35"/>
        <v>0</v>
      </c>
      <c r="AJ64" s="248">
        <f t="shared" si="35"/>
        <v>0</v>
      </c>
      <c r="AK64" s="248">
        <f t="shared" si="35"/>
        <v>0</v>
      </c>
      <c r="AL64" s="248">
        <f t="shared" si="35"/>
        <v>0</v>
      </c>
      <c r="AM64" s="248">
        <f>SUM(AM65:AM77)</f>
        <v>0</v>
      </c>
      <c r="AN64" s="248">
        <f t="shared" si="35"/>
        <v>0</v>
      </c>
      <c r="AO64" s="248">
        <f t="shared" si="35"/>
        <v>0</v>
      </c>
      <c r="AP64" s="248">
        <f t="shared" si="35"/>
        <v>0</v>
      </c>
      <c r="AQ64" s="248">
        <f t="shared" si="35"/>
        <v>0</v>
      </c>
      <c r="AR64" s="248">
        <f t="shared" si="35"/>
        <v>0</v>
      </c>
      <c r="AS64" s="248">
        <f t="shared" si="35"/>
        <v>0</v>
      </c>
      <c r="AT64" s="248">
        <f t="shared" si="35"/>
        <v>0</v>
      </c>
      <c r="AU64" s="248">
        <f t="shared" ref="AU64:AV64" si="37">SUM(AU65:AU77)</f>
        <v>0</v>
      </c>
      <c r="AV64" s="248">
        <f t="shared" si="37"/>
        <v>0</v>
      </c>
      <c r="AW64" s="248">
        <f t="shared" si="35"/>
        <v>0</v>
      </c>
      <c r="AX64" s="248">
        <f t="shared" si="35"/>
        <v>213431</v>
      </c>
      <c r="AY64" s="248">
        <f>SUM(AY65:AY77)</f>
        <v>0</v>
      </c>
      <c r="AZ64" s="248">
        <f t="shared" si="35"/>
        <v>0</v>
      </c>
      <c r="BA64" s="249">
        <f>SUM(BA65:BA77)</f>
        <v>0</v>
      </c>
      <c r="BB64" s="248">
        <f t="shared" ref="BB64:BG64" si="38">SUM(BB65:BB77)</f>
        <v>0</v>
      </c>
      <c r="BC64" s="248">
        <f t="shared" si="38"/>
        <v>0</v>
      </c>
      <c r="BD64" s="248">
        <f t="shared" si="38"/>
        <v>0</v>
      </c>
      <c r="BE64" s="248">
        <f t="shared" si="38"/>
        <v>0</v>
      </c>
      <c r="BF64" s="248">
        <f t="shared" si="38"/>
        <v>0</v>
      </c>
      <c r="BG64" s="248">
        <f t="shared" si="38"/>
        <v>0</v>
      </c>
      <c r="BH64" s="288"/>
      <c r="BI64" s="289"/>
    </row>
    <row r="65" spans="1:61" ht="24.75" thickTop="1" x14ac:dyDescent="0.2">
      <c r="A65" s="263">
        <v>90000056357</v>
      </c>
      <c r="B65" s="252"/>
      <c r="C65" s="422" t="s">
        <v>5</v>
      </c>
      <c r="D65" s="423"/>
      <c r="E65" s="305" t="s">
        <v>572</v>
      </c>
      <c r="F65" s="306">
        <v>20408</v>
      </c>
      <c r="G65" s="307">
        <f t="shared" ref="G65:G76" si="39">SUM(I65,AE65,AN65,AX65,AZ65)</f>
        <v>20408</v>
      </c>
      <c r="H65" s="306">
        <f>20408</f>
        <v>20408</v>
      </c>
      <c r="I65" s="255">
        <f t="shared" ref="I65:I73" si="40">H65+J65</f>
        <v>20408</v>
      </c>
      <c r="J65" s="307">
        <f t="shared" ref="J65:J73" si="41">SUM(K65:AC65)</f>
        <v>0</v>
      </c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>
        <f t="shared" ref="AN65:AN74" si="42">AO65+AM65</f>
        <v>0</v>
      </c>
      <c r="AO65" s="308">
        <f t="shared" ref="AO65:AO74" si="43">SUM(AP65:AW65)</f>
        <v>0</v>
      </c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7"/>
      <c r="BA65" s="309"/>
      <c r="BB65" s="308"/>
      <c r="BC65" s="308"/>
      <c r="BD65" s="308"/>
      <c r="BE65" s="308"/>
      <c r="BF65" s="308"/>
      <c r="BG65" s="308"/>
      <c r="BH65" s="310" t="s">
        <v>576</v>
      </c>
      <c r="BI65" s="311" t="s">
        <v>318</v>
      </c>
    </row>
    <row r="66" spans="1:61" ht="36" x14ac:dyDescent="0.2">
      <c r="A66" s="263"/>
      <c r="B66" s="278"/>
      <c r="C66" s="265"/>
      <c r="D66" s="266"/>
      <c r="E66" s="253" t="s">
        <v>574</v>
      </c>
      <c r="F66" s="254">
        <v>30885</v>
      </c>
      <c r="G66" s="255">
        <f t="shared" si="39"/>
        <v>30885</v>
      </c>
      <c r="H66" s="254">
        <f>30885</f>
        <v>30885</v>
      </c>
      <c r="I66" s="255">
        <f t="shared" si="40"/>
        <v>30885</v>
      </c>
      <c r="J66" s="255">
        <f t="shared" si="41"/>
        <v>0</v>
      </c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>
        <f t="shared" si="42"/>
        <v>0</v>
      </c>
      <c r="AO66" s="256">
        <f t="shared" si="43"/>
        <v>0</v>
      </c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5"/>
      <c r="BA66" s="257"/>
      <c r="BB66" s="256"/>
      <c r="BC66" s="256"/>
      <c r="BD66" s="256"/>
      <c r="BE66" s="256"/>
      <c r="BF66" s="256"/>
      <c r="BG66" s="256"/>
      <c r="BH66" s="258" t="s">
        <v>386</v>
      </c>
      <c r="BI66" s="259" t="s">
        <v>318</v>
      </c>
    </row>
    <row r="67" spans="1:61" ht="42" customHeight="1" x14ac:dyDescent="0.2">
      <c r="A67" s="263"/>
      <c r="C67" s="261"/>
      <c r="D67" s="262"/>
      <c r="E67" s="312" t="s">
        <v>288</v>
      </c>
      <c r="F67" s="267">
        <v>27341</v>
      </c>
      <c r="G67" s="268">
        <f t="shared" si="39"/>
        <v>27341</v>
      </c>
      <c r="H67" s="267">
        <f>27341</f>
        <v>27341</v>
      </c>
      <c r="I67" s="255">
        <f t="shared" si="40"/>
        <v>27341</v>
      </c>
      <c r="J67" s="268">
        <f t="shared" si="41"/>
        <v>0</v>
      </c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>
        <f t="shared" si="42"/>
        <v>0</v>
      </c>
      <c r="AO67" s="269">
        <f t="shared" si="43"/>
        <v>0</v>
      </c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8"/>
      <c r="BA67" s="270"/>
      <c r="BB67" s="269"/>
      <c r="BC67" s="269"/>
      <c r="BD67" s="269"/>
      <c r="BE67" s="269"/>
      <c r="BF67" s="269"/>
      <c r="BG67" s="269"/>
      <c r="BH67" s="271" t="s">
        <v>618</v>
      </c>
      <c r="BI67" s="272" t="s">
        <v>318</v>
      </c>
    </row>
    <row r="68" spans="1:61" ht="39.75" customHeight="1" x14ac:dyDescent="0.2">
      <c r="A68" s="263"/>
      <c r="B68" s="264"/>
      <c r="C68" s="265"/>
      <c r="D68" s="266"/>
      <c r="E68" s="253" t="s">
        <v>303</v>
      </c>
      <c r="F68" s="254">
        <v>1759079</v>
      </c>
      <c r="G68" s="255">
        <f t="shared" si="39"/>
        <v>2266441</v>
      </c>
      <c r="H68" s="254">
        <f>1759079</f>
        <v>1759079</v>
      </c>
      <c r="I68" s="255">
        <f>H68+J68</f>
        <v>2266441</v>
      </c>
      <c r="J68" s="255">
        <f t="shared" si="41"/>
        <v>507362</v>
      </c>
      <c r="K68" s="255"/>
      <c r="L68" s="255"/>
      <c r="M68" s="255"/>
      <c r="N68" s="313">
        <f>60000+175000+263877</f>
        <v>498877</v>
      </c>
      <c r="O68" s="255"/>
      <c r="P68" s="255"/>
      <c r="Q68" s="255">
        <v>8485</v>
      </c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>
        <f t="shared" si="42"/>
        <v>0</v>
      </c>
      <c r="AO68" s="256">
        <f t="shared" si="43"/>
        <v>0</v>
      </c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5"/>
      <c r="BA68" s="257"/>
      <c r="BB68" s="256"/>
      <c r="BC68" s="256"/>
      <c r="BD68" s="256"/>
      <c r="BE68" s="256"/>
      <c r="BF68" s="256"/>
      <c r="BG68" s="256"/>
      <c r="BH68" s="258" t="s">
        <v>573</v>
      </c>
      <c r="BI68" s="259" t="s">
        <v>366</v>
      </c>
    </row>
    <row r="69" spans="1:61" ht="36" x14ac:dyDescent="0.2">
      <c r="A69" s="263"/>
      <c r="B69" s="264"/>
      <c r="C69" s="265"/>
      <c r="D69" s="266"/>
      <c r="E69" s="253" t="s">
        <v>550</v>
      </c>
      <c r="F69" s="254">
        <v>1705494</v>
      </c>
      <c r="G69" s="255">
        <f>SUM(I69,AE69,AN69,AX69,AZ69)</f>
        <v>1705494</v>
      </c>
      <c r="H69" s="254">
        <f>1057792</f>
        <v>1057792</v>
      </c>
      <c r="I69" s="255">
        <f t="shared" si="40"/>
        <v>1057792</v>
      </c>
      <c r="J69" s="255">
        <f t="shared" si="41"/>
        <v>0</v>
      </c>
      <c r="K69" s="255"/>
      <c r="L69" s="255"/>
      <c r="M69" s="255">
        <v>263877</v>
      </c>
      <c r="N69" s="313">
        <v>-263877</v>
      </c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>
        <f>647702</f>
        <v>647702</v>
      </c>
      <c r="AE69" s="255">
        <f>AD69+AF69</f>
        <v>647702</v>
      </c>
      <c r="AF69" s="255">
        <f>SUM(AG69:AL69)</f>
        <v>0</v>
      </c>
      <c r="AG69" s="255"/>
      <c r="AH69" s="255"/>
      <c r="AI69" s="255"/>
      <c r="AJ69" s="255"/>
      <c r="AK69" s="255"/>
      <c r="AL69" s="255"/>
      <c r="AM69" s="255"/>
      <c r="AN69" s="255">
        <f t="shared" si="42"/>
        <v>0</v>
      </c>
      <c r="AO69" s="256">
        <f t="shared" si="43"/>
        <v>0</v>
      </c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5"/>
      <c r="BA69" s="257"/>
      <c r="BB69" s="256"/>
      <c r="BC69" s="256"/>
      <c r="BD69" s="256"/>
      <c r="BE69" s="256"/>
      <c r="BF69" s="256"/>
      <c r="BG69" s="256"/>
      <c r="BH69" s="258" t="s">
        <v>575</v>
      </c>
      <c r="BI69" s="259" t="s">
        <v>370</v>
      </c>
    </row>
    <row r="70" spans="1:61" ht="36" x14ac:dyDescent="0.2">
      <c r="A70" s="263">
        <v>40003275333</v>
      </c>
      <c r="B70" s="264"/>
      <c r="C70" s="413" t="s">
        <v>787</v>
      </c>
      <c r="D70" s="414"/>
      <c r="E70" s="253" t="s">
        <v>496</v>
      </c>
      <c r="F70" s="254">
        <v>466360</v>
      </c>
      <c r="G70" s="255">
        <f t="shared" si="39"/>
        <v>466360</v>
      </c>
      <c r="H70" s="254">
        <f>466360</f>
        <v>466360</v>
      </c>
      <c r="I70" s="255">
        <f t="shared" si="40"/>
        <v>466360</v>
      </c>
      <c r="J70" s="255">
        <f t="shared" si="41"/>
        <v>0</v>
      </c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>
        <f t="shared" si="42"/>
        <v>0</v>
      </c>
      <c r="AO70" s="256">
        <f t="shared" si="43"/>
        <v>0</v>
      </c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5"/>
      <c r="BA70" s="257"/>
      <c r="BB70" s="256"/>
      <c r="BC70" s="256"/>
      <c r="BD70" s="256"/>
      <c r="BE70" s="256"/>
      <c r="BF70" s="256"/>
      <c r="BG70" s="256"/>
      <c r="BH70" s="258" t="s">
        <v>387</v>
      </c>
      <c r="BI70" s="259"/>
    </row>
    <row r="71" spans="1:61" ht="30" customHeight="1" x14ac:dyDescent="0.2">
      <c r="A71" s="263"/>
      <c r="B71" s="264"/>
      <c r="C71" s="265"/>
      <c r="D71" s="266"/>
      <c r="E71" s="253" t="s">
        <v>497</v>
      </c>
      <c r="F71" s="254">
        <v>326635</v>
      </c>
      <c r="G71" s="255">
        <f t="shared" si="39"/>
        <v>334635</v>
      </c>
      <c r="H71" s="254">
        <f>326635</f>
        <v>326635</v>
      </c>
      <c r="I71" s="255">
        <f t="shared" si="40"/>
        <v>334635</v>
      </c>
      <c r="J71" s="255">
        <f t="shared" si="41"/>
        <v>8000</v>
      </c>
      <c r="K71" s="255"/>
      <c r="L71" s="255"/>
      <c r="M71" s="255"/>
      <c r="N71" s="255"/>
      <c r="O71" s="255"/>
      <c r="P71" s="255"/>
      <c r="Q71" s="255"/>
      <c r="R71" s="255"/>
      <c r="S71" s="255">
        <v>8000</v>
      </c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>
        <f t="shared" si="42"/>
        <v>0</v>
      </c>
      <c r="AO71" s="256">
        <f t="shared" si="43"/>
        <v>0</v>
      </c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5"/>
      <c r="BA71" s="257"/>
      <c r="BB71" s="256"/>
      <c r="BC71" s="256"/>
      <c r="BD71" s="256"/>
      <c r="BE71" s="256"/>
      <c r="BF71" s="256"/>
      <c r="BG71" s="256"/>
      <c r="BH71" s="258" t="s">
        <v>388</v>
      </c>
      <c r="BI71" s="259"/>
    </row>
    <row r="72" spans="1:61" ht="36" x14ac:dyDescent="0.2">
      <c r="A72" s="263"/>
      <c r="B72" s="264"/>
      <c r="C72" s="265"/>
      <c r="D72" s="266"/>
      <c r="E72" s="253" t="s">
        <v>759</v>
      </c>
      <c r="F72" s="254">
        <v>0</v>
      </c>
      <c r="G72" s="255">
        <f t="shared" si="39"/>
        <v>35051</v>
      </c>
      <c r="H72" s="254">
        <v>0</v>
      </c>
      <c r="I72" s="255">
        <f t="shared" si="40"/>
        <v>35051</v>
      </c>
      <c r="J72" s="255">
        <f t="shared" si="41"/>
        <v>35051</v>
      </c>
      <c r="K72" s="255"/>
      <c r="L72" s="255"/>
      <c r="M72" s="255"/>
      <c r="N72" s="255"/>
      <c r="O72" s="255">
        <v>35051</v>
      </c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>
        <f t="shared" si="42"/>
        <v>0</v>
      </c>
      <c r="AO72" s="256">
        <f t="shared" si="43"/>
        <v>0</v>
      </c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5"/>
      <c r="BA72" s="257"/>
      <c r="BB72" s="256"/>
      <c r="BC72" s="256"/>
      <c r="BD72" s="256"/>
      <c r="BE72" s="256"/>
      <c r="BF72" s="256"/>
      <c r="BG72" s="256"/>
      <c r="BH72" s="258" t="s">
        <v>762</v>
      </c>
      <c r="BI72" s="259"/>
    </row>
    <row r="73" spans="1:61" ht="51" customHeight="1" x14ac:dyDescent="0.2">
      <c r="A73" s="263"/>
      <c r="B73" s="264"/>
      <c r="C73" s="265"/>
      <c r="D73" s="266"/>
      <c r="E73" s="253" t="s">
        <v>364</v>
      </c>
      <c r="F73" s="254">
        <v>2320876</v>
      </c>
      <c r="G73" s="255">
        <f t="shared" si="39"/>
        <v>2320876</v>
      </c>
      <c r="H73" s="254">
        <f>2320876</f>
        <v>2320876</v>
      </c>
      <c r="I73" s="255">
        <f t="shared" si="40"/>
        <v>2320876</v>
      </c>
      <c r="J73" s="255">
        <f t="shared" si="41"/>
        <v>0</v>
      </c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>
        <f t="shared" si="42"/>
        <v>0</v>
      </c>
      <c r="AO73" s="256">
        <f t="shared" si="43"/>
        <v>0</v>
      </c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5"/>
      <c r="BA73" s="257"/>
      <c r="BB73" s="256"/>
      <c r="BC73" s="256"/>
      <c r="BD73" s="256"/>
      <c r="BE73" s="256"/>
      <c r="BF73" s="256"/>
      <c r="BG73" s="256"/>
      <c r="BH73" s="258" t="s">
        <v>389</v>
      </c>
      <c r="BI73" s="259"/>
    </row>
    <row r="74" spans="1:61" ht="48" customHeight="1" x14ac:dyDescent="0.2">
      <c r="A74" s="263"/>
      <c r="B74" s="264"/>
      <c r="C74" s="265"/>
      <c r="D74" s="266"/>
      <c r="E74" s="253" t="s">
        <v>365</v>
      </c>
      <c r="F74" s="254">
        <v>6409892</v>
      </c>
      <c r="G74" s="255">
        <f t="shared" si="39"/>
        <v>6409892</v>
      </c>
      <c r="H74" s="254">
        <f>6409892</f>
        <v>6409892</v>
      </c>
      <c r="I74" s="255">
        <f>H74+J74</f>
        <v>6409892</v>
      </c>
      <c r="J74" s="255">
        <f>SUM(K74:AC74)</f>
        <v>0</v>
      </c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>
        <f t="shared" si="42"/>
        <v>0</v>
      </c>
      <c r="AO74" s="256">
        <f t="shared" si="43"/>
        <v>0</v>
      </c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5"/>
      <c r="BA74" s="257"/>
      <c r="BB74" s="256"/>
      <c r="BC74" s="256"/>
      <c r="BD74" s="256"/>
      <c r="BE74" s="256"/>
      <c r="BF74" s="256"/>
      <c r="BG74" s="256"/>
      <c r="BH74" s="258" t="s">
        <v>390</v>
      </c>
      <c r="BI74" s="259"/>
    </row>
    <row r="75" spans="1:61" ht="48" customHeight="1" x14ac:dyDescent="0.2">
      <c r="A75" s="263"/>
      <c r="B75" s="264"/>
      <c r="C75" s="265"/>
      <c r="D75" s="266"/>
      <c r="E75" s="253" t="s">
        <v>761</v>
      </c>
      <c r="F75" s="254"/>
      <c r="G75" s="255">
        <f t="shared" si="39"/>
        <v>76178</v>
      </c>
      <c r="H75" s="254"/>
      <c r="I75" s="255">
        <f>H75+J75</f>
        <v>76178</v>
      </c>
      <c r="J75" s="255">
        <f>SUM(K75:AC75)</f>
        <v>76178</v>
      </c>
      <c r="K75" s="255"/>
      <c r="L75" s="255"/>
      <c r="M75" s="255"/>
      <c r="N75" s="255"/>
      <c r="O75" s="255"/>
      <c r="P75" s="255">
        <v>76178</v>
      </c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5"/>
      <c r="BA75" s="257"/>
      <c r="BB75" s="256"/>
      <c r="BC75" s="256"/>
      <c r="BD75" s="256"/>
      <c r="BE75" s="256"/>
      <c r="BF75" s="256"/>
      <c r="BG75" s="256"/>
      <c r="BH75" s="258" t="s">
        <v>763</v>
      </c>
      <c r="BI75" s="259"/>
    </row>
    <row r="76" spans="1:61" ht="65.25" customHeight="1" x14ac:dyDescent="0.2">
      <c r="A76" s="263"/>
      <c r="B76" s="264"/>
      <c r="C76" s="413" t="s">
        <v>214</v>
      </c>
      <c r="D76" s="414"/>
      <c r="E76" s="253" t="s">
        <v>332</v>
      </c>
      <c r="F76" s="254">
        <v>213431</v>
      </c>
      <c r="G76" s="255">
        <f t="shared" si="39"/>
        <v>213431</v>
      </c>
      <c r="H76" s="254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>
        <v>213431</v>
      </c>
      <c r="AY76" s="256"/>
      <c r="AZ76" s="255"/>
      <c r="BA76" s="257"/>
      <c r="BB76" s="256"/>
      <c r="BC76" s="256"/>
      <c r="BD76" s="256"/>
      <c r="BE76" s="256"/>
      <c r="BF76" s="256"/>
      <c r="BG76" s="256"/>
      <c r="BH76" s="258"/>
      <c r="BI76" s="259"/>
    </row>
    <row r="77" spans="1:61" ht="12.75" thickBot="1" x14ac:dyDescent="0.25">
      <c r="A77" s="263"/>
      <c r="B77" s="279"/>
      <c r="C77" s="426"/>
      <c r="D77" s="427"/>
      <c r="E77" s="294"/>
      <c r="F77" s="267"/>
      <c r="G77" s="268"/>
      <c r="H77" s="267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8"/>
      <c r="BA77" s="270"/>
      <c r="BB77" s="269"/>
      <c r="BC77" s="269"/>
      <c r="BD77" s="269"/>
      <c r="BE77" s="269"/>
      <c r="BF77" s="269"/>
      <c r="BG77" s="269"/>
      <c r="BH77" s="271"/>
      <c r="BI77" s="272"/>
    </row>
    <row r="78" spans="1:61" ht="27.75" customHeight="1" thickBot="1" x14ac:dyDescent="0.25">
      <c r="A78" s="282"/>
      <c r="B78" s="421" t="s">
        <v>11</v>
      </c>
      <c r="C78" s="421"/>
      <c r="D78" s="244" t="s">
        <v>213</v>
      </c>
      <c r="E78" s="283"/>
      <c r="F78" s="284">
        <v>10729231.548024692</v>
      </c>
      <c r="G78" s="285">
        <f>SUM(I78,AE78,AN78,AX78,AZ78)</f>
        <v>10524744</v>
      </c>
      <c r="H78" s="284">
        <f>SUM(H79:H88,H89:H91)</f>
        <v>10192680.550000001</v>
      </c>
      <c r="I78" s="248">
        <f>SUM(I79:I88,I89:I91)</f>
        <v>9976086</v>
      </c>
      <c r="J78" s="248">
        <f t="shared" ref="J78:AC78" si="44">SUM(J79:J88,J89:J91)</f>
        <v>-216595</v>
      </c>
      <c r="K78" s="248">
        <f t="shared" si="44"/>
        <v>0</v>
      </c>
      <c r="L78" s="248">
        <f t="shared" si="44"/>
        <v>0</v>
      </c>
      <c r="M78" s="248">
        <f t="shared" si="44"/>
        <v>-263877</v>
      </c>
      <c r="N78" s="248">
        <f t="shared" si="44"/>
        <v>4386</v>
      </c>
      <c r="O78" s="248">
        <f t="shared" si="44"/>
        <v>36143</v>
      </c>
      <c r="P78" s="248">
        <f t="shared" si="44"/>
        <v>-7118</v>
      </c>
      <c r="Q78" s="248">
        <f t="shared" si="44"/>
        <v>4117</v>
      </c>
      <c r="R78" s="248">
        <f t="shared" si="44"/>
        <v>117032</v>
      </c>
      <c r="S78" s="248">
        <f t="shared" si="44"/>
        <v>0</v>
      </c>
      <c r="T78" s="248">
        <f>SUM(T79:T88,T89:T91)</f>
        <v>0</v>
      </c>
      <c r="U78" s="248">
        <f>SUM(U79:U88,U89:U91)</f>
        <v>0</v>
      </c>
      <c r="V78" s="248">
        <f t="shared" ref="V78:AA78" si="45">SUM(V79:V88,V89:V91)</f>
        <v>-107278</v>
      </c>
      <c r="W78" s="248">
        <f t="shared" si="45"/>
        <v>0</v>
      </c>
      <c r="X78" s="248">
        <f t="shared" si="45"/>
        <v>0</v>
      </c>
      <c r="Y78" s="248">
        <f t="shared" si="45"/>
        <v>0</v>
      </c>
      <c r="Z78" s="248">
        <f t="shared" si="45"/>
        <v>0</v>
      </c>
      <c r="AA78" s="248">
        <f t="shared" si="45"/>
        <v>0</v>
      </c>
      <c r="AB78" s="248">
        <f>SUM(AB79:AB88,AB89:AB91)</f>
        <v>0</v>
      </c>
      <c r="AC78" s="248">
        <f t="shared" si="44"/>
        <v>0</v>
      </c>
      <c r="AD78" s="248">
        <f>SUM(AD79:AD87,AD89:AD91)</f>
        <v>0</v>
      </c>
      <c r="AE78" s="248">
        <f t="shared" ref="AE78:AZ78" si="46">SUM(AE79:AE87,AE89:AE91)</f>
        <v>0</v>
      </c>
      <c r="AF78" s="248">
        <f t="shared" si="46"/>
        <v>0</v>
      </c>
      <c r="AG78" s="248">
        <f t="shared" si="46"/>
        <v>0</v>
      </c>
      <c r="AH78" s="248">
        <f t="shared" si="46"/>
        <v>0</v>
      </c>
      <c r="AI78" s="248">
        <f t="shared" si="46"/>
        <v>0</v>
      </c>
      <c r="AJ78" s="248">
        <f t="shared" si="46"/>
        <v>0</v>
      </c>
      <c r="AK78" s="248">
        <f t="shared" si="46"/>
        <v>0</v>
      </c>
      <c r="AL78" s="248">
        <f t="shared" si="46"/>
        <v>0</v>
      </c>
      <c r="AM78" s="248">
        <f>SUM(AM79:AM87,AM89:AM91)</f>
        <v>180831</v>
      </c>
      <c r="AN78" s="248">
        <f t="shared" si="46"/>
        <v>192938</v>
      </c>
      <c r="AO78" s="248">
        <f t="shared" si="46"/>
        <v>12107</v>
      </c>
      <c r="AP78" s="248">
        <f t="shared" si="46"/>
        <v>0</v>
      </c>
      <c r="AQ78" s="248">
        <f t="shared" si="46"/>
        <v>0</v>
      </c>
      <c r="AR78" s="248">
        <f t="shared" si="46"/>
        <v>7082</v>
      </c>
      <c r="AS78" s="248">
        <f t="shared" si="46"/>
        <v>5025</v>
      </c>
      <c r="AT78" s="248">
        <f t="shared" si="46"/>
        <v>0</v>
      </c>
      <c r="AU78" s="248">
        <f t="shared" ref="AU78:AV78" si="47">SUM(AU79:AU87,AU89:AU91)</f>
        <v>0</v>
      </c>
      <c r="AV78" s="248">
        <f t="shared" si="47"/>
        <v>0</v>
      </c>
      <c r="AW78" s="248">
        <f t="shared" si="46"/>
        <v>0</v>
      </c>
      <c r="AX78" s="248">
        <f t="shared" si="46"/>
        <v>355720</v>
      </c>
      <c r="AY78" s="248">
        <f>SUM(AY79:AY87,AY89:AY91)</f>
        <v>0</v>
      </c>
      <c r="AZ78" s="248">
        <f t="shared" si="46"/>
        <v>0</v>
      </c>
      <c r="BA78" s="249">
        <f>SUM(BA79:BA87,BA89:BA91)</f>
        <v>0</v>
      </c>
      <c r="BB78" s="248">
        <f t="shared" ref="BB78:BG78" si="48">SUM(BB79:BB87,BB89:BB91)</f>
        <v>0</v>
      </c>
      <c r="BC78" s="248">
        <f t="shared" si="48"/>
        <v>0</v>
      </c>
      <c r="BD78" s="248">
        <f t="shared" si="48"/>
        <v>0</v>
      </c>
      <c r="BE78" s="248">
        <f t="shared" si="48"/>
        <v>0</v>
      </c>
      <c r="BF78" s="248">
        <f t="shared" si="48"/>
        <v>0</v>
      </c>
      <c r="BG78" s="248">
        <f t="shared" si="48"/>
        <v>0</v>
      </c>
      <c r="BH78" s="288"/>
      <c r="BI78" s="289"/>
    </row>
    <row r="79" spans="1:61" s="295" customFormat="1" ht="13.5" thickTop="1" x14ac:dyDescent="0.2">
      <c r="A79" s="263">
        <v>90000056357</v>
      </c>
      <c r="B79" s="291"/>
      <c r="C79" s="422" t="s">
        <v>5</v>
      </c>
      <c r="D79" s="423"/>
      <c r="E79" s="305" t="s">
        <v>239</v>
      </c>
      <c r="F79" s="306">
        <v>2407283.5480246916</v>
      </c>
      <c r="G79" s="307">
        <f>SUM(I79,AE79,AN79,AX79,AZ79)</f>
        <v>2310917</v>
      </c>
      <c r="H79" s="306">
        <f>2264781.55</f>
        <v>2264781.5499999998</v>
      </c>
      <c r="I79" s="255">
        <f>H79+0.45+J79</f>
        <v>2156308</v>
      </c>
      <c r="J79" s="307">
        <f t="shared" ref="J79:J88" si="49">SUM(K79:AC79)</f>
        <v>-108474</v>
      </c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>
        <f>-74000-23667-10807</f>
        <v>-108474</v>
      </c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>
        <f>142502</f>
        <v>142502</v>
      </c>
      <c r="AN79" s="307">
        <f t="shared" ref="AN79:AN87" si="50">AO79+AM79</f>
        <v>154609</v>
      </c>
      <c r="AO79" s="308">
        <f t="shared" ref="AO79:AO87" si="51">SUM(AP79:AW79)</f>
        <v>12107</v>
      </c>
      <c r="AP79" s="308"/>
      <c r="AQ79" s="308"/>
      <c r="AR79" s="314">
        <v>7082</v>
      </c>
      <c r="AS79" s="308">
        <v>5025</v>
      </c>
      <c r="AT79" s="308"/>
      <c r="AU79" s="308"/>
      <c r="AV79" s="308"/>
      <c r="AW79" s="308"/>
      <c r="AX79" s="308"/>
      <c r="AY79" s="308"/>
      <c r="AZ79" s="307"/>
      <c r="BA79" s="309">
        <f>SUM(BB79:BG79)</f>
        <v>0</v>
      </c>
      <c r="BB79" s="308"/>
      <c r="BC79" s="308"/>
      <c r="BD79" s="308"/>
      <c r="BE79" s="308"/>
      <c r="BF79" s="308"/>
      <c r="BG79" s="308"/>
      <c r="BH79" s="310" t="s">
        <v>391</v>
      </c>
      <c r="BI79" s="311"/>
    </row>
    <row r="80" spans="1:61" s="295" customFormat="1" ht="12.75" x14ac:dyDescent="0.2">
      <c r="A80" s="263"/>
      <c r="C80" s="296"/>
      <c r="D80" s="297"/>
      <c r="E80" s="312" t="s">
        <v>556</v>
      </c>
      <c r="F80" s="299">
        <v>4500</v>
      </c>
      <c r="G80" s="300">
        <f t="shared" ref="G80:G90" si="52">SUM(I80,AE80,AN80,AX80,AZ80)</f>
        <v>4500</v>
      </c>
      <c r="H80" s="299">
        <f>4500</f>
        <v>4500</v>
      </c>
      <c r="I80" s="255">
        <f t="shared" ref="I80:I88" si="53">H80+J80</f>
        <v>4500</v>
      </c>
      <c r="J80" s="300">
        <f t="shared" si="49"/>
        <v>0</v>
      </c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>
        <f t="shared" si="50"/>
        <v>0</v>
      </c>
      <c r="AO80" s="301">
        <f t="shared" si="51"/>
        <v>0</v>
      </c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0"/>
      <c r="BA80" s="302"/>
      <c r="BB80" s="301"/>
      <c r="BC80" s="301"/>
      <c r="BD80" s="301"/>
      <c r="BE80" s="301"/>
      <c r="BF80" s="301"/>
      <c r="BG80" s="301"/>
      <c r="BH80" s="298" t="s">
        <v>392</v>
      </c>
      <c r="BI80" s="315"/>
    </row>
    <row r="81" spans="1:61" s="295" customFormat="1" ht="48" x14ac:dyDescent="0.2">
      <c r="A81" s="263"/>
      <c r="C81" s="296"/>
      <c r="D81" s="297"/>
      <c r="E81" s="312" t="s">
        <v>559</v>
      </c>
      <c r="F81" s="254">
        <v>5027122</v>
      </c>
      <c r="G81" s="255">
        <f t="shared" si="52"/>
        <v>5086078</v>
      </c>
      <c r="H81" s="299">
        <f>5027122</f>
        <v>5027122</v>
      </c>
      <c r="I81" s="255">
        <f t="shared" si="53"/>
        <v>5086078</v>
      </c>
      <c r="J81" s="300">
        <f t="shared" si="49"/>
        <v>58956</v>
      </c>
      <c r="K81" s="300"/>
      <c r="L81" s="300"/>
      <c r="M81" s="300"/>
      <c r="N81" s="300"/>
      <c r="O81" s="300">
        <f>36143</f>
        <v>36143</v>
      </c>
      <c r="P81" s="300">
        <f>7156-14274</f>
        <v>-7118</v>
      </c>
      <c r="Q81" s="300">
        <v>-883</v>
      </c>
      <c r="R81" s="300">
        <f>29000+1814</f>
        <v>30814</v>
      </c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>
        <f t="shared" si="50"/>
        <v>0</v>
      </c>
      <c r="AO81" s="301">
        <f t="shared" si="51"/>
        <v>0</v>
      </c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0"/>
      <c r="BA81" s="302"/>
      <c r="BB81" s="301"/>
      <c r="BC81" s="301"/>
      <c r="BD81" s="301"/>
      <c r="BE81" s="301"/>
      <c r="BF81" s="301"/>
      <c r="BG81" s="301"/>
      <c r="BH81" s="298" t="s">
        <v>751</v>
      </c>
      <c r="BI81" s="315" t="s">
        <v>583</v>
      </c>
    </row>
    <row r="82" spans="1:61" s="264" customFormat="1" ht="12.75" x14ac:dyDescent="0.2">
      <c r="A82" s="263"/>
      <c r="C82" s="265"/>
      <c r="D82" s="266"/>
      <c r="E82" s="253" t="s">
        <v>298</v>
      </c>
      <c r="F82" s="254">
        <v>121000</v>
      </c>
      <c r="G82" s="255">
        <f t="shared" si="52"/>
        <v>121000</v>
      </c>
      <c r="H82" s="254">
        <f>121000</f>
        <v>121000</v>
      </c>
      <c r="I82" s="255">
        <f t="shared" si="53"/>
        <v>121000</v>
      </c>
      <c r="J82" s="255">
        <f t="shared" si="49"/>
        <v>0</v>
      </c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>
        <f t="shared" si="50"/>
        <v>0</v>
      </c>
      <c r="AO82" s="256">
        <f t="shared" si="51"/>
        <v>0</v>
      </c>
      <c r="AP82" s="256"/>
      <c r="AQ82" s="256"/>
      <c r="AR82" s="256"/>
      <c r="AS82" s="256"/>
      <c r="AT82" s="256"/>
      <c r="AU82" s="256"/>
      <c r="AV82" s="256"/>
      <c r="AW82" s="256"/>
      <c r="AX82" s="256"/>
      <c r="AY82" s="256">
        <v>0</v>
      </c>
      <c r="AZ82" s="255">
        <v>0</v>
      </c>
      <c r="BA82" s="257"/>
      <c r="BB82" s="256"/>
      <c r="BC82" s="256"/>
      <c r="BD82" s="256"/>
      <c r="BE82" s="256"/>
      <c r="BF82" s="256"/>
      <c r="BG82" s="256"/>
      <c r="BH82" s="258" t="s">
        <v>620</v>
      </c>
      <c r="BI82" s="259" t="s">
        <v>696</v>
      </c>
    </row>
    <row r="83" spans="1:61" s="264" customFormat="1" ht="24" x14ac:dyDescent="0.2">
      <c r="A83" s="263"/>
      <c r="C83" s="265"/>
      <c r="D83" s="266"/>
      <c r="E83" s="253" t="s">
        <v>653</v>
      </c>
      <c r="F83" s="254">
        <v>354621</v>
      </c>
      <c r="G83" s="255">
        <f t="shared" si="52"/>
        <v>360817</v>
      </c>
      <c r="H83" s="254">
        <f>354621</f>
        <v>354621</v>
      </c>
      <c r="I83" s="255">
        <f t="shared" si="53"/>
        <v>360817</v>
      </c>
      <c r="J83" s="255">
        <f t="shared" si="49"/>
        <v>6196</v>
      </c>
      <c r="K83" s="255"/>
      <c r="L83" s="255"/>
      <c r="M83" s="255"/>
      <c r="N83" s="255"/>
      <c r="O83" s="255"/>
      <c r="P83" s="255"/>
      <c r="Q83" s="255">
        <v>5000</v>
      </c>
      <c r="R83" s="255"/>
      <c r="S83" s="255"/>
      <c r="T83" s="255"/>
      <c r="U83" s="255"/>
      <c r="V83" s="255">
        <v>1196</v>
      </c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>
        <f t="shared" si="50"/>
        <v>0</v>
      </c>
      <c r="AO83" s="256">
        <f t="shared" si="51"/>
        <v>0</v>
      </c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5"/>
      <c r="BA83" s="257"/>
      <c r="BB83" s="256"/>
      <c r="BC83" s="256"/>
      <c r="BD83" s="256"/>
      <c r="BE83" s="256"/>
      <c r="BF83" s="256"/>
      <c r="BG83" s="256"/>
      <c r="BH83" s="258" t="s">
        <v>621</v>
      </c>
      <c r="BI83" s="259" t="s">
        <v>697</v>
      </c>
    </row>
    <row r="84" spans="1:61" s="264" customFormat="1" ht="24" x14ac:dyDescent="0.2">
      <c r="A84" s="263"/>
      <c r="C84" s="265"/>
      <c r="D84" s="266"/>
      <c r="E84" s="253" t="s">
        <v>292</v>
      </c>
      <c r="F84" s="254">
        <v>633951</v>
      </c>
      <c r="G84" s="255">
        <f>SUM(I84,AE84,AN84,AX84,AZ84)</f>
        <v>755985</v>
      </c>
      <c r="H84" s="254">
        <f>595622</f>
        <v>595622</v>
      </c>
      <c r="I84" s="255">
        <f t="shared" si="53"/>
        <v>717656</v>
      </c>
      <c r="J84" s="255">
        <f t="shared" si="49"/>
        <v>122034</v>
      </c>
      <c r="K84" s="255"/>
      <c r="L84" s="255"/>
      <c r="M84" s="255">
        <v>31430</v>
      </c>
      <c r="N84" s="313">
        <v>4386</v>
      </c>
      <c r="O84" s="255"/>
      <c r="P84" s="255"/>
      <c r="Q84" s="255"/>
      <c r="R84" s="255">
        <f>51807+34411</f>
        <v>86218</v>
      </c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>
        <f>38329</f>
        <v>38329</v>
      </c>
      <c r="AN84" s="255">
        <f t="shared" si="50"/>
        <v>38329</v>
      </c>
      <c r="AO84" s="256">
        <f t="shared" si="51"/>
        <v>0</v>
      </c>
      <c r="AP84" s="256"/>
      <c r="AQ84" s="256"/>
      <c r="AR84" s="316"/>
      <c r="AS84" s="256"/>
      <c r="AT84" s="256"/>
      <c r="AU84" s="256"/>
      <c r="AV84" s="256"/>
      <c r="AW84" s="256"/>
      <c r="AX84" s="256"/>
      <c r="AY84" s="256"/>
      <c r="AZ84" s="255"/>
      <c r="BA84" s="257">
        <f>SUM(BB84:BG84)</f>
        <v>0</v>
      </c>
      <c r="BB84" s="256"/>
      <c r="BC84" s="256"/>
      <c r="BD84" s="256"/>
      <c r="BE84" s="256"/>
      <c r="BF84" s="256"/>
      <c r="BG84" s="256"/>
      <c r="BH84" s="258" t="s">
        <v>622</v>
      </c>
      <c r="BI84" s="259" t="s">
        <v>581</v>
      </c>
    </row>
    <row r="85" spans="1:61" ht="24" x14ac:dyDescent="0.2">
      <c r="A85" s="263">
        <v>42803002568</v>
      </c>
      <c r="B85" s="264"/>
      <c r="C85" s="413" t="s">
        <v>12</v>
      </c>
      <c r="D85" s="414"/>
      <c r="E85" s="253" t="s">
        <v>662</v>
      </c>
      <c r="F85" s="254">
        <v>1328934</v>
      </c>
      <c r="G85" s="255">
        <f t="shared" si="52"/>
        <v>1328934</v>
      </c>
      <c r="H85" s="254">
        <f>1328934</f>
        <v>1328934</v>
      </c>
      <c r="I85" s="255">
        <f t="shared" si="53"/>
        <v>1328934</v>
      </c>
      <c r="J85" s="255">
        <f t="shared" si="49"/>
        <v>0</v>
      </c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>
        <f t="shared" si="50"/>
        <v>0</v>
      </c>
      <c r="AO85" s="256">
        <f t="shared" si="51"/>
        <v>0</v>
      </c>
      <c r="AP85" s="256"/>
      <c r="AQ85" s="256"/>
      <c r="AR85" s="256"/>
      <c r="AS85" s="256"/>
      <c r="AT85" s="256"/>
      <c r="AU85" s="256"/>
      <c r="AV85" s="256"/>
      <c r="AW85" s="256"/>
      <c r="AX85" s="256"/>
      <c r="AY85" s="256">
        <v>0</v>
      </c>
      <c r="AZ85" s="255">
        <v>0</v>
      </c>
      <c r="BA85" s="257"/>
      <c r="BB85" s="256"/>
      <c r="BC85" s="256"/>
      <c r="BD85" s="256"/>
      <c r="BE85" s="256"/>
      <c r="BF85" s="256"/>
      <c r="BG85" s="256"/>
      <c r="BH85" s="258" t="s">
        <v>393</v>
      </c>
      <c r="BI85" s="259"/>
    </row>
    <row r="86" spans="1:61" ht="24" x14ac:dyDescent="0.2">
      <c r="A86" s="263">
        <v>40003316576</v>
      </c>
      <c r="B86" s="317"/>
      <c r="C86" s="424" t="s">
        <v>193</v>
      </c>
      <c r="D86" s="425"/>
      <c r="E86" s="318" t="s">
        <v>247</v>
      </c>
      <c r="F86" s="319">
        <v>175393</v>
      </c>
      <c r="G86" s="320">
        <f t="shared" si="52"/>
        <v>175393</v>
      </c>
      <c r="H86" s="319">
        <f>175393</f>
        <v>175393</v>
      </c>
      <c r="I86" s="255">
        <f t="shared" si="53"/>
        <v>175393</v>
      </c>
      <c r="J86" s="320">
        <f t="shared" si="49"/>
        <v>0</v>
      </c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>
        <f t="shared" si="50"/>
        <v>0</v>
      </c>
      <c r="AO86" s="321">
        <f t="shared" si="51"/>
        <v>0</v>
      </c>
      <c r="AP86" s="321"/>
      <c r="AQ86" s="321"/>
      <c r="AR86" s="321"/>
      <c r="AS86" s="321"/>
      <c r="AT86" s="321"/>
      <c r="AU86" s="321"/>
      <c r="AV86" s="321"/>
      <c r="AW86" s="321"/>
      <c r="AX86" s="321"/>
      <c r="AY86" s="321">
        <v>0</v>
      </c>
      <c r="AZ86" s="320">
        <v>0</v>
      </c>
      <c r="BA86" s="322"/>
      <c r="BB86" s="256"/>
      <c r="BC86" s="321"/>
      <c r="BD86" s="321"/>
      <c r="BE86" s="321"/>
      <c r="BF86" s="321"/>
      <c r="BG86" s="321"/>
      <c r="BH86" s="323" t="s">
        <v>394</v>
      </c>
      <c r="BI86" s="324"/>
    </row>
    <row r="87" spans="1:61" ht="48" x14ac:dyDescent="0.2">
      <c r="A87" s="263"/>
      <c r="B87" s="317"/>
      <c r="C87" s="325"/>
      <c r="D87" s="326"/>
      <c r="E87" s="318" t="s">
        <v>681</v>
      </c>
      <c r="F87" s="319">
        <v>25400</v>
      </c>
      <c r="G87" s="320">
        <f t="shared" si="52"/>
        <v>25400</v>
      </c>
      <c r="H87" s="319">
        <f>25400</f>
        <v>25400</v>
      </c>
      <c r="I87" s="255">
        <f t="shared" si="53"/>
        <v>25400</v>
      </c>
      <c r="J87" s="320">
        <f t="shared" si="49"/>
        <v>0</v>
      </c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>
        <f t="shared" si="50"/>
        <v>0</v>
      </c>
      <c r="AO87" s="321">
        <f t="shared" si="51"/>
        <v>0</v>
      </c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0"/>
      <c r="BA87" s="322"/>
      <c r="BB87" s="256"/>
      <c r="BC87" s="321"/>
      <c r="BD87" s="321"/>
      <c r="BE87" s="321"/>
      <c r="BF87" s="321"/>
      <c r="BG87" s="321"/>
      <c r="BH87" s="323" t="s">
        <v>623</v>
      </c>
      <c r="BI87" s="324"/>
    </row>
    <row r="88" spans="1:61" ht="36" x14ac:dyDescent="0.2">
      <c r="A88" s="263">
        <v>40003426429</v>
      </c>
      <c r="B88" s="317"/>
      <c r="C88" s="424" t="s">
        <v>718</v>
      </c>
      <c r="D88" s="425"/>
      <c r="E88" s="318" t="s">
        <v>719</v>
      </c>
      <c r="F88" s="319">
        <v>295307</v>
      </c>
      <c r="G88" s="320">
        <f t="shared" si="52"/>
        <v>0</v>
      </c>
      <c r="H88" s="319">
        <f>295307</f>
        <v>295307</v>
      </c>
      <c r="I88" s="320">
        <f t="shared" si="53"/>
        <v>0</v>
      </c>
      <c r="J88" s="320">
        <f t="shared" si="49"/>
        <v>-295307</v>
      </c>
      <c r="K88" s="320"/>
      <c r="L88" s="320"/>
      <c r="M88" s="320">
        <v>-295307</v>
      </c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0"/>
      <c r="BA88" s="322"/>
      <c r="BB88" s="256"/>
      <c r="BC88" s="321"/>
      <c r="BD88" s="321"/>
      <c r="BE88" s="321"/>
      <c r="BF88" s="321"/>
      <c r="BG88" s="321"/>
      <c r="BH88" s="323"/>
      <c r="BI88" s="324"/>
    </row>
    <row r="89" spans="1:61" ht="36" x14ac:dyDescent="0.2">
      <c r="A89" s="263"/>
      <c r="B89" s="264"/>
      <c r="C89" s="413" t="s">
        <v>214</v>
      </c>
      <c r="D89" s="414"/>
      <c r="E89" s="293" t="s">
        <v>152</v>
      </c>
      <c r="F89" s="254">
        <v>142289</v>
      </c>
      <c r="G89" s="255">
        <f t="shared" si="52"/>
        <v>142289</v>
      </c>
      <c r="H89" s="254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>
        <v>142289</v>
      </c>
      <c r="AY89" s="256"/>
      <c r="AZ89" s="255"/>
      <c r="BA89" s="257"/>
      <c r="BB89" s="256"/>
      <c r="BC89" s="256"/>
      <c r="BD89" s="256"/>
      <c r="BE89" s="256"/>
      <c r="BF89" s="256"/>
      <c r="BG89" s="256"/>
      <c r="BH89" s="258"/>
      <c r="BI89" s="259"/>
    </row>
    <row r="90" spans="1:61" ht="87" customHeight="1" x14ac:dyDescent="0.2">
      <c r="A90" s="263"/>
      <c r="B90" s="278"/>
      <c r="C90" s="265"/>
      <c r="D90" s="266"/>
      <c r="E90" s="293" t="s">
        <v>533</v>
      </c>
      <c r="F90" s="254">
        <v>213431</v>
      </c>
      <c r="G90" s="255">
        <f t="shared" si="52"/>
        <v>213431</v>
      </c>
      <c r="H90" s="254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>
        <v>213431</v>
      </c>
      <c r="AY90" s="256"/>
      <c r="AZ90" s="255"/>
      <c r="BA90" s="257"/>
      <c r="BB90" s="256"/>
      <c r="BC90" s="256"/>
      <c r="BD90" s="256"/>
      <c r="BE90" s="256"/>
      <c r="BF90" s="256"/>
      <c r="BG90" s="256"/>
      <c r="BH90" s="258"/>
      <c r="BI90" s="259"/>
    </row>
    <row r="91" spans="1:61" ht="12.75" thickBot="1" x14ac:dyDescent="0.25">
      <c r="A91" s="263"/>
      <c r="B91" s="279"/>
      <c r="C91" s="426"/>
      <c r="D91" s="427"/>
      <c r="E91" s="294"/>
      <c r="F91" s="267"/>
      <c r="G91" s="268"/>
      <c r="H91" s="267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8"/>
      <c r="BA91" s="270"/>
      <c r="BB91" s="269"/>
      <c r="BC91" s="269"/>
      <c r="BD91" s="269"/>
      <c r="BE91" s="269"/>
      <c r="BF91" s="269"/>
      <c r="BG91" s="269"/>
      <c r="BH91" s="271"/>
      <c r="BI91" s="272"/>
    </row>
    <row r="92" spans="1:61" ht="12.75" thickBot="1" x14ac:dyDescent="0.25">
      <c r="A92" s="282"/>
      <c r="B92" s="421" t="s">
        <v>13</v>
      </c>
      <c r="C92" s="421"/>
      <c r="D92" s="244" t="s">
        <v>14</v>
      </c>
      <c r="E92" s="283"/>
      <c r="F92" s="284">
        <v>280824</v>
      </c>
      <c r="G92" s="285">
        <f>SUM(I92,AE92,AN92,AX92,AZ92)</f>
        <v>359598</v>
      </c>
      <c r="H92" s="327">
        <f>SUM(H93:H100)</f>
        <v>279478</v>
      </c>
      <c r="I92" s="286">
        <f>SUM(I93:I100)</f>
        <v>358252</v>
      </c>
      <c r="J92" s="286">
        <f t="shared" ref="J92:AZ92" si="54">SUM(J93:J100)</f>
        <v>78774</v>
      </c>
      <c r="K92" s="286">
        <f t="shared" si="54"/>
        <v>0</v>
      </c>
      <c r="L92" s="286">
        <f>SUM(L93:L100)</f>
        <v>0</v>
      </c>
      <c r="M92" s="286">
        <f>SUM(M93:M100)</f>
        <v>0</v>
      </c>
      <c r="N92" s="286">
        <f t="shared" si="54"/>
        <v>0</v>
      </c>
      <c r="O92" s="286">
        <f t="shared" si="54"/>
        <v>78774</v>
      </c>
      <c r="P92" s="286">
        <f t="shared" si="54"/>
        <v>0</v>
      </c>
      <c r="Q92" s="286">
        <f t="shared" si="54"/>
        <v>0</v>
      </c>
      <c r="R92" s="286">
        <f t="shared" si="54"/>
        <v>0</v>
      </c>
      <c r="S92" s="286">
        <f t="shared" si="54"/>
        <v>0</v>
      </c>
      <c r="T92" s="286">
        <f>SUM(T93:T100)</f>
        <v>0</v>
      </c>
      <c r="U92" s="286">
        <f>SUM(U93:U100)</f>
        <v>0</v>
      </c>
      <c r="V92" s="286">
        <f t="shared" ref="V92:AA92" si="55">SUM(V93:V100)</f>
        <v>0</v>
      </c>
      <c r="W92" s="286">
        <f t="shared" si="55"/>
        <v>0</v>
      </c>
      <c r="X92" s="286">
        <f t="shared" si="55"/>
        <v>0</v>
      </c>
      <c r="Y92" s="286">
        <f t="shared" si="55"/>
        <v>0</v>
      </c>
      <c r="Z92" s="286">
        <f t="shared" si="55"/>
        <v>0</v>
      </c>
      <c r="AA92" s="286">
        <f t="shared" si="55"/>
        <v>0</v>
      </c>
      <c r="AB92" s="286">
        <f>SUM(AB93:AB100)</f>
        <v>0</v>
      </c>
      <c r="AC92" s="286">
        <f t="shared" si="54"/>
        <v>0</v>
      </c>
      <c r="AD92" s="286">
        <f>SUM(AD93:AD100)</f>
        <v>0</v>
      </c>
      <c r="AE92" s="286">
        <f t="shared" si="54"/>
        <v>0</v>
      </c>
      <c r="AF92" s="286">
        <f t="shared" si="54"/>
        <v>0</v>
      </c>
      <c r="AG92" s="286">
        <f t="shared" si="54"/>
        <v>0</v>
      </c>
      <c r="AH92" s="286">
        <f t="shared" si="54"/>
        <v>0</v>
      </c>
      <c r="AI92" s="286">
        <f t="shared" si="54"/>
        <v>0</v>
      </c>
      <c r="AJ92" s="286">
        <f t="shared" si="54"/>
        <v>0</v>
      </c>
      <c r="AK92" s="286">
        <f t="shared" si="54"/>
        <v>0</v>
      </c>
      <c r="AL92" s="286">
        <f t="shared" si="54"/>
        <v>0</v>
      </c>
      <c r="AM92" s="286">
        <f>SUM(AM93:AM100)</f>
        <v>1346</v>
      </c>
      <c r="AN92" s="286">
        <f t="shared" si="54"/>
        <v>1346</v>
      </c>
      <c r="AO92" s="286">
        <f t="shared" si="54"/>
        <v>0</v>
      </c>
      <c r="AP92" s="286">
        <f t="shared" si="54"/>
        <v>0</v>
      </c>
      <c r="AQ92" s="286">
        <f t="shared" si="54"/>
        <v>0</v>
      </c>
      <c r="AR92" s="286">
        <f t="shared" si="54"/>
        <v>0</v>
      </c>
      <c r="AS92" s="286">
        <f t="shared" si="54"/>
        <v>0</v>
      </c>
      <c r="AT92" s="286">
        <f t="shared" si="54"/>
        <v>0</v>
      </c>
      <c r="AU92" s="286">
        <f t="shared" ref="AU92:AV92" si="56">SUM(AU93:AU100)</f>
        <v>0</v>
      </c>
      <c r="AV92" s="286">
        <f t="shared" si="56"/>
        <v>0</v>
      </c>
      <c r="AW92" s="286">
        <f t="shared" si="54"/>
        <v>0</v>
      </c>
      <c r="AX92" s="286">
        <f t="shared" si="54"/>
        <v>0</v>
      </c>
      <c r="AY92" s="286">
        <f>SUM(AY93:AY100)</f>
        <v>0</v>
      </c>
      <c r="AZ92" s="248">
        <f t="shared" si="54"/>
        <v>0</v>
      </c>
      <c r="BA92" s="287">
        <f>SUM(BA93:BA100)</f>
        <v>0</v>
      </c>
      <c r="BB92" s="286">
        <f t="shared" ref="BB92:BG92" si="57">SUM(BB93:BB100)</f>
        <v>0</v>
      </c>
      <c r="BC92" s="286">
        <f t="shared" si="57"/>
        <v>0</v>
      </c>
      <c r="BD92" s="286">
        <f t="shared" si="57"/>
        <v>0</v>
      </c>
      <c r="BE92" s="286">
        <f t="shared" si="57"/>
        <v>0</v>
      </c>
      <c r="BF92" s="286">
        <f t="shared" si="57"/>
        <v>0</v>
      </c>
      <c r="BG92" s="286">
        <f t="shared" si="57"/>
        <v>0</v>
      </c>
      <c r="BH92" s="288"/>
      <c r="BI92" s="289"/>
    </row>
    <row r="93" spans="1:61" ht="24.75" thickTop="1" x14ac:dyDescent="0.2">
      <c r="A93" s="263">
        <v>90000594245</v>
      </c>
      <c r="B93" s="264"/>
      <c r="C93" s="413" t="s">
        <v>24</v>
      </c>
      <c r="D93" s="414"/>
      <c r="E93" s="253" t="s">
        <v>248</v>
      </c>
      <c r="F93" s="254">
        <v>40712</v>
      </c>
      <c r="G93" s="255">
        <f t="shared" ref="G93:G99" si="58">SUM(I93,AE93,AN93,AX93,AZ93)</f>
        <v>40712</v>
      </c>
      <c r="H93" s="254">
        <f>40712</f>
        <v>40712</v>
      </c>
      <c r="I93" s="255">
        <f t="shared" ref="I93:I99" si="59">H93+J93</f>
        <v>40712</v>
      </c>
      <c r="J93" s="255">
        <f t="shared" ref="J93:J99" si="60">SUM(K93:AC93)</f>
        <v>0</v>
      </c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>
        <f t="shared" ref="AN93:AN99" si="61">AO93+AM93</f>
        <v>0</v>
      </c>
      <c r="AO93" s="256">
        <f t="shared" ref="AO93:AO99" si="62">SUM(AP93:AW93)</f>
        <v>0</v>
      </c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5"/>
      <c r="BA93" s="257"/>
      <c r="BB93" s="256"/>
      <c r="BC93" s="256"/>
      <c r="BD93" s="256"/>
      <c r="BE93" s="256"/>
      <c r="BF93" s="256"/>
      <c r="BG93" s="256"/>
      <c r="BH93" s="258" t="s">
        <v>395</v>
      </c>
      <c r="BI93" s="259" t="s">
        <v>343</v>
      </c>
    </row>
    <row r="94" spans="1:61" ht="24" x14ac:dyDescent="0.2">
      <c r="A94" s="263"/>
      <c r="B94" s="264"/>
      <c r="C94" s="265"/>
      <c r="D94" s="266"/>
      <c r="E94" s="253" t="s">
        <v>276</v>
      </c>
      <c r="F94" s="254">
        <v>28227</v>
      </c>
      <c r="G94" s="255">
        <f t="shared" si="58"/>
        <v>28227</v>
      </c>
      <c r="H94" s="254">
        <f>28227</f>
        <v>28227</v>
      </c>
      <c r="I94" s="255">
        <f t="shared" si="59"/>
        <v>28227</v>
      </c>
      <c r="J94" s="255">
        <f t="shared" si="60"/>
        <v>0</v>
      </c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>
        <f t="shared" si="61"/>
        <v>0</v>
      </c>
      <c r="AO94" s="256">
        <f t="shared" si="62"/>
        <v>0</v>
      </c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5"/>
      <c r="BA94" s="257"/>
      <c r="BB94" s="256"/>
      <c r="BC94" s="256"/>
      <c r="BD94" s="256"/>
      <c r="BE94" s="256"/>
      <c r="BF94" s="256"/>
      <c r="BG94" s="256"/>
      <c r="BH94" s="258" t="s">
        <v>396</v>
      </c>
      <c r="BI94" s="259" t="s">
        <v>343</v>
      </c>
    </row>
    <row r="95" spans="1:61" ht="24" x14ac:dyDescent="0.2">
      <c r="A95" s="263"/>
      <c r="B95" s="264"/>
      <c r="C95" s="265"/>
      <c r="D95" s="266"/>
      <c r="E95" s="253" t="s">
        <v>270</v>
      </c>
      <c r="F95" s="254">
        <v>99694</v>
      </c>
      <c r="G95" s="255">
        <f t="shared" si="58"/>
        <v>99694</v>
      </c>
      <c r="H95" s="254">
        <f>99694</f>
        <v>99694</v>
      </c>
      <c r="I95" s="255">
        <f t="shared" si="59"/>
        <v>99694</v>
      </c>
      <c r="J95" s="255">
        <f t="shared" si="60"/>
        <v>0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>
        <f t="shared" si="61"/>
        <v>0</v>
      </c>
      <c r="AO95" s="256">
        <f t="shared" si="62"/>
        <v>0</v>
      </c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5"/>
      <c r="BA95" s="257"/>
      <c r="BB95" s="256"/>
      <c r="BC95" s="256"/>
      <c r="BD95" s="256"/>
      <c r="BE95" s="256"/>
      <c r="BF95" s="256"/>
      <c r="BG95" s="256"/>
      <c r="BH95" s="258" t="s">
        <v>397</v>
      </c>
      <c r="BI95" s="259" t="s">
        <v>343</v>
      </c>
    </row>
    <row r="96" spans="1:61" ht="12.75" x14ac:dyDescent="0.2">
      <c r="A96" s="263">
        <v>90001876536</v>
      </c>
      <c r="B96" s="264"/>
      <c r="C96" s="413" t="s">
        <v>199</v>
      </c>
      <c r="D96" s="414"/>
      <c r="E96" s="253" t="s">
        <v>498</v>
      </c>
      <c r="F96" s="254">
        <v>7412</v>
      </c>
      <c r="G96" s="255">
        <f t="shared" si="58"/>
        <v>7412</v>
      </c>
      <c r="H96" s="254">
        <f>7412</f>
        <v>7412</v>
      </c>
      <c r="I96" s="255">
        <f t="shared" si="59"/>
        <v>7412</v>
      </c>
      <c r="J96" s="255">
        <f t="shared" si="60"/>
        <v>0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>
        <f t="shared" si="61"/>
        <v>0</v>
      </c>
      <c r="AO96" s="256">
        <f t="shared" si="62"/>
        <v>0</v>
      </c>
      <c r="AP96" s="256"/>
      <c r="AQ96" s="256"/>
      <c r="AR96" s="256"/>
      <c r="AS96" s="256"/>
      <c r="AT96" s="256"/>
      <c r="AU96" s="256"/>
      <c r="AV96" s="256"/>
      <c r="AW96" s="256"/>
      <c r="AX96" s="256"/>
      <c r="AY96" s="256">
        <v>0</v>
      </c>
      <c r="AZ96" s="255">
        <v>0</v>
      </c>
      <c r="BA96" s="257"/>
      <c r="BB96" s="256"/>
      <c r="BC96" s="256"/>
      <c r="BD96" s="256"/>
      <c r="BE96" s="256"/>
      <c r="BF96" s="256"/>
      <c r="BG96" s="256"/>
      <c r="BH96" s="258" t="s">
        <v>398</v>
      </c>
      <c r="BI96" s="259"/>
    </row>
    <row r="97" spans="1:61" ht="12.75" x14ac:dyDescent="0.2">
      <c r="A97" s="263"/>
      <c r="B97" s="264"/>
      <c r="C97" s="265"/>
      <c r="D97" s="266"/>
      <c r="E97" s="253" t="s">
        <v>355</v>
      </c>
      <c r="F97" s="254">
        <v>10779</v>
      </c>
      <c r="G97" s="255">
        <f>SUM(I97,AE97,AN97,AX97,AZ97)</f>
        <v>10779</v>
      </c>
      <c r="H97" s="254">
        <f>9433</f>
        <v>9433</v>
      </c>
      <c r="I97" s="255">
        <f t="shared" si="59"/>
        <v>9433</v>
      </c>
      <c r="J97" s="255">
        <f t="shared" si="60"/>
        <v>0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>
        <f>1346</f>
        <v>1346</v>
      </c>
      <c r="AN97" s="255">
        <f t="shared" si="61"/>
        <v>1346</v>
      </c>
      <c r="AO97" s="256">
        <f t="shared" si="62"/>
        <v>0</v>
      </c>
      <c r="AP97" s="256"/>
      <c r="AQ97" s="256"/>
      <c r="AR97" s="256"/>
      <c r="AS97" s="256"/>
      <c r="AT97" s="256"/>
      <c r="AU97" s="256"/>
      <c r="AV97" s="256"/>
      <c r="AW97" s="256"/>
      <c r="AX97" s="256"/>
      <c r="AY97" s="256">
        <v>0</v>
      </c>
      <c r="AZ97" s="255">
        <v>0</v>
      </c>
      <c r="BA97" s="257">
        <f>SUM(BB97:BG97)</f>
        <v>0</v>
      </c>
      <c r="BB97" s="256"/>
      <c r="BC97" s="256"/>
      <c r="BD97" s="256"/>
      <c r="BE97" s="256"/>
      <c r="BF97" s="256"/>
      <c r="BG97" s="256"/>
      <c r="BH97" s="258" t="s">
        <v>399</v>
      </c>
      <c r="BI97" s="259"/>
    </row>
    <row r="98" spans="1:61" ht="27" customHeight="1" x14ac:dyDescent="0.2">
      <c r="A98" s="263">
        <v>40003219995</v>
      </c>
      <c r="B98" s="264"/>
      <c r="C98" s="413" t="s">
        <v>758</v>
      </c>
      <c r="D98" s="414"/>
      <c r="E98" s="253" t="s">
        <v>304</v>
      </c>
      <c r="F98" s="254"/>
      <c r="G98" s="255">
        <f t="shared" si="58"/>
        <v>78774</v>
      </c>
      <c r="H98" s="254"/>
      <c r="I98" s="255">
        <f t="shared" si="59"/>
        <v>78774</v>
      </c>
      <c r="J98" s="255">
        <f t="shared" si="60"/>
        <v>78774</v>
      </c>
      <c r="K98" s="255"/>
      <c r="L98" s="255"/>
      <c r="M98" s="255"/>
      <c r="N98" s="255"/>
      <c r="O98" s="255">
        <v>78774</v>
      </c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>
        <f t="shared" si="61"/>
        <v>0</v>
      </c>
      <c r="AO98" s="256">
        <f t="shared" si="62"/>
        <v>0</v>
      </c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5"/>
      <c r="BA98" s="257"/>
      <c r="BB98" s="256"/>
      <c r="BC98" s="256"/>
      <c r="BD98" s="256"/>
      <c r="BE98" s="256"/>
      <c r="BF98" s="256"/>
      <c r="BG98" s="256"/>
      <c r="BH98" s="258" t="s">
        <v>760</v>
      </c>
      <c r="BI98" s="259"/>
    </row>
    <row r="99" spans="1:61" ht="12.75" x14ac:dyDescent="0.2">
      <c r="A99" s="263">
        <v>40003220000</v>
      </c>
      <c r="B99" s="264"/>
      <c r="C99" s="328" t="s">
        <v>675</v>
      </c>
      <c r="D99" s="266"/>
      <c r="E99" s="253" t="s">
        <v>304</v>
      </c>
      <c r="F99" s="254">
        <v>94000</v>
      </c>
      <c r="G99" s="255">
        <f t="shared" si="58"/>
        <v>94000</v>
      </c>
      <c r="H99" s="254">
        <f>94000</f>
        <v>94000</v>
      </c>
      <c r="I99" s="255">
        <f t="shared" si="59"/>
        <v>94000</v>
      </c>
      <c r="J99" s="255">
        <f t="shared" si="60"/>
        <v>0</v>
      </c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>
        <f t="shared" si="61"/>
        <v>0</v>
      </c>
      <c r="AO99" s="256">
        <f t="shared" si="62"/>
        <v>0</v>
      </c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5"/>
      <c r="BA99" s="257"/>
      <c r="BB99" s="256"/>
      <c r="BC99" s="256"/>
      <c r="BD99" s="256"/>
      <c r="BE99" s="256"/>
      <c r="BF99" s="256"/>
      <c r="BG99" s="256"/>
      <c r="BH99" s="258" t="s">
        <v>689</v>
      </c>
      <c r="BI99" s="259"/>
    </row>
    <row r="100" spans="1:61" ht="12.75" thickBot="1" x14ac:dyDescent="0.25">
      <c r="A100" s="263"/>
      <c r="B100" s="279"/>
      <c r="C100" s="426"/>
      <c r="D100" s="427"/>
      <c r="E100" s="294"/>
      <c r="F100" s="267"/>
      <c r="G100" s="268"/>
      <c r="H100" s="267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8"/>
      <c r="BA100" s="270"/>
      <c r="BB100" s="269"/>
      <c r="BC100" s="269"/>
      <c r="BD100" s="269"/>
      <c r="BE100" s="269"/>
      <c r="BF100" s="269"/>
      <c r="BG100" s="269"/>
      <c r="BH100" s="271"/>
      <c r="BI100" s="272"/>
    </row>
    <row r="101" spans="1:61" ht="25.5" customHeight="1" thickBot="1" x14ac:dyDescent="0.25">
      <c r="A101" s="282"/>
      <c r="B101" s="421" t="s">
        <v>15</v>
      </c>
      <c r="C101" s="421"/>
      <c r="D101" s="244" t="s">
        <v>16</v>
      </c>
      <c r="E101" s="283"/>
      <c r="F101" s="284">
        <v>13343804.947264958</v>
      </c>
      <c r="G101" s="285">
        <f>SUM(I101,AE101,AN101,AX101,AZ101)</f>
        <v>14069795</v>
      </c>
      <c r="H101" s="284">
        <f>SUM(H102:H140)</f>
        <v>12203777</v>
      </c>
      <c r="I101" s="248">
        <f>SUM(I102:I140)</f>
        <v>12817505</v>
      </c>
      <c r="J101" s="248">
        <f t="shared" ref="J101:AX101" si="63">SUM(J102:J140)</f>
        <v>613728</v>
      </c>
      <c r="K101" s="248">
        <f t="shared" si="63"/>
        <v>0</v>
      </c>
      <c r="L101" s="248">
        <f>SUM(L102:L140)</f>
        <v>0</v>
      </c>
      <c r="M101" s="248">
        <f>SUM(M102:M140)</f>
        <v>0</v>
      </c>
      <c r="N101" s="248">
        <f t="shared" si="63"/>
        <v>15290</v>
      </c>
      <c r="O101" s="248">
        <f t="shared" si="63"/>
        <v>0</v>
      </c>
      <c r="P101" s="248">
        <f>SUM(P102:P140)</f>
        <v>266744</v>
      </c>
      <c r="Q101" s="248">
        <f t="shared" si="63"/>
        <v>14809</v>
      </c>
      <c r="R101" s="248">
        <f t="shared" si="63"/>
        <v>86710</v>
      </c>
      <c r="S101" s="248">
        <f t="shared" si="63"/>
        <v>0</v>
      </c>
      <c r="T101" s="248">
        <f>SUM(T102:T140)</f>
        <v>8908</v>
      </c>
      <c r="U101" s="248">
        <f>SUM(U102:U140)</f>
        <v>527</v>
      </c>
      <c r="V101" s="248">
        <f t="shared" ref="V101:AA101" si="64">SUM(V102:V140)</f>
        <v>169921</v>
      </c>
      <c r="W101" s="248">
        <f t="shared" si="64"/>
        <v>0</v>
      </c>
      <c r="X101" s="248">
        <f t="shared" si="64"/>
        <v>50819</v>
      </c>
      <c r="Y101" s="248">
        <f t="shared" si="64"/>
        <v>0</v>
      </c>
      <c r="Z101" s="248">
        <f t="shared" si="64"/>
        <v>0</v>
      </c>
      <c r="AA101" s="248">
        <f t="shared" si="64"/>
        <v>0</v>
      </c>
      <c r="AB101" s="248">
        <f>SUM(AB102:AB140)</f>
        <v>0</v>
      </c>
      <c r="AC101" s="248">
        <f t="shared" si="63"/>
        <v>0</v>
      </c>
      <c r="AD101" s="248">
        <f>SUM(AD102:AD140)</f>
        <v>7000</v>
      </c>
      <c r="AE101" s="248">
        <f t="shared" si="63"/>
        <v>16939</v>
      </c>
      <c r="AF101" s="248">
        <f t="shared" si="63"/>
        <v>9939</v>
      </c>
      <c r="AG101" s="248">
        <f>SUM(AG102:AG140)</f>
        <v>2660</v>
      </c>
      <c r="AH101" s="248">
        <f t="shared" si="63"/>
        <v>7279</v>
      </c>
      <c r="AI101" s="248">
        <f t="shared" si="63"/>
        <v>0</v>
      </c>
      <c r="AJ101" s="248">
        <f t="shared" si="63"/>
        <v>0</v>
      </c>
      <c r="AK101" s="248">
        <f t="shared" si="63"/>
        <v>0</v>
      </c>
      <c r="AL101" s="248">
        <f t="shared" si="63"/>
        <v>0</v>
      </c>
      <c r="AM101" s="248">
        <f>SUM(AM102:AM140)</f>
        <v>95926</v>
      </c>
      <c r="AN101" s="248">
        <f t="shared" si="63"/>
        <v>198165</v>
      </c>
      <c r="AO101" s="248">
        <f t="shared" si="63"/>
        <v>102239</v>
      </c>
      <c r="AP101" s="248">
        <f t="shared" si="63"/>
        <v>0</v>
      </c>
      <c r="AQ101" s="248">
        <f t="shared" si="63"/>
        <v>10249</v>
      </c>
      <c r="AR101" s="248">
        <f t="shared" si="63"/>
        <v>59647</v>
      </c>
      <c r="AS101" s="248">
        <f t="shared" si="63"/>
        <v>20143</v>
      </c>
      <c r="AT101" s="248">
        <f t="shared" si="63"/>
        <v>12200</v>
      </c>
      <c r="AU101" s="248">
        <f t="shared" ref="AU101:AV101" si="65">SUM(AU102:AU140)</f>
        <v>0</v>
      </c>
      <c r="AV101" s="248">
        <f t="shared" si="65"/>
        <v>0</v>
      </c>
      <c r="AW101" s="248">
        <f t="shared" si="63"/>
        <v>0</v>
      </c>
      <c r="AX101" s="248">
        <f t="shared" si="63"/>
        <v>1036810</v>
      </c>
      <c r="AY101" s="248">
        <f>SUM(AY102:AY140)</f>
        <v>292</v>
      </c>
      <c r="AZ101" s="248">
        <f>SUM(AZ102:AZ140)</f>
        <v>376</v>
      </c>
      <c r="BA101" s="249">
        <f>SUM(BA102:BA140)</f>
        <v>84</v>
      </c>
      <c r="BB101" s="248">
        <f t="shared" ref="BB101:BG101" si="66">SUM(BB102:BB140)</f>
        <v>84</v>
      </c>
      <c r="BC101" s="248">
        <f t="shared" si="66"/>
        <v>0</v>
      </c>
      <c r="BD101" s="248">
        <f t="shared" si="66"/>
        <v>0</v>
      </c>
      <c r="BE101" s="248">
        <f t="shared" si="66"/>
        <v>0</v>
      </c>
      <c r="BF101" s="248">
        <f t="shared" si="66"/>
        <v>0</v>
      </c>
      <c r="BG101" s="248">
        <f t="shared" si="66"/>
        <v>0</v>
      </c>
      <c r="BH101" s="288"/>
      <c r="BI101" s="289"/>
    </row>
    <row r="102" spans="1:61" ht="24.75" thickTop="1" x14ac:dyDescent="0.2">
      <c r="A102" s="290">
        <v>90000056357</v>
      </c>
      <c r="B102" s="291"/>
      <c r="C102" s="422" t="s">
        <v>5</v>
      </c>
      <c r="D102" s="423"/>
      <c r="E102" s="253" t="s">
        <v>239</v>
      </c>
      <c r="F102" s="306">
        <v>796047.94726495701</v>
      </c>
      <c r="G102" s="307">
        <f>SUM(I102,AE102,AN102,AX102,AZ102)</f>
        <v>711048</v>
      </c>
      <c r="H102" s="306">
        <f>796048</f>
        <v>796048</v>
      </c>
      <c r="I102" s="255">
        <f t="shared" ref="I102:I130" si="67">H102+J102</f>
        <v>711048</v>
      </c>
      <c r="J102" s="307">
        <f t="shared" ref="J102:J130" si="68">SUM(K102:AC102)</f>
        <v>-85000</v>
      </c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>
        <f>-79000-6000</f>
        <v>-85000</v>
      </c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>
        <f t="shared" ref="AN102:AN131" si="69">AO102+AM102</f>
        <v>0</v>
      </c>
      <c r="AO102" s="308">
        <f t="shared" ref="AO102:AO131" si="70">SUM(AP102:AW102)</f>
        <v>0</v>
      </c>
      <c r="AP102" s="308"/>
      <c r="AQ102" s="308"/>
      <c r="AR102" s="308"/>
      <c r="AS102" s="308"/>
      <c r="AT102" s="308"/>
      <c r="AU102" s="308"/>
      <c r="AV102" s="308"/>
      <c r="AW102" s="308"/>
      <c r="AX102" s="308"/>
      <c r="AY102" s="308"/>
      <c r="AZ102" s="307"/>
      <c r="BA102" s="309"/>
      <c r="BB102" s="308"/>
      <c r="BC102" s="308"/>
      <c r="BD102" s="308"/>
      <c r="BE102" s="308"/>
      <c r="BF102" s="308"/>
      <c r="BG102" s="308"/>
      <c r="BH102" s="258" t="s">
        <v>668</v>
      </c>
      <c r="BI102" s="259"/>
    </row>
    <row r="103" spans="1:61" ht="12.75" x14ac:dyDescent="0.2">
      <c r="A103" s="292"/>
      <c r="C103" s="261"/>
      <c r="D103" s="262"/>
      <c r="E103" s="253" t="s">
        <v>556</v>
      </c>
      <c r="F103" s="299">
        <v>14700</v>
      </c>
      <c r="G103" s="300">
        <f t="shared" ref="G103:G139" si="71">SUM(I103,AE103,AN103,AX103,AZ103)</f>
        <v>14700</v>
      </c>
      <c r="H103" s="267">
        <f>14700</f>
        <v>14700</v>
      </c>
      <c r="I103" s="255">
        <f t="shared" si="67"/>
        <v>14700</v>
      </c>
      <c r="J103" s="268">
        <f t="shared" si="68"/>
        <v>0</v>
      </c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>
        <f t="shared" si="69"/>
        <v>0</v>
      </c>
      <c r="AO103" s="269">
        <f t="shared" si="70"/>
        <v>0</v>
      </c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8"/>
      <c r="BA103" s="270"/>
      <c r="BB103" s="269"/>
      <c r="BC103" s="269"/>
      <c r="BD103" s="269"/>
      <c r="BE103" s="269"/>
      <c r="BF103" s="269"/>
      <c r="BG103" s="269"/>
      <c r="BH103" s="258" t="s">
        <v>624</v>
      </c>
      <c r="BI103" s="272"/>
    </row>
    <row r="104" spans="1:61" ht="29.25" customHeight="1" x14ac:dyDescent="0.2">
      <c r="A104" s="263"/>
      <c r="B104" s="264"/>
      <c r="C104" s="265"/>
      <c r="D104" s="266"/>
      <c r="E104" s="253" t="s">
        <v>291</v>
      </c>
      <c r="F104" s="254">
        <v>274473</v>
      </c>
      <c r="G104" s="255">
        <f t="shared" si="71"/>
        <v>471531</v>
      </c>
      <c r="H104" s="254">
        <f>274473</f>
        <v>274473</v>
      </c>
      <c r="I104" s="255">
        <f t="shared" si="67"/>
        <v>471531</v>
      </c>
      <c r="J104" s="255">
        <f t="shared" si="68"/>
        <v>197058</v>
      </c>
      <c r="K104" s="255"/>
      <c r="L104" s="255"/>
      <c r="M104" s="255"/>
      <c r="N104" s="255"/>
      <c r="O104" s="255"/>
      <c r="P104" s="255"/>
      <c r="Q104" s="255">
        <v>4795</v>
      </c>
      <c r="R104" s="255">
        <v>4659</v>
      </c>
      <c r="S104" s="255"/>
      <c r="T104" s="255"/>
      <c r="U104" s="255"/>
      <c r="V104" s="255">
        <f>188800-1196</f>
        <v>187604</v>
      </c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>
        <f t="shared" si="69"/>
        <v>0</v>
      </c>
      <c r="AO104" s="256">
        <f t="shared" si="70"/>
        <v>0</v>
      </c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5"/>
      <c r="BA104" s="257"/>
      <c r="BB104" s="256"/>
      <c r="BC104" s="256"/>
      <c r="BD104" s="256"/>
      <c r="BE104" s="256"/>
      <c r="BF104" s="256"/>
      <c r="BG104" s="256"/>
      <c r="BH104" s="258" t="s">
        <v>625</v>
      </c>
      <c r="BI104" s="259" t="s">
        <v>582</v>
      </c>
    </row>
    <row r="105" spans="1:61" ht="24" x14ac:dyDescent="0.2">
      <c r="A105" s="263"/>
      <c r="B105" s="264"/>
      <c r="C105" s="265"/>
      <c r="D105" s="266"/>
      <c r="E105" s="253" t="s">
        <v>566</v>
      </c>
      <c r="F105" s="254">
        <v>143134</v>
      </c>
      <c r="G105" s="255">
        <f t="shared" si="71"/>
        <v>146858</v>
      </c>
      <c r="H105" s="254">
        <f>143134</f>
        <v>143134</v>
      </c>
      <c r="I105" s="255">
        <f t="shared" si="67"/>
        <v>146858</v>
      </c>
      <c r="J105" s="255">
        <f t="shared" si="68"/>
        <v>3724</v>
      </c>
      <c r="K105" s="255"/>
      <c r="L105" s="255"/>
      <c r="M105" s="255"/>
      <c r="N105" s="255"/>
      <c r="O105" s="255"/>
      <c r="P105" s="255"/>
      <c r="Q105" s="255"/>
      <c r="R105" s="255">
        <v>3724</v>
      </c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>
        <f t="shared" si="69"/>
        <v>0</v>
      </c>
      <c r="AO105" s="256">
        <f t="shared" si="70"/>
        <v>0</v>
      </c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5"/>
      <c r="BA105" s="257"/>
      <c r="BB105" s="256"/>
      <c r="BC105" s="256"/>
      <c r="BD105" s="256"/>
      <c r="BE105" s="256"/>
      <c r="BF105" s="256"/>
      <c r="BG105" s="256"/>
      <c r="BH105" s="258" t="s">
        <v>687</v>
      </c>
      <c r="BI105" s="259" t="s">
        <v>583</v>
      </c>
    </row>
    <row r="106" spans="1:61" ht="27.75" customHeight="1" x14ac:dyDescent="0.2">
      <c r="A106" s="263"/>
      <c r="B106" s="264"/>
      <c r="C106" s="265"/>
      <c r="D106" s="266"/>
      <c r="E106" s="253" t="s">
        <v>560</v>
      </c>
      <c r="F106" s="254">
        <v>6940</v>
      </c>
      <c r="G106" s="255">
        <f t="shared" si="71"/>
        <v>6940</v>
      </c>
      <c r="H106" s="254">
        <f>6940</f>
        <v>6940</v>
      </c>
      <c r="I106" s="255">
        <f t="shared" si="67"/>
        <v>6940</v>
      </c>
      <c r="J106" s="255">
        <f t="shared" si="68"/>
        <v>0</v>
      </c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>
        <f t="shared" si="69"/>
        <v>0</v>
      </c>
      <c r="AO106" s="256">
        <f t="shared" si="70"/>
        <v>0</v>
      </c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5"/>
      <c r="BA106" s="257"/>
      <c r="BB106" s="256"/>
      <c r="BC106" s="256"/>
      <c r="BD106" s="256"/>
      <c r="BE106" s="256"/>
      <c r="BF106" s="256"/>
      <c r="BG106" s="256"/>
      <c r="BH106" s="258" t="s">
        <v>401</v>
      </c>
      <c r="BI106" s="259" t="s">
        <v>583</v>
      </c>
    </row>
    <row r="107" spans="1:61" ht="36" x14ac:dyDescent="0.2">
      <c r="A107" s="263"/>
      <c r="B107" s="264"/>
      <c r="C107" s="265"/>
      <c r="D107" s="266"/>
      <c r="E107" s="253" t="s">
        <v>561</v>
      </c>
      <c r="F107" s="254">
        <v>78635</v>
      </c>
      <c r="G107" s="255">
        <f t="shared" si="71"/>
        <v>78635</v>
      </c>
      <c r="H107" s="254">
        <f>78635</f>
        <v>78635</v>
      </c>
      <c r="I107" s="255">
        <f t="shared" si="67"/>
        <v>78635</v>
      </c>
      <c r="J107" s="255">
        <f t="shared" si="68"/>
        <v>0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>
        <f t="shared" si="69"/>
        <v>0</v>
      </c>
      <c r="AO107" s="256">
        <f t="shared" si="70"/>
        <v>0</v>
      </c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5"/>
      <c r="BA107" s="257"/>
      <c r="BB107" s="256"/>
      <c r="BC107" s="256"/>
      <c r="BD107" s="256"/>
      <c r="BE107" s="256"/>
      <c r="BF107" s="256"/>
      <c r="BG107" s="256"/>
      <c r="BH107" s="258" t="s">
        <v>626</v>
      </c>
      <c r="BI107" s="259" t="s">
        <v>583</v>
      </c>
    </row>
    <row r="108" spans="1:61" ht="36" x14ac:dyDescent="0.2">
      <c r="A108" s="263"/>
      <c r="B108" s="264"/>
      <c r="C108" s="265"/>
      <c r="D108" s="266"/>
      <c r="E108" s="253" t="s">
        <v>562</v>
      </c>
      <c r="F108" s="254">
        <v>4896371</v>
      </c>
      <c r="G108" s="255">
        <f t="shared" si="71"/>
        <v>4904098</v>
      </c>
      <c r="H108" s="254">
        <f>4896371</f>
        <v>4896371</v>
      </c>
      <c r="I108" s="255">
        <f t="shared" si="67"/>
        <v>4904098</v>
      </c>
      <c r="J108" s="255">
        <f t="shared" si="68"/>
        <v>7727</v>
      </c>
      <c r="K108" s="255"/>
      <c r="L108" s="255"/>
      <c r="M108" s="255"/>
      <c r="N108" s="255"/>
      <c r="O108" s="255"/>
      <c r="P108" s="255"/>
      <c r="Q108" s="255"/>
      <c r="R108" s="255">
        <v>7727</v>
      </c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>
        <f t="shared" si="69"/>
        <v>0</v>
      </c>
      <c r="AO108" s="256">
        <f t="shared" si="70"/>
        <v>0</v>
      </c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5"/>
      <c r="BA108" s="257"/>
      <c r="BB108" s="256"/>
      <c r="BC108" s="256"/>
      <c r="BD108" s="256"/>
      <c r="BE108" s="256"/>
      <c r="BF108" s="256"/>
      <c r="BG108" s="256"/>
      <c r="BH108" s="258" t="s">
        <v>627</v>
      </c>
      <c r="BI108" s="259" t="s">
        <v>583</v>
      </c>
    </row>
    <row r="109" spans="1:61" ht="24" x14ac:dyDescent="0.2">
      <c r="A109" s="263"/>
      <c r="B109" s="264"/>
      <c r="C109" s="265"/>
      <c r="D109" s="266"/>
      <c r="E109" s="253" t="s">
        <v>342</v>
      </c>
      <c r="F109" s="254">
        <v>68474</v>
      </c>
      <c r="G109" s="255">
        <f>SUM(I109,AE109,AN109,AX109,AZ109)</f>
        <v>68474</v>
      </c>
      <c r="H109" s="254">
        <f>61300</f>
        <v>61300</v>
      </c>
      <c r="I109" s="255">
        <f t="shared" si="67"/>
        <v>61300</v>
      </c>
      <c r="J109" s="255">
        <f t="shared" si="68"/>
        <v>0</v>
      </c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>
        <f>7000</f>
        <v>7000</v>
      </c>
      <c r="AE109" s="255">
        <f>AD109+AF109</f>
        <v>7000</v>
      </c>
      <c r="AF109" s="255">
        <f>SUM(AG109:AL109)</f>
        <v>0</v>
      </c>
      <c r="AG109" s="255"/>
      <c r="AH109" s="255"/>
      <c r="AI109" s="255"/>
      <c r="AJ109" s="255"/>
      <c r="AK109" s="255"/>
      <c r="AL109" s="255"/>
      <c r="AM109" s="255"/>
      <c r="AN109" s="255">
        <f t="shared" si="69"/>
        <v>0</v>
      </c>
      <c r="AO109" s="256">
        <f t="shared" si="70"/>
        <v>0</v>
      </c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>
        <v>174</v>
      </c>
      <c r="AZ109" s="255">
        <f>AY109+BA109</f>
        <v>174</v>
      </c>
      <c r="BA109" s="257">
        <f>SUM(BB109:BG109)</f>
        <v>0</v>
      </c>
      <c r="BB109" s="256"/>
      <c r="BC109" s="256"/>
      <c r="BD109" s="256"/>
      <c r="BE109" s="256"/>
      <c r="BF109" s="256"/>
      <c r="BG109" s="256"/>
      <c r="BH109" s="258" t="s">
        <v>628</v>
      </c>
      <c r="BI109" s="259" t="s">
        <v>698</v>
      </c>
    </row>
    <row r="110" spans="1:61" ht="24" x14ac:dyDescent="0.2">
      <c r="A110" s="263"/>
      <c r="B110" s="264"/>
      <c r="C110" s="265"/>
      <c r="D110" s="266"/>
      <c r="E110" s="253" t="s">
        <v>570</v>
      </c>
      <c r="F110" s="254">
        <v>262709</v>
      </c>
      <c r="G110" s="255">
        <f t="shared" si="71"/>
        <v>262709</v>
      </c>
      <c r="H110" s="254">
        <f>262709</f>
        <v>262709</v>
      </c>
      <c r="I110" s="255">
        <f t="shared" si="67"/>
        <v>262709</v>
      </c>
      <c r="J110" s="255">
        <f t="shared" si="68"/>
        <v>0</v>
      </c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>
        <f t="shared" ref="AF110:AF139" si="72">SUM(AG110:AL110)</f>
        <v>0</v>
      </c>
      <c r="AG110" s="255"/>
      <c r="AH110" s="255"/>
      <c r="AI110" s="255"/>
      <c r="AJ110" s="255"/>
      <c r="AK110" s="255"/>
      <c r="AL110" s="255"/>
      <c r="AM110" s="255"/>
      <c r="AN110" s="255">
        <f t="shared" si="69"/>
        <v>0</v>
      </c>
      <c r="AO110" s="256">
        <f t="shared" si="70"/>
        <v>0</v>
      </c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5"/>
      <c r="BA110" s="257"/>
      <c r="BB110" s="256"/>
      <c r="BC110" s="256"/>
      <c r="BD110" s="256"/>
      <c r="BE110" s="256"/>
      <c r="BF110" s="256"/>
      <c r="BG110" s="256"/>
      <c r="BH110" s="258" t="s">
        <v>629</v>
      </c>
      <c r="BI110" s="259" t="s">
        <v>584</v>
      </c>
    </row>
    <row r="111" spans="1:61" ht="12.75" x14ac:dyDescent="0.2">
      <c r="A111" s="263"/>
      <c r="B111" s="264"/>
      <c r="C111" s="265"/>
      <c r="D111" s="266"/>
      <c r="E111" s="253" t="s">
        <v>293</v>
      </c>
      <c r="F111" s="254">
        <v>1490460</v>
      </c>
      <c r="G111" s="255">
        <f t="shared" si="71"/>
        <v>1498205</v>
      </c>
      <c r="H111" s="254">
        <f>1490460</f>
        <v>1490460</v>
      </c>
      <c r="I111" s="255">
        <f t="shared" si="67"/>
        <v>1498205</v>
      </c>
      <c r="J111" s="255">
        <f t="shared" si="68"/>
        <v>7745</v>
      </c>
      <c r="K111" s="255"/>
      <c r="L111" s="255"/>
      <c r="M111" s="255"/>
      <c r="N111" s="255"/>
      <c r="O111" s="255"/>
      <c r="P111" s="255"/>
      <c r="Q111" s="255">
        <v>5175</v>
      </c>
      <c r="R111" s="255">
        <v>2570</v>
      </c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>
        <f t="shared" si="72"/>
        <v>0</v>
      </c>
      <c r="AG111" s="255"/>
      <c r="AH111" s="255"/>
      <c r="AI111" s="255"/>
      <c r="AJ111" s="255"/>
      <c r="AK111" s="255"/>
      <c r="AL111" s="255"/>
      <c r="AM111" s="255"/>
      <c r="AN111" s="255">
        <f t="shared" si="69"/>
        <v>0</v>
      </c>
      <c r="AO111" s="256">
        <f t="shared" si="70"/>
        <v>0</v>
      </c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5"/>
      <c r="BA111" s="257"/>
      <c r="BB111" s="256"/>
      <c r="BC111" s="256"/>
      <c r="BD111" s="256"/>
      <c r="BE111" s="256"/>
      <c r="BF111" s="256"/>
      <c r="BG111" s="256"/>
      <c r="BH111" s="258" t="s">
        <v>400</v>
      </c>
      <c r="BI111" s="259" t="s">
        <v>319</v>
      </c>
    </row>
    <row r="112" spans="1:61" ht="24" x14ac:dyDescent="0.2">
      <c r="A112" s="263"/>
      <c r="B112" s="264"/>
      <c r="C112" s="265"/>
      <c r="D112" s="266"/>
      <c r="E112" s="312" t="s">
        <v>569</v>
      </c>
      <c r="F112" s="254">
        <v>285172</v>
      </c>
      <c r="G112" s="255">
        <f>SUM(I112,AE112,AN112,AX112,AZ112)</f>
        <v>359146</v>
      </c>
      <c r="H112" s="254">
        <f>285172</f>
        <v>285172</v>
      </c>
      <c r="I112" s="255">
        <f t="shared" si="67"/>
        <v>356486</v>
      </c>
      <c r="J112" s="255">
        <f t="shared" si="68"/>
        <v>71314</v>
      </c>
      <c r="K112" s="255"/>
      <c r="L112" s="255"/>
      <c r="M112" s="255"/>
      <c r="N112" s="255">
        <f>15000+656</f>
        <v>15656</v>
      </c>
      <c r="O112" s="255"/>
      <c r="P112" s="255"/>
      <c r="Q112" s="255">
        <v>4839</v>
      </c>
      <c r="R112" s="255"/>
      <c r="S112" s="255"/>
      <c r="T112" s="255"/>
      <c r="U112" s="255"/>
      <c r="V112" s="255"/>
      <c r="W112" s="255"/>
      <c r="X112" s="255">
        <v>50819</v>
      </c>
      <c r="Y112" s="255"/>
      <c r="Z112" s="255"/>
      <c r="AA112" s="255"/>
      <c r="AB112" s="255"/>
      <c r="AC112" s="255"/>
      <c r="AD112" s="255">
        <v>0</v>
      </c>
      <c r="AE112" s="255">
        <f>AD112+AF112</f>
        <v>2660</v>
      </c>
      <c r="AF112" s="255">
        <f t="shared" si="72"/>
        <v>2660</v>
      </c>
      <c r="AG112" s="255">
        <v>2660</v>
      </c>
      <c r="AH112" s="255"/>
      <c r="AI112" s="255"/>
      <c r="AJ112" s="255"/>
      <c r="AK112" s="255"/>
      <c r="AL112" s="255"/>
      <c r="AM112" s="255"/>
      <c r="AN112" s="255">
        <f t="shared" si="69"/>
        <v>0</v>
      </c>
      <c r="AO112" s="256">
        <f t="shared" si="70"/>
        <v>0</v>
      </c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5"/>
      <c r="BA112" s="257"/>
      <c r="BB112" s="256"/>
      <c r="BC112" s="256"/>
      <c r="BD112" s="256"/>
      <c r="BE112" s="256"/>
      <c r="BF112" s="256"/>
      <c r="BG112" s="256"/>
      <c r="BH112" s="258" t="s">
        <v>736</v>
      </c>
      <c r="BI112" s="259" t="s">
        <v>586</v>
      </c>
    </row>
    <row r="113" spans="1:61" ht="15" customHeight="1" x14ac:dyDescent="0.2">
      <c r="A113" s="263">
        <v>90000594245</v>
      </c>
      <c r="B113" s="264"/>
      <c r="C113" s="413" t="s">
        <v>24</v>
      </c>
      <c r="D113" s="414"/>
      <c r="E113" s="253" t="s">
        <v>271</v>
      </c>
      <c r="F113" s="254">
        <v>42000</v>
      </c>
      <c r="G113" s="255">
        <f t="shared" si="71"/>
        <v>42000</v>
      </c>
      <c r="H113" s="254">
        <f>42000</f>
        <v>42000</v>
      </c>
      <c r="I113" s="255">
        <f t="shared" si="67"/>
        <v>42000</v>
      </c>
      <c r="J113" s="255">
        <f t="shared" si="68"/>
        <v>0</v>
      </c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>
        <v>0</v>
      </c>
      <c r="AE113" s="255">
        <f t="shared" ref="AE113:AE138" si="73">AD113+AF113</f>
        <v>0</v>
      </c>
      <c r="AF113" s="255">
        <f t="shared" si="72"/>
        <v>0</v>
      </c>
      <c r="AG113" s="255"/>
      <c r="AH113" s="255"/>
      <c r="AI113" s="255"/>
      <c r="AJ113" s="255"/>
      <c r="AK113" s="255"/>
      <c r="AL113" s="255"/>
      <c r="AM113" s="255"/>
      <c r="AN113" s="255">
        <f t="shared" si="69"/>
        <v>0</v>
      </c>
      <c r="AO113" s="256">
        <f t="shared" si="70"/>
        <v>0</v>
      </c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5"/>
      <c r="BA113" s="257"/>
      <c r="BB113" s="256"/>
      <c r="BC113" s="256"/>
      <c r="BD113" s="256"/>
      <c r="BE113" s="256"/>
      <c r="BF113" s="256"/>
      <c r="BG113" s="256"/>
      <c r="BH113" s="258" t="s">
        <v>402</v>
      </c>
      <c r="BI113" s="259" t="s">
        <v>368</v>
      </c>
    </row>
    <row r="114" spans="1:61" ht="15" customHeight="1" x14ac:dyDescent="0.2">
      <c r="A114" s="263"/>
      <c r="B114" s="264"/>
      <c r="C114" s="265"/>
      <c r="D114" s="266"/>
      <c r="E114" s="253" t="s">
        <v>587</v>
      </c>
      <c r="F114" s="254">
        <v>10163</v>
      </c>
      <c r="G114" s="255">
        <f t="shared" si="71"/>
        <v>10003</v>
      </c>
      <c r="H114" s="254">
        <f>10163</f>
        <v>10163</v>
      </c>
      <c r="I114" s="255">
        <f t="shared" si="67"/>
        <v>10003</v>
      </c>
      <c r="J114" s="255">
        <f t="shared" si="68"/>
        <v>-160</v>
      </c>
      <c r="K114" s="255"/>
      <c r="L114" s="255"/>
      <c r="M114" s="255"/>
      <c r="N114" s="255"/>
      <c r="O114" s="255"/>
      <c r="P114" s="255">
        <v>-160</v>
      </c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>
        <v>0</v>
      </c>
      <c r="AE114" s="255">
        <f t="shared" si="73"/>
        <v>0</v>
      </c>
      <c r="AF114" s="255">
        <f t="shared" si="72"/>
        <v>0</v>
      </c>
      <c r="AG114" s="255"/>
      <c r="AH114" s="255"/>
      <c r="AI114" s="255"/>
      <c r="AJ114" s="255"/>
      <c r="AK114" s="255"/>
      <c r="AL114" s="255"/>
      <c r="AM114" s="255"/>
      <c r="AN114" s="255">
        <f t="shared" si="69"/>
        <v>0</v>
      </c>
      <c r="AO114" s="256">
        <f t="shared" si="70"/>
        <v>0</v>
      </c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5"/>
      <c r="BA114" s="257"/>
      <c r="BB114" s="256"/>
      <c r="BC114" s="256"/>
      <c r="BD114" s="256"/>
      <c r="BE114" s="256"/>
      <c r="BF114" s="256"/>
      <c r="BG114" s="256"/>
      <c r="BH114" s="258" t="s">
        <v>630</v>
      </c>
      <c r="BI114" s="259" t="s">
        <v>368</v>
      </c>
    </row>
    <row r="115" spans="1:61" ht="15" customHeight="1" x14ac:dyDescent="0.2">
      <c r="A115" s="263"/>
      <c r="B115" s="264"/>
      <c r="C115" s="265"/>
      <c r="D115" s="266"/>
      <c r="E115" s="253" t="s">
        <v>588</v>
      </c>
      <c r="F115" s="254">
        <v>20000</v>
      </c>
      <c r="G115" s="255">
        <f t="shared" si="71"/>
        <v>20000</v>
      </c>
      <c r="H115" s="254">
        <f>20000</f>
        <v>20000</v>
      </c>
      <c r="I115" s="255">
        <f t="shared" si="67"/>
        <v>20000</v>
      </c>
      <c r="J115" s="255">
        <f t="shared" si="68"/>
        <v>0</v>
      </c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>
        <v>0</v>
      </c>
      <c r="AE115" s="255">
        <f t="shared" si="73"/>
        <v>0</v>
      </c>
      <c r="AF115" s="255">
        <f t="shared" si="72"/>
        <v>0</v>
      </c>
      <c r="AG115" s="255"/>
      <c r="AH115" s="255"/>
      <c r="AI115" s="255"/>
      <c r="AJ115" s="255"/>
      <c r="AK115" s="255"/>
      <c r="AL115" s="255"/>
      <c r="AM115" s="255"/>
      <c r="AN115" s="255">
        <f t="shared" si="69"/>
        <v>0</v>
      </c>
      <c r="AO115" s="256">
        <f t="shared" si="70"/>
        <v>0</v>
      </c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5"/>
      <c r="BA115" s="257"/>
      <c r="BB115" s="256"/>
      <c r="BC115" s="256"/>
      <c r="BD115" s="256"/>
      <c r="BE115" s="256"/>
      <c r="BF115" s="256"/>
      <c r="BG115" s="256"/>
      <c r="BH115" s="258" t="s">
        <v>631</v>
      </c>
      <c r="BI115" s="259" t="s">
        <v>368</v>
      </c>
    </row>
    <row r="116" spans="1:61" ht="15" customHeight="1" x14ac:dyDescent="0.2">
      <c r="A116" s="263"/>
      <c r="B116" s="264"/>
      <c r="C116" s="265"/>
      <c r="D116" s="266"/>
      <c r="E116" s="253" t="s">
        <v>589</v>
      </c>
      <c r="F116" s="254">
        <v>5226</v>
      </c>
      <c r="G116" s="255">
        <f t="shared" si="71"/>
        <v>16904</v>
      </c>
      <c r="H116" s="254">
        <f>5226</f>
        <v>5226</v>
      </c>
      <c r="I116" s="255">
        <f t="shared" si="67"/>
        <v>16904</v>
      </c>
      <c r="J116" s="255">
        <f t="shared" si="68"/>
        <v>11678</v>
      </c>
      <c r="K116" s="255"/>
      <c r="L116" s="255"/>
      <c r="M116" s="255"/>
      <c r="N116" s="255"/>
      <c r="O116" s="255"/>
      <c r="P116" s="255">
        <v>-569</v>
      </c>
      <c r="Q116" s="255"/>
      <c r="R116" s="255"/>
      <c r="S116" s="255"/>
      <c r="T116" s="255"/>
      <c r="U116" s="255"/>
      <c r="V116" s="255">
        <v>12247</v>
      </c>
      <c r="W116" s="255"/>
      <c r="X116" s="255"/>
      <c r="Y116" s="255"/>
      <c r="Z116" s="255"/>
      <c r="AA116" s="255"/>
      <c r="AB116" s="255"/>
      <c r="AC116" s="255"/>
      <c r="AD116" s="255">
        <v>0</v>
      </c>
      <c r="AE116" s="255">
        <f t="shared" si="73"/>
        <v>0</v>
      </c>
      <c r="AF116" s="255">
        <f t="shared" si="72"/>
        <v>0</v>
      </c>
      <c r="AG116" s="255"/>
      <c r="AH116" s="255"/>
      <c r="AI116" s="255"/>
      <c r="AJ116" s="255"/>
      <c r="AK116" s="255"/>
      <c r="AL116" s="255"/>
      <c r="AM116" s="255"/>
      <c r="AN116" s="255">
        <f t="shared" si="69"/>
        <v>0</v>
      </c>
      <c r="AO116" s="256">
        <f t="shared" si="70"/>
        <v>0</v>
      </c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5"/>
      <c r="BA116" s="257"/>
      <c r="BB116" s="256"/>
      <c r="BC116" s="256"/>
      <c r="BD116" s="256"/>
      <c r="BE116" s="256"/>
      <c r="BF116" s="256"/>
      <c r="BG116" s="256"/>
      <c r="BH116" s="258" t="s">
        <v>632</v>
      </c>
      <c r="BI116" s="259" t="s">
        <v>368</v>
      </c>
    </row>
    <row r="117" spans="1:61" ht="15" customHeight="1" x14ac:dyDescent="0.2">
      <c r="A117" s="263"/>
      <c r="B117" s="264"/>
      <c r="C117" s="265"/>
      <c r="D117" s="266"/>
      <c r="E117" s="253" t="s">
        <v>590</v>
      </c>
      <c r="F117" s="254">
        <v>31139</v>
      </c>
      <c r="G117" s="255">
        <f t="shared" si="71"/>
        <v>31868</v>
      </c>
      <c r="H117" s="254">
        <f>31139</f>
        <v>31139</v>
      </c>
      <c r="I117" s="255">
        <f t="shared" si="67"/>
        <v>31868</v>
      </c>
      <c r="J117" s="255">
        <f t="shared" si="68"/>
        <v>729</v>
      </c>
      <c r="K117" s="255"/>
      <c r="L117" s="255"/>
      <c r="M117" s="255"/>
      <c r="N117" s="255"/>
      <c r="O117" s="255"/>
      <c r="P117" s="255">
        <v>729</v>
      </c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>
        <v>0</v>
      </c>
      <c r="AE117" s="255">
        <f t="shared" si="73"/>
        <v>0</v>
      </c>
      <c r="AF117" s="255">
        <f t="shared" si="72"/>
        <v>0</v>
      </c>
      <c r="AG117" s="255"/>
      <c r="AH117" s="255"/>
      <c r="AI117" s="255"/>
      <c r="AJ117" s="255"/>
      <c r="AK117" s="255"/>
      <c r="AL117" s="255"/>
      <c r="AM117" s="255"/>
      <c r="AN117" s="255">
        <f t="shared" si="69"/>
        <v>0</v>
      </c>
      <c r="AO117" s="256">
        <f t="shared" si="70"/>
        <v>0</v>
      </c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5"/>
      <c r="BA117" s="257"/>
      <c r="BB117" s="256"/>
      <c r="BC117" s="256"/>
      <c r="BD117" s="256"/>
      <c r="BE117" s="256"/>
      <c r="BF117" s="256"/>
      <c r="BG117" s="256"/>
      <c r="BH117" s="258" t="s">
        <v>633</v>
      </c>
      <c r="BI117" s="259" t="s">
        <v>368</v>
      </c>
    </row>
    <row r="118" spans="1:61" ht="24" x14ac:dyDescent="0.2">
      <c r="A118" s="263"/>
      <c r="B118" s="264"/>
      <c r="C118" s="265"/>
      <c r="D118" s="266"/>
      <c r="E118" s="253" t="s">
        <v>591</v>
      </c>
      <c r="F118" s="254">
        <v>5400</v>
      </c>
      <c r="G118" s="255">
        <f t="shared" si="71"/>
        <v>5400</v>
      </c>
      <c r="H118" s="254">
        <f>5400</f>
        <v>5400</v>
      </c>
      <c r="I118" s="255">
        <f t="shared" si="67"/>
        <v>5400</v>
      </c>
      <c r="J118" s="255">
        <f t="shared" si="68"/>
        <v>0</v>
      </c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>
        <v>0</v>
      </c>
      <c r="AE118" s="255">
        <f t="shared" si="73"/>
        <v>0</v>
      </c>
      <c r="AF118" s="255">
        <f t="shared" si="72"/>
        <v>0</v>
      </c>
      <c r="AG118" s="255"/>
      <c r="AH118" s="255"/>
      <c r="AI118" s="255"/>
      <c r="AJ118" s="255"/>
      <c r="AK118" s="255"/>
      <c r="AL118" s="255"/>
      <c r="AM118" s="255"/>
      <c r="AN118" s="255">
        <f t="shared" si="69"/>
        <v>0</v>
      </c>
      <c r="AO118" s="256">
        <f t="shared" si="70"/>
        <v>0</v>
      </c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5"/>
      <c r="BA118" s="257"/>
      <c r="BB118" s="256"/>
      <c r="BC118" s="256"/>
      <c r="BD118" s="256"/>
      <c r="BE118" s="256"/>
      <c r="BF118" s="256"/>
      <c r="BG118" s="256"/>
      <c r="BH118" s="258" t="s">
        <v>634</v>
      </c>
      <c r="BI118" s="259" t="s">
        <v>368</v>
      </c>
    </row>
    <row r="119" spans="1:61" ht="24" x14ac:dyDescent="0.2">
      <c r="A119" s="263"/>
      <c r="B119" s="264"/>
      <c r="C119" s="265"/>
      <c r="D119" s="266"/>
      <c r="E119" s="253" t="s">
        <v>592</v>
      </c>
      <c r="F119" s="254">
        <v>4865</v>
      </c>
      <c r="G119" s="255">
        <f t="shared" si="71"/>
        <v>4865</v>
      </c>
      <c r="H119" s="254">
        <f>4865</f>
        <v>4865</v>
      </c>
      <c r="I119" s="255">
        <f t="shared" si="67"/>
        <v>4865</v>
      </c>
      <c r="J119" s="255">
        <f t="shared" si="68"/>
        <v>0</v>
      </c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>
        <v>0</v>
      </c>
      <c r="AE119" s="255">
        <f t="shared" si="73"/>
        <v>0</v>
      </c>
      <c r="AF119" s="255">
        <f t="shared" si="72"/>
        <v>0</v>
      </c>
      <c r="AG119" s="255"/>
      <c r="AH119" s="255"/>
      <c r="AI119" s="255"/>
      <c r="AJ119" s="255"/>
      <c r="AK119" s="255"/>
      <c r="AL119" s="255"/>
      <c r="AM119" s="255"/>
      <c r="AN119" s="255">
        <f t="shared" si="69"/>
        <v>0</v>
      </c>
      <c r="AO119" s="256">
        <f t="shared" si="70"/>
        <v>0</v>
      </c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5"/>
      <c r="BA119" s="257"/>
      <c r="BB119" s="256"/>
      <c r="BC119" s="256"/>
      <c r="BD119" s="256"/>
      <c r="BE119" s="256"/>
      <c r="BF119" s="256"/>
      <c r="BG119" s="256"/>
      <c r="BH119" s="258" t="s">
        <v>635</v>
      </c>
      <c r="BI119" s="259" t="s">
        <v>368</v>
      </c>
    </row>
    <row r="120" spans="1:61" ht="40.5" customHeight="1" x14ac:dyDescent="0.2">
      <c r="A120" s="263">
        <v>90000056450</v>
      </c>
      <c r="B120" s="264"/>
      <c r="C120" s="413" t="s">
        <v>257</v>
      </c>
      <c r="D120" s="414"/>
      <c r="E120" s="253" t="s">
        <v>306</v>
      </c>
      <c r="F120" s="254">
        <v>627262</v>
      </c>
      <c r="G120" s="255">
        <f>SUM(I120,AE120,AN120,AX120,AZ120)</f>
        <v>628583</v>
      </c>
      <c r="H120" s="254">
        <f>617308</f>
        <v>617308</v>
      </c>
      <c r="I120" s="255">
        <f t="shared" si="67"/>
        <v>617308</v>
      </c>
      <c r="J120" s="255">
        <f t="shared" si="68"/>
        <v>0</v>
      </c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>
        <v>0</v>
      </c>
      <c r="AE120" s="255">
        <f t="shared" si="73"/>
        <v>0</v>
      </c>
      <c r="AF120" s="255">
        <f t="shared" si="72"/>
        <v>0</v>
      </c>
      <c r="AG120" s="255"/>
      <c r="AH120" s="255"/>
      <c r="AI120" s="255"/>
      <c r="AJ120" s="255"/>
      <c r="AK120" s="255"/>
      <c r="AL120" s="255"/>
      <c r="AM120" s="255">
        <f>9954</f>
        <v>9954</v>
      </c>
      <c r="AN120" s="255">
        <f t="shared" si="69"/>
        <v>11275</v>
      </c>
      <c r="AO120" s="256">
        <f t="shared" si="70"/>
        <v>1321</v>
      </c>
      <c r="AP120" s="256"/>
      <c r="AQ120" s="255">
        <f>1321</f>
        <v>1321</v>
      </c>
      <c r="AR120" s="256"/>
      <c r="AS120" s="256"/>
      <c r="AT120" s="256"/>
      <c r="AU120" s="256"/>
      <c r="AV120" s="256"/>
      <c r="AW120" s="256"/>
      <c r="AX120" s="256"/>
      <c r="AY120" s="256"/>
      <c r="AZ120" s="255"/>
      <c r="BA120" s="257"/>
      <c r="BB120" s="256"/>
      <c r="BC120" s="255"/>
      <c r="BD120" s="256"/>
      <c r="BE120" s="256"/>
      <c r="BF120" s="256"/>
      <c r="BG120" s="256"/>
      <c r="BH120" s="258" t="s">
        <v>403</v>
      </c>
      <c r="BI120" s="259"/>
    </row>
    <row r="121" spans="1:61" ht="39.75" customHeight="1" x14ac:dyDescent="0.2">
      <c r="A121" s="263">
        <v>90009229680</v>
      </c>
      <c r="B121" s="264"/>
      <c r="C121" s="413" t="s">
        <v>192</v>
      </c>
      <c r="D121" s="414"/>
      <c r="E121" s="253" t="s">
        <v>305</v>
      </c>
      <c r="F121" s="254">
        <v>910105</v>
      </c>
      <c r="G121" s="255">
        <f>SUM(I121,AE121,AN121,AX121,AZ121)</f>
        <v>919827</v>
      </c>
      <c r="H121" s="254">
        <f>883228</f>
        <v>883228</v>
      </c>
      <c r="I121" s="255">
        <f t="shared" si="67"/>
        <v>884671</v>
      </c>
      <c r="J121" s="255">
        <f t="shared" si="68"/>
        <v>1443</v>
      </c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>
        <v>1443</v>
      </c>
      <c r="W121" s="255"/>
      <c r="X121" s="255"/>
      <c r="Y121" s="255"/>
      <c r="Z121" s="255"/>
      <c r="AA121" s="255"/>
      <c r="AB121" s="255"/>
      <c r="AC121" s="255"/>
      <c r="AD121" s="255">
        <v>0</v>
      </c>
      <c r="AE121" s="255">
        <f t="shared" si="73"/>
        <v>7279</v>
      </c>
      <c r="AF121" s="255">
        <f t="shared" si="72"/>
        <v>7279</v>
      </c>
      <c r="AG121" s="255"/>
      <c r="AH121" s="255">
        <v>7279</v>
      </c>
      <c r="AI121" s="255"/>
      <c r="AJ121" s="255"/>
      <c r="AK121" s="255"/>
      <c r="AL121" s="255"/>
      <c r="AM121" s="255">
        <f>26877</f>
        <v>26877</v>
      </c>
      <c r="AN121" s="255">
        <f t="shared" si="69"/>
        <v>27877</v>
      </c>
      <c r="AO121" s="256">
        <f t="shared" si="70"/>
        <v>1000</v>
      </c>
      <c r="AP121" s="256"/>
      <c r="AQ121" s="255">
        <f>1000</f>
        <v>1000</v>
      </c>
      <c r="AR121" s="256"/>
      <c r="AS121" s="256"/>
      <c r="AT121" s="256"/>
      <c r="AU121" s="256"/>
      <c r="AV121" s="256"/>
      <c r="AW121" s="256"/>
      <c r="AX121" s="256"/>
      <c r="AY121" s="256"/>
      <c r="AZ121" s="255"/>
      <c r="BA121" s="257"/>
      <c r="BB121" s="256"/>
      <c r="BC121" s="255"/>
      <c r="BD121" s="256"/>
      <c r="BE121" s="256"/>
      <c r="BF121" s="256"/>
      <c r="BG121" s="256"/>
      <c r="BH121" s="258" t="s">
        <v>404</v>
      </c>
      <c r="BI121" s="259"/>
    </row>
    <row r="122" spans="1:61" ht="27.75" customHeight="1" x14ac:dyDescent="0.2">
      <c r="A122" s="263"/>
      <c r="B122" s="264"/>
      <c r="C122" s="265"/>
      <c r="D122" s="266"/>
      <c r="E122" s="253" t="s">
        <v>249</v>
      </c>
      <c r="F122" s="254">
        <v>511741</v>
      </c>
      <c r="G122" s="255">
        <f>SUM(I122,AE122,AN122,AX122,AZ122)</f>
        <v>603136</v>
      </c>
      <c r="H122" s="254">
        <f>495473</f>
        <v>495473</v>
      </c>
      <c r="I122" s="255">
        <f t="shared" si="67"/>
        <v>580290</v>
      </c>
      <c r="J122" s="255">
        <f t="shared" si="68"/>
        <v>84817</v>
      </c>
      <c r="K122" s="255"/>
      <c r="L122" s="255"/>
      <c r="M122" s="255"/>
      <c r="N122" s="255">
        <f>-656+234</f>
        <v>-422</v>
      </c>
      <c r="O122" s="255"/>
      <c r="P122" s="255"/>
      <c r="Q122" s="255"/>
      <c r="R122" s="255">
        <v>68030</v>
      </c>
      <c r="S122" s="255"/>
      <c r="T122" s="255"/>
      <c r="U122" s="255"/>
      <c r="V122" s="255">
        <f>11652-1443+7000</f>
        <v>17209</v>
      </c>
      <c r="W122" s="255"/>
      <c r="X122" s="255"/>
      <c r="Y122" s="255"/>
      <c r="Z122" s="255"/>
      <c r="AA122" s="255"/>
      <c r="AB122" s="255"/>
      <c r="AC122" s="255"/>
      <c r="AD122" s="255">
        <v>0</v>
      </c>
      <c r="AE122" s="255">
        <f t="shared" si="73"/>
        <v>0</v>
      </c>
      <c r="AF122" s="255">
        <f t="shared" si="72"/>
        <v>0</v>
      </c>
      <c r="AG122" s="255"/>
      <c r="AH122" s="255"/>
      <c r="AI122" s="255"/>
      <c r="AJ122" s="255"/>
      <c r="AK122" s="255"/>
      <c r="AL122" s="255"/>
      <c r="AM122" s="255">
        <f>16150</f>
        <v>16150</v>
      </c>
      <c r="AN122" s="255">
        <f t="shared" si="69"/>
        <v>22728</v>
      </c>
      <c r="AO122" s="256">
        <f t="shared" si="70"/>
        <v>6578</v>
      </c>
      <c r="AP122" s="256"/>
      <c r="AQ122" s="255">
        <f>6578</f>
        <v>6578</v>
      </c>
      <c r="AR122" s="256"/>
      <c r="AS122" s="256"/>
      <c r="AT122" s="256"/>
      <c r="AU122" s="256"/>
      <c r="AV122" s="256"/>
      <c r="AW122" s="256"/>
      <c r="AX122" s="256"/>
      <c r="AY122" s="256">
        <v>118</v>
      </c>
      <c r="AZ122" s="255">
        <f>AY122+BA122</f>
        <v>118</v>
      </c>
      <c r="BA122" s="257">
        <f>SUM(BB122:BG122)</f>
        <v>0</v>
      </c>
      <c r="BB122" s="256"/>
      <c r="BC122" s="255"/>
      <c r="BD122" s="256"/>
      <c r="BE122" s="256"/>
      <c r="BF122" s="256"/>
      <c r="BG122" s="256"/>
      <c r="BH122" s="258" t="s">
        <v>405</v>
      </c>
      <c r="BI122" s="259" t="s">
        <v>699</v>
      </c>
    </row>
    <row r="123" spans="1:61" ht="12.75" x14ac:dyDescent="0.2">
      <c r="A123" s="263">
        <v>90001067517</v>
      </c>
      <c r="B123" s="264"/>
      <c r="C123" s="413" t="s">
        <v>340</v>
      </c>
      <c r="D123" s="414"/>
      <c r="E123" s="253" t="s">
        <v>347</v>
      </c>
      <c r="F123" s="254">
        <v>173634</v>
      </c>
      <c r="G123" s="255">
        <f t="shared" si="71"/>
        <v>59549</v>
      </c>
      <c r="H123" s="254">
        <f>143850</f>
        <v>143850</v>
      </c>
      <c r="I123" s="255">
        <f t="shared" si="67"/>
        <v>36810</v>
      </c>
      <c r="J123" s="255">
        <f t="shared" si="68"/>
        <v>-107040</v>
      </c>
      <c r="K123" s="255"/>
      <c r="L123" s="255"/>
      <c r="M123" s="255"/>
      <c r="N123" s="255"/>
      <c r="O123" s="255"/>
      <c r="P123" s="255">
        <f>-107040</f>
        <v>-107040</v>
      </c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>
        <v>0</v>
      </c>
      <c r="AE123" s="255">
        <f t="shared" si="73"/>
        <v>0</v>
      </c>
      <c r="AF123" s="255">
        <f t="shared" si="72"/>
        <v>0</v>
      </c>
      <c r="AG123" s="255"/>
      <c r="AH123" s="255"/>
      <c r="AI123" s="255"/>
      <c r="AJ123" s="255"/>
      <c r="AK123" s="255"/>
      <c r="AL123" s="255"/>
      <c r="AM123" s="255">
        <f>29784</f>
        <v>29784</v>
      </c>
      <c r="AN123" s="255">
        <f t="shared" si="69"/>
        <v>22739</v>
      </c>
      <c r="AO123" s="256">
        <f t="shared" si="70"/>
        <v>-7045</v>
      </c>
      <c r="AP123" s="256"/>
      <c r="AQ123" s="255"/>
      <c r="AR123" s="256">
        <f>-27188</f>
        <v>-27188</v>
      </c>
      <c r="AS123" s="256">
        <v>20143</v>
      </c>
      <c r="AT123" s="256"/>
      <c r="AU123" s="256"/>
      <c r="AV123" s="256"/>
      <c r="AW123" s="256"/>
      <c r="AX123" s="256"/>
      <c r="AY123" s="256"/>
      <c r="AZ123" s="255"/>
      <c r="BA123" s="257"/>
      <c r="BB123" s="256"/>
      <c r="BC123" s="255"/>
      <c r="BD123" s="256"/>
      <c r="BE123" s="256"/>
      <c r="BF123" s="256"/>
      <c r="BG123" s="256"/>
      <c r="BH123" s="258" t="s">
        <v>406</v>
      </c>
      <c r="BI123" s="259"/>
    </row>
    <row r="124" spans="1:61" ht="36" x14ac:dyDescent="0.2">
      <c r="A124" s="263">
        <v>40000056408</v>
      </c>
      <c r="B124" s="264"/>
      <c r="C124" s="413" t="s">
        <v>17</v>
      </c>
      <c r="D124" s="414"/>
      <c r="E124" s="253" t="s">
        <v>307</v>
      </c>
      <c r="F124" s="254">
        <v>406089</v>
      </c>
      <c r="G124" s="255">
        <f t="shared" si="71"/>
        <v>408050</v>
      </c>
      <c r="H124" s="254">
        <f>392928</f>
        <v>392928</v>
      </c>
      <c r="I124" s="255">
        <f t="shared" si="67"/>
        <v>393455</v>
      </c>
      <c r="J124" s="255">
        <f t="shared" si="68"/>
        <v>527</v>
      </c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>
        <f>174+353</f>
        <v>527</v>
      </c>
      <c r="V124" s="255"/>
      <c r="W124" s="255"/>
      <c r="X124" s="255"/>
      <c r="Y124" s="255"/>
      <c r="Z124" s="255"/>
      <c r="AA124" s="255"/>
      <c r="AB124" s="255"/>
      <c r="AC124" s="255"/>
      <c r="AD124" s="255">
        <v>0</v>
      </c>
      <c r="AE124" s="255">
        <f t="shared" si="73"/>
        <v>0</v>
      </c>
      <c r="AF124" s="255">
        <f t="shared" si="72"/>
        <v>0</v>
      </c>
      <c r="AG124" s="255"/>
      <c r="AH124" s="255"/>
      <c r="AI124" s="255"/>
      <c r="AJ124" s="255"/>
      <c r="AK124" s="255"/>
      <c r="AL124" s="255"/>
      <c r="AM124" s="255">
        <f>13161</f>
        <v>13161</v>
      </c>
      <c r="AN124" s="255">
        <f t="shared" si="69"/>
        <v>14511</v>
      </c>
      <c r="AO124" s="256">
        <f t="shared" si="70"/>
        <v>1350</v>
      </c>
      <c r="AP124" s="256"/>
      <c r="AQ124" s="256">
        <v>1350</v>
      </c>
      <c r="AR124" s="256"/>
      <c r="AS124" s="256"/>
      <c r="AT124" s="256"/>
      <c r="AU124" s="256"/>
      <c r="AV124" s="256"/>
      <c r="AW124" s="256"/>
      <c r="AX124" s="256"/>
      <c r="AY124" s="256">
        <v>0</v>
      </c>
      <c r="AZ124" s="255">
        <f>AY124+BA124</f>
        <v>84</v>
      </c>
      <c r="BA124" s="257">
        <f>SUM(BB124:BG124)</f>
        <v>84</v>
      </c>
      <c r="BB124" s="256">
        <v>84</v>
      </c>
      <c r="BC124" s="256"/>
      <c r="BD124" s="256"/>
      <c r="BE124" s="256"/>
      <c r="BF124" s="256"/>
      <c r="BG124" s="256"/>
      <c r="BH124" s="258" t="s">
        <v>407</v>
      </c>
      <c r="BI124" s="259"/>
    </row>
    <row r="125" spans="1:61" ht="36" x14ac:dyDescent="0.2">
      <c r="A125" s="263"/>
      <c r="B125" s="264"/>
      <c r="C125" s="265"/>
      <c r="D125" s="266"/>
      <c r="E125" s="253" t="s">
        <v>648</v>
      </c>
      <c r="F125" s="254">
        <v>210000</v>
      </c>
      <c r="G125" s="255">
        <f t="shared" si="71"/>
        <v>210000</v>
      </c>
      <c r="H125" s="254">
        <f>210000</f>
        <v>210000</v>
      </c>
      <c r="I125" s="255">
        <f t="shared" si="67"/>
        <v>210000</v>
      </c>
      <c r="J125" s="255">
        <f t="shared" si="68"/>
        <v>0</v>
      </c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>
        <v>0</v>
      </c>
      <c r="AE125" s="255">
        <f t="shared" si="73"/>
        <v>0</v>
      </c>
      <c r="AF125" s="255">
        <f t="shared" si="72"/>
        <v>0</v>
      </c>
      <c r="AG125" s="255"/>
      <c r="AH125" s="255"/>
      <c r="AI125" s="255"/>
      <c r="AJ125" s="255"/>
      <c r="AK125" s="255"/>
      <c r="AL125" s="255"/>
      <c r="AM125" s="255"/>
      <c r="AN125" s="255">
        <f t="shared" si="69"/>
        <v>0</v>
      </c>
      <c r="AO125" s="256">
        <f t="shared" si="70"/>
        <v>0</v>
      </c>
      <c r="AP125" s="256"/>
      <c r="AQ125" s="256" t="s">
        <v>737</v>
      </c>
      <c r="AR125" s="256"/>
      <c r="AS125" s="256"/>
      <c r="AT125" s="256"/>
      <c r="AU125" s="256"/>
      <c r="AV125" s="256"/>
      <c r="AW125" s="256"/>
      <c r="AX125" s="256"/>
      <c r="AY125" s="256"/>
      <c r="AZ125" s="255"/>
      <c r="BA125" s="257"/>
      <c r="BB125" s="256"/>
      <c r="BC125" s="256" t="s">
        <v>737</v>
      </c>
      <c r="BD125" s="256"/>
      <c r="BE125" s="256"/>
      <c r="BF125" s="256"/>
      <c r="BG125" s="256"/>
      <c r="BH125" s="258" t="s">
        <v>408</v>
      </c>
      <c r="BI125" s="259"/>
    </row>
    <row r="126" spans="1:61" ht="84" x14ac:dyDescent="0.2">
      <c r="A126" s="263"/>
      <c r="B126" s="264"/>
      <c r="C126" s="265"/>
      <c r="D126" s="266"/>
      <c r="E126" s="253" t="s">
        <v>739</v>
      </c>
      <c r="F126" s="254"/>
      <c r="G126" s="255">
        <f t="shared" si="71"/>
        <v>56</v>
      </c>
      <c r="H126" s="254"/>
      <c r="I126" s="255">
        <f t="shared" si="67"/>
        <v>56</v>
      </c>
      <c r="J126" s="255">
        <f t="shared" si="68"/>
        <v>56</v>
      </c>
      <c r="K126" s="255"/>
      <c r="L126" s="255"/>
      <c r="M126" s="255"/>
      <c r="N126" s="255">
        <v>56</v>
      </c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>
        <v>0</v>
      </c>
      <c r="AE126" s="255">
        <f t="shared" si="73"/>
        <v>0</v>
      </c>
      <c r="AF126" s="255">
        <f t="shared" si="72"/>
        <v>0</v>
      </c>
      <c r="AG126" s="255"/>
      <c r="AH126" s="255"/>
      <c r="AI126" s="255"/>
      <c r="AJ126" s="255"/>
      <c r="AK126" s="255"/>
      <c r="AL126" s="255"/>
      <c r="AM126" s="255"/>
      <c r="AN126" s="255">
        <f t="shared" si="69"/>
        <v>0</v>
      </c>
      <c r="AO126" s="256">
        <f t="shared" si="70"/>
        <v>0</v>
      </c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5"/>
      <c r="BA126" s="257"/>
      <c r="BB126" s="256"/>
      <c r="BC126" s="256"/>
      <c r="BD126" s="256"/>
      <c r="BE126" s="256"/>
      <c r="BF126" s="256"/>
      <c r="BG126" s="256"/>
      <c r="BH126" s="258" t="s">
        <v>732</v>
      </c>
      <c r="BI126" s="259"/>
    </row>
    <row r="127" spans="1:61" ht="27.75" customHeight="1" x14ac:dyDescent="0.2">
      <c r="A127" s="263"/>
      <c r="B127" s="264"/>
      <c r="C127" s="265"/>
      <c r="D127" s="266"/>
      <c r="E127" s="253" t="s">
        <v>665</v>
      </c>
      <c r="F127" s="254">
        <v>34573</v>
      </c>
      <c r="G127" s="255">
        <f t="shared" si="71"/>
        <v>34573</v>
      </c>
      <c r="H127" s="254">
        <f>34573</f>
        <v>34573</v>
      </c>
      <c r="I127" s="255">
        <f t="shared" si="67"/>
        <v>34573</v>
      </c>
      <c r="J127" s="255">
        <f t="shared" si="68"/>
        <v>0</v>
      </c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>
        <v>0</v>
      </c>
      <c r="AE127" s="255">
        <f t="shared" si="73"/>
        <v>0</v>
      </c>
      <c r="AF127" s="255">
        <f t="shared" si="72"/>
        <v>0</v>
      </c>
      <c r="AG127" s="255"/>
      <c r="AH127" s="255"/>
      <c r="AI127" s="255"/>
      <c r="AJ127" s="255"/>
      <c r="AK127" s="255"/>
      <c r="AL127" s="255"/>
      <c r="AM127" s="255"/>
      <c r="AN127" s="255">
        <f t="shared" si="69"/>
        <v>0</v>
      </c>
      <c r="AO127" s="256">
        <f t="shared" si="70"/>
        <v>0</v>
      </c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5"/>
      <c r="BA127" s="257"/>
      <c r="BB127" s="256"/>
      <c r="BC127" s="256"/>
      <c r="BD127" s="256"/>
      <c r="BE127" s="256"/>
      <c r="BF127" s="256"/>
      <c r="BG127" s="256"/>
      <c r="BH127" s="258" t="s">
        <v>649</v>
      </c>
      <c r="BI127" s="259" t="s">
        <v>369</v>
      </c>
    </row>
    <row r="128" spans="1:61" s="332" customFormat="1" ht="39.75" customHeight="1" x14ac:dyDescent="0.2">
      <c r="A128" s="329">
        <v>40003378932</v>
      </c>
      <c r="B128" s="330"/>
      <c r="C128" s="413" t="s">
        <v>785</v>
      </c>
      <c r="D128" s="414"/>
      <c r="E128" s="253" t="s">
        <v>499</v>
      </c>
      <c r="F128" s="254">
        <v>49062</v>
      </c>
      <c r="G128" s="255">
        <f t="shared" si="71"/>
        <v>0</v>
      </c>
      <c r="H128" s="254">
        <f>49062</f>
        <v>49062</v>
      </c>
      <c r="I128" s="255">
        <f t="shared" si="67"/>
        <v>0</v>
      </c>
      <c r="J128" s="255">
        <f t="shared" si="68"/>
        <v>-49062</v>
      </c>
      <c r="K128" s="255"/>
      <c r="L128" s="255"/>
      <c r="M128" s="255"/>
      <c r="N128" s="255"/>
      <c r="O128" s="255"/>
      <c r="P128" s="255"/>
      <c r="Q128" s="255"/>
      <c r="R128" s="255">
        <v>-33970</v>
      </c>
      <c r="S128" s="255"/>
      <c r="T128" s="255">
        <v>-15092</v>
      </c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>
        <v>0</v>
      </c>
      <c r="AE128" s="255">
        <f t="shared" si="73"/>
        <v>0</v>
      </c>
      <c r="AF128" s="255">
        <f t="shared" si="72"/>
        <v>0</v>
      </c>
      <c r="AG128" s="255"/>
      <c r="AH128" s="255"/>
      <c r="AI128" s="255"/>
      <c r="AJ128" s="255"/>
      <c r="AK128" s="255"/>
      <c r="AL128" s="255"/>
      <c r="AM128" s="255"/>
      <c r="AN128" s="255">
        <f t="shared" si="69"/>
        <v>0</v>
      </c>
      <c r="AO128" s="256">
        <f t="shared" si="70"/>
        <v>0</v>
      </c>
      <c r="AP128" s="256"/>
      <c r="AQ128" s="256"/>
      <c r="AR128" s="256"/>
      <c r="AS128" s="256"/>
      <c r="AT128" s="256"/>
      <c r="AU128" s="256"/>
      <c r="AV128" s="256"/>
      <c r="AW128" s="256"/>
      <c r="AX128" s="331"/>
      <c r="AY128" s="331"/>
      <c r="AZ128" s="255"/>
      <c r="BA128" s="257"/>
      <c r="BB128" s="256"/>
      <c r="BC128" s="256"/>
      <c r="BD128" s="256"/>
      <c r="BE128" s="256"/>
      <c r="BF128" s="256"/>
      <c r="BG128" s="256"/>
      <c r="BH128" s="258" t="s">
        <v>409</v>
      </c>
      <c r="BI128" s="259"/>
    </row>
    <row r="129" spans="1:61" s="332" customFormat="1" ht="41.25" customHeight="1" x14ac:dyDescent="0.2">
      <c r="A129" s="329"/>
      <c r="B129" s="330"/>
      <c r="C129" s="265"/>
      <c r="D129" s="266"/>
      <c r="E129" s="253" t="s">
        <v>508</v>
      </c>
      <c r="F129" s="254">
        <v>672120</v>
      </c>
      <c r="G129" s="255">
        <f t="shared" si="71"/>
        <v>730090</v>
      </c>
      <c r="H129" s="254">
        <f>672120</f>
        <v>672120</v>
      </c>
      <c r="I129" s="255">
        <f t="shared" si="67"/>
        <v>730090</v>
      </c>
      <c r="J129" s="255">
        <f t="shared" si="68"/>
        <v>57970</v>
      </c>
      <c r="K129" s="255"/>
      <c r="L129" s="255"/>
      <c r="M129" s="255"/>
      <c r="N129" s="255"/>
      <c r="O129" s="255"/>
      <c r="P129" s="255"/>
      <c r="Q129" s="255"/>
      <c r="R129" s="255">
        <v>33970</v>
      </c>
      <c r="S129" s="255"/>
      <c r="T129" s="255">
        <v>24000</v>
      </c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>
        <v>0</v>
      </c>
      <c r="AE129" s="255">
        <f t="shared" si="73"/>
        <v>0</v>
      </c>
      <c r="AF129" s="255">
        <f t="shared" si="72"/>
        <v>0</v>
      </c>
      <c r="AG129" s="255"/>
      <c r="AH129" s="255"/>
      <c r="AI129" s="255"/>
      <c r="AJ129" s="255"/>
      <c r="AK129" s="255"/>
      <c r="AL129" s="255"/>
      <c r="AM129" s="255"/>
      <c r="AN129" s="255">
        <f t="shared" si="69"/>
        <v>0</v>
      </c>
      <c r="AO129" s="256">
        <f t="shared" si="70"/>
        <v>0</v>
      </c>
      <c r="AP129" s="256"/>
      <c r="AQ129" s="256"/>
      <c r="AR129" s="256"/>
      <c r="AS129" s="256"/>
      <c r="AT129" s="256"/>
      <c r="AU129" s="256"/>
      <c r="AV129" s="256"/>
      <c r="AW129" s="256"/>
      <c r="AX129" s="331"/>
      <c r="AY129" s="331"/>
      <c r="AZ129" s="255"/>
      <c r="BA129" s="257"/>
      <c r="BB129" s="256"/>
      <c r="BC129" s="256"/>
      <c r="BD129" s="256"/>
      <c r="BE129" s="256"/>
      <c r="BF129" s="256"/>
      <c r="BG129" s="256"/>
      <c r="BH129" s="258" t="s">
        <v>636</v>
      </c>
      <c r="BI129" s="259"/>
    </row>
    <row r="130" spans="1:61" s="332" customFormat="1" ht="16.5" customHeight="1" x14ac:dyDescent="0.2">
      <c r="A130" s="329"/>
      <c r="B130" s="330"/>
      <c r="C130" s="265"/>
      <c r="D130" s="266"/>
      <c r="E130" s="253" t="s">
        <v>304</v>
      </c>
      <c r="F130" s="254">
        <v>243000</v>
      </c>
      <c r="G130" s="255">
        <f t="shared" si="71"/>
        <v>243000</v>
      </c>
      <c r="H130" s="254">
        <f>243000</f>
        <v>243000</v>
      </c>
      <c r="I130" s="255">
        <f t="shared" si="67"/>
        <v>243000</v>
      </c>
      <c r="J130" s="255">
        <f t="shared" si="68"/>
        <v>0</v>
      </c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>
        <v>0</v>
      </c>
      <c r="AE130" s="255">
        <f t="shared" si="73"/>
        <v>0</v>
      </c>
      <c r="AF130" s="255">
        <f t="shared" si="72"/>
        <v>0</v>
      </c>
      <c r="AG130" s="255"/>
      <c r="AH130" s="255"/>
      <c r="AI130" s="255"/>
      <c r="AJ130" s="255"/>
      <c r="AK130" s="255"/>
      <c r="AL130" s="255"/>
      <c r="AM130" s="255"/>
      <c r="AN130" s="255">
        <f t="shared" si="69"/>
        <v>0</v>
      </c>
      <c r="AO130" s="256">
        <f t="shared" si="70"/>
        <v>0</v>
      </c>
      <c r="AP130" s="256"/>
      <c r="AQ130" s="256"/>
      <c r="AR130" s="256"/>
      <c r="AS130" s="256"/>
      <c r="AT130" s="256"/>
      <c r="AU130" s="256"/>
      <c r="AV130" s="256"/>
      <c r="AW130" s="256"/>
      <c r="AX130" s="331"/>
      <c r="AY130" s="331"/>
      <c r="AZ130" s="255"/>
      <c r="BA130" s="257"/>
      <c r="BB130" s="256"/>
      <c r="BC130" s="256"/>
      <c r="BD130" s="256"/>
      <c r="BE130" s="256"/>
      <c r="BF130" s="256"/>
      <c r="BG130" s="256"/>
      <c r="BH130" s="258" t="s">
        <v>637</v>
      </c>
      <c r="BI130" s="259"/>
    </row>
    <row r="131" spans="1:61" s="332" customFormat="1" ht="24" x14ac:dyDescent="0.2">
      <c r="A131" s="329"/>
      <c r="B131" s="330"/>
      <c r="C131" s="265"/>
      <c r="D131" s="266"/>
      <c r="E131" s="253" t="s">
        <v>652</v>
      </c>
      <c r="F131" s="254">
        <v>33500</v>
      </c>
      <c r="G131" s="255">
        <f t="shared" si="71"/>
        <v>33500</v>
      </c>
      <c r="H131" s="254">
        <f>33500</f>
        <v>33500</v>
      </c>
      <c r="I131" s="255">
        <f>H131+J131</f>
        <v>33500</v>
      </c>
      <c r="J131" s="255">
        <f>SUM(K131:AC131)</f>
        <v>0</v>
      </c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>
        <v>0</v>
      </c>
      <c r="AE131" s="255">
        <f t="shared" si="73"/>
        <v>0</v>
      </c>
      <c r="AF131" s="255">
        <f t="shared" si="72"/>
        <v>0</v>
      </c>
      <c r="AG131" s="255"/>
      <c r="AH131" s="255"/>
      <c r="AI131" s="255"/>
      <c r="AJ131" s="255"/>
      <c r="AK131" s="255"/>
      <c r="AL131" s="255"/>
      <c r="AM131" s="255"/>
      <c r="AN131" s="255">
        <f t="shared" si="69"/>
        <v>0</v>
      </c>
      <c r="AO131" s="256">
        <f t="shared" si="70"/>
        <v>0</v>
      </c>
      <c r="AP131" s="256"/>
      <c r="AQ131" s="256"/>
      <c r="AR131" s="256"/>
      <c r="AS131" s="256"/>
      <c r="AT131" s="256"/>
      <c r="AU131" s="256"/>
      <c r="AV131" s="256"/>
      <c r="AW131" s="256"/>
      <c r="AX131" s="331"/>
      <c r="AY131" s="331"/>
      <c r="AZ131" s="255"/>
      <c r="BA131" s="257"/>
      <c r="BB131" s="256"/>
      <c r="BC131" s="256"/>
      <c r="BD131" s="256"/>
      <c r="BE131" s="256"/>
      <c r="BF131" s="256"/>
      <c r="BG131" s="256"/>
      <c r="BH131" s="258" t="s">
        <v>638</v>
      </c>
      <c r="BI131" s="259"/>
    </row>
    <row r="132" spans="1:61" s="332" customFormat="1" ht="12.75" x14ac:dyDescent="0.2">
      <c r="A132" s="329">
        <v>90010478153</v>
      </c>
      <c r="B132" s="330"/>
      <c r="C132" s="413" t="s">
        <v>752</v>
      </c>
      <c r="D132" s="414"/>
      <c r="E132" s="253" t="s">
        <v>239</v>
      </c>
      <c r="F132" s="254"/>
      <c r="G132" s="255">
        <f t="shared" si="71"/>
        <v>109710</v>
      </c>
      <c r="H132" s="254"/>
      <c r="I132" s="255">
        <f>H132+J132</f>
        <v>109710</v>
      </c>
      <c r="J132" s="255">
        <f>SUM(K132:AC132)</f>
        <v>109710</v>
      </c>
      <c r="K132" s="255"/>
      <c r="L132" s="255"/>
      <c r="M132" s="255"/>
      <c r="N132" s="255"/>
      <c r="O132" s="255"/>
      <c r="P132" s="255">
        <f>100550</f>
        <v>100550</v>
      </c>
      <c r="Q132" s="255"/>
      <c r="R132" s="255"/>
      <c r="S132" s="255"/>
      <c r="T132" s="255"/>
      <c r="U132" s="255"/>
      <c r="V132" s="255">
        <v>9160</v>
      </c>
      <c r="W132" s="255"/>
      <c r="X132" s="255"/>
      <c r="Y132" s="255"/>
      <c r="Z132" s="255"/>
      <c r="AA132" s="255"/>
      <c r="AB132" s="255"/>
      <c r="AC132" s="255"/>
      <c r="AD132" s="255">
        <v>0</v>
      </c>
      <c r="AE132" s="255">
        <f t="shared" si="73"/>
        <v>0</v>
      </c>
      <c r="AF132" s="255">
        <f t="shared" si="72"/>
        <v>0</v>
      </c>
      <c r="AG132" s="255"/>
      <c r="AH132" s="255"/>
      <c r="AI132" s="255"/>
      <c r="AJ132" s="255"/>
      <c r="AK132" s="255"/>
      <c r="AL132" s="255"/>
      <c r="AM132" s="255"/>
      <c r="AN132" s="255">
        <f>AO132+AM132</f>
        <v>0</v>
      </c>
      <c r="AO132" s="256">
        <f>SUM(AP132:AW132)</f>
        <v>0</v>
      </c>
      <c r="AP132" s="256"/>
      <c r="AQ132" s="256"/>
      <c r="AR132" s="256"/>
      <c r="AS132" s="256"/>
      <c r="AT132" s="256"/>
      <c r="AU132" s="256"/>
      <c r="AV132" s="256"/>
      <c r="AW132" s="256"/>
      <c r="AX132" s="331"/>
      <c r="AY132" s="331"/>
      <c r="AZ132" s="255"/>
      <c r="BA132" s="257"/>
      <c r="BB132" s="256"/>
      <c r="BC132" s="256"/>
      <c r="BD132" s="256"/>
      <c r="BE132" s="256"/>
      <c r="BF132" s="256"/>
      <c r="BG132" s="256"/>
      <c r="BH132" s="258" t="s">
        <v>753</v>
      </c>
      <c r="BI132" s="259"/>
    </row>
    <row r="133" spans="1:61" s="332" customFormat="1" ht="24" x14ac:dyDescent="0.2">
      <c r="A133" s="329"/>
      <c r="B133" s="330"/>
      <c r="C133" s="265"/>
      <c r="D133" s="266"/>
      <c r="E133" s="253" t="s">
        <v>757</v>
      </c>
      <c r="F133" s="254"/>
      <c r="G133" s="255">
        <f t="shared" si="71"/>
        <v>157612</v>
      </c>
      <c r="H133" s="254"/>
      <c r="I133" s="255">
        <f>H133+J133</f>
        <v>107685</v>
      </c>
      <c r="J133" s="255">
        <f>SUM(K133:AC133)</f>
        <v>107685</v>
      </c>
      <c r="K133" s="255"/>
      <c r="L133" s="255"/>
      <c r="M133" s="255"/>
      <c r="N133" s="255"/>
      <c r="O133" s="255"/>
      <c r="P133" s="255">
        <f>107040</f>
        <v>107040</v>
      </c>
      <c r="Q133" s="255"/>
      <c r="R133" s="255"/>
      <c r="S133" s="255"/>
      <c r="T133" s="255"/>
      <c r="U133" s="255"/>
      <c r="V133" s="255">
        <v>645</v>
      </c>
      <c r="W133" s="255"/>
      <c r="X133" s="255"/>
      <c r="Y133" s="255"/>
      <c r="Z133" s="255"/>
      <c r="AA133" s="255"/>
      <c r="AB133" s="255"/>
      <c r="AC133" s="255"/>
      <c r="AD133" s="255">
        <v>0</v>
      </c>
      <c r="AE133" s="255">
        <f t="shared" si="73"/>
        <v>0</v>
      </c>
      <c r="AF133" s="255">
        <f t="shared" si="72"/>
        <v>0</v>
      </c>
      <c r="AG133" s="255"/>
      <c r="AH133" s="255"/>
      <c r="AI133" s="255"/>
      <c r="AJ133" s="255"/>
      <c r="AK133" s="255"/>
      <c r="AL133" s="255"/>
      <c r="AM133" s="255"/>
      <c r="AN133" s="255">
        <f>AO133+AM133</f>
        <v>49927</v>
      </c>
      <c r="AO133" s="256">
        <f>SUM(AP133:AW133)</f>
        <v>49927</v>
      </c>
      <c r="AP133" s="256"/>
      <c r="AQ133" s="256"/>
      <c r="AR133" s="256">
        <f>49927</f>
        <v>49927</v>
      </c>
      <c r="AS133" s="256"/>
      <c r="AT133" s="256"/>
      <c r="AU133" s="256"/>
      <c r="AV133" s="256"/>
      <c r="AW133" s="256"/>
      <c r="AX133" s="331"/>
      <c r="AY133" s="331"/>
      <c r="AZ133" s="255"/>
      <c r="BA133" s="257"/>
      <c r="BB133" s="256"/>
      <c r="BC133" s="256"/>
      <c r="BD133" s="256"/>
      <c r="BE133" s="256"/>
      <c r="BF133" s="256"/>
      <c r="BG133" s="256"/>
      <c r="BH133" s="258" t="s">
        <v>754</v>
      </c>
      <c r="BI133" s="259"/>
    </row>
    <row r="134" spans="1:61" s="332" customFormat="1" ht="24" x14ac:dyDescent="0.2">
      <c r="A134" s="329"/>
      <c r="B134" s="330"/>
      <c r="C134" s="265"/>
      <c r="D134" s="266"/>
      <c r="E134" s="253" t="s">
        <v>756</v>
      </c>
      <c r="F134" s="254"/>
      <c r="G134" s="255">
        <f t="shared" si="71"/>
        <v>203102</v>
      </c>
      <c r="H134" s="254"/>
      <c r="I134" s="255">
        <f>H134+J134</f>
        <v>166194</v>
      </c>
      <c r="J134" s="255">
        <f>SUM(K134:AC134)</f>
        <v>166194</v>
      </c>
      <c r="K134" s="255"/>
      <c r="L134" s="255"/>
      <c r="M134" s="255"/>
      <c r="N134" s="255"/>
      <c r="O134" s="255"/>
      <c r="P134" s="255">
        <f>166194</f>
        <v>166194</v>
      </c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>
        <v>0</v>
      </c>
      <c r="AE134" s="255">
        <f t="shared" si="73"/>
        <v>0</v>
      </c>
      <c r="AF134" s="255">
        <f t="shared" si="72"/>
        <v>0</v>
      </c>
      <c r="AG134" s="255"/>
      <c r="AH134" s="255"/>
      <c r="AI134" s="255"/>
      <c r="AJ134" s="255"/>
      <c r="AK134" s="255"/>
      <c r="AL134" s="255"/>
      <c r="AM134" s="255"/>
      <c r="AN134" s="255">
        <f>AO134+AM134</f>
        <v>36908</v>
      </c>
      <c r="AO134" s="256">
        <f>SUM(AP134:AW134)</f>
        <v>36908</v>
      </c>
      <c r="AP134" s="256"/>
      <c r="AQ134" s="256"/>
      <c r="AR134" s="256">
        <f>36908</f>
        <v>36908</v>
      </c>
      <c r="AS134" s="256"/>
      <c r="AT134" s="256"/>
      <c r="AU134" s="256"/>
      <c r="AV134" s="256"/>
      <c r="AW134" s="256"/>
      <c r="AX134" s="331"/>
      <c r="AY134" s="331"/>
      <c r="AZ134" s="255"/>
      <c r="BA134" s="257"/>
      <c r="BB134" s="256"/>
      <c r="BC134" s="256"/>
      <c r="BD134" s="256"/>
      <c r="BE134" s="256"/>
      <c r="BF134" s="256"/>
      <c r="BG134" s="256"/>
      <c r="BH134" s="258" t="s">
        <v>755</v>
      </c>
      <c r="BI134" s="259"/>
    </row>
    <row r="135" spans="1:61" s="332" customFormat="1" ht="24" x14ac:dyDescent="0.2">
      <c r="A135" s="329"/>
      <c r="B135" s="330"/>
      <c r="C135" s="379"/>
      <c r="D135" s="380"/>
      <c r="E135" s="253" t="s">
        <v>788</v>
      </c>
      <c r="F135" s="254"/>
      <c r="G135" s="255">
        <f t="shared" si="71"/>
        <v>38813</v>
      </c>
      <c r="H135" s="254"/>
      <c r="I135" s="255">
        <f>H135+J135</f>
        <v>26613</v>
      </c>
      <c r="J135" s="255">
        <f>SUM(K135:AC135)</f>
        <v>26613</v>
      </c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>
        <v>26613</v>
      </c>
      <c r="W135" s="255"/>
      <c r="X135" s="255"/>
      <c r="Y135" s="255"/>
      <c r="Z135" s="255"/>
      <c r="AA135" s="255"/>
      <c r="AB135" s="255"/>
      <c r="AC135" s="255"/>
      <c r="AD135" s="255"/>
      <c r="AE135" s="255">
        <f t="shared" ref="AE135" si="74">AD135+AF135</f>
        <v>0</v>
      </c>
      <c r="AF135" s="255">
        <f t="shared" ref="AF135" si="75">SUM(AG135:AL135)</f>
        <v>0</v>
      </c>
      <c r="AG135" s="255"/>
      <c r="AH135" s="255"/>
      <c r="AI135" s="255"/>
      <c r="AJ135" s="255"/>
      <c r="AK135" s="255"/>
      <c r="AL135" s="255"/>
      <c r="AM135" s="255"/>
      <c r="AN135" s="255">
        <f>AO135+AM135</f>
        <v>12200</v>
      </c>
      <c r="AO135" s="256">
        <f>SUM(AP135:AW135)</f>
        <v>12200</v>
      </c>
      <c r="AP135" s="256"/>
      <c r="AQ135" s="256"/>
      <c r="AR135" s="256"/>
      <c r="AS135" s="256"/>
      <c r="AT135" s="256">
        <v>12200</v>
      </c>
      <c r="AU135" s="256"/>
      <c r="AV135" s="256"/>
      <c r="AW135" s="256"/>
      <c r="AX135" s="331"/>
      <c r="AY135" s="331"/>
      <c r="AZ135" s="255"/>
      <c r="BA135" s="257"/>
      <c r="BB135" s="256"/>
      <c r="BC135" s="256"/>
      <c r="BD135" s="256"/>
      <c r="BE135" s="256"/>
      <c r="BF135" s="256"/>
      <c r="BG135" s="256"/>
      <c r="BH135" s="258" t="s">
        <v>789</v>
      </c>
      <c r="BI135" s="259"/>
    </row>
    <row r="136" spans="1:61" ht="69.75" customHeight="1" x14ac:dyDescent="0.2">
      <c r="A136" s="263"/>
      <c r="B136" s="264"/>
      <c r="C136" s="413" t="s">
        <v>214</v>
      </c>
      <c r="D136" s="414"/>
      <c r="E136" s="293" t="s">
        <v>527</v>
      </c>
      <c r="F136" s="254">
        <v>192814</v>
      </c>
      <c r="G136" s="255">
        <f t="shared" si="71"/>
        <v>192814</v>
      </c>
      <c r="H136" s="254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>
        <v>0</v>
      </c>
      <c r="AE136" s="255">
        <f t="shared" si="73"/>
        <v>0</v>
      </c>
      <c r="AF136" s="255">
        <f t="shared" si="72"/>
        <v>0</v>
      </c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>
        <v>192814</v>
      </c>
      <c r="AY136" s="256"/>
      <c r="AZ136" s="255"/>
      <c r="BA136" s="257"/>
      <c r="BB136" s="255"/>
      <c r="BC136" s="255"/>
      <c r="BD136" s="255"/>
      <c r="BE136" s="255"/>
      <c r="BF136" s="255"/>
      <c r="BG136" s="255"/>
      <c r="BH136" s="258"/>
      <c r="BI136" s="259"/>
    </row>
    <row r="137" spans="1:61" ht="24" x14ac:dyDescent="0.2">
      <c r="A137" s="263"/>
      <c r="B137" s="264"/>
      <c r="C137" s="303"/>
      <c r="D137" s="304"/>
      <c r="E137" s="293" t="s">
        <v>150</v>
      </c>
      <c r="F137" s="254">
        <v>302368</v>
      </c>
      <c r="G137" s="255">
        <f t="shared" si="71"/>
        <v>302368</v>
      </c>
      <c r="H137" s="254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>
        <v>0</v>
      </c>
      <c r="AE137" s="255">
        <f t="shared" si="73"/>
        <v>0</v>
      </c>
      <c r="AF137" s="255">
        <f t="shared" si="72"/>
        <v>0</v>
      </c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>
        <v>302368</v>
      </c>
      <c r="AY137" s="256"/>
      <c r="AZ137" s="255"/>
      <c r="BA137" s="257"/>
      <c r="BB137" s="255"/>
      <c r="BC137" s="255"/>
      <c r="BD137" s="255"/>
      <c r="BE137" s="255"/>
      <c r="BF137" s="255"/>
      <c r="BG137" s="255"/>
      <c r="BH137" s="258"/>
      <c r="BI137" s="259"/>
    </row>
    <row r="138" spans="1:61" ht="24" x14ac:dyDescent="0.2">
      <c r="A138" s="263"/>
      <c r="B138" s="264"/>
      <c r="C138" s="303"/>
      <c r="D138" s="304"/>
      <c r="E138" s="293" t="s">
        <v>155</v>
      </c>
      <c r="F138" s="254">
        <v>512234</v>
      </c>
      <c r="G138" s="255">
        <f t="shared" si="71"/>
        <v>512234</v>
      </c>
      <c r="H138" s="254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>
        <v>0</v>
      </c>
      <c r="AE138" s="255">
        <f t="shared" si="73"/>
        <v>0</v>
      </c>
      <c r="AF138" s="255">
        <f t="shared" si="72"/>
        <v>0</v>
      </c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>
        <v>512234</v>
      </c>
      <c r="AY138" s="256"/>
      <c r="AZ138" s="255"/>
      <c r="BA138" s="257"/>
      <c r="BB138" s="255"/>
      <c r="BC138" s="255"/>
      <c r="BD138" s="255"/>
      <c r="BE138" s="255"/>
      <c r="BF138" s="255"/>
      <c r="BG138" s="255"/>
      <c r="BH138" s="258"/>
      <c r="BI138" s="259"/>
    </row>
    <row r="139" spans="1:61" ht="48" x14ac:dyDescent="0.2">
      <c r="A139" s="263"/>
      <c r="B139" s="278"/>
      <c r="C139" s="303"/>
      <c r="D139" s="304"/>
      <c r="E139" s="293" t="s">
        <v>532</v>
      </c>
      <c r="F139" s="254">
        <v>29394</v>
      </c>
      <c r="G139" s="255">
        <f t="shared" si="71"/>
        <v>29394</v>
      </c>
      <c r="H139" s="254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>
        <f t="shared" si="72"/>
        <v>0</v>
      </c>
      <c r="AG139" s="255"/>
      <c r="AH139" s="255"/>
      <c r="AI139" s="255"/>
      <c r="AJ139" s="255"/>
      <c r="AK139" s="255"/>
      <c r="AL139" s="255"/>
      <c r="AM139" s="255"/>
      <c r="AN139" s="255"/>
      <c r="AO139" s="256"/>
      <c r="AP139" s="256"/>
      <c r="AQ139" s="256"/>
      <c r="AR139" s="256"/>
      <c r="AS139" s="256"/>
      <c r="AT139" s="256"/>
      <c r="AU139" s="256"/>
      <c r="AV139" s="256"/>
      <c r="AW139" s="256"/>
      <c r="AX139" s="256">
        <v>29394</v>
      </c>
      <c r="AY139" s="256"/>
      <c r="AZ139" s="255"/>
      <c r="BA139" s="257"/>
      <c r="BB139" s="256"/>
      <c r="BC139" s="256"/>
      <c r="BD139" s="256"/>
      <c r="BE139" s="256"/>
      <c r="BF139" s="256"/>
      <c r="BG139" s="256"/>
      <c r="BH139" s="258"/>
      <c r="BI139" s="259"/>
    </row>
    <row r="140" spans="1:61" ht="12.75" thickBot="1" x14ac:dyDescent="0.25">
      <c r="A140" s="263"/>
      <c r="B140" s="279"/>
      <c r="C140" s="426"/>
      <c r="D140" s="427"/>
      <c r="E140" s="294"/>
      <c r="F140" s="267"/>
      <c r="G140" s="268"/>
      <c r="H140" s="267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8"/>
      <c r="BA140" s="270"/>
      <c r="BB140" s="269"/>
      <c r="BC140" s="269"/>
      <c r="BD140" s="269"/>
      <c r="BE140" s="269"/>
      <c r="BF140" s="269"/>
      <c r="BG140" s="269"/>
      <c r="BH140" s="271"/>
      <c r="BI140" s="272"/>
    </row>
    <row r="141" spans="1:61" ht="12.75" thickBot="1" x14ac:dyDescent="0.25">
      <c r="A141" s="282"/>
      <c r="B141" s="421" t="s">
        <v>18</v>
      </c>
      <c r="C141" s="421"/>
      <c r="D141" s="244" t="s">
        <v>19</v>
      </c>
      <c r="E141" s="283"/>
      <c r="F141" s="284">
        <v>29353993</v>
      </c>
      <c r="G141" s="285">
        <f>SUM(I141,AE141,AN141,AX141,AZ141)</f>
        <v>29774281</v>
      </c>
      <c r="H141" s="248">
        <f>SUM(H142:H224,H228:H233,)</f>
        <v>19910884</v>
      </c>
      <c r="I141" s="248">
        <f>SUM(I142:I224,I228:I233)</f>
        <v>19908241</v>
      </c>
      <c r="J141" s="248">
        <f>SUM(J142:J224,J228:J233,)</f>
        <v>-2643</v>
      </c>
      <c r="K141" s="248">
        <f>SUM(K142:K224,K228:K233,)</f>
        <v>21200</v>
      </c>
      <c r="L141" s="248">
        <f t="shared" ref="L141:AC141" si="76">SUM(L142:L224,L228:L233,)</f>
        <v>230</v>
      </c>
      <c r="M141" s="248">
        <f t="shared" si="76"/>
        <v>-15560</v>
      </c>
      <c r="N141" s="248">
        <f t="shared" si="76"/>
        <v>21012</v>
      </c>
      <c r="O141" s="248">
        <f t="shared" si="76"/>
        <v>-36143</v>
      </c>
      <c r="P141" s="248">
        <f>SUM(P142:P224,P228:P233,)</f>
        <v>-111825</v>
      </c>
      <c r="Q141" s="248">
        <f t="shared" si="76"/>
        <v>4883</v>
      </c>
      <c r="R141" s="248">
        <f t="shared" si="76"/>
        <v>171084</v>
      </c>
      <c r="S141" s="248">
        <f t="shared" si="76"/>
        <v>0</v>
      </c>
      <c r="T141" s="248">
        <f>SUM(T142:T224,T228:T233,)</f>
        <v>10627</v>
      </c>
      <c r="U141" s="248">
        <f>SUM(U142:U224,U228:U233,)</f>
        <v>3163</v>
      </c>
      <c r="V141" s="248">
        <f t="shared" ref="V141:AA141" si="77">SUM(V142:V224,V228:V233,)</f>
        <v>-74586</v>
      </c>
      <c r="W141" s="248">
        <f t="shared" si="77"/>
        <v>3272</v>
      </c>
      <c r="X141" s="248">
        <f t="shared" si="77"/>
        <v>0</v>
      </c>
      <c r="Y141" s="248">
        <f t="shared" si="77"/>
        <v>0</v>
      </c>
      <c r="Z141" s="248">
        <f t="shared" si="77"/>
        <v>0</v>
      </c>
      <c r="AA141" s="248">
        <f t="shared" si="77"/>
        <v>0</v>
      </c>
      <c r="AB141" s="248">
        <f>SUM(AB142:AB224,AB228:AB233,)</f>
        <v>0</v>
      </c>
      <c r="AC141" s="248">
        <f t="shared" si="76"/>
        <v>0</v>
      </c>
      <c r="AD141" s="248">
        <f>SUM(AD142:AD224,AD228:AD233,)</f>
        <v>7331221</v>
      </c>
      <c r="AE141" s="248">
        <f>SUM(AE142:AE224,AE228:AE233)</f>
        <v>7569216</v>
      </c>
      <c r="AF141" s="248">
        <f t="shared" ref="AF141:AM141" si="78">SUM(AF142:AF224,AF228:AF233,)</f>
        <v>237995</v>
      </c>
      <c r="AG141" s="248">
        <f t="shared" si="78"/>
        <v>146700</v>
      </c>
      <c r="AH141" s="248">
        <f t="shared" si="78"/>
        <v>54346</v>
      </c>
      <c r="AI141" s="248">
        <f t="shared" si="78"/>
        <v>0</v>
      </c>
      <c r="AJ141" s="248">
        <f t="shared" si="78"/>
        <v>36949</v>
      </c>
      <c r="AK141" s="248">
        <f t="shared" si="78"/>
        <v>0</v>
      </c>
      <c r="AL141" s="248">
        <f t="shared" si="78"/>
        <v>0</v>
      </c>
      <c r="AM141" s="248">
        <f t="shared" si="78"/>
        <v>552329</v>
      </c>
      <c r="AN141" s="248">
        <f>SUM(AN142:AN224,AN228:AN233)</f>
        <v>733859</v>
      </c>
      <c r="AO141" s="248">
        <f t="shared" ref="AO141:AW141" si="79">SUM(AO142:AO224,AO228:AO233,)</f>
        <v>181530</v>
      </c>
      <c r="AP141" s="248">
        <f t="shared" si="79"/>
        <v>22000</v>
      </c>
      <c r="AQ141" s="248">
        <f t="shared" si="79"/>
        <v>98837</v>
      </c>
      <c r="AR141" s="248">
        <f t="shared" si="79"/>
        <v>64912</v>
      </c>
      <c r="AS141" s="248">
        <f t="shared" si="79"/>
        <v>3575</v>
      </c>
      <c r="AT141" s="248">
        <f t="shared" si="79"/>
        <v>-7794</v>
      </c>
      <c r="AU141" s="248">
        <f t="shared" ref="AU141:AV141" si="80">SUM(AU142:AU224,AU228:AU233,)</f>
        <v>0</v>
      </c>
      <c r="AV141" s="248">
        <f t="shared" si="80"/>
        <v>0</v>
      </c>
      <c r="AW141" s="248">
        <f t="shared" si="79"/>
        <v>0</v>
      </c>
      <c r="AX141" s="248">
        <f>SUM(AX142:AX224,AX228:AX233)</f>
        <v>1543543</v>
      </c>
      <c r="AY141" s="248">
        <f>SUM(AY142:AY224,AY228:AY233,)</f>
        <v>16016</v>
      </c>
      <c r="AZ141" s="248">
        <f>SUM(AZ142:AZ224,AZ228:AZ233)</f>
        <v>19422</v>
      </c>
      <c r="BA141" s="248">
        <f t="shared" ref="BA141:BG141" si="81">SUM(BA142:BA224,BA228:BA233,)</f>
        <v>3406</v>
      </c>
      <c r="BB141" s="248">
        <f t="shared" si="81"/>
        <v>641</v>
      </c>
      <c r="BC141" s="248">
        <f t="shared" si="81"/>
        <v>2765</v>
      </c>
      <c r="BD141" s="248">
        <f t="shared" si="81"/>
        <v>0</v>
      </c>
      <c r="BE141" s="248">
        <f t="shared" si="81"/>
        <v>0</v>
      </c>
      <c r="BF141" s="248">
        <f t="shared" si="81"/>
        <v>0</v>
      </c>
      <c r="BG141" s="248">
        <f t="shared" si="81"/>
        <v>0</v>
      </c>
      <c r="BH141" s="288"/>
      <c r="BI141" s="289"/>
    </row>
    <row r="142" spans="1:61" ht="13.5" thickTop="1" x14ac:dyDescent="0.2">
      <c r="A142" s="263">
        <v>90000056357</v>
      </c>
      <c r="B142" s="291"/>
      <c r="C142" s="422" t="s">
        <v>5</v>
      </c>
      <c r="D142" s="423"/>
      <c r="E142" s="305" t="s">
        <v>239</v>
      </c>
      <c r="F142" s="306">
        <v>405761</v>
      </c>
      <c r="G142" s="307">
        <f t="shared" ref="G142:G205" si="82">SUM(I142,AE142,AN142,AX142,AZ142)</f>
        <v>292761</v>
      </c>
      <c r="H142" s="306">
        <f>405761</f>
        <v>405761</v>
      </c>
      <c r="I142" s="255">
        <f t="shared" ref="I142:I208" si="83">H142+J142</f>
        <v>292761</v>
      </c>
      <c r="J142" s="307">
        <f t="shared" ref="J142:J211" si="84">SUM(K142:AC142)</f>
        <v>-113000</v>
      </c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>
        <v>-113000</v>
      </c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7"/>
      <c r="AN142" s="307">
        <f t="shared" ref="AN142:AN161" si="85">AO142+AM142</f>
        <v>0</v>
      </c>
      <c r="AO142" s="308">
        <f t="shared" ref="AO142:AO161" si="86">SUM(AP142:AW142)</f>
        <v>0</v>
      </c>
      <c r="AP142" s="308"/>
      <c r="AQ142" s="308"/>
      <c r="AR142" s="308"/>
      <c r="AS142" s="308"/>
      <c r="AT142" s="308"/>
      <c r="AU142" s="308"/>
      <c r="AV142" s="308"/>
      <c r="AW142" s="308"/>
      <c r="AX142" s="308"/>
      <c r="AY142" s="308"/>
      <c r="AZ142" s="307"/>
      <c r="BA142" s="309"/>
      <c r="BB142" s="308"/>
      <c r="BC142" s="308"/>
      <c r="BD142" s="308"/>
      <c r="BE142" s="308"/>
      <c r="BF142" s="308"/>
      <c r="BG142" s="308"/>
      <c r="BH142" s="310" t="s">
        <v>639</v>
      </c>
      <c r="BI142" s="311"/>
    </row>
    <row r="143" spans="1:61" ht="24" x14ac:dyDescent="0.2">
      <c r="A143" s="263"/>
      <c r="B143" s="295"/>
      <c r="C143" s="296"/>
      <c r="D143" s="297"/>
      <c r="E143" s="253" t="s">
        <v>290</v>
      </c>
      <c r="F143" s="254">
        <v>500</v>
      </c>
      <c r="G143" s="255">
        <f t="shared" si="82"/>
        <v>1700</v>
      </c>
      <c r="H143" s="254">
        <f>500</f>
        <v>500</v>
      </c>
      <c r="I143" s="255">
        <f t="shared" si="83"/>
        <v>1700</v>
      </c>
      <c r="J143" s="255">
        <f t="shared" si="84"/>
        <v>1200</v>
      </c>
      <c r="K143" s="255">
        <v>1200</v>
      </c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>
        <f t="shared" si="85"/>
        <v>0</v>
      </c>
      <c r="AO143" s="256">
        <f t="shared" si="86"/>
        <v>0</v>
      </c>
      <c r="AP143" s="256"/>
      <c r="AQ143" s="256"/>
      <c r="AR143" s="256"/>
      <c r="AS143" s="256"/>
      <c r="AT143" s="256"/>
      <c r="AU143" s="256"/>
      <c r="AV143" s="256"/>
      <c r="AW143" s="256"/>
      <c r="AX143" s="256"/>
      <c r="AY143" s="256"/>
      <c r="AZ143" s="255"/>
      <c r="BA143" s="257"/>
      <c r="BB143" s="256"/>
      <c r="BC143" s="256"/>
      <c r="BD143" s="256"/>
      <c r="BE143" s="256"/>
      <c r="BF143" s="256"/>
      <c r="BG143" s="256"/>
      <c r="BH143" s="258" t="s">
        <v>669</v>
      </c>
      <c r="BI143" s="259" t="s">
        <v>585</v>
      </c>
    </row>
    <row r="144" spans="1:61" ht="24" x14ac:dyDescent="0.2">
      <c r="A144" s="263"/>
      <c r="B144" s="295"/>
      <c r="C144" s="296"/>
      <c r="D144" s="297"/>
      <c r="E144" s="253" t="s">
        <v>567</v>
      </c>
      <c r="F144" s="254">
        <v>30000</v>
      </c>
      <c r="G144" s="255">
        <f>SUM(I144,AE144,AN144,AX144,AZ144)</f>
        <v>120022</v>
      </c>
      <c r="H144" s="254">
        <f>30000</f>
        <v>30000</v>
      </c>
      <c r="I144" s="255">
        <f t="shared" si="83"/>
        <v>120022</v>
      </c>
      <c r="J144" s="300">
        <f t="shared" si="84"/>
        <v>90022</v>
      </c>
      <c r="K144" s="300"/>
      <c r="L144" s="300"/>
      <c r="M144" s="300"/>
      <c r="N144" s="300"/>
      <c r="O144" s="300"/>
      <c r="P144" s="300"/>
      <c r="Q144" s="300"/>
      <c r="R144" s="300">
        <v>90022</v>
      </c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>
        <f t="shared" si="85"/>
        <v>0</v>
      </c>
      <c r="AO144" s="301">
        <f t="shared" si="86"/>
        <v>0</v>
      </c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0"/>
      <c r="BA144" s="302"/>
      <c r="BB144" s="301"/>
      <c r="BC144" s="301"/>
      <c r="BD144" s="301"/>
      <c r="BE144" s="301"/>
      <c r="BF144" s="301"/>
      <c r="BG144" s="301"/>
      <c r="BH144" s="298" t="s">
        <v>640</v>
      </c>
      <c r="BI144" s="259" t="s">
        <v>585</v>
      </c>
    </row>
    <row r="145" spans="1:61" ht="28.5" customHeight="1" x14ac:dyDescent="0.2">
      <c r="A145" s="263"/>
      <c r="B145" s="295"/>
      <c r="C145" s="296"/>
      <c r="D145" s="297"/>
      <c r="E145" s="253" t="s">
        <v>339</v>
      </c>
      <c r="F145" s="254">
        <v>200000</v>
      </c>
      <c r="G145" s="255">
        <f t="shared" si="82"/>
        <v>200000</v>
      </c>
      <c r="H145" s="254">
        <f>200000</f>
        <v>200000</v>
      </c>
      <c r="I145" s="255">
        <f t="shared" si="83"/>
        <v>200000</v>
      </c>
      <c r="J145" s="300">
        <f t="shared" si="84"/>
        <v>0</v>
      </c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>
        <f t="shared" si="85"/>
        <v>0</v>
      </c>
      <c r="AO145" s="301">
        <f t="shared" si="86"/>
        <v>0</v>
      </c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0"/>
      <c r="BA145" s="302"/>
      <c r="BB145" s="301"/>
      <c r="BC145" s="301"/>
      <c r="BD145" s="301"/>
      <c r="BE145" s="301"/>
      <c r="BF145" s="301"/>
      <c r="BG145" s="301"/>
      <c r="BH145" s="298" t="s">
        <v>411</v>
      </c>
      <c r="BI145" s="315" t="s">
        <v>366</v>
      </c>
    </row>
    <row r="146" spans="1:61" ht="36" x14ac:dyDescent="0.2">
      <c r="A146" s="263"/>
      <c r="B146" s="264"/>
      <c r="C146" s="265"/>
      <c r="D146" s="266"/>
      <c r="E146" s="333" t="s">
        <v>563</v>
      </c>
      <c r="F146" s="267">
        <v>482620</v>
      </c>
      <c r="G146" s="268">
        <f t="shared" si="82"/>
        <v>520620</v>
      </c>
      <c r="H146" s="267">
        <f>482620</f>
        <v>482620</v>
      </c>
      <c r="I146" s="255">
        <f t="shared" si="83"/>
        <v>520620</v>
      </c>
      <c r="J146" s="268">
        <f t="shared" si="84"/>
        <v>38000</v>
      </c>
      <c r="K146" s="268">
        <v>8000</v>
      </c>
      <c r="L146" s="268"/>
      <c r="M146" s="268">
        <v>30000</v>
      </c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>
        <f t="shared" si="85"/>
        <v>0</v>
      </c>
      <c r="AO146" s="301">
        <f t="shared" si="86"/>
        <v>0</v>
      </c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0"/>
      <c r="BA146" s="302"/>
      <c r="BB146" s="301"/>
      <c r="BC146" s="301"/>
      <c r="BD146" s="301"/>
      <c r="BE146" s="301"/>
      <c r="BF146" s="301"/>
      <c r="BG146" s="301"/>
      <c r="BH146" s="298" t="s">
        <v>410</v>
      </c>
      <c r="BI146" s="315" t="s">
        <v>583</v>
      </c>
    </row>
    <row r="147" spans="1:61" ht="38.25" customHeight="1" x14ac:dyDescent="0.2">
      <c r="A147" s="263"/>
      <c r="B147" s="295"/>
      <c r="C147" s="296"/>
      <c r="D147" s="297"/>
      <c r="E147" s="253" t="s">
        <v>564</v>
      </c>
      <c r="F147" s="254">
        <v>5150941</v>
      </c>
      <c r="G147" s="255">
        <f t="shared" si="82"/>
        <v>5200729</v>
      </c>
      <c r="H147" s="254">
        <f>5150941</f>
        <v>5150941</v>
      </c>
      <c r="I147" s="255">
        <f t="shared" si="83"/>
        <v>5200729</v>
      </c>
      <c r="J147" s="300">
        <f t="shared" si="84"/>
        <v>49788</v>
      </c>
      <c r="K147" s="300">
        <v>8000</v>
      </c>
      <c r="L147" s="300"/>
      <c r="M147" s="300">
        <v>45133</v>
      </c>
      <c r="N147" s="300"/>
      <c r="O147" s="300">
        <f>8336</f>
        <v>8336</v>
      </c>
      <c r="P147" s="300">
        <f>51708-47348</f>
        <v>4360</v>
      </c>
      <c r="Q147" s="300">
        <v>883</v>
      </c>
      <c r="R147" s="300">
        <v>-16924</v>
      </c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>
        <f t="shared" si="85"/>
        <v>0</v>
      </c>
      <c r="AO147" s="301">
        <f t="shared" si="86"/>
        <v>0</v>
      </c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0"/>
      <c r="BA147" s="302"/>
      <c r="BB147" s="301"/>
      <c r="BC147" s="301"/>
      <c r="BD147" s="301"/>
      <c r="BE147" s="301"/>
      <c r="BF147" s="301"/>
      <c r="BG147" s="301"/>
      <c r="BH147" s="298" t="s">
        <v>690</v>
      </c>
      <c r="BI147" s="315" t="s">
        <v>583</v>
      </c>
    </row>
    <row r="148" spans="1:61" ht="51" customHeight="1" x14ac:dyDescent="0.2">
      <c r="A148" s="263"/>
      <c r="B148" s="264"/>
      <c r="C148" s="265"/>
      <c r="D148" s="266"/>
      <c r="E148" s="253" t="s">
        <v>565</v>
      </c>
      <c r="F148" s="299">
        <v>169902</v>
      </c>
      <c r="G148" s="300">
        <f t="shared" si="82"/>
        <v>262830</v>
      </c>
      <c r="H148" s="299">
        <f>169902</f>
        <v>169902</v>
      </c>
      <c r="I148" s="255">
        <f t="shared" si="83"/>
        <v>262830</v>
      </c>
      <c r="J148" s="300">
        <f t="shared" si="84"/>
        <v>92928</v>
      </c>
      <c r="K148" s="300">
        <v>4000</v>
      </c>
      <c r="L148" s="300"/>
      <c r="M148" s="300">
        <v>6000</v>
      </c>
      <c r="N148" s="300"/>
      <c r="O148" s="300">
        <f>-44479</f>
        <v>-44479</v>
      </c>
      <c r="P148" s="300">
        <f>25000</f>
        <v>25000</v>
      </c>
      <c r="Q148" s="300"/>
      <c r="R148" s="300">
        <f>16924+76897</f>
        <v>93821</v>
      </c>
      <c r="S148" s="300"/>
      <c r="T148" s="300"/>
      <c r="U148" s="300"/>
      <c r="V148" s="300">
        <v>8586</v>
      </c>
      <c r="W148" s="300"/>
      <c r="X148" s="300"/>
      <c r="Y148" s="300"/>
      <c r="Z148" s="300"/>
      <c r="AA148" s="300"/>
      <c r="AB148" s="300"/>
      <c r="AC148" s="300"/>
      <c r="AD148" s="300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>
        <f t="shared" si="85"/>
        <v>0</v>
      </c>
      <c r="AO148" s="256">
        <f t="shared" si="86"/>
        <v>0</v>
      </c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256"/>
      <c r="AZ148" s="255"/>
      <c r="BA148" s="257"/>
      <c r="BB148" s="256"/>
      <c r="BC148" s="256"/>
      <c r="BD148" s="256"/>
      <c r="BE148" s="256"/>
      <c r="BF148" s="256"/>
      <c r="BG148" s="256"/>
      <c r="BH148" s="258" t="s">
        <v>641</v>
      </c>
      <c r="BI148" s="315" t="s">
        <v>583</v>
      </c>
    </row>
    <row r="149" spans="1:61" ht="48" x14ac:dyDescent="0.2">
      <c r="A149" s="263"/>
      <c r="B149" s="264"/>
      <c r="C149" s="265"/>
      <c r="D149" s="266"/>
      <c r="E149" s="312" t="s">
        <v>289</v>
      </c>
      <c r="F149" s="254">
        <v>147509</v>
      </c>
      <c r="G149" s="255">
        <f t="shared" si="82"/>
        <v>186040</v>
      </c>
      <c r="H149" s="254">
        <f>147509</f>
        <v>147509</v>
      </c>
      <c r="I149" s="255">
        <f t="shared" si="83"/>
        <v>161408</v>
      </c>
      <c r="J149" s="255">
        <f t="shared" si="84"/>
        <v>13899</v>
      </c>
      <c r="K149" s="255"/>
      <c r="L149" s="255"/>
      <c r="M149" s="255"/>
      <c r="N149" s="255"/>
      <c r="O149" s="255"/>
      <c r="P149" s="255"/>
      <c r="Q149" s="255"/>
      <c r="R149" s="255"/>
      <c r="S149" s="255"/>
      <c r="T149" s="255">
        <v>10627</v>
      </c>
      <c r="U149" s="255"/>
      <c r="V149" s="255"/>
      <c r="W149" s="255">
        <v>3272</v>
      </c>
      <c r="X149" s="255"/>
      <c r="Y149" s="255"/>
      <c r="Z149" s="255"/>
      <c r="AA149" s="255"/>
      <c r="AB149" s="255"/>
      <c r="AC149" s="255"/>
      <c r="AD149" s="255"/>
      <c r="AE149" s="255">
        <f>AD149+AF149</f>
        <v>24632</v>
      </c>
      <c r="AF149" s="255">
        <f>SUM(AG149:AL149)</f>
        <v>24632</v>
      </c>
      <c r="AG149" s="255"/>
      <c r="AH149" s="255"/>
      <c r="AI149" s="255"/>
      <c r="AJ149" s="255">
        <v>24632</v>
      </c>
      <c r="AK149" s="255"/>
      <c r="AL149" s="255"/>
      <c r="AM149" s="255"/>
      <c r="AN149" s="255">
        <f t="shared" si="85"/>
        <v>0</v>
      </c>
      <c r="AO149" s="256">
        <f t="shared" si="86"/>
        <v>0</v>
      </c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5"/>
      <c r="BA149" s="257"/>
      <c r="BB149" s="256"/>
      <c r="BC149" s="256"/>
      <c r="BD149" s="256"/>
      <c r="BE149" s="256"/>
      <c r="BF149" s="256"/>
      <c r="BG149" s="256"/>
      <c r="BH149" s="258" t="s">
        <v>642</v>
      </c>
      <c r="BI149" s="259" t="s">
        <v>585</v>
      </c>
    </row>
    <row r="150" spans="1:61" ht="48" x14ac:dyDescent="0.2">
      <c r="A150" s="263"/>
      <c r="B150" s="264"/>
      <c r="C150" s="265"/>
      <c r="D150" s="266"/>
      <c r="E150" s="253" t="s">
        <v>596</v>
      </c>
      <c r="F150" s="254">
        <v>352537</v>
      </c>
      <c r="G150" s="255">
        <f t="shared" si="82"/>
        <v>352537</v>
      </c>
      <c r="H150" s="254">
        <f>352537</f>
        <v>352537</v>
      </c>
      <c r="I150" s="255">
        <f t="shared" si="83"/>
        <v>352537</v>
      </c>
      <c r="J150" s="255">
        <f t="shared" si="84"/>
        <v>0</v>
      </c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>
        <f t="shared" si="85"/>
        <v>0</v>
      </c>
      <c r="AO150" s="256">
        <f t="shared" si="86"/>
        <v>0</v>
      </c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5"/>
      <c r="BA150" s="257"/>
      <c r="BB150" s="256"/>
      <c r="BC150" s="256"/>
      <c r="BD150" s="256"/>
      <c r="BE150" s="256"/>
      <c r="BF150" s="256"/>
      <c r="BG150" s="256"/>
      <c r="BH150" s="258" t="s">
        <v>643</v>
      </c>
      <c r="BI150" s="259" t="s">
        <v>593</v>
      </c>
    </row>
    <row r="151" spans="1:61" ht="24" x14ac:dyDescent="0.2">
      <c r="A151" s="263"/>
      <c r="B151" s="264"/>
      <c r="C151" s="265"/>
      <c r="D151" s="266"/>
      <c r="E151" s="253" t="s">
        <v>727</v>
      </c>
      <c r="F151" s="254"/>
      <c r="G151" s="255">
        <f t="shared" si="82"/>
        <v>797</v>
      </c>
      <c r="H151" s="254"/>
      <c r="I151" s="255">
        <f>H151+J151</f>
        <v>797</v>
      </c>
      <c r="J151" s="255">
        <f t="shared" si="84"/>
        <v>797</v>
      </c>
      <c r="K151" s="255"/>
      <c r="L151" s="255"/>
      <c r="M151" s="255"/>
      <c r="N151" s="255">
        <v>797</v>
      </c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>
        <f t="shared" si="85"/>
        <v>0</v>
      </c>
      <c r="AO151" s="256">
        <f t="shared" si="86"/>
        <v>0</v>
      </c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5"/>
      <c r="BA151" s="257"/>
      <c r="BB151" s="256"/>
      <c r="BC151" s="256"/>
      <c r="BD151" s="256"/>
      <c r="BE151" s="256"/>
      <c r="BF151" s="256"/>
      <c r="BG151" s="256"/>
      <c r="BH151" s="258" t="s">
        <v>728</v>
      </c>
      <c r="BI151" s="259"/>
    </row>
    <row r="152" spans="1:61" ht="12.75" x14ac:dyDescent="0.2">
      <c r="A152" s="263"/>
      <c r="B152" s="264"/>
      <c r="C152" s="265"/>
      <c r="D152" s="266"/>
      <c r="E152" s="253" t="s">
        <v>775</v>
      </c>
      <c r="F152" s="254"/>
      <c r="G152" s="255">
        <f t="shared" si="82"/>
        <v>4000</v>
      </c>
      <c r="H152" s="254"/>
      <c r="I152" s="255">
        <f>H152+J152</f>
        <v>4000</v>
      </c>
      <c r="J152" s="255">
        <f t="shared" si="84"/>
        <v>4000</v>
      </c>
      <c r="K152" s="255"/>
      <c r="L152" s="255"/>
      <c r="M152" s="255"/>
      <c r="N152" s="255"/>
      <c r="O152" s="255"/>
      <c r="P152" s="255"/>
      <c r="Q152" s="255">
        <v>4000</v>
      </c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>
        <f t="shared" si="85"/>
        <v>0</v>
      </c>
      <c r="AO152" s="256">
        <f t="shared" si="86"/>
        <v>0</v>
      </c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5"/>
      <c r="BA152" s="257"/>
      <c r="BB152" s="256"/>
      <c r="BC152" s="256"/>
      <c r="BD152" s="256"/>
      <c r="BE152" s="256"/>
      <c r="BF152" s="256"/>
      <c r="BG152" s="256"/>
      <c r="BH152" s="258" t="s">
        <v>776</v>
      </c>
      <c r="BI152" s="259"/>
    </row>
    <row r="153" spans="1:61" ht="36" x14ac:dyDescent="0.2">
      <c r="A153" s="263"/>
      <c r="B153" s="264"/>
      <c r="C153" s="265"/>
      <c r="D153" s="266"/>
      <c r="E153" s="253" t="s">
        <v>777</v>
      </c>
      <c r="F153" s="254"/>
      <c r="G153" s="255">
        <f t="shared" si="82"/>
        <v>2656</v>
      </c>
      <c r="H153" s="254"/>
      <c r="I153" s="255">
        <f>H153+J153</f>
        <v>2656</v>
      </c>
      <c r="J153" s="255">
        <f t="shared" si="84"/>
        <v>2656</v>
      </c>
      <c r="K153" s="255"/>
      <c r="L153" s="255"/>
      <c r="M153" s="255"/>
      <c r="N153" s="255"/>
      <c r="O153" s="255"/>
      <c r="P153" s="255"/>
      <c r="Q153" s="255"/>
      <c r="R153" s="255">
        <v>2656</v>
      </c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>
        <f t="shared" si="85"/>
        <v>0</v>
      </c>
      <c r="AO153" s="256">
        <f t="shared" si="86"/>
        <v>0</v>
      </c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5"/>
      <c r="BA153" s="257"/>
      <c r="BB153" s="256"/>
      <c r="BC153" s="256"/>
      <c r="BD153" s="256"/>
      <c r="BE153" s="256"/>
      <c r="BF153" s="256"/>
      <c r="BG153" s="256"/>
      <c r="BH153" s="258" t="s">
        <v>778</v>
      </c>
      <c r="BI153" s="259"/>
    </row>
    <row r="154" spans="1:61" ht="24" x14ac:dyDescent="0.2">
      <c r="A154" s="263">
        <v>90000051665</v>
      </c>
      <c r="B154" s="264"/>
      <c r="C154" s="413" t="s">
        <v>361</v>
      </c>
      <c r="D154" s="414"/>
      <c r="E154" s="253" t="s">
        <v>308</v>
      </c>
      <c r="F154" s="254">
        <v>644899</v>
      </c>
      <c r="G154" s="255">
        <f t="shared" si="82"/>
        <v>649661</v>
      </c>
      <c r="H154" s="254">
        <f>435917</f>
        <v>435917</v>
      </c>
      <c r="I154" s="255">
        <f t="shared" si="83"/>
        <v>435917</v>
      </c>
      <c r="J154" s="255">
        <f t="shared" si="84"/>
        <v>0</v>
      </c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>
        <f>191082</f>
        <v>191082</v>
      </c>
      <c r="AE154" s="255">
        <f>AD154+AF154</f>
        <v>194801</v>
      </c>
      <c r="AF154" s="255">
        <f>SUM(AG154:AL154)</f>
        <v>3719</v>
      </c>
      <c r="AG154" s="255">
        <f>3719</f>
        <v>3719</v>
      </c>
      <c r="AH154" s="255"/>
      <c r="AI154" s="255"/>
      <c r="AJ154" s="255"/>
      <c r="AK154" s="255"/>
      <c r="AL154" s="255"/>
      <c r="AM154" s="255">
        <f>17900</f>
        <v>17900</v>
      </c>
      <c r="AN154" s="255">
        <f t="shared" si="85"/>
        <v>18943</v>
      </c>
      <c r="AO154" s="256">
        <f t="shared" si="86"/>
        <v>1043</v>
      </c>
      <c r="AP154" s="256"/>
      <c r="AQ154" s="256">
        <v>1043</v>
      </c>
      <c r="AR154" s="256"/>
      <c r="AS154" s="256"/>
      <c r="AT154" s="256"/>
      <c r="AU154" s="256"/>
      <c r="AV154" s="256"/>
      <c r="AW154" s="256"/>
      <c r="AX154" s="256"/>
      <c r="AY154" s="256"/>
      <c r="AZ154" s="255"/>
      <c r="BA154" s="257"/>
      <c r="BB154" s="256"/>
      <c r="BC154" s="256"/>
      <c r="BD154" s="256"/>
      <c r="BE154" s="256"/>
      <c r="BF154" s="256"/>
      <c r="BG154" s="256"/>
      <c r="BH154" s="258" t="s">
        <v>412</v>
      </c>
      <c r="BI154" s="259"/>
    </row>
    <row r="155" spans="1:61" ht="12.75" x14ac:dyDescent="0.2">
      <c r="A155" s="263"/>
      <c r="B155" s="264"/>
      <c r="C155" s="265"/>
      <c r="D155" s="266"/>
      <c r="E155" s="253" t="s">
        <v>346</v>
      </c>
      <c r="F155" s="254">
        <v>57557</v>
      </c>
      <c r="G155" s="255">
        <f t="shared" si="82"/>
        <v>60503</v>
      </c>
      <c r="H155" s="254">
        <f>43215</f>
        <v>43215</v>
      </c>
      <c r="I155" s="255">
        <f t="shared" si="83"/>
        <v>43215</v>
      </c>
      <c r="J155" s="255">
        <f t="shared" si="84"/>
        <v>0</v>
      </c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>
        <f>14342</f>
        <v>14342</v>
      </c>
      <c r="AE155" s="255">
        <f>AD155+AF155</f>
        <v>17288</v>
      </c>
      <c r="AF155" s="255">
        <f t="shared" ref="AF155:AF216" si="87">SUM(AG155:AL155)</f>
        <v>2946</v>
      </c>
      <c r="AG155" s="255">
        <v>2946</v>
      </c>
      <c r="AH155" s="255"/>
      <c r="AI155" s="255"/>
      <c r="AJ155" s="255"/>
      <c r="AK155" s="255"/>
      <c r="AL155" s="255"/>
      <c r="AM155" s="255"/>
      <c r="AN155" s="255">
        <f t="shared" si="85"/>
        <v>0</v>
      </c>
      <c r="AO155" s="256">
        <f t="shared" si="86"/>
        <v>0</v>
      </c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5"/>
      <c r="BA155" s="257"/>
      <c r="BB155" s="256"/>
      <c r="BC155" s="256"/>
      <c r="BD155" s="256"/>
      <c r="BE155" s="256"/>
      <c r="BF155" s="256"/>
      <c r="BG155" s="256"/>
      <c r="BH155" s="258" t="s">
        <v>413</v>
      </c>
      <c r="BI155" s="259"/>
    </row>
    <row r="156" spans="1:61" ht="36" customHeight="1" x14ac:dyDescent="0.2">
      <c r="A156" s="263">
        <v>90000051561</v>
      </c>
      <c r="B156" s="264"/>
      <c r="C156" s="413" t="s">
        <v>683</v>
      </c>
      <c r="D156" s="414"/>
      <c r="E156" s="253" t="s">
        <v>308</v>
      </c>
      <c r="F156" s="254">
        <v>564818</v>
      </c>
      <c r="G156" s="255">
        <f t="shared" si="82"/>
        <v>572243</v>
      </c>
      <c r="H156" s="254">
        <f>294044</f>
        <v>294044</v>
      </c>
      <c r="I156" s="255">
        <f t="shared" si="83"/>
        <v>295179</v>
      </c>
      <c r="J156" s="255">
        <f t="shared" si="84"/>
        <v>1135</v>
      </c>
      <c r="K156" s="255"/>
      <c r="L156" s="255"/>
      <c r="M156" s="255"/>
      <c r="N156" s="255">
        <f>1135</f>
        <v>1135</v>
      </c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>
        <f>253606</f>
        <v>253606</v>
      </c>
      <c r="AE156" s="255">
        <f>AD156+AF156</f>
        <v>258312</v>
      </c>
      <c r="AF156" s="255">
        <f t="shared" si="87"/>
        <v>4706</v>
      </c>
      <c r="AG156" s="255">
        <f>4706</f>
        <v>4706</v>
      </c>
      <c r="AH156" s="255"/>
      <c r="AI156" s="255"/>
      <c r="AJ156" s="255"/>
      <c r="AK156" s="255"/>
      <c r="AL156" s="255"/>
      <c r="AM156" s="255">
        <f>16300</f>
        <v>16300</v>
      </c>
      <c r="AN156" s="255">
        <f t="shared" si="85"/>
        <v>17796</v>
      </c>
      <c r="AO156" s="256">
        <f t="shared" si="86"/>
        <v>1496</v>
      </c>
      <c r="AP156" s="256"/>
      <c r="AQ156" s="256">
        <f>1496</f>
        <v>1496</v>
      </c>
      <c r="AR156" s="256"/>
      <c r="AS156" s="256"/>
      <c r="AT156" s="256"/>
      <c r="AU156" s="256"/>
      <c r="AV156" s="256"/>
      <c r="AW156" s="256"/>
      <c r="AX156" s="256"/>
      <c r="AY156" s="256">
        <f>868</f>
        <v>868</v>
      </c>
      <c r="AZ156" s="255">
        <f>AY156+BA156</f>
        <v>956</v>
      </c>
      <c r="BA156" s="257">
        <f>SUM(BB156:BG156)</f>
        <v>88</v>
      </c>
      <c r="BB156" s="256">
        <v>88</v>
      </c>
      <c r="BC156" s="256"/>
      <c r="BD156" s="256"/>
      <c r="BE156" s="256"/>
      <c r="BF156" s="256"/>
      <c r="BG156" s="256"/>
      <c r="BH156" s="258" t="s">
        <v>414</v>
      </c>
      <c r="BI156" s="259"/>
    </row>
    <row r="157" spans="1:61" ht="12.75" x14ac:dyDescent="0.2">
      <c r="A157" s="263"/>
      <c r="B157" s="264"/>
      <c r="C157" s="265"/>
      <c r="D157" s="266"/>
      <c r="E157" s="253" t="s">
        <v>346</v>
      </c>
      <c r="F157" s="254">
        <v>63399</v>
      </c>
      <c r="G157" s="255">
        <f t="shared" si="82"/>
        <v>67994</v>
      </c>
      <c r="H157" s="254">
        <f>45314</f>
        <v>45314</v>
      </c>
      <c r="I157" s="255">
        <f t="shared" si="83"/>
        <v>45314</v>
      </c>
      <c r="J157" s="255">
        <f t="shared" si="84"/>
        <v>0</v>
      </c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>
        <f>18085</f>
        <v>18085</v>
      </c>
      <c r="AE157" s="255">
        <f>AD157+AF157</f>
        <v>22680</v>
      </c>
      <c r="AF157" s="255">
        <f t="shared" si="87"/>
        <v>4595</v>
      </c>
      <c r="AG157" s="255">
        <v>4595</v>
      </c>
      <c r="AH157" s="255"/>
      <c r="AI157" s="255"/>
      <c r="AJ157" s="255"/>
      <c r="AK157" s="255"/>
      <c r="AL157" s="255"/>
      <c r="AM157" s="255"/>
      <c r="AN157" s="255">
        <f t="shared" si="85"/>
        <v>0</v>
      </c>
      <c r="AO157" s="256">
        <f t="shared" si="86"/>
        <v>0</v>
      </c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5"/>
      <c r="BA157" s="257"/>
      <c r="BB157" s="256"/>
      <c r="BC157" s="256"/>
      <c r="BD157" s="256"/>
      <c r="BE157" s="256"/>
      <c r="BF157" s="256"/>
      <c r="BG157" s="256"/>
      <c r="BH157" s="258" t="s">
        <v>415</v>
      </c>
      <c r="BI157" s="259"/>
    </row>
    <row r="158" spans="1:61" ht="12.75" x14ac:dyDescent="0.2">
      <c r="A158" s="263"/>
      <c r="B158" s="264"/>
      <c r="C158" s="265"/>
      <c r="D158" s="266"/>
      <c r="E158" s="253" t="s">
        <v>733</v>
      </c>
      <c r="F158" s="254"/>
      <c r="G158" s="255">
        <f t="shared" si="82"/>
        <v>144</v>
      </c>
      <c r="H158" s="254"/>
      <c r="I158" s="255">
        <f t="shared" si="83"/>
        <v>144</v>
      </c>
      <c r="J158" s="255">
        <f t="shared" si="84"/>
        <v>144</v>
      </c>
      <c r="K158" s="255"/>
      <c r="L158" s="255"/>
      <c r="M158" s="255"/>
      <c r="N158" s="255">
        <v>144</v>
      </c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>
        <f t="shared" si="85"/>
        <v>0</v>
      </c>
      <c r="AO158" s="256">
        <f t="shared" si="86"/>
        <v>0</v>
      </c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5"/>
      <c r="BA158" s="257"/>
      <c r="BB158" s="256"/>
      <c r="BC158" s="256"/>
      <c r="BD158" s="256"/>
      <c r="BE158" s="256"/>
      <c r="BF158" s="256"/>
      <c r="BG158" s="256"/>
      <c r="BH158" s="258"/>
      <c r="BI158" s="259"/>
    </row>
    <row r="159" spans="1:61" ht="36" x14ac:dyDescent="0.2">
      <c r="A159" s="263">
        <v>90009226256</v>
      </c>
      <c r="B159" s="264"/>
      <c r="C159" s="413" t="s">
        <v>194</v>
      </c>
      <c r="D159" s="414"/>
      <c r="E159" s="253" t="s">
        <v>500</v>
      </c>
      <c r="F159" s="254">
        <v>285810</v>
      </c>
      <c r="G159" s="255">
        <f t="shared" si="82"/>
        <v>292985</v>
      </c>
      <c r="H159" s="254">
        <f>222184</f>
        <v>222184</v>
      </c>
      <c r="I159" s="255">
        <f t="shared" si="83"/>
        <v>223119</v>
      </c>
      <c r="J159" s="255">
        <f t="shared" si="84"/>
        <v>935</v>
      </c>
      <c r="K159" s="255"/>
      <c r="L159" s="255"/>
      <c r="M159" s="255"/>
      <c r="N159" s="255"/>
      <c r="O159" s="255"/>
      <c r="P159" s="255">
        <f>935</f>
        <v>935</v>
      </c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>
        <f>56387</f>
        <v>56387</v>
      </c>
      <c r="AE159" s="255">
        <f>AD159+AF159</f>
        <v>56387</v>
      </c>
      <c r="AF159" s="255">
        <f t="shared" si="87"/>
        <v>0</v>
      </c>
      <c r="AG159" s="255"/>
      <c r="AH159" s="255"/>
      <c r="AI159" s="255"/>
      <c r="AJ159" s="255"/>
      <c r="AK159" s="255"/>
      <c r="AL159" s="255"/>
      <c r="AM159" s="255">
        <f>7239</f>
        <v>7239</v>
      </c>
      <c r="AN159" s="255">
        <f t="shared" si="85"/>
        <v>13479</v>
      </c>
      <c r="AO159" s="256">
        <f t="shared" si="86"/>
        <v>6240</v>
      </c>
      <c r="AP159" s="256"/>
      <c r="AQ159" s="256"/>
      <c r="AR159" s="256">
        <f>2665</f>
        <v>2665</v>
      </c>
      <c r="AS159" s="256">
        <v>3575</v>
      </c>
      <c r="AT159" s="256"/>
      <c r="AU159" s="256"/>
      <c r="AV159" s="256"/>
      <c r="AW159" s="256"/>
      <c r="AX159" s="256"/>
      <c r="AY159" s="256"/>
      <c r="AZ159" s="255"/>
      <c r="BA159" s="257"/>
      <c r="BB159" s="256"/>
      <c r="BC159" s="256"/>
      <c r="BD159" s="256"/>
      <c r="BE159" s="256"/>
      <c r="BF159" s="256"/>
      <c r="BG159" s="256"/>
      <c r="BH159" s="258" t="s">
        <v>416</v>
      </c>
      <c r="BI159" s="259"/>
    </row>
    <row r="160" spans="1:61" ht="24" x14ac:dyDescent="0.2">
      <c r="A160" s="334"/>
      <c r="B160" s="264"/>
      <c r="C160" s="335"/>
      <c r="D160" s="336"/>
      <c r="E160" s="253" t="s">
        <v>501</v>
      </c>
      <c r="F160" s="254">
        <v>2600</v>
      </c>
      <c r="G160" s="255">
        <f t="shared" si="82"/>
        <v>2600</v>
      </c>
      <c r="H160" s="254">
        <f>2600</f>
        <v>2600</v>
      </c>
      <c r="I160" s="255">
        <f t="shared" si="83"/>
        <v>2600</v>
      </c>
      <c r="J160" s="255">
        <f t="shared" si="84"/>
        <v>0</v>
      </c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>
        <f t="shared" si="85"/>
        <v>0</v>
      </c>
      <c r="AO160" s="256">
        <f t="shared" si="86"/>
        <v>0</v>
      </c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5"/>
      <c r="BA160" s="257"/>
      <c r="BB160" s="256"/>
      <c r="BC160" s="256"/>
      <c r="BD160" s="256"/>
      <c r="BE160" s="256"/>
      <c r="BF160" s="256"/>
      <c r="BG160" s="256"/>
      <c r="BH160" s="258" t="s">
        <v>417</v>
      </c>
      <c r="BI160" s="259"/>
    </row>
    <row r="161" spans="1:61" ht="24" x14ac:dyDescent="0.2">
      <c r="A161" s="334"/>
      <c r="B161" s="264"/>
      <c r="C161" s="335"/>
      <c r="D161" s="336"/>
      <c r="E161" s="253" t="s">
        <v>354</v>
      </c>
      <c r="F161" s="254">
        <v>5760</v>
      </c>
      <c r="G161" s="255">
        <f t="shared" si="82"/>
        <v>5760</v>
      </c>
      <c r="H161" s="254">
        <f>5760</f>
        <v>5760</v>
      </c>
      <c r="I161" s="255">
        <f t="shared" si="83"/>
        <v>5760</v>
      </c>
      <c r="J161" s="255">
        <f t="shared" si="84"/>
        <v>0</v>
      </c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>
        <f t="shared" si="85"/>
        <v>0</v>
      </c>
      <c r="AO161" s="256">
        <f t="shared" si="86"/>
        <v>0</v>
      </c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5"/>
      <c r="BA161" s="257"/>
      <c r="BB161" s="256"/>
      <c r="BC161" s="256"/>
      <c r="BD161" s="256"/>
      <c r="BE161" s="256"/>
      <c r="BF161" s="256"/>
      <c r="BG161" s="256"/>
      <c r="BH161" s="258" t="s">
        <v>418</v>
      </c>
      <c r="BI161" s="259"/>
    </row>
    <row r="162" spans="1:61" ht="36" x14ac:dyDescent="0.2">
      <c r="A162" s="263"/>
      <c r="B162" s="264"/>
      <c r="C162" s="265"/>
      <c r="D162" s="266"/>
      <c r="E162" s="253" t="s">
        <v>772</v>
      </c>
      <c r="F162" s="254"/>
      <c r="G162" s="255">
        <f t="shared" si="82"/>
        <v>1509</v>
      </c>
      <c r="H162" s="254"/>
      <c r="I162" s="255">
        <f>H162+J162</f>
        <v>1509</v>
      </c>
      <c r="J162" s="255">
        <f>SUM(K162:AC162)</f>
        <v>1509</v>
      </c>
      <c r="K162" s="255"/>
      <c r="L162" s="255"/>
      <c r="M162" s="255"/>
      <c r="N162" s="255"/>
      <c r="O162" s="255"/>
      <c r="P162" s="255"/>
      <c r="Q162" s="255"/>
      <c r="R162" s="255">
        <v>1509</v>
      </c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5"/>
      <c r="BA162" s="257"/>
      <c r="BB162" s="256"/>
      <c r="BC162" s="256"/>
      <c r="BD162" s="256"/>
      <c r="BE162" s="256"/>
      <c r="BF162" s="256"/>
      <c r="BG162" s="256"/>
      <c r="BH162" s="258" t="s">
        <v>773</v>
      </c>
      <c r="BI162" s="259"/>
    </row>
    <row r="163" spans="1:61" ht="41.25" customHeight="1" x14ac:dyDescent="0.2">
      <c r="A163" s="263">
        <v>90000051487</v>
      </c>
      <c r="B163" s="264"/>
      <c r="C163" s="413" t="s">
        <v>173</v>
      </c>
      <c r="D163" s="414"/>
      <c r="E163" s="253" t="s">
        <v>308</v>
      </c>
      <c r="F163" s="254">
        <v>873953</v>
      </c>
      <c r="G163" s="255">
        <f t="shared" si="82"/>
        <v>888469</v>
      </c>
      <c r="H163" s="254">
        <f>372998</f>
        <v>372998</v>
      </c>
      <c r="I163" s="255">
        <f t="shared" si="83"/>
        <v>374133</v>
      </c>
      <c r="J163" s="255">
        <f t="shared" si="84"/>
        <v>1135</v>
      </c>
      <c r="K163" s="255"/>
      <c r="L163" s="255"/>
      <c r="M163" s="255"/>
      <c r="N163" s="255">
        <v>1135</v>
      </c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>
        <f>485309</f>
        <v>485309</v>
      </c>
      <c r="AE163" s="255">
        <f>AD163+AF163</f>
        <v>490594</v>
      </c>
      <c r="AF163" s="255">
        <f t="shared" si="87"/>
        <v>5285</v>
      </c>
      <c r="AG163" s="255">
        <f>5977</f>
        <v>5977</v>
      </c>
      <c r="AH163" s="255"/>
      <c r="AI163" s="255">
        <v>-692</v>
      </c>
      <c r="AJ163" s="255"/>
      <c r="AK163" s="255"/>
      <c r="AL163" s="255"/>
      <c r="AM163" s="255">
        <f>15646</f>
        <v>15646</v>
      </c>
      <c r="AN163" s="255">
        <f>AO163+AM163</f>
        <v>23742</v>
      </c>
      <c r="AO163" s="256">
        <f t="shared" ref="AO163:AO227" si="88">SUM(AP163:AW163)</f>
        <v>8096</v>
      </c>
      <c r="AP163" s="256"/>
      <c r="AQ163" s="256">
        <f>5596</f>
        <v>5596</v>
      </c>
      <c r="AR163" s="256"/>
      <c r="AS163" s="256"/>
      <c r="AT163" s="256">
        <v>2500</v>
      </c>
      <c r="AU163" s="256"/>
      <c r="AV163" s="256"/>
      <c r="AW163" s="256"/>
      <c r="AX163" s="256"/>
      <c r="AY163" s="256"/>
      <c r="AZ163" s="255"/>
      <c r="BA163" s="257"/>
      <c r="BB163" s="256"/>
      <c r="BC163" s="256"/>
      <c r="BD163" s="256"/>
      <c r="BE163" s="256"/>
      <c r="BF163" s="256"/>
      <c r="BG163" s="256"/>
      <c r="BH163" s="258" t="s">
        <v>419</v>
      </c>
      <c r="BI163" s="259"/>
    </row>
    <row r="164" spans="1:61" ht="36" x14ac:dyDescent="0.2">
      <c r="A164" s="263"/>
      <c r="B164" s="264"/>
      <c r="C164" s="265"/>
      <c r="D164" s="266"/>
      <c r="E164" s="253" t="s">
        <v>502</v>
      </c>
      <c r="F164" s="254">
        <v>1423</v>
      </c>
      <c r="G164" s="255">
        <f t="shared" si="82"/>
        <v>1423</v>
      </c>
      <c r="H164" s="254">
        <v>0</v>
      </c>
      <c r="I164" s="255">
        <f t="shared" si="83"/>
        <v>0</v>
      </c>
      <c r="J164" s="255">
        <f t="shared" si="84"/>
        <v>0</v>
      </c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>
        <f>1423</f>
        <v>1423</v>
      </c>
      <c r="AE164" s="255">
        <f>AD164+AF164</f>
        <v>1423</v>
      </c>
      <c r="AF164" s="255">
        <f t="shared" si="87"/>
        <v>0</v>
      </c>
      <c r="AG164" s="255"/>
      <c r="AH164" s="255"/>
      <c r="AI164" s="255"/>
      <c r="AJ164" s="255"/>
      <c r="AK164" s="255"/>
      <c r="AL164" s="255"/>
      <c r="AM164" s="255"/>
      <c r="AN164" s="255">
        <f>AO164+AM164</f>
        <v>0</v>
      </c>
      <c r="AO164" s="256">
        <f t="shared" si="88"/>
        <v>0</v>
      </c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5"/>
      <c r="BA164" s="257"/>
      <c r="BB164" s="256"/>
      <c r="BC164" s="256"/>
      <c r="BD164" s="256"/>
      <c r="BE164" s="256"/>
      <c r="BF164" s="256"/>
      <c r="BG164" s="256"/>
      <c r="BH164" s="258" t="s">
        <v>420</v>
      </c>
      <c r="BI164" s="259"/>
    </row>
    <row r="165" spans="1:61" ht="36" x14ac:dyDescent="0.2">
      <c r="A165" s="263"/>
      <c r="B165" s="264"/>
      <c r="C165" s="265"/>
      <c r="D165" s="266"/>
      <c r="E165" s="253" t="s">
        <v>505</v>
      </c>
      <c r="F165" s="254">
        <v>45940</v>
      </c>
      <c r="G165" s="255">
        <f t="shared" si="82"/>
        <v>47345</v>
      </c>
      <c r="H165" s="254">
        <f>45940</f>
        <v>45940</v>
      </c>
      <c r="I165" s="255">
        <f t="shared" si="83"/>
        <v>47345</v>
      </c>
      <c r="J165" s="255">
        <f t="shared" si="84"/>
        <v>1405</v>
      </c>
      <c r="K165" s="255"/>
      <c r="L165" s="255"/>
      <c r="M165" s="255"/>
      <c r="N165" s="255">
        <f>805</f>
        <v>805</v>
      </c>
      <c r="O165" s="255"/>
      <c r="P165" s="255"/>
      <c r="Q165" s="255"/>
      <c r="R165" s="255"/>
      <c r="S165" s="255"/>
      <c r="T165" s="255"/>
      <c r="U165" s="255"/>
      <c r="V165" s="255">
        <v>600</v>
      </c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>
        <f>AO165+AM165</f>
        <v>0</v>
      </c>
      <c r="AO165" s="256">
        <f t="shared" si="88"/>
        <v>0</v>
      </c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5"/>
      <c r="BA165" s="257"/>
      <c r="BB165" s="256"/>
      <c r="BC165" s="256"/>
      <c r="BD165" s="256"/>
      <c r="BE165" s="256"/>
      <c r="BF165" s="256"/>
      <c r="BG165" s="256"/>
      <c r="BH165" s="258" t="s">
        <v>644</v>
      </c>
      <c r="BI165" s="259"/>
    </row>
    <row r="166" spans="1:61" ht="12.75" x14ac:dyDescent="0.2">
      <c r="A166" s="263"/>
      <c r="B166" s="264"/>
      <c r="C166" s="265"/>
      <c r="D166" s="266"/>
      <c r="E166" s="253" t="s">
        <v>346</v>
      </c>
      <c r="F166" s="254">
        <v>81932</v>
      </c>
      <c r="G166" s="255">
        <f t="shared" si="82"/>
        <v>81932</v>
      </c>
      <c r="H166" s="254">
        <f>81932</f>
        <v>81932</v>
      </c>
      <c r="I166" s="255">
        <f t="shared" si="83"/>
        <v>81932</v>
      </c>
      <c r="J166" s="255">
        <f t="shared" si="84"/>
        <v>0</v>
      </c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>
        <f>AO166+AM166</f>
        <v>0</v>
      </c>
      <c r="AO166" s="256">
        <f t="shared" si="88"/>
        <v>0</v>
      </c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5"/>
      <c r="BA166" s="257"/>
      <c r="BB166" s="256"/>
      <c r="BC166" s="256"/>
      <c r="BD166" s="256"/>
      <c r="BE166" s="256"/>
      <c r="BF166" s="256"/>
      <c r="BG166" s="256"/>
      <c r="BH166" s="258" t="s">
        <v>645</v>
      </c>
      <c r="BI166" s="259"/>
    </row>
    <row r="167" spans="1:61" ht="39.75" customHeight="1" x14ac:dyDescent="0.2">
      <c r="A167" s="263">
        <v>90000051519</v>
      </c>
      <c r="B167" s="264"/>
      <c r="C167" s="413" t="s">
        <v>259</v>
      </c>
      <c r="D167" s="414"/>
      <c r="E167" s="253" t="s">
        <v>308</v>
      </c>
      <c r="F167" s="254">
        <v>1334775</v>
      </c>
      <c r="G167" s="255">
        <f t="shared" si="82"/>
        <v>1352374</v>
      </c>
      <c r="H167" s="254">
        <f>628493</f>
        <v>628493</v>
      </c>
      <c r="I167" s="255">
        <f t="shared" si="83"/>
        <v>630763</v>
      </c>
      <c r="J167" s="255">
        <f t="shared" si="84"/>
        <v>2270</v>
      </c>
      <c r="K167" s="255"/>
      <c r="L167" s="255"/>
      <c r="M167" s="255"/>
      <c r="N167" s="255">
        <v>2270</v>
      </c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>
        <f>682320</f>
        <v>682320</v>
      </c>
      <c r="AE167" s="255">
        <f t="shared" ref="AE167:AE174" si="89">AD167+AF167</f>
        <v>695337</v>
      </c>
      <c r="AF167" s="255">
        <f t="shared" si="87"/>
        <v>13017</v>
      </c>
      <c r="AG167" s="255">
        <f>13017</f>
        <v>13017</v>
      </c>
      <c r="AH167" s="255"/>
      <c r="AI167" s="255"/>
      <c r="AJ167" s="255"/>
      <c r="AK167" s="255"/>
      <c r="AL167" s="255"/>
      <c r="AM167" s="255">
        <f>23962</f>
        <v>23962</v>
      </c>
      <c r="AN167" s="255">
        <f t="shared" ref="AN167:AN223" si="90">AO167+AM167</f>
        <v>26274</v>
      </c>
      <c r="AO167" s="256">
        <f t="shared" si="88"/>
        <v>2312</v>
      </c>
      <c r="AP167" s="256"/>
      <c r="AQ167" s="256">
        <f>2312</f>
        <v>2312</v>
      </c>
      <c r="AR167" s="256"/>
      <c r="AS167" s="256"/>
      <c r="AT167" s="256"/>
      <c r="AU167" s="256"/>
      <c r="AV167" s="256"/>
      <c r="AW167" s="256"/>
      <c r="AX167" s="256"/>
      <c r="AY167" s="256"/>
      <c r="AZ167" s="255"/>
      <c r="BA167" s="257"/>
      <c r="BB167" s="256"/>
      <c r="BC167" s="256"/>
      <c r="BD167" s="256"/>
      <c r="BE167" s="256"/>
      <c r="BF167" s="256"/>
      <c r="BG167" s="256"/>
      <c r="BH167" s="258" t="s">
        <v>421</v>
      </c>
      <c r="BI167" s="259"/>
    </row>
    <row r="168" spans="1:61" ht="12.75" x14ac:dyDescent="0.2">
      <c r="A168" s="263"/>
      <c r="B168" s="264"/>
      <c r="C168" s="265"/>
      <c r="D168" s="266"/>
      <c r="E168" s="253" t="s">
        <v>346</v>
      </c>
      <c r="F168" s="254">
        <v>185594</v>
      </c>
      <c r="G168" s="255">
        <f t="shared" si="82"/>
        <v>196423</v>
      </c>
      <c r="H168" s="254">
        <f>132670</f>
        <v>132670</v>
      </c>
      <c r="I168" s="255">
        <f t="shared" si="83"/>
        <v>132670</v>
      </c>
      <c r="J168" s="255">
        <f t="shared" si="84"/>
        <v>0</v>
      </c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>
        <f>52924</f>
        <v>52924</v>
      </c>
      <c r="AE168" s="255">
        <f t="shared" si="89"/>
        <v>63753</v>
      </c>
      <c r="AF168" s="255">
        <f t="shared" si="87"/>
        <v>10829</v>
      </c>
      <c r="AG168" s="255">
        <v>10829</v>
      </c>
      <c r="AH168" s="255"/>
      <c r="AI168" s="255"/>
      <c r="AJ168" s="255"/>
      <c r="AK168" s="255"/>
      <c r="AL168" s="255"/>
      <c r="AM168" s="255"/>
      <c r="AN168" s="255">
        <f t="shared" si="90"/>
        <v>0</v>
      </c>
      <c r="AO168" s="256">
        <f t="shared" si="88"/>
        <v>0</v>
      </c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5"/>
      <c r="BA168" s="257"/>
      <c r="BB168" s="256"/>
      <c r="BC168" s="256"/>
      <c r="BD168" s="256"/>
      <c r="BE168" s="256"/>
      <c r="BF168" s="256"/>
      <c r="BG168" s="256"/>
      <c r="BH168" s="258" t="s">
        <v>422</v>
      </c>
      <c r="BI168" s="259"/>
    </row>
    <row r="169" spans="1:61" ht="42" customHeight="1" x14ac:dyDescent="0.2">
      <c r="A169" s="263">
        <v>90009251338</v>
      </c>
      <c r="B169" s="264"/>
      <c r="C169" s="413" t="s">
        <v>260</v>
      </c>
      <c r="D169" s="414"/>
      <c r="E169" s="253" t="s">
        <v>308</v>
      </c>
      <c r="F169" s="254">
        <v>367036</v>
      </c>
      <c r="G169" s="255">
        <f t="shared" si="82"/>
        <v>372426</v>
      </c>
      <c r="H169" s="254">
        <f>248081</f>
        <v>248081</v>
      </c>
      <c r="I169" s="255">
        <f t="shared" si="83"/>
        <v>251384</v>
      </c>
      <c r="J169" s="255">
        <f t="shared" si="84"/>
        <v>3303</v>
      </c>
      <c r="K169" s="255"/>
      <c r="L169" s="255"/>
      <c r="M169" s="255"/>
      <c r="N169" s="255"/>
      <c r="O169" s="255"/>
      <c r="P169" s="255">
        <f>1135</f>
        <v>1135</v>
      </c>
      <c r="Q169" s="255"/>
      <c r="R169" s="255"/>
      <c r="S169" s="255"/>
      <c r="T169" s="255"/>
      <c r="U169" s="255"/>
      <c r="V169" s="255">
        <v>2168</v>
      </c>
      <c r="W169" s="255"/>
      <c r="X169" s="255"/>
      <c r="Y169" s="255"/>
      <c r="Z169" s="255"/>
      <c r="AA169" s="255"/>
      <c r="AB169" s="255"/>
      <c r="AC169" s="255"/>
      <c r="AD169" s="255">
        <f>113989</f>
        <v>113989</v>
      </c>
      <c r="AE169" s="255">
        <f t="shared" si="89"/>
        <v>116076</v>
      </c>
      <c r="AF169" s="255">
        <f t="shared" si="87"/>
        <v>2087</v>
      </c>
      <c r="AG169" s="255"/>
      <c r="AH169" s="255">
        <f>2087</f>
        <v>2087</v>
      </c>
      <c r="AI169" s="255"/>
      <c r="AJ169" s="255"/>
      <c r="AK169" s="255"/>
      <c r="AL169" s="255"/>
      <c r="AM169" s="255">
        <f>4966</f>
        <v>4966</v>
      </c>
      <c r="AN169" s="255">
        <f t="shared" si="90"/>
        <v>4966</v>
      </c>
      <c r="AO169" s="256">
        <f t="shared" si="88"/>
        <v>0</v>
      </c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5"/>
      <c r="BA169" s="257"/>
      <c r="BB169" s="256"/>
      <c r="BC169" s="256"/>
      <c r="BD169" s="256"/>
      <c r="BE169" s="256"/>
      <c r="BF169" s="256"/>
      <c r="BG169" s="256"/>
      <c r="BH169" s="258" t="s">
        <v>423</v>
      </c>
      <c r="BI169" s="259"/>
    </row>
    <row r="170" spans="1:61" ht="12.75" x14ac:dyDescent="0.2">
      <c r="A170" s="263"/>
      <c r="B170" s="264"/>
      <c r="C170" s="265"/>
      <c r="D170" s="266"/>
      <c r="E170" s="253" t="s">
        <v>346</v>
      </c>
      <c r="F170" s="254">
        <v>28077</v>
      </c>
      <c r="G170" s="255">
        <f t="shared" si="82"/>
        <v>28077</v>
      </c>
      <c r="H170" s="254">
        <f>17311</f>
        <v>17311</v>
      </c>
      <c r="I170" s="255">
        <f t="shared" si="83"/>
        <v>17311</v>
      </c>
      <c r="J170" s="255">
        <f t="shared" si="84"/>
        <v>0</v>
      </c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>
        <f>10766</f>
        <v>10766</v>
      </c>
      <c r="AE170" s="255">
        <f t="shared" si="89"/>
        <v>10766</v>
      </c>
      <c r="AF170" s="255">
        <f t="shared" si="87"/>
        <v>0</v>
      </c>
      <c r="AG170" s="255"/>
      <c r="AH170" s="255"/>
      <c r="AI170" s="255"/>
      <c r="AJ170" s="255"/>
      <c r="AK170" s="255"/>
      <c r="AL170" s="255"/>
      <c r="AM170" s="255"/>
      <c r="AN170" s="255">
        <f t="shared" si="90"/>
        <v>0</v>
      </c>
      <c r="AO170" s="256">
        <f t="shared" si="88"/>
        <v>0</v>
      </c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5"/>
      <c r="BA170" s="257"/>
      <c r="BB170" s="256"/>
      <c r="BC170" s="256"/>
      <c r="BD170" s="256"/>
      <c r="BE170" s="256"/>
      <c r="BF170" s="256"/>
      <c r="BG170" s="256"/>
      <c r="BH170" s="258" t="s">
        <v>424</v>
      </c>
      <c r="BI170" s="259"/>
    </row>
    <row r="171" spans="1:61" ht="41.25" customHeight="1" x14ac:dyDescent="0.2">
      <c r="A171" s="263">
        <v>90000051576</v>
      </c>
      <c r="B171" s="264"/>
      <c r="C171" s="413" t="s">
        <v>195</v>
      </c>
      <c r="D171" s="414"/>
      <c r="E171" s="253" t="s">
        <v>308</v>
      </c>
      <c r="F171" s="254">
        <v>611019</v>
      </c>
      <c r="G171" s="255">
        <f t="shared" si="82"/>
        <v>642395</v>
      </c>
      <c r="H171" s="254">
        <f>373995</f>
        <v>373995</v>
      </c>
      <c r="I171" s="255">
        <f t="shared" si="83"/>
        <v>389385</v>
      </c>
      <c r="J171" s="255">
        <f t="shared" si="84"/>
        <v>15390</v>
      </c>
      <c r="K171" s="255"/>
      <c r="L171" s="255"/>
      <c r="M171" s="255"/>
      <c r="N171" s="255"/>
      <c r="O171" s="255"/>
      <c r="P171" s="255">
        <f>14255+1135</f>
        <v>15390</v>
      </c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>
        <f>223203</f>
        <v>223203</v>
      </c>
      <c r="AE171" s="255">
        <f t="shared" si="89"/>
        <v>227510</v>
      </c>
      <c r="AF171" s="255">
        <f t="shared" si="87"/>
        <v>4307</v>
      </c>
      <c r="AG171" s="255"/>
      <c r="AH171" s="255">
        <f>4307</f>
        <v>4307</v>
      </c>
      <c r="AI171" s="255"/>
      <c r="AJ171" s="255"/>
      <c r="AK171" s="255"/>
      <c r="AL171" s="255"/>
      <c r="AM171" s="255">
        <f>13821</f>
        <v>13821</v>
      </c>
      <c r="AN171" s="255">
        <f t="shared" si="90"/>
        <v>25500</v>
      </c>
      <c r="AO171" s="256">
        <f t="shared" si="88"/>
        <v>11679</v>
      </c>
      <c r="AP171" s="256"/>
      <c r="AQ171" s="256"/>
      <c r="AR171" s="256">
        <f>11679</f>
        <v>11679</v>
      </c>
      <c r="AS171" s="256"/>
      <c r="AT171" s="256"/>
      <c r="AU171" s="256"/>
      <c r="AV171" s="256"/>
      <c r="AW171" s="256"/>
      <c r="AX171" s="256"/>
      <c r="AY171" s="256"/>
      <c r="AZ171" s="255"/>
      <c r="BA171" s="257"/>
      <c r="BB171" s="256"/>
      <c r="BC171" s="256"/>
      <c r="BD171" s="256"/>
      <c r="BE171" s="256"/>
      <c r="BF171" s="256"/>
      <c r="BG171" s="256"/>
      <c r="BH171" s="258" t="s">
        <v>425</v>
      </c>
      <c r="BI171" s="259"/>
    </row>
    <row r="172" spans="1:61" ht="12.75" x14ac:dyDescent="0.2">
      <c r="A172" s="263"/>
      <c r="B172" s="264"/>
      <c r="C172" s="265"/>
      <c r="D172" s="266"/>
      <c r="E172" s="253" t="s">
        <v>346</v>
      </c>
      <c r="F172" s="254">
        <v>65672</v>
      </c>
      <c r="G172" s="255">
        <f t="shared" si="82"/>
        <v>66354</v>
      </c>
      <c r="H172" s="254">
        <f>53502</f>
        <v>53502</v>
      </c>
      <c r="I172" s="255">
        <f t="shared" si="83"/>
        <v>53502</v>
      </c>
      <c r="J172" s="255">
        <f t="shared" si="84"/>
        <v>0</v>
      </c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>
        <f>12170</f>
        <v>12170</v>
      </c>
      <c r="AE172" s="255">
        <f t="shared" si="89"/>
        <v>12852</v>
      </c>
      <c r="AF172" s="255">
        <f t="shared" si="87"/>
        <v>682</v>
      </c>
      <c r="AG172" s="255"/>
      <c r="AH172" s="255">
        <f>682</f>
        <v>682</v>
      </c>
      <c r="AI172" s="255"/>
      <c r="AJ172" s="255"/>
      <c r="AK172" s="255"/>
      <c r="AL172" s="255"/>
      <c r="AM172" s="255"/>
      <c r="AN172" s="255">
        <f t="shared" si="90"/>
        <v>0</v>
      </c>
      <c r="AO172" s="256">
        <f t="shared" si="88"/>
        <v>0</v>
      </c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5"/>
      <c r="BA172" s="257"/>
      <c r="BB172" s="256"/>
      <c r="BC172" s="256"/>
      <c r="BD172" s="256"/>
      <c r="BE172" s="256"/>
      <c r="BF172" s="256"/>
      <c r="BG172" s="256"/>
      <c r="BH172" s="258" t="s">
        <v>426</v>
      </c>
      <c r="BI172" s="259"/>
    </row>
    <row r="173" spans="1:61" ht="36.75" customHeight="1" x14ac:dyDescent="0.2">
      <c r="A173" s="263">
        <v>90000051627</v>
      </c>
      <c r="B173" s="264"/>
      <c r="C173" s="413" t="s">
        <v>261</v>
      </c>
      <c r="D173" s="414"/>
      <c r="E173" s="253" t="s">
        <v>308</v>
      </c>
      <c r="F173" s="254">
        <v>870627</v>
      </c>
      <c r="G173" s="255">
        <f t="shared" si="82"/>
        <v>884727</v>
      </c>
      <c r="H173" s="254">
        <f>401587</f>
        <v>401587</v>
      </c>
      <c r="I173" s="255">
        <f t="shared" si="83"/>
        <v>402722</v>
      </c>
      <c r="J173" s="255">
        <f t="shared" si="84"/>
        <v>1135</v>
      </c>
      <c r="K173" s="255"/>
      <c r="L173" s="255"/>
      <c r="M173" s="255"/>
      <c r="N173" s="255">
        <v>1135</v>
      </c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>
        <f>458672</f>
        <v>458672</v>
      </c>
      <c r="AE173" s="255">
        <f t="shared" si="89"/>
        <v>467979</v>
      </c>
      <c r="AF173" s="255">
        <f t="shared" si="87"/>
        <v>9307</v>
      </c>
      <c r="AG173" s="255">
        <f>8615</f>
        <v>8615</v>
      </c>
      <c r="AH173" s="255"/>
      <c r="AI173" s="255">
        <v>692</v>
      </c>
      <c r="AJ173" s="255"/>
      <c r="AK173" s="255"/>
      <c r="AL173" s="255"/>
      <c r="AM173" s="255">
        <f>10368</f>
        <v>10368</v>
      </c>
      <c r="AN173" s="255">
        <f t="shared" si="90"/>
        <v>14026</v>
      </c>
      <c r="AO173" s="256">
        <f t="shared" si="88"/>
        <v>3658</v>
      </c>
      <c r="AP173" s="256"/>
      <c r="AQ173" s="256">
        <v>3658</v>
      </c>
      <c r="AR173" s="256"/>
      <c r="AS173" s="256"/>
      <c r="AT173" s="256"/>
      <c r="AU173" s="256"/>
      <c r="AV173" s="256"/>
      <c r="AW173" s="256"/>
      <c r="AX173" s="256"/>
      <c r="AY173" s="256"/>
      <c r="AZ173" s="255"/>
      <c r="BA173" s="257"/>
      <c r="BB173" s="256"/>
      <c r="BC173" s="256"/>
      <c r="BD173" s="256"/>
      <c r="BE173" s="256"/>
      <c r="BF173" s="256"/>
      <c r="BG173" s="256"/>
      <c r="BH173" s="258" t="s">
        <v>427</v>
      </c>
      <c r="BI173" s="259"/>
    </row>
    <row r="174" spans="1:61" ht="12.75" x14ac:dyDescent="0.2">
      <c r="A174" s="263"/>
      <c r="B174" s="264"/>
      <c r="C174" s="265"/>
      <c r="D174" s="266"/>
      <c r="E174" s="253" t="s">
        <v>346</v>
      </c>
      <c r="F174" s="254">
        <v>118878</v>
      </c>
      <c r="G174" s="255">
        <f t="shared" si="82"/>
        <v>118878</v>
      </c>
      <c r="H174" s="254">
        <f>88283</f>
        <v>88283</v>
      </c>
      <c r="I174" s="255">
        <f t="shared" si="83"/>
        <v>88283</v>
      </c>
      <c r="J174" s="255">
        <f t="shared" si="84"/>
        <v>0</v>
      </c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>
        <f>30595</f>
        <v>30595</v>
      </c>
      <c r="AE174" s="255">
        <f t="shared" si="89"/>
        <v>30595</v>
      </c>
      <c r="AF174" s="255">
        <f t="shared" si="87"/>
        <v>0</v>
      </c>
      <c r="AG174" s="255"/>
      <c r="AH174" s="255"/>
      <c r="AI174" s="255"/>
      <c r="AJ174" s="255"/>
      <c r="AK174" s="255"/>
      <c r="AL174" s="255"/>
      <c r="AM174" s="255"/>
      <c r="AN174" s="255">
        <f t="shared" si="90"/>
        <v>0</v>
      </c>
      <c r="AO174" s="256">
        <f t="shared" si="88"/>
        <v>0</v>
      </c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5"/>
      <c r="BA174" s="257"/>
      <c r="BB174" s="256"/>
      <c r="BC174" s="256"/>
      <c r="BD174" s="256"/>
      <c r="BE174" s="256"/>
      <c r="BF174" s="256"/>
      <c r="BG174" s="256"/>
      <c r="BH174" s="258" t="s">
        <v>428</v>
      </c>
      <c r="BI174" s="259"/>
    </row>
    <row r="175" spans="1:61" ht="27.75" customHeight="1" x14ac:dyDescent="0.2">
      <c r="A175" s="263"/>
      <c r="B175" s="264"/>
      <c r="C175" s="265"/>
      <c r="D175" s="266"/>
      <c r="E175" s="253" t="s">
        <v>353</v>
      </c>
      <c r="F175" s="254">
        <v>3794</v>
      </c>
      <c r="G175" s="255">
        <f t="shared" si="82"/>
        <v>3794</v>
      </c>
      <c r="H175" s="254">
        <f>3794</f>
        <v>3794</v>
      </c>
      <c r="I175" s="255">
        <f t="shared" si="83"/>
        <v>3794</v>
      </c>
      <c r="J175" s="255">
        <f t="shared" si="84"/>
        <v>0</v>
      </c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>
        <f t="shared" si="90"/>
        <v>0</v>
      </c>
      <c r="AO175" s="256">
        <f t="shared" si="88"/>
        <v>0</v>
      </c>
      <c r="AP175" s="256"/>
      <c r="AQ175" s="256"/>
      <c r="AR175" s="256"/>
      <c r="AS175" s="256"/>
      <c r="AT175" s="256"/>
      <c r="AU175" s="256"/>
      <c r="AV175" s="256"/>
      <c r="AW175" s="256"/>
      <c r="AX175" s="256"/>
      <c r="AY175" s="256"/>
      <c r="AZ175" s="255"/>
      <c r="BA175" s="257"/>
      <c r="BB175" s="256"/>
      <c r="BC175" s="256"/>
      <c r="BD175" s="256"/>
      <c r="BE175" s="256"/>
      <c r="BF175" s="256"/>
      <c r="BG175" s="256"/>
      <c r="BH175" s="258" t="s">
        <v>429</v>
      </c>
      <c r="BI175" s="259"/>
    </row>
    <row r="176" spans="1:61" ht="42" customHeight="1" x14ac:dyDescent="0.2">
      <c r="A176" s="263">
        <v>90000053670</v>
      </c>
      <c r="B176" s="264"/>
      <c r="C176" s="413" t="s">
        <v>684</v>
      </c>
      <c r="D176" s="414"/>
      <c r="E176" s="253" t="s">
        <v>503</v>
      </c>
      <c r="F176" s="254">
        <v>424343</v>
      </c>
      <c r="G176" s="255">
        <f t="shared" si="82"/>
        <v>457635</v>
      </c>
      <c r="H176" s="254">
        <f>253236</f>
        <v>253236</v>
      </c>
      <c r="I176" s="255">
        <f t="shared" si="83"/>
        <v>276903</v>
      </c>
      <c r="J176" s="255">
        <f t="shared" si="84"/>
        <v>23667</v>
      </c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>
        <v>23667</v>
      </c>
      <c r="W176" s="255"/>
      <c r="X176" s="255"/>
      <c r="Y176" s="255"/>
      <c r="Z176" s="255"/>
      <c r="AA176" s="255"/>
      <c r="AB176" s="255"/>
      <c r="AC176" s="255"/>
      <c r="AD176" s="255">
        <f>117932</f>
        <v>117932</v>
      </c>
      <c r="AE176" s="255">
        <f>AD176+AF176</f>
        <v>121383</v>
      </c>
      <c r="AF176" s="255">
        <f t="shared" si="87"/>
        <v>3451</v>
      </c>
      <c r="AG176" s="255">
        <f>2710+741</f>
        <v>3451</v>
      </c>
      <c r="AH176" s="255"/>
      <c r="AI176" s="255"/>
      <c r="AJ176" s="255"/>
      <c r="AK176" s="255"/>
      <c r="AL176" s="255"/>
      <c r="AM176" s="255">
        <f>50235</f>
        <v>50235</v>
      </c>
      <c r="AN176" s="255">
        <f t="shared" si="90"/>
        <v>55859</v>
      </c>
      <c r="AO176" s="256">
        <f t="shared" si="88"/>
        <v>5624</v>
      </c>
      <c r="AP176" s="256"/>
      <c r="AQ176" s="256">
        <v>5624</v>
      </c>
      <c r="AR176" s="256"/>
      <c r="AS176" s="256"/>
      <c r="AT176" s="256"/>
      <c r="AU176" s="256"/>
      <c r="AV176" s="256"/>
      <c r="AW176" s="256"/>
      <c r="AX176" s="256"/>
      <c r="AY176" s="256">
        <f>2940</f>
        <v>2940</v>
      </c>
      <c r="AZ176" s="255">
        <f>AY176+BA176</f>
        <v>3490</v>
      </c>
      <c r="BA176" s="257">
        <f>SUM(BB176:BG176)</f>
        <v>550</v>
      </c>
      <c r="BB176" s="256">
        <v>550</v>
      </c>
      <c r="BC176" s="256"/>
      <c r="BD176" s="256"/>
      <c r="BE176" s="256"/>
      <c r="BF176" s="256"/>
      <c r="BG176" s="256"/>
      <c r="BH176" s="258" t="s">
        <v>430</v>
      </c>
      <c r="BI176" s="259"/>
    </row>
    <row r="177" spans="1:61" ht="35.25" customHeight="1" x14ac:dyDescent="0.2">
      <c r="A177" s="263">
        <v>90000051595</v>
      </c>
      <c r="B177" s="264"/>
      <c r="C177" s="413" t="s">
        <v>196</v>
      </c>
      <c r="D177" s="414"/>
      <c r="E177" s="253" t="s">
        <v>308</v>
      </c>
      <c r="F177" s="254">
        <v>971239</v>
      </c>
      <c r="G177" s="255">
        <f t="shared" si="82"/>
        <v>984776</v>
      </c>
      <c r="H177" s="254">
        <f>489791</f>
        <v>489791</v>
      </c>
      <c r="I177" s="255">
        <f t="shared" si="83"/>
        <v>490926</v>
      </c>
      <c r="J177" s="255">
        <f t="shared" si="84"/>
        <v>1135</v>
      </c>
      <c r="K177" s="255"/>
      <c r="L177" s="255"/>
      <c r="M177" s="255"/>
      <c r="N177" s="255">
        <v>1135</v>
      </c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>
        <f>472169</f>
        <v>472169</v>
      </c>
      <c r="AE177" s="255">
        <f>AD177+AF177</f>
        <v>481334</v>
      </c>
      <c r="AF177" s="255">
        <f t="shared" si="87"/>
        <v>9165</v>
      </c>
      <c r="AG177" s="255">
        <f>9165</f>
        <v>9165</v>
      </c>
      <c r="AH177" s="255"/>
      <c r="AI177" s="255"/>
      <c r="AJ177" s="255"/>
      <c r="AK177" s="255"/>
      <c r="AL177" s="255"/>
      <c r="AM177" s="255">
        <f>9279</f>
        <v>9279</v>
      </c>
      <c r="AN177" s="255">
        <f t="shared" si="90"/>
        <v>12516</v>
      </c>
      <c r="AO177" s="256">
        <f t="shared" si="88"/>
        <v>3237</v>
      </c>
      <c r="AP177" s="256"/>
      <c r="AQ177" s="256">
        <v>2497</v>
      </c>
      <c r="AR177" s="256">
        <f>740</f>
        <v>740</v>
      </c>
      <c r="AS177" s="256"/>
      <c r="AT177" s="256"/>
      <c r="AU177" s="256"/>
      <c r="AV177" s="256"/>
      <c r="AW177" s="256"/>
      <c r="AX177" s="256"/>
      <c r="AY177" s="256"/>
      <c r="AZ177" s="255"/>
      <c r="BA177" s="257"/>
      <c r="BB177" s="256"/>
      <c r="BC177" s="256"/>
      <c r="BD177" s="256"/>
      <c r="BE177" s="256"/>
      <c r="BF177" s="256"/>
      <c r="BG177" s="256"/>
      <c r="BH177" s="258" t="s">
        <v>431</v>
      </c>
      <c r="BI177" s="259"/>
    </row>
    <row r="178" spans="1:61" ht="12.75" x14ac:dyDescent="0.2">
      <c r="A178" s="263"/>
      <c r="B178" s="264"/>
      <c r="C178" s="265"/>
      <c r="D178" s="266"/>
      <c r="E178" s="253" t="s">
        <v>346</v>
      </c>
      <c r="F178" s="254">
        <v>129379</v>
      </c>
      <c r="G178" s="255">
        <f t="shared" si="82"/>
        <v>139778</v>
      </c>
      <c r="H178" s="254">
        <f>98379</f>
        <v>98379</v>
      </c>
      <c r="I178" s="255">
        <f t="shared" si="83"/>
        <v>98379</v>
      </c>
      <c r="J178" s="255">
        <f t="shared" si="84"/>
        <v>0</v>
      </c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>
        <f>31000</f>
        <v>31000</v>
      </c>
      <c r="AE178" s="255">
        <f>AD178+AF178</f>
        <v>41399</v>
      </c>
      <c r="AF178" s="255">
        <f t="shared" si="87"/>
        <v>10399</v>
      </c>
      <c r="AG178" s="255">
        <v>10399</v>
      </c>
      <c r="AH178" s="255"/>
      <c r="AI178" s="255"/>
      <c r="AJ178" s="255"/>
      <c r="AK178" s="255"/>
      <c r="AL178" s="255"/>
      <c r="AM178" s="255"/>
      <c r="AN178" s="255">
        <f t="shared" si="90"/>
        <v>0</v>
      </c>
      <c r="AO178" s="256">
        <f t="shared" si="88"/>
        <v>0</v>
      </c>
      <c r="AP178" s="256"/>
      <c r="AQ178" s="256"/>
      <c r="AR178" s="256"/>
      <c r="AS178" s="256"/>
      <c r="AT178" s="256"/>
      <c r="AU178" s="256"/>
      <c r="AV178" s="256"/>
      <c r="AW178" s="256"/>
      <c r="AX178" s="256"/>
      <c r="AY178" s="256"/>
      <c r="AZ178" s="255"/>
      <c r="BA178" s="257"/>
      <c r="BB178" s="256"/>
      <c r="BC178" s="256"/>
      <c r="BD178" s="256"/>
      <c r="BE178" s="256"/>
      <c r="BF178" s="256"/>
      <c r="BG178" s="256"/>
      <c r="BH178" s="258" t="s">
        <v>432</v>
      </c>
      <c r="BI178" s="259"/>
    </row>
    <row r="179" spans="1:61" ht="24" x14ac:dyDescent="0.2">
      <c r="A179" s="263">
        <v>90000056465</v>
      </c>
      <c r="B179" s="264"/>
      <c r="C179" s="413" t="s">
        <v>685</v>
      </c>
      <c r="D179" s="414"/>
      <c r="E179" s="253" t="s">
        <v>350</v>
      </c>
      <c r="F179" s="254">
        <v>804110</v>
      </c>
      <c r="G179" s="255">
        <f t="shared" si="82"/>
        <v>839637</v>
      </c>
      <c r="H179" s="254">
        <f>379989</f>
        <v>379989</v>
      </c>
      <c r="I179" s="255">
        <f t="shared" si="83"/>
        <v>397806</v>
      </c>
      <c r="J179" s="255">
        <f t="shared" si="84"/>
        <v>17817</v>
      </c>
      <c r="K179" s="255"/>
      <c r="L179" s="255"/>
      <c r="M179" s="255"/>
      <c r="N179" s="255"/>
      <c r="O179" s="255"/>
      <c r="P179" s="255">
        <f>9817</f>
        <v>9817</v>
      </c>
      <c r="Q179" s="255"/>
      <c r="R179" s="255"/>
      <c r="S179" s="255"/>
      <c r="T179" s="255"/>
      <c r="U179" s="255"/>
      <c r="V179" s="255">
        <v>8000</v>
      </c>
      <c r="W179" s="255"/>
      <c r="X179" s="255"/>
      <c r="Y179" s="255"/>
      <c r="Z179" s="255"/>
      <c r="AA179" s="255"/>
      <c r="AB179" s="255"/>
      <c r="AC179" s="255"/>
      <c r="AD179" s="255">
        <f>318345</f>
        <v>318345</v>
      </c>
      <c r="AE179" s="255">
        <f>AD179+AF179</f>
        <v>317283</v>
      </c>
      <c r="AF179" s="255">
        <f t="shared" si="87"/>
        <v>-1062</v>
      </c>
      <c r="AG179" s="255">
        <f>-2182</f>
        <v>-2182</v>
      </c>
      <c r="AH179" s="255">
        <f>1120</f>
        <v>1120</v>
      </c>
      <c r="AI179" s="255"/>
      <c r="AJ179" s="255"/>
      <c r="AK179" s="255"/>
      <c r="AL179" s="255"/>
      <c r="AM179" s="255">
        <f>102925</f>
        <v>102925</v>
      </c>
      <c r="AN179" s="255">
        <f t="shared" si="90"/>
        <v>121697</v>
      </c>
      <c r="AO179" s="256">
        <f t="shared" si="88"/>
        <v>18772</v>
      </c>
      <c r="AP179" s="256"/>
      <c r="AQ179" s="256">
        <f>16884</f>
        <v>16884</v>
      </c>
      <c r="AR179" s="256"/>
      <c r="AS179" s="256"/>
      <c r="AT179" s="256">
        <v>1888</v>
      </c>
      <c r="AU179" s="256"/>
      <c r="AV179" s="256"/>
      <c r="AW179" s="256"/>
      <c r="AX179" s="256"/>
      <c r="AY179" s="256">
        <v>2851</v>
      </c>
      <c r="AZ179" s="255">
        <f>BA179+AY179</f>
        <v>2851</v>
      </c>
      <c r="BA179" s="257">
        <f>SUM(BB179:BG179)</f>
        <v>0</v>
      </c>
      <c r="BB179" s="256"/>
      <c r="BC179" s="256"/>
      <c r="BD179" s="256"/>
      <c r="BE179" s="256"/>
      <c r="BF179" s="256"/>
      <c r="BG179" s="256"/>
      <c r="BH179" s="258" t="s">
        <v>433</v>
      </c>
      <c r="BI179" s="259"/>
    </row>
    <row r="180" spans="1:61" ht="36" x14ac:dyDescent="0.2">
      <c r="A180" s="263">
        <v>90001067517</v>
      </c>
      <c r="B180" s="264"/>
      <c r="C180" s="413" t="s">
        <v>340</v>
      </c>
      <c r="D180" s="414"/>
      <c r="E180" s="253" t="s">
        <v>349</v>
      </c>
      <c r="F180" s="254">
        <v>718790</v>
      </c>
      <c r="G180" s="255">
        <f t="shared" si="82"/>
        <v>725934</v>
      </c>
      <c r="H180" s="254">
        <f>571839</f>
        <v>571839</v>
      </c>
      <c r="I180" s="255">
        <f t="shared" si="83"/>
        <v>571194</v>
      </c>
      <c r="J180" s="255">
        <f t="shared" si="84"/>
        <v>-645</v>
      </c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>
        <v>-645</v>
      </c>
      <c r="W180" s="255"/>
      <c r="X180" s="255"/>
      <c r="Y180" s="255"/>
      <c r="Z180" s="255"/>
      <c r="AA180" s="255"/>
      <c r="AB180" s="255"/>
      <c r="AC180" s="255"/>
      <c r="AD180" s="255">
        <f>87113</f>
        <v>87113</v>
      </c>
      <c r="AE180" s="255">
        <f>AD180+AF180</f>
        <v>87113</v>
      </c>
      <c r="AF180" s="255">
        <f t="shared" si="87"/>
        <v>0</v>
      </c>
      <c r="AG180" s="255"/>
      <c r="AH180" s="255"/>
      <c r="AI180" s="255"/>
      <c r="AJ180" s="255"/>
      <c r="AK180" s="255"/>
      <c r="AL180" s="255"/>
      <c r="AM180" s="255">
        <f>51651</f>
        <v>51651</v>
      </c>
      <c r="AN180" s="255">
        <f t="shared" si="90"/>
        <v>56466</v>
      </c>
      <c r="AO180" s="256">
        <f t="shared" si="88"/>
        <v>4815</v>
      </c>
      <c r="AP180" s="256"/>
      <c r="AQ180" s="256"/>
      <c r="AR180" s="256">
        <f>4815</f>
        <v>4815</v>
      </c>
      <c r="AS180" s="256"/>
      <c r="AT180" s="256"/>
      <c r="AU180" s="256"/>
      <c r="AV180" s="256"/>
      <c r="AW180" s="256"/>
      <c r="AX180" s="256"/>
      <c r="AY180" s="256">
        <v>8187</v>
      </c>
      <c r="AZ180" s="255">
        <f>BA180+AY180</f>
        <v>11161</v>
      </c>
      <c r="BA180" s="257">
        <f>SUM(BB180:BG180)</f>
        <v>2974</v>
      </c>
      <c r="BB180" s="256"/>
      <c r="BC180" s="256">
        <v>2974</v>
      </c>
      <c r="BD180" s="256"/>
      <c r="BE180" s="256"/>
      <c r="BF180" s="256"/>
      <c r="BG180" s="256"/>
      <c r="BH180" s="258" t="s">
        <v>434</v>
      </c>
      <c r="BI180" s="259"/>
    </row>
    <row r="181" spans="1:61" ht="24" x14ac:dyDescent="0.2">
      <c r="A181" s="263"/>
      <c r="B181" s="264"/>
      <c r="C181" s="265"/>
      <c r="D181" s="266"/>
      <c r="E181" s="253" t="s">
        <v>341</v>
      </c>
      <c r="F181" s="254">
        <v>273238</v>
      </c>
      <c r="G181" s="255">
        <f t="shared" si="82"/>
        <v>105461</v>
      </c>
      <c r="H181" s="254">
        <f>227803</f>
        <v>227803</v>
      </c>
      <c r="I181" s="255">
        <f t="shared" si="83"/>
        <v>61609</v>
      </c>
      <c r="J181" s="255">
        <f t="shared" si="84"/>
        <v>-166194</v>
      </c>
      <c r="K181" s="255"/>
      <c r="L181" s="255"/>
      <c r="M181" s="255"/>
      <c r="N181" s="255"/>
      <c r="O181" s="255"/>
      <c r="P181" s="255">
        <f>-166194</f>
        <v>-166194</v>
      </c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>
        <f>45435</f>
        <v>45435</v>
      </c>
      <c r="AN181" s="255">
        <f t="shared" si="90"/>
        <v>43852</v>
      </c>
      <c r="AO181" s="256">
        <f t="shared" si="88"/>
        <v>-1583</v>
      </c>
      <c r="AP181" s="256">
        <v>22000</v>
      </c>
      <c r="AQ181" s="256"/>
      <c r="AR181" s="256">
        <f>-23583</f>
        <v>-23583</v>
      </c>
      <c r="AS181" s="256"/>
      <c r="AT181" s="256"/>
      <c r="AU181" s="256"/>
      <c r="AV181" s="256"/>
      <c r="AW181" s="256"/>
      <c r="AX181" s="256"/>
      <c r="AY181" s="256"/>
      <c r="AZ181" s="255"/>
      <c r="BA181" s="257"/>
      <c r="BB181" s="256"/>
      <c r="BC181" s="256"/>
      <c r="BD181" s="256"/>
      <c r="BE181" s="256"/>
      <c r="BF181" s="256"/>
      <c r="BG181" s="256"/>
      <c r="BH181" s="258" t="s">
        <v>435</v>
      </c>
      <c r="BI181" s="259"/>
    </row>
    <row r="182" spans="1:61" ht="12.75" x14ac:dyDescent="0.2">
      <c r="A182" s="263"/>
      <c r="B182" s="264"/>
      <c r="C182" s="265"/>
      <c r="D182" s="266"/>
      <c r="E182" s="253" t="s">
        <v>351</v>
      </c>
      <c r="F182" s="254">
        <v>77842</v>
      </c>
      <c r="G182" s="255">
        <f t="shared" si="82"/>
        <v>79022</v>
      </c>
      <c r="H182" s="254">
        <f>59678</f>
        <v>59678</v>
      </c>
      <c r="I182" s="255">
        <f t="shared" si="83"/>
        <v>60858</v>
      </c>
      <c r="J182" s="255">
        <f t="shared" si="84"/>
        <v>1180</v>
      </c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>
        <v>1180</v>
      </c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>
        <f>18164</f>
        <v>18164</v>
      </c>
      <c r="AN182" s="255">
        <f t="shared" si="90"/>
        <v>18164</v>
      </c>
      <c r="AO182" s="256">
        <f t="shared" si="88"/>
        <v>0</v>
      </c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5"/>
      <c r="BA182" s="257"/>
      <c r="BB182" s="256"/>
      <c r="BC182" s="256"/>
      <c r="BD182" s="256"/>
      <c r="BE182" s="256"/>
      <c r="BF182" s="256"/>
      <c r="BG182" s="256"/>
      <c r="BH182" s="258" t="s">
        <v>436</v>
      </c>
      <c r="BI182" s="259" t="s">
        <v>677</v>
      </c>
    </row>
    <row r="183" spans="1:61" ht="36" x14ac:dyDescent="0.2">
      <c r="A183" s="263">
        <v>90009249140</v>
      </c>
      <c r="B183" s="264"/>
      <c r="C183" s="413" t="s">
        <v>345</v>
      </c>
      <c r="D183" s="414"/>
      <c r="E183" s="253" t="s">
        <v>309</v>
      </c>
      <c r="F183" s="254">
        <v>302528</v>
      </c>
      <c r="G183" s="255">
        <f t="shared" si="82"/>
        <v>305727</v>
      </c>
      <c r="H183" s="254">
        <f>281438</f>
        <v>281438</v>
      </c>
      <c r="I183" s="255">
        <f t="shared" si="83"/>
        <v>281578</v>
      </c>
      <c r="J183" s="255">
        <f t="shared" si="84"/>
        <v>140</v>
      </c>
      <c r="K183" s="255"/>
      <c r="L183" s="255"/>
      <c r="M183" s="255"/>
      <c r="N183" s="255">
        <v>140</v>
      </c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>
        <f>17322</f>
        <v>17322</v>
      </c>
      <c r="AE183" s="255">
        <f>AD183+AF183</f>
        <v>17948</v>
      </c>
      <c r="AF183" s="255">
        <f t="shared" si="87"/>
        <v>626</v>
      </c>
      <c r="AG183" s="255">
        <f>626</f>
        <v>626</v>
      </c>
      <c r="AH183" s="255"/>
      <c r="AI183" s="255"/>
      <c r="AJ183" s="255"/>
      <c r="AK183" s="255"/>
      <c r="AL183" s="255"/>
      <c r="AM183" s="255">
        <f>3768</f>
        <v>3768</v>
      </c>
      <c r="AN183" s="255">
        <f t="shared" si="90"/>
        <v>6201</v>
      </c>
      <c r="AO183" s="256">
        <f t="shared" si="88"/>
        <v>2433</v>
      </c>
      <c r="AP183" s="256"/>
      <c r="AQ183" s="256">
        <f>2433</f>
        <v>2433</v>
      </c>
      <c r="AR183" s="256"/>
      <c r="AS183" s="256"/>
      <c r="AT183" s="256"/>
      <c r="AU183" s="256"/>
      <c r="AV183" s="256"/>
      <c r="AW183" s="256"/>
      <c r="AX183" s="256"/>
      <c r="AY183" s="256"/>
      <c r="AZ183" s="255"/>
      <c r="BA183" s="257"/>
      <c r="BB183" s="256"/>
      <c r="BC183" s="256"/>
      <c r="BD183" s="256"/>
      <c r="BE183" s="256"/>
      <c r="BF183" s="256"/>
      <c r="BG183" s="256"/>
      <c r="BH183" s="258" t="s">
        <v>437</v>
      </c>
      <c r="BI183" s="259"/>
    </row>
    <row r="184" spans="1:61" ht="12.75" x14ac:dyDescent="0.2">
      <c r="A184" s="263"/>
      <c r="B184" s="264"/>
      <c r="C184" s="265"/>
      <c r="D184" s="266"/>
      <c r="E184" s="253" t="s">
        <v>346</v>
      </c>
      <c r="F184" s="254">
        <v>36031</v>
      </c>
      <c r="G184" s="255">
        <f t="shared" si="82"/>
        <v>36031</v>
      </c>
      <c r="H184" s="254">
        <f>36031</f>
        <v>36031</v>
      </c>
      <c r="I184" s="255">
        <f t="shared" si="83"/>
        <v>36031</v>
      </c>
      <c r="J184" s="255">
        <f t="shared" si="84"/>
        <v>0</v>
      </c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>
        <f t="shared" si="90"/>
        <v>0</v>
      </c>
      <c r="AO184" s="256">
        <f t="shared" si="88"/>
        <v>0</v>
      </c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5"/>
      <c r="BA184" s="257"/>
      <c r="BB184" s="256"/>
      <c r="BC184" s="256"/>
      <c r="BD184" s="256"/>
      <c r="BE184" s="256"/>
      <c r="BF184" s="256"/>
      <c r="BG184" s="256"/>
      <c r="BH184" s="258" t="s">
        <v>438</v>
      </c>
      <c r="BI184" s="259"/>
    </row>
    <row r="185" spans="1:61" ht="36" x14ac:dyDescent="0.2">
      <c r="A185" s="263">
        <v>90009249210</v>
      </c>
      <c r="B185" s="264"/>
      <c r="C185" s="413" t="s">
        <v>217</v>
      </c>
      <c r="D185" s="414"/>
      <c r="E185" s="253" t="s">
        <v>309</v>
      </c>
      <c r="F185" s="254">
        <v>530635</v>
      </c>
      <c r="G185" s="255">
        <f t="shared" si="82"/>
        <v>540965</v>
      </c>
      <c r="H185" s="254">
        <f>492283</f>
        <v>492283</v>
      </c>
      <c r="I185" s="255">
        <f t="shared" si="83"/>
        <v>493827</v>
      </c>
      <c r="J185" s="255">
        <f t="shared" si="84"/>
        <v>1544</v>
      </c>
      <c r="K185" s="255"/>
      <c r="L185" s="255"/>
      <c r="M185" s="255"/>
      <c r="N185" s="255"/>
      <c r="O185" s="255"/>
      <c r="P185" s="255">
        <f>366+43+1135</f>
        <v>1544</v>
      </c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>
        <f>35223</f>
        <v>35223</v>
      </c>
      <c r="AE185" s="255">
        <f>AD185+AF185</f>
        <v>36456</v>
      </c>
      <c r="AF185" s="255">
        <f t="shared" si="87"/>
        <v>1233</v>
      </c>
      <c r="AG185" s="255"/>
      <c r="AH185" s="255">
        <f>1233</f>
        <v>1233</v>
      </c>
      <c r="AI185" s="255"/>
      <c r="AJ185" s="255"/>
      <c r="AK185" s="255"/>
      <c r="AL185" s="255"/>
      <c r="AM185" s="255">
        <f>3129</f>
        <v>3129</v>
      </c>
      <c r="AN185" s="255">
        <f t="shared" si="90"/>
        <v>10682</v>
      </c>
      <c r="AO185" s="256">
        <f t="shared" si="88"/>
        <v>7553</v>
      </c>
      <c r="AP185" s="256"/>
      <c r="AQ185" s="256"/>
      <c r="AR185" s="256">
        <f>1301+6252</f>
        <v>7553</v>
      </c>
      <c r="AS185" s="256"/>
      <c r="AT185" s="256"/>
      <c r="AU185" s="256"/>
      <c r="AV185" s="256"/>
      <c r="AW185" s="256"/>
      <c r="AX185" s="256"/>
      <c r="AY185" s="256"/>
      <c r="AZ185" s="255"/>
      <c r="BA185" s="257"/>
      <c r="BB185" s="256"/>
      <c r="BC185" s="256"/>
      <c r="BD185" s="256"/>
      <c r="BE185" s="256"/>
      <c r="BF185" s="256"/>
      <c r="BG185" s="256"/>
      <c r="BH185" s="258" t="s">
        <v>439</v>
      </c>
      <c r="BI185" s="259"/>
    </row>
    <row r="186" spans="1:61" ht="12.75" x14ac:dyDescent="0.2">
      <c r="A186" s="263"/>
      <c r="B186" s="264"/>
      <c r="C186" s="265"/>
      <c r="D186" s="266"/>
      <c r="E186" s="253" t="s">
        <v>346</v>
      </c>
      <c r="F186" s="254">
        <v>86176</v>
      </c>
      <c r="G186" s="255">
        <f t="shared" si="82"/>
        <v>86176</v>
      </c>
      <c r="H186" s="254">
        <f>86176</f>
        <v>86176</v>
      </c>
      <c r="I186" s="255">
        <f t="shared" si="83"/>
        <v>86176</v>
      </c>
      <c r="J186" s="255">
        <f t="shared" si="84"/>
        <v>0</v>
      </c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>
        <f t="shared" si="90"/>
        <v>0</v>
      </c>
      <c r="AO186" s="256">
        <f t="shared" si="88"/>
        <v>0</v>
      </c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5"/>
      <c r="BA186" s="257"/>
      <c r="BB186" s="256"/>
      <c r="BC186" s="256"/>
      <c r="BD186" s="256"/>
      <c r="BE186" s="256"/>
      <c r="BF186" s="256"/>
      <c r="BG186" s="256"/>
      <c r="BH186" s="258" t="s">
        <v>440</v>
      </c>
      <c r="BI186" s="259"/>
    </row>
    <row r="187" spans="1:61" ht="36" x14ac:dyDescent="0.2">
      <c r="A187" s="263">
        <v>90009249155</v>
      </c>
      <c r="B187" s="264"/>
      <c r="C187" s="413" t="s">
        <v>218</v>
      </c>
      <c r="D187" s="414"/>
      <c r="E187" s="253" t="s">
        <v>309</v>
      </c>
      <c r="F187" s="254">
        <v>311282</v>
      </c>
      <c r="G187" s="255">
        <f t="shared" si="82"/>
        <v>314298</v>
      </c>
      <c r="H187" s="254">
        <f>289717</f>
        <v>289717</v>
      </c>
      <c r="I187" s="255">
        <f t="shared" si="83"/>
        <v>289846</v>
      </c>
      <c r="J187" s="255">
        <f t="shared" si="84"/>
        <v>129</v>
      </c>
      <c r="K187" s="255"/>
      <c r="L187" s="255"/>
      <c r="M187" s="255"/>
      <c r="N187" s="255">
        <v>129</v>
      </c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>
        <f>21445</f>
        <v>21445</v>
      </c>
      <c r="AE187" s="255">
        <f>AD187+AF187</f>
        <v>22128</v>
      </c>
      <c r="AF187" s="255">
        <f t="shared" si="87"/>
        <v>683</v>
      </c>
      <c r="AG187" s="255">
        <f>683</f>
        <v>683</v>
      </c>
      <c r="AH187" s="255"/>
      <c r="AI187" s="255"/>
      <c r="AJ187" s="255"/>
      <c r="AK187" s="255"/>
      <c r="AL187" s="255"/>
      <c r="AM187" s="255">
        <f>120</f>
        <v>120</v>
      </c>
      <c r="AN187" s="255">
        <f t="shared" si="90"/>
        <v>2324</v>
      </c>
      <c r="AO187" s="256">
        <f t="shared" si="88"/>
        <v>2204</v>
      </c>
      <c r="AP187" s="256"/>
      <c r="AQ187" s="256">
        <v>2186</v>
      </c>
      <c r="AR187" s="256"/>
      <c r="AS187" s="256"/>
      <c r="AT187" s="256">
        <v>18</v>
      </c>
      <c r="AU187" s="256"/>
      <c r="AV187" s="256"/>
      <c r="AW187" s="256"/>
      <c r="AX187" s="256"/>
      <c r="AY187" s="256"/>
      <c r="AZ187" s="255"/>
      <c r="BA187" s="257"/>
      <c r="BB187" s="256"/>
      <c r="BC187" s="256"/>
      <c r="BD187" s="256"/>
      <c r="BE187" s="256"/>
      <c r="BF187" s="256"/>
      <c r="BG187" s="256"/>
      <c r="BH187" s="258" t="s">
        <v>441</v>
      </c>
      <c r="BI187" s="259"/>
    </row>
    <row r="188" spans="1:61" ht="12.75" x14ac:dyDescent="0.2">
      <c r="A188" s="263"/>
      <c r="B188" s="264"/>
      <c r="C188" s="265"/>
      <c r="D188" s="266"/>
      <c r="E188" s="253" t="s">
        <v>346</v>
      </c>
      <c r="F188" s="254">
        <v>30459</v>
      </c>
      <c r="G188" s="255">
        <f t="shared" si="82"/>
        <v>30459</v>
      </c>
      <c r="H188" s="254">
        <f>30459</f>
        <v>30459</v>
      </c>
      <c r="I188" s="255">
        <f t="shared" si="83"/>
        <v>30459</v>
      </c>
      <c r="J188" s="255">
        <f t="shared" si="84"/>
        <v>0</v>
      </c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>
        <f t="shared" si="90"/>
        <v>0</v>
      </c>
      <c r="AO188" s="256">
        <f t="shared" si="88"/>
        <v>0</v>
      </c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5"/>
      <c r="BA188" s="257"/>
      <c r="BB188" s="256"/>
      <c r="BC188" s="256"/>
      <c r="BD188" s="256"/>
      <c r="BE188" s="256"/>
      <c r="BF188" s="256"/>
      <c r="BG188" s="256"/>
      <c r="BH188" s="258" t="s">
        <v>442</v>
      </c>
      <c r="BI188" s="259"/>
    </row>
    <row r="189" spans="1:61" ht="36" x14ac:dyDescent="0.2">
      <c r="A189" s="263">
        <v>90009249259</v>
      </c>
      <c r="B189" s="264"/>
      <c r="C189" s="413" t="s">
        <v>219</v>
      </c>
      <c r="D189" s="414"/>
      <c r="E189" s="253" t="s">
        <v>309</v>
      </c>
      <c r="F189" s="254">
        <v>504096</v>
      </c>
      <c r="G189" s="255">
        <f t="shared" si="82"/>
        <v>514513</v>
      </c>
      <c r="H189" s="254">
        <f>459255</f>
        <v>459255</v>
      </c>
      <c r="I189" s="255">
        <f t="shared" si="83"/>
        <v>460610</v>
      </c>
      <c r="J189" s="255">
        <f t="shared" si="84"/>
        <v>1355</v>
      </c>
      <c r="K189" s="255"/>
      <c r="L189" s="255"/>
      <c r="M189" s="255"/>
      <c r="N189" s="255"/>
      <c r="O189" s="255"/>
      <c r="P189" s="255">
        <f>177+43+1135</f>
        <v>1355</v>
      </c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>
        <f>41422</f>
        <v>41422</v>
      </c>
      <c r="AE189" s="255">
        <f>AD189+AF189</f>
        <v>42864</v>
      </c>
      <c r="AF189" s="255">
        <f t="shared" si="87"/>
        <v>1442</v>
      </c>
      <c r="AG189" s="255"/>
      <c r="AH189" s="255">
        <f>1442</f>
        <v>1442</v>
      </c>
      <c r="AI189" s="255"/>
      <c r="AJ189" s="255"/>
      <c r="AK189" s="255"/>
      <c r="AL189" s="255"/>
      <c r="AM189" s="255">
        <f>3419</f>
        <v>3419</v>
      </c>
      <c r="AN189" s="255">
        <f t="shared" si="90"/>
        <v>11039</v>
      </c>
      <c r="AO189" s="256">
        <f t="shared" si="88"/>
        <v>7620</v>
      </c>
      <c r="AP189" s="256"/>
      <c r="AQ189" s="256"/>
      <c r="AR189" s="256">
        <f>1164+6456</f>
        <v>7620</v>
      </c>
      <c r="AS189" s="256"/>
      <c r="AT189" s="256"/>
      <c r="AU189" s="256"/>
      <c r="AV189" s="256"/>
      <c r="AW189" s="256"/>
      <c r="AX189" s="256"/>
      <c r="AY189" s="256"/>
      <c r="AZ189" s="255"/>
      <c r="BA189" s="257"/>
      <c r="BB189" s="256"/>
      <c r="BC189" s="256"/>
      <c r="BD189" s="256"/>
      <c r="BE189" s="256"/>
      <c r="BF189" s="256"/>
      <c r="BG189" s="256"/>
      <c r="BH189" s="258" t="s">
        <v>443</v>
      </c>
      <c r="BI189" s="259"/>
    </row>
    <row r="190" spans="1:61" ht="12.75" x14ac:dyDescent="0.2">
      <c r="A190" s="263"/>
      <c r="B190" s="264"/>
      <c r="C190" s="265"/>
      <c r="D190" s="266"/>
      <c r="E190" s="253" t="s">
        <v>346</v>
      </c>
      <c r="F190" s="254">
        <v>75776</v>
      </c>
      <c r="G190" s="255">
        <f t="shared" si="82"/>
        <v>75776</v>
      </c>
      <c r="H190" s="254">
        <f>75776</f>
        <v>75776</v>
      </c>
      <c r="I190" s="255">
        <f t="shared" si="83"/>
        <v>75776</v>
      </c>
      <c r="J190" s="255">
        <f t="shared" si="84"/>
        <v>0</v>
      </c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>
        <f t="shared" si="90"/>
        <v>0</v>
      </c>
      <c r="AO190" s="256">
        <f t="shared" si="88"/>
        <v>0</v>
      </c>
      <c r="AP190" s="256"/>
      <c r="AQ190" s="256"/>
      <c r="AR190" s="256"/>
      <c r="AS190" s="256"/>
      <c r="AT190" s="256"/>
      <c r="AU190" s="256"/>
      <c r="AV190" s="256"/>
      <c r="AW190" s="256"/>
      <c r="AX190" s="256"/>
      <c r="AY190" s="256"/>
      <c r="AZ190" s="255"/>
      <c r="BA190" s="257"/>
      <c r="BB190" s="256"/>
      <c r="BC190" s="256"/>
      <c r="BD190" s="256"/>
      <c r="BE190" s="256"/>
      <c r="BF190" s="256"/>
      <c r="BG190" s="256"/>
      <c r="BH190" s="258" t="s">
        <v>444</v>
      </c>
      <c r="BI190" s="259"/>
    </row>
    <row r="191" spans="1:61" ht="36" x14ac:dyDescent="0.2">
      <c r="A191" s="263">
        <v>90009249314</v>
      </c>
      <c r="B191" s="264"/>
      <c r="C191" s="413" t="s">
        <v>220</v>
      </c>
      <c r="D191" s="414"/>
      <c r="E191" s="253" t="s">
        <v>309</v>
      </c>
      <c r="F191" s="254">
        <v>519951</v>
      </c>
      <c r="G191" s="255">
        <f t="shared" si="82"/>
        <v>538707</v>
      </c>
      <c r="H191" s="254">
        <f>463029</f>
        <v>463029</v>
      </c>
      <c r="I191" s="255">
        <f t="shared" si="83"/>
        <v>464424</v>
      </c>
      <c r="J191" s="255">
        <f t="shared" si="84"/>
        <v>1395</v>
      </c>
      <c r="K191" s="255"/>
      <c r="L191" s="255"/>
      <c r="M191" s="255"/>
      <c r="N191" s="255"/>
      <c r="O191" s="255"/>
      <c r="P191" s="255">
        <f>238+22+1135</f>
        <v>1395</v>
      </c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>
        <f>51804</f>
        <v>51804</v>
      </c>
      <c r="AE191" s="255">
        <f>AD191+AF191</f>
        <v>53265</v>
      </c>
      <c r="AF191" s="255">
        <f t="shared" si="87"/>
        <v>1461</v>
      </c>
      <c r="AG191" s="255"/>
      <c r="AH191" s="255">
        <f>1461</f>
        <v>1461</v>
      </c>
      <c r="AI191" s="255"/>
      <c r="AJ191" s="255"/>
      <c r="AK191" s="255"/>
      <c r="AL191" s="255"/>
      <c r="AM191" s="255">
        <f>5118</f>
        <v>5118</v>
      </c>
      <c r="AN191" s="255">
        <f t="shared" si="90"/>
        <v>21018</v>
      </c>
      <c r="AO191" s="256">
        <f t="shared" si="88"/>
        <v>15900</v>
      </c>
      <c r="AP191" s="256"/>
      <c r="AQ191" s="256"/>
      <c r="AR191" s="256">
        <f>995+14905</f>
        <v>15900</v>
      </c>
      <c r="AS191" s="256"/>
      <c r="AT191" s="256"/>
      <c r="AU191" s="256"/>
      <c r="AV191" s="256"/>
      <c r="AW191" s="256"/>
      <c r="AX191" s="256"/>
      <c r="AY191" s="256"/>
      <c r="AZ191" s="255"/>
      <c r="BA191" s="257"/>
      <c r="BB191" s="256"/>
      <c r="BC191" s="256"/>
      <c r="BD191" s="256"/>
      <c r="BE191" s="256"/>
      <c r="BF191" s="256"/>
      <c r="BG191" s="256"/>
      <c r="BH191" s="258" t="s">
        <v>445</v>
      </c>
      <c r="BI191" s="259"/>
    </row>
    <row r="192" spans="1:61" ht="12.75" x14ac:dyDescent="0.2">
      <c r="A192" s="263"/>
      <c r="B192" s="264"/>
      <c r="C192" s="265"/>
      <c r="D192" s="266"/>
      <c r="E192" s="253" t="s">
        <v>346</v>
      </c>
      <c r="F192" s="254">
        <v>73547</v>
      </c>
      <c r="G192" s="255">
        <f t="shared" si="82"/>
        <v>73547</v>
      </c>
      <c r="H192" s="254">
        <f>73547</f>
        <v>73547</v>
      </c>
      <c r="I192" s="255">
        <f t="shared" si="83"/>
        <v>73547</v>
      </c>
      <c r="J192" s="255">
        <f t="shared" si="84"/>
        <v>0</v>
      </c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>
        <f t="shared" si="90"/>
        <v>0</v>
      </c>
      <c r="AO192" s="256">
        <f t="shared" si="88"/>
        <v>0</v>
      </c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5"/>
      <c r="BA192" s="257"/>
      <c r="BB192" s="256"/>
      <c r="BC192" s="256"/>
      <c r="BD192" s="256"/>
      <c r="BE192" s="256"/>
      <c r="BF192" s="256"/>
      <c r="BG192" s="256"/>
      <c r="BH192" s="258" t="s">
        <v>446</v>
      </c>
      <c r="BI192" s="259"/>
    </row>
    <row r="193" spans="1:61" ht="36" x14ac:dyDescent="0.2">
      <c r="A193" s="263">
        <v>90009249189</v>
      </c>
      <c r="B193" s="264"/>
      <c r="C193" s="413" t="s">
        <v>221</v>
      </c>
      <c r="D193" s="414"/>
      <c r="E193" s="253" t="s">
        <v>309</v>
      </c>
      <c r="F193" s="254">
        <v>518226</v>
      </c>
      <c r="G193" s="255">
        <f t="shared" si="82"/>
        <v>523537</v>
      </c>
      <c r="H193" s="254">
        <f>449388</f>
        <v>449388</v>
      </c>
      <c r="I193" s="255">
        <f t="shared" si="83"/>
        <v>450937</v>
      </c>
      <c r="J193" s="255">
        <f t="shared" si="84"/>
        <v>1549</v>
      </c>
      <c r="K193" s="255"/>
      <c r="L193" s="255"/>
      <c r="M193" s="255"/>
      <c r="N193" s="255"/>
      <c r="O193" s="255"/>
      <c r="P193" s="255">
        <f>371+43+1135</f>
        <v>1549</v>
      </c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>
        <f>63046</f>
        <v>63046</v>
      </c>
      <c r="AE193" s="255">
        <f>AD193+AF193</f>
        <v>64773</v>
      </c>
      <c r="AF193" s="255">
        <f t="shared" si="87"/>
        <v>1727</v>
      </c>
      <c r="AG193" s="255"/>
      <c r="AH193" s="255">
        <v>1727</v>
      </c>
      <c r="AI193" s="255"/>
      <c r="AJ193" s="255"/>
      <c r="AK193" s="255"/>
      <c r="AL193" s="255"/>
      <c r="AM193" s="255">
        <f>5792</f>
        <v>5792</v>
      </c>
      <c r="AN193" s="255">
        <f t="shared" si="90"/>
        <v>7827</v>
      </c>
      <c r="AO193" s="256">
        <f t="shared" si="88"/>
        <v>2035</v>
      </c>
      <c r="AP193" s="256"/>
      <c r="AQ193" s="256"/>
      <c r="AR193" s="256">
        <f>1268+767</f>
        <v>2035</v>
      </c>
      <c r="AS193" s="256"/>
      <c r="AT193" s="256"/>
      <c r="AU193" s="256"/>
      <c r="AV193" s="256"/>
      <c r="AW193" s="256"/>
      <c r="AX193" s="256"/>
      <c r="AY193" s="256"/>
      <c r="AZ193" s="255"/>
      <c r="BA193" s="257"/>
      <c r="BB193" s="256"/>
      <c r="BC193" s="256"/>
      <c r="BD193" s="256"/>
      <c r="BE193" s="256"/>
      <c r="BF193" s="256"/>
      <c r="BG193" s="256"/>
      <c r="BH193" s="258" t="s">
        <v>447</v>
      </c>
      <c r="BI193" s="259"/>
    </row>
    <row r="194" spans="1:61" ht="12.75" x14ac:dyDescent="0.2">
      <c r="A194" s="263"/>
      <c r="B194" s="264"/>
      <c r="C194" s="265"/>
      <c r="D194" s="266"/>
      <c r="E194" s="253" t="s">
        <v>346</v>
      </c>
      <c r="F194" s="254">
        <v>70204</v>
      </c>
      <c r="G194" s="255">
        <f t="shared" si="82"/>
        <v>70204</v>
      </c>
      <c r="H194" s="254">
        <f>70204</f>
        <v>70204</v>
      </c>
      <c r="I194" s="255">
        <f t="shared" si="83"/>
        <v>70204</v>
      </c>
      <c r="J194" s="255">
        <f t="shared" si="84"/>
        <v>0</v>
      </c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>
        <f t="shared" si="90"/>
        <v>0</v>
      </c>
      <c r="AO194" s="256">
        <f t="shared" si="88"/>
        <v>0</v>
      </c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5"/>
      <c r="BA194" s="257"/>
      <c r="BB194" s="256"/>
      <c r="BC194" s="256"/>
      <c r="BD194" s="256"/>
      <c r="BE194" s="256"/>
      <c r="BF194" s="256"/>
      <c r="BG194" s="256"/>
      <c r="BH194" s="258" t="s">
        <v>448</v>
      </c>
      <c r="BI194" s="259"/>
    </row>
    <row r="195" spans="1:61" ht="36" x14ac:dyDescent="0.2">
      <c r="A195" s="263">
        <v>90009249136</v>
      </c>
      <c r="B195" s="264"/>
      <c r="C195" s="413" t="s">
        <v>222</v>
      </c>
      <c r="D195" s="414"/>
      <c r="E195" s="253" t="s">
        <v>309</v>
      </c>
      <c r="F195" s="254">
        <v>266158</v>
      </c>
      <c r="G195" s="255">
        <f t="shared" si="82"/>
        <v>273169</v>
      </c>
      <c r="H195" s="254">
        <f>255168</f>
        <v>255168</v>
      </c>
      <c r="I195" s="255">
        <f t="shared" si="83"/>
        <v>256432</v>
      </c>
      <c r="J195" s="255">
        <f t="shared" si="84"/>
        <v>1264</v>
      </c>
      <c r="K195" s="255"/>
      <c r="L195" s="255"/>
      <c r="M195" s="255"/>
      <c r="N195" s="255">
        <v>1264</v>
      </c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>
        <f>10990</f>
        <v>10990</v>
      </c>
      <c r="AE195" s="255">
        <f>AD195+AF195</f>
        <v>11370</v>
      </c>
      <c r="AF195" s="255">
        <f t="shared" si="87"/>
        <v>380</v>
      </c>
      <c r="AG195" s="255">
        <f>380</f>
        <v>380</v>
      </c>
      <c r="AH195" s="255"/>
      <c r="AI195" s="255"/>
      <c r="AJ195" s="255"/>
      <c r="AK195" s="255"/>
      <c r="AL195" s="255"/>
      <c r="AM195" s="255"/>
      <c r="AN195" s="255">
        <f t="shared" si="90"/>
        <v>5367</v>
      </c>
      <c r="AO195" s="256">
        <f t="shared" si="88"/>
        <v>5367</v>
      </c>
      <c r="AP195" s="256"/>
      <c r="AQ195" s="256">
        <v>5367</v>
      </c>
      <c r="AR195" s="256"/>
      <c r="AS195" s="256"/>
      <c r="AT195" s="256"/>
      <c r="AU195" s="256"/>
      <c r="AV195" s="256"/>
      <c r="AW195" s="256"/>
      <c r="AX195" s="256"/>
      <c r="AY195" s="256"/>
      <c r="AZ195" s="255"/>
      <c r="BA195" s="257"/>
      <c r="BB195" s="256"/>
      <c r="BC195" s="256"/>
      <c r="BD195" s="256"/>
      <c r="BE195" s="256"/>
      <c r="BF195" s="256"/>
      <c r="BG195" s="256"/>
      <c r="BH195" s="258" t="s">
        <v>449</v>
      </c>
      <c r="BI195" s="259"/>
    </row>
    <row r="196" spans="1:61" ht="12.75" x14ac:dyDescent="0.2">
      <c r="A196" s="263"/>
      <c r="B196" s="264"/>
      <c r="C196" s="265"/>
      <c r="D196" s="266"/>
      <c r="E196" s="253" t="s">
        <v>346</v>
      </c>
      <c r="F196" s="254">
        <v>30830</v>
      </c>
      <c r="G196" s="255">
        <f t="shared" si="82"/>
        <v>30830</v>
      </c>
      <c r="H196" s="254">
        <f>30830</f>
        <v>30830</v>
      </c>
      <c r="I196" s="255">
        <f t="shared" si="83"/>
        <v>30830</v>
      </c>
      <c r="J196" s="255">
        <f t="shared" si="84"/>
        <v>0</v>
      </c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>
        <f t="shared" si="90"/>
        <v>0</v>
      </c>
      <c r="AO196" s="256">
        <f t="shared" si="88"/>
        <v>0</v>
      </c>
      <c r="AP196" s="256"/>
      <c r="AQ196" s="256"/>
      <c r="AR196" s="256"/>
      <c r="AS196" s="256"/>
      <c r="AT196" s="256"/>
      <c r="AU196" s="256"/>
      <c r="AV196" s="256"/>
      <c r="AW196" s="256"/>
      <c r="AX196" s="256"/>
      <c r="AY196" s="256"/>
      <c r="AZ196" s="255"/>
      <c r="BA196" s="257"/>
      <c r="BB196" s="256"/>
      <c r="BC196" s="256"/>
      <c r="BD196" s="256"/>
      <c r="BE196" s="256"/>
      <c r="BF196" s="256"/>
      <c r="BG196" s="256"/>
      <c r="BH196" s="258" t="s">
        <v>450</v>
      </c>
      <c r="BI196" s="259"/>
    </row>
    <row r="197" spans="1:61" ht="36" x14ac:dyDescent="0.2">
      <c r="A197" s="263">
        <v>90009563202</v>
      </c>
      <c r="B197" s="264"/>
      <c r="C197" s="413" t="s">
        <v>666</v>
      </c>
      <c r="D197" s="414"/>
      <c r="E197" s="253" t="s">
        <v>309</v>
      </c>
      <c r="F197" s="254">
        <v>278959</v>
      </c>
      <c r="G197" s="255">
        <f t="shared" si="82"/>
        <v>293919</v>
      </c>
      <c r="H197" s="254">
        <f>41370</f>
        <v>41370</v>
      </c>
      <c r="I197" s="255">
        <f t="shared" si="83"/>
        <v>41370</v>
      </c>
      <c r="J197" s="255">
        <f t="shared" si="84"/>
        <v>0</v>
      </c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>
        <f>235272</f>
        <v>235272</v>
      </c>
      <c r="AE197" s="255">
        <f>AD197+AF197</f>
        <v>250335</v>
      </c>
      <c r="AF197" s="255">
        <f t="shared" si="87"/>
        <v>15063</v>
      </c>
      <c r="AG197" s="255"/>
      <c r="AH197" s="255">
        <f>3186+11877</f>
        <v>15063</v>
      </c>
      <c r="AI197" s="255"/>
      <c r="AJ197" s="255"/>
      <c r="AK197" s="255"/>
      <c r="AL197" s="255"/>
      <c r="AM197" s="255">
        <f>2317</f>
        <v>2317</v>
      </c>
      <c r="AN197" s="255">
        <f t="shared" si="90"/>
        <v>2214</v>
      </c>
      <c r="AO197" s="256">
        <f t="shared" si="88"/>
        <v>-103</v>
      </c>
      <c r="AP197" s="256"/>
      <c r="AQ197" s="256"/>
      <c r="AR197" s="256">
        <f>-103</f>
        <v>-103</v>
      </c>
      <c r="AS197" s="256"/>
      <c r="AT197" s="256"/>
      <c r="AU197" s="256"/>
      <c r="AV197" s="256"/>
      <c r="AW197" s="256"/>
      <c r="AX197" s="256"/>
      <c r="AY197" s="256"/>
      <c r="AZ197" s="255"/>
      <c r="BA197" s="257"/>
      <c r="BB197" s="256"/>
      <c r="BC197" s="256"/>
      <c r="BD197" s="256"/>
      <c r="BE197" s="256"/>
      <c r="BF197" s="256"/>
      <c r="BG197" s="256"/>
      <c r="BH197" s="258" t="s">
        <v>451</v>
      </c>
      <c r="BI197" s="259"/>
    </row>
    <row r="198" spans="1:61" ht="36" x14ac:dyDescent="0.2">
      <c r="A198" s="263">
        <v>90009249206</v>
      </c>
      <c r="B198" s="264"/>
      <c r="C198" s="413" t="s">
        <v>223</v>
      </c>
      <c r="D198" s="414"/>
      <c r="E198" s="253" t="s">
        <v>309</v>
      </c>
      <c r="F198" s="254">
        <v>537115</v>
      </c>
      <c r="G198" s="255">
        <f t="shared" si="82"/>
        <v>548848</v>
      </c>
      <c r="H198" s="254">
        <f>486033</f>
        <v>486033</v>
      </c>
      <c r="I198" s="255">
        <f t="shared" si="83"/>
        <v>487637</v>
      </c>
      <c r="J198" s="255">
        <f t="shared" si="84"/>
        <v>1604</v>
      </c>
      <c r="K198" s="255"/>
      <c r="L198" s="255"/>
      <c r="M198" s="255"/>
      <c r="N198" s="255"/>
      <c r="O198" s="255"/>
      <c r="P198" s="255">
        <f>426+43+1135</f>
        <v>1604</v>
      </c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>
        <f>47459</f>
        <v>47459</v>
      </c>
      <c r="AE198" s="255">
        <f>AD198+AF198</f>
        <v>49224</v>
      </c>
      <c r="AF198" s="255">
        <f t="shared" si="87"/>
        <v>1765</v>
      </c>
      <c r="AG198" s="255"/>
      <c r="AH198" s="255">
        <v>1765</v>
      </c>
      <c r="AI198" s="255"/>
      <c r="AJ198" s="255"/>
      <c r="AK198" s="255"/>
      <c r="AL198" s="255"/>
      <c r="AM198" s="255">
        <f>3623</f>
        <v>3623</v>
      </c>
      <c r="AN198" s="255">
        <f t="shared" si="90"/>
        <v>11987</v>
      </c>
      <c r="AO198" s="256">
        <f t="shared" si="88"/>
        <v>8364</v>
      </c>
      <c r="AP198" s="256"/>
      <c r="AQ198" s="256"/>
      <c r="AR198" s="256">
        <f>1965+6399</f>
        <v>8364</v>
      </c>
      <c r="AS198" s="256"/>
      <c r="AT198" s="256"/>
      <c r="AU198" s="256"/>
      <c r="AV198" s="256"/>
      <c r="AW198" s="256"/>
      <c r="AX198" s="256"/>
      <c r="AY198" s="256"/>
      <c r="AZ198" s="255"/>
      <c r="BA198" s="257"/>
      <c r="BB198" s="256"/>
      <c r="BC198" s="256"/>
      <c r="BD198" s="256"/>
      <c r="BE198" s="256"/>
      <c r="BF198" s="256"/>
      <c r="BG198" s="256"/>
      <c r="BH198" s="258" t="s">
        <v>452</v>
      </c>
      <c r="BI198" s="259"/>
    </row>
    <row r="199" spans="1:61" ht="12.75" x14ac:dyDescent="0.2">
      <c r="A199" s="263"/>
      <c r="B199" s="264"/>
      <c r="C199" s="265"/>
      <c r="D199" s="266"/>
      <c r="E199" s="253" t="s">
        <v>346</v>
      </c>
      <c r="F199" s="254">
        <v>86176</v>
      </c>
      <c r="G199" s="255">
        <f t="shared" si="82"/>
        <v>86176</v>
      </c>
      <c r="H199" s="254">
        <f>86176</f>
        <v>86176</v>
      </c>
      <c r="I199" s="255">
        <f t="shared" si="83"/>
        <v>86176</v>
      </c>
      <c r="J199" s="255">
        <f t="shared" si="84"/>
        <v>0</v>
      </c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>
        <f t="shared" si="90"/>
        <v>0</v>
      </c>
      <c r="AO199" s="256">
        <f t="shared" si="88"/>
        <v>0</v>
      </c>
      <c r="AP199" s="256"/>
      <c r="AQ199" s="256"/>
      <c r="AR199" s="256"/>
      <c r="AS199" s="256"/>
      <c r="AT199" s="256"/>
      <c r="AU199" s="256"/>
      <c r="AV199" s="256"/>
      <c r="AW199" s="256"/>
      <c r="AX199" s="256"/>
      <c r="AY199" s="256"/>
      <c r="AZ199" s="255"/>
      <c r="BA199" s="257"/>
      <c r="BB199" s="256"/>
      <c r="BC199" s="256"/>
      <c r="BD199" s="256"/>
      <c r="BE199" s="256"/>
      <c r="BF199" s="256"/>
      <c r="BG199" s="256"/>
      <c r="BH199" s="258" t="s">
        <v>453</v>
      </c>
      <c r="BI199" s="259"/>
    </row>
    <row r="200" spans="1:61" ht="36" x14ac:dyDescent="0.2">
      <c r="A200" s="263">
        <v>90009251357</v>
      </c>
      <c r="B200" s="264"/>
      <c r="C200" s="413" t="s">
        <v>224</v>
      </c>
      <c r="D200" s="414"/>
      <c r="E200" s="253" t="s">
        <v>309</v>
      </c>
      <c r="F200" s="254">
        <v>330553</v>
      </c>
      <c r="G200" s="255">
        <f t="shared" si="82"/>
        <v>345110</v>
      </c>
      <c r="H200" s="254">
        <f>294644</f>
        <v>294644</v>
      </c>
      <c r="I200" s="255">
        <f t="shared" si="83"/>
        <v>295872</v>
      </c>
      <c r="J200" s="255">
        <f t="shared" si="84"/>
        <v>1228</v>
      </c>
      <c r="K200" s="255"/>
      <c r="L200" s="255"/>
      <c r="M200" s="255"/>
      <c r="N200" s="255"/>
      <c r="O200" s="255"/>
      <c r="P200" s="255">
        <f>71+22+1135</f>
        <v>1228</v>
      </c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>
        <f>31960</f>
        <v>31960</v>
      </c>
      <c r="AE200" s="255">
        <f>AD200+AF200</f>
        <v>33061</v>
      </c>
      <c r="AF200" s="255">
        <f t="shared" si="87"/>
        <v>1101</v>
      </c>
      <c r="AG200" s="255"/>
      <c r="AH200" s="255">
        <v>1101</v>
      </c>
      <c r="AI200" s="255"/>
      <c r="AJ200" s="255"/>
      <c r="AK200" s="255"/>
      <c r="AL200" s="255"/>
      <c r="AM200" s="255">
        <f>3320</f>
        <v>3320</v>
      </c>
      <c r="AN200" s="255">
        <f t="shared" si="90"/>
        <v>15757</v>
      </c>
      <c r="AO200" s="256">
        <f t="shared" si="88"/>
        <v>12437</v>
      </c>
      <c r="AP200" s="256"/>
      <c r="AQ200" s="256"/>
      <c r="AR200" s="256">
        <f>1253+11184</f>
        <v>12437</v>
      </c>
      <c r="AS200" s="256"/>
      <c r="AT200" s="256"/>
      <c r="AU200" s="256"/>
      <c r="AV200" s="256"/>
      <c r="AW200" s="256"/>
      <c r="AX200" s="256"/>
      <c r="AY200" s="256">
        <v>629</v>
      </c>
      <c r="AZ200" s="255">
        <f>BA200+AY200</f>
        <v>420</v>
      </c>
      <c r="BA200" s="257">
        <f>SUM(BB200:BG200)</f>
        <v>-209</v>
      </c>
      <c r="BB200" s="256"/>
      <c r="BC200" s="256">
        <f>-209</f>
        <v>-209</v>
      </c>
      <c r="BD200" s="256"/>
      <c r="BE200" s="256"/>
      <c r="BF200" s="256"/>
      <c r="BG200" s="256"/>
      <c r="BH200" s="258" t="s">
        <v>454</v>
      </c>
      <c r="BI200" s="259"/>
    </row>
    <row r="201" spans="1:61" ht="12.75" x14ac:dyDescent="0.2">
      <c r="A201" s="263"/>
      <c r="B201" s="264"/>
      <c r="C201" s="265"/>
      <c r="D201" s="266"/>
      <c r="E201" s="253" t="s">
        <v>346</v>
      </c>
      <c r="F201" s="254">
        <v>44945</v>
      </c>
      <c r="G201" s="255">
        <f t="shared" si="82"/>
        <v>44945</v>
      </c>
      <c r="H201" s="254">
        <f>44945</f>
        <v>44945</v>
      </c>
      <c r="I201" s="255">
        <f t="shared" si="83"/>
        <v>44945</v>
      </c>
      <c r="J201" s="255">
        <f t="shared" si="84"/>
        <v>0</v>
      </c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>
        <f t="shared" si="90"/>
        <v>0</v>
      </c>
      <c r="AO201" s="256">
        <f t="shared" si="88"/>
        <v>0</v>
      </c>
      <c r="AP201" s="256"/>
      <c r="AQ201" s="256"/>
      <c r="AR201" s="256"/>
      <c r="AS201" s="256"/>
      <c r="AT201" s="256"/>
      <c r="AU201" s="256"/>
      <c r="AV201" s="256"/>
      <c r="AW201" s="256"/>
      <c r="AX201" s="256"/>
      <c r="AY201" s="256"/>
      <c r="AZ201" s="255"/>
      <c r="BA201" s="257"/>
      <c r="BB201" s="256"/>
      <c r="BC201" s="256"/>
      <c r="BD201" s="256"/>
      <c r="BE201" s="256"/>
      <c r="BF201" s="256"/>
      <c r="BG201" s="256"/>
      <c r="BH201" s="258" t="s">
        <v>455</v>
      </c>
      <c r="BI201" s="259"/>
    </row>
    <row r="202" spans="1:61" ht="39.75" customHeight="1" x14ac:dyDescent="0.2">
      <c r="A202" s="263">
        <v>90000051542</v>
      </c>
      <c r="B202" s="264"/>
      <c r="C202" s="413" t="s">
        <v>21</v>
      </c>
      <c r="D202" s="414"/>
      <c r="E202" s="253" t="s">
        <v>308</v>
      </c>
      <c r="F202" s="254">
        <v>1071792</v>
      </c>
      <c r="G202" s="255">
        <f t="shared" si="82"/>
        <v>1083810</v>
      </c>
      <c r="H202" s="254">
        <f>454775</f>
        <v>454775</v>
      </c>
      <c r="I202" s="255">
        <f t="shared" si="83"/>
        <v>456140</v>
      </c>
      <c r="J202" s="255">
        <f t="shared" si="84"/>
        <v>1365</v>
      </c>
      <c r="K202" s="255"/>
      <c r="L202" s="255">
        <v>230</v>
      </c>
      <c r="M202" s="255"/>
      <c r="N202" s="255">
        <v>1135</v>
      </c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>
        <f>600985</f>
        <v>600985</v>
      </c>
      <c r="AE202" s="255">
        <f>AD202+AF202</f>
        <v>610530</v>
      </c>
      <c r="AF202" s="255">
        <f t="shared" si="87"/>
        <v>9545</v>
      </c>
      <c r="AG202" s="255">
        <f>9545</f>
        <v>9545</v>
      </c>
      <c r="AH202" s="255"/>
      <c r="AI202" s="255"/>
      <c r="AJ202" s="255"/>
      <c r="AK202" s="255"/>
      <c r="AL202" s="255"/>
      <c r="AM202" s="255">
        <f>16032</f>
        <v>16032</v>
      </c>
      <c r="AN202" s="255">
        <f t="shared" si="90"/>
        <v>17140</v>
      </c>
      <c r="AO202" s="256">
        <f t="shared" si="88"/>
        <v>1108</v>
      </c>
      <c r="AP202" s="256"/>
      <c r="AQ202" s="256">
        <v>1108</v>
      </c>
      <c r="AR202" s="256"/>
      <c r="AS202" s="256"/>
      <c r="AT202" s="256"/>
      <c r="AU202" s="256"/>
      <c r="AV202" s="256"/>
      <c r="AW202" s="256"/>
      <c r="AX202" s="256"/>
      <c r="AY202" s="256"/>
      <c r="AZ202" s="255"/>
      <c r="BA202" s="257"/>
      <c r="BB202" s="256"/>
      <c r="BC202" s="256"/>
      <c r="BD202" s="256"/>
      <c r="BE202" s="256"/>
      <c r="BF202" s="256"/>
      <c r="BG202" s="256"/>
      <c r="BH202" s="258" t="s">
        <v>456</v>
      </c>
      <c r="BI202" s="259"/>
    </row>
    <row r="203" spans="1:61" ht="12.75" x14ac:dyDescent="0.2">
      <c r="A203" s="263"/>
      <c r="B203" s="264"/>
      <c r="C203" s="265"/>
      <c r="D203" s="266"/>
      <c r="E203" s="253" t="s">
        <v>346</v>
      </c>
      <c r="F203" s="254">
        <v>135397</v>
      </c>
      <c r="G203" s="255">
        <f t="shared" si="82"/>
        <v>139555</v>
      </c>
      <c r="H203" s="254">
        <f>107996</f>
        <v>107996</v>
      </c>
      <c r="I203" s="255">
        <f t="shared" si="83"/>
        <v>107996</v>
      </c>
      <c r="J203" s="255">
        <f t="shared" si="84"/>
        <v>0</v>
      </c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>
        <f>27401</f>
        <v>27401</v>
      </c>
      <c r="AE203" s="255">
        <f>AD203+AF203</f>
        <v>31559</v>
      </c>
      <c r="AF203" s="255">
        <f t="shared" si="87"/>
        <v>4158</v>
      </c>
      <c r="AG203" s="255">
        <v>4158</v>
      </c>
      <c r="AH203" s="255"/>
      <c r="AI203" s="255"/>
      <c r="AJ203" s="255"/>
      <c r="AK203" s="255"/>
      <c r="AL203" s="255"/>
      <c r="AM203" s="255"/>
      <c r="AN203" s="255">
        <f t="shared" si="90"/>
        <v>0</v>
      </c>
      <c r="AO203" s="256">
        <f t="shared" si="88"/>
        <v>0</v>
      </c>
      <c r="AP203" s="256"/>
      <c r="AQ203" s="256"/>
      <c r="AR203" s="256"/>
      <c r="AS203" s="256"/>
      <c r="AT203" s="256"/>
      <c r="AU203" s="256"/>
      <c r="AV203" s="256"/>
      <c r="AW203" s="256"/>
      <c r="AX203" s="256"/>
      <c r="AY203" s="256"/>
      <c r="AZ203" s="255"/>
      <c r="BA203" s="257"/>
      <c r="BB203" s="256"/>
      <c r="BC203" s="256"/>
      <c r="BD203" s="256"/>
      <c r="BE203" s="256"/>
      <c r="BF203" s="256"/>
      <c r="BG203" s="256"/>
      <c r="BH203" s="258" t="s">
        <v>457</v>
      </c>
      <c r="BI203" s="259"/>
    </row>
    <row r="204" spans="1:61" ht="24" x14ac:dyDescent="0.2">
      <c r="A204" s="263"/>
      <c r="B204" s="264"/>
      <c r="C204" s="265"/>
      <c r="D204" s="266"/>
      <c r="E204" s="253" t="s">
        <v>506</v>
      </c>
      <c r="F204" s="254">
        <v>11690</v>
      </c>
      <c r="G204" s="255">
        <f t="shared" si="82"/>
        <v>11690</v>
      </c>
      <c r="H204" s="254">
        <f>11690</f>
        <v>11690</v>
      </c>
      <c r="I204" s="255">
        <f t="shared" si="83"/>
        <v>11690</v>
      </c>
      <c r="J204" s="255">
        <f t="shared" si="84"/>
        <v>0</v>
      </c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>
        <f t="shared" si="90"/>
        <v>0</v>
      </c>
      <c r="AO204" s="256">
        <f t="shared" si="88"/>
        <v>0</v>
      </c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5"/>
      <c r="BA204" s="257"/>
      <c r="BB204" s="256"/>
      <c r="BC204" s="256"/>
      <c r="BD204" s="256"/>
      <c r="BE204" s="256"/>
      <c r="BF204" s="256"/>
      <c r="BG204" s="256"/>
      <c r="BH204" s="258" t="s">
        <v>458</v>
      </c>
      <c r="BI204" s="259"/>
    </row>
    <row r="205" spans="1:61" ht="12.75" x14ac:dyDescent="0.2">
      <c r="A205" s="263"/>
      <c r="B205" s="264"/>
      <c r="C205" s="265"/>
      <c r="D205" s="266"/>
      <c r="E205" s="253" t="s">
        <v>507</v>
      </c>
      <c r="F205" s="254">
        <v>5855</v>
      </c>
      <c r="G205" s="255">
        <f t="shared" si="82"/>
        <v>6962</v>
      </c>
      <c r="H205" s="254">
        <f>5855</f>
        <v>5855</v>
      </c>
      <c r="I205" s="255">
        <f t="shared" si="83"/>
        <v>6962</v>
      </c>
      <c r="J205" s="255">
        <f t="shared" si="84"/>
        <v>1107</v>
      </c>
      <c r="K205" s="255"/>
      <c r="L205" s="255"/>
      <c r="M205" s="255"/>
      <c r="N205" s="255">
        <f>1107</f>
        <v>1107</v>
      </c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>
        <f t="shared" si="90"/>
        <v>0</v>
      </c>
      <c r="AO205" s="256">
        <f t="shared" si="88"/>
        <v>0</v>
      </c>
      <c r="AP205" s="256"/>
      <c r="AQ205" s="256"/>
      <c r="AR205" s="256"/>
      <c r="AS205" s="256"/>
      <c r="AT205" s="256"/>
      <c r="AU205" s="256"/>
      <c r="AV205" s="256"/>
      <c r="AW205" s="256"/>
      <c r="AX205" s="256"/>
      <c r="AY205" s="256"/>
      <c r="AZ205" s="255"/>
      <c r="BA205" s="257"/>
      <c r="BB205" s="256"/>
      <c r="BC205" s="256"/>
      <c r="BD205" s="256"/>
      <c r="BE205" s="256"/>
      <c r="BF205" s="256"/>
      <c r="BG205" s="256"/>
      <c r="BH205" s="258" t="s">
        <v>646</v>
      </c>
      <c r="BI205" s="259"/>
    </row>
    <row r="206" spans="1:61" ht="36.75" customHeight="1" x14ac:dyDescent="0.2">
      <c r="A206" s="263">
        <v>90001175873</v>
      </c>
      <c r="B206" s="264"/>
      <c r="C206" s="413" t="s">
        <v>197</v>
      </c>
      <c r="D206" s="414"/>
      <c r="E206" s="253" t="s">
        <v>308</v>
      </c>
      <c r="F206" s="254">
        <v>656203</v>
      </c>
      <c r="G206" s="255">
        <f t="shared" ref="G206:G227" si="91">SUM(I206,AE206,AN206,AX206,AZ206)</f>
        <v>672647</v>
      </c>
      <c r="H206" s="254">
        <f>266517</f>
        <v>266517</v>
      </c>
      <c r="I206" s="255">
        <f t="shared" si="83"/>
        <v>267959</v>
      </c>
      <c r="J206" s="255">
        <f t="shared" si="84"/>
        <v>1442</v>
      </c>
      <c r="K206" s="255"/>
      <c r="L206" s="255"/>
      <c r="M206" s="255"/>
      <c r="N206" s="255">
        <v>1442</v>
      </c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>
        <f>379446</f>
        <v>379446</v>
      </c>
      <c r="AE206" s="255">
        <f t="shared" ref="AE206:AE216" si="92">AD206+AF206</f>
        <v>386106</v>
      </c>
      <c r="AF206" s="255">
        <f t="shared" si="87"/>
        <v>6660</v>
      </c>
      <c r="AG206" s="255">
        <f>6660</f>
        <v>6660</v>
      </c>
      <c r="AH206" s="255"/>
      <c r="AI206" s="255"/>
      <c r="AJ206" s="255"/>
      <c r="AK206" s="255"/>
      <c r="AL206" s="255"/>
      <c r="AM206" s="255">
        <f>9740</f>
        <v>9740</v>
      </c>
      <c r="AN206" s="255">
        <f t="shared" si="90"/>
        <v>18082</v>
      </c>
      <c r="AO206" s="256">
        <f t="shared" si="88"/>
        <v>8342</v>
      </c>
      <c r="AP206" s="256"/>
      <c r="AQ206" s="256">
        <f>8342</f>
        <v>8342</v>
      </c>
      <c r="AR206" s="256"/>
      <c r="AS206" s="256"/>
      <c r="AT206" s="256"/>
      <c r="AU206" s="256"/>
      <c r="AV206" s="256"/>
      <c r="AW206" s="256"/>
      <c r="AX206" s="256"/>
      <c r="AY206" s="256">
        <v>500</v>
      </c>
      <c r="AZ206" s="255">
        <f>BA206+AY206</f>
        <v>500</v>
      </c>
      <c r="BA206" s="257">
        <f>SUM(BB206:BG206)</f>
        <v>0</v>
      </c>
      <c r="BB206" s="256"/>
      <c r="BC206" s="256"/>
      <c r="BD206" s="256"/>
      <c r="BE206" s="256"/>
      <c r="BF206" s="256"/>
      <c r="BG206" s="256"/>
      <c r="BH206" s="258" t="s">
        <v>459</v>
      </c>
      <c r="BI206" s="259"/>
    </row>
    <row r="207" spans="1:61" ht="12.75" x14ac:dyDescent="0.2">
      <c r="A207" s="263"/>
      <c r="B207" s="264"/>
      <c r="C207" s="265"/>
      <c r="D207" s="266"/>
      <c r="E207" s="253" t="s">
        <v>346</v>
      </c>
      <c r="F207" s="254">
        <v>88938</v>
      </c>
      <c r="G207" s="255">
        <f t="shared" si="91"/>
        <v>96460</v>
      </c>
      <c r="H207" s="254">
        <f>42291</f>
        <v>42291</v>
      </c>
      <c r="I207" s="255">
        <f t="shared" si="83"/>
        <v>42291</v>
      </c>
      <c r="J207" s="255">
        <f t="shared" si="84"/>
        <v>0</v>
      </c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>
        <f>46647</f>
        <v>46647</v>
      </c>
      <c r="AE207" s="255">
        <f t="shared" si="92"/>
        <v>54169</v>
      </c>
      <c r="AF207" s="255">
        <f t="shared" si="87"/>
        <v>7522</v>
      </c>
      <c r="AG207" s="255">
        <v>7522</v>
      </c>
      <c r="AH207" s="255"/>
      <c r="AI207" s="255"/>
      <c r="AJ207" s="255"/>
      <c r="AK207" s="255"/>
      <c r="AL207" s="255"/>
      <c r="AM207" s="255"/>
      <c r="AN207" s="255">
        <f t="shared" si="90"/>
        <v>0</v>
      </c>
      <c r="AO207" s="256">
        <f t="shared" si="88"/>
        <v>0</v>
      </c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5"/>
      <c r="BA207" s="257"/>
      <c r="BB207" s="256"/>
      <c r="BC207" s="256"/>
      <c r="BD207" s="256"/>
      <c r="BE207" s="256"/>
      <c r="BF207" s="256"/>
      <c r="BG207" s="256"/>
      <c r="BH207" s="258" t="s">
        <v>460</v>
      </c>
      <c r="BI207" s="259"/>
    </row>
    <row r="208" spans="1:61" ht="36" customHeight="1" x14ac:dyDescent="0.2">
      <c r="A208" s="263">
        <v>90009251361</v>
      </c>
      <c r="B208" s="264"/>
      <c r="C208" s="413" t="s">
        <v>262</v>
      </c>
      <c r="D208" s="414"/>
      <c r="E208" s="253" t="s">
        <v>308</v>
      </c>
      <c r="F208" s="254">
        <v>582540</v>
      </c>
      <c r="G208" s="255">
        <f t="shared" si="91"/>
        <v>611887</v>
      </c>
      <c r="H208" s="254">
        <f>414716</f>
        <v>414716</v>
      </c>
      <c r="I208" s="255">
        <f t="shared" si="83"/>
        <v>416329</v>
      </c>
      <c r="J208" s="255">
        <f t="shared" si="84"/>
        <v>1613</v>
      </c>
      <c r="K208" s="255"/>
      <c r="L208" s="255"/>
      <c r="M208" s="255"/>
      <c r="N208" s="255">
        <v>1613</v>
      </c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>
        <f>161519</f>
        <v>161519</v>
      </c>
      <c r="AE208" s="255">
        <f t="shared" si="92"/>
        <v>165987</v>
      </c>
      <c r="AF208" s="255">
        <f t="shared" si="87"/>
        <v>4468</v>
      </c>
      <c r="AG208" s="255">
        <f>3529+939</f>
        <v>4468</v>
      </c>
      <c r="AH208" s="255"/>
      <c r="AI208" s="255"/>
      <c r="AJ208" s="255"/>
      <c r="AK208" s="255"/>
      <c r="AL208" s="255"/>
      <c r="AM208" s="255">
        <f>6305</f>
        <v>6305</v>
      </c>
      <c r="AN208" s="255">
        <f t="shared" si="90"/>
        <v>29571</v>
      </c>
      <c r="AO208" s="256">
        <f t="shared" si="88"/>
        <v>23266</v>
      </c>
      <c r="AP208" s="256"/>
      <c r="AQ208" s="256">
        <f>23266</f>
        <v>23266</v>
      </c>
      <c r="AR208" s="256"/>
      <c r="AS208" s="256"/>
      <c r="AT208" s="256"/>
      <c r="AU208" s="256"/>
      <c r="AV208" s="256"/>
      <c r="AW208" s="256"/>
      <c r="AX208" s="256"/>
      <c r="AY208" s="256"/>
      <c r="AZ208" s="255"/>
      <c r="BA208" s="257"/>
      <c r="BB208" s="256"/>
      <c r="BC208" s="256"/>
      <c r="BD208" s="256"/>
      <c r="BE208" s="256"/>
      <c r="BF208" s="256"/>
      <c r="BG208" s="256"/>
      <c r="BH208" s="258" t="s">
        <v>461</v>
      </c>
      <c r="BI208" s="259"/>
    </row>
    <row r="209" spans="1:61" ht="12.75" x14ac:dyDescent="0.2">
      <c r="A209" s="263"/>
      <c r="B209" s="264"/>
      <c r="C209" s="265"/>
      <c r="D209" s="266"/>
      <c r="E209" s="253" t="s">
        <v>346</v>
      </c>
      <c r="F209" s="254">
        <v>74682</v>
      </c>
      <c r="G209" s="255">
        <f t="shared" si="91"/>
        <v>79264</v>
      </c>
      <c r="H209" s="254">
        <f>56057</f>
        <v>56057</v>
      </c>
      <c r="I209" s="255">
        <f t="shared" ref="I209:I223" si="93">H209+J209</f>
        <v>56057</v>
      </c>
      <c r="J209" s="255">
        <f t="shared" si="84"/>
        <v>0</v>
      </c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>
        <f>18625</f>
        <v>18625</v>
      </c>
      <c r="AE209" s="255">
        <f t="shared" si="92"/>
        <v>23207</v>
      </c>
      <c r="AF209" s="255">
        <f t="shared" si="87"/>
        <v>4582</v>
      </c>
      <c r="AG209" s="255">
        <v>4582</v>
      </c>
      <c r="AH209" s="255"/>
      <c r="AI209" s="255"/>
      <c r="AJ209" s="255"/>
      <c r="AK209" s="255"/>
      <c r="AL209" s="255"/>
      <c r="AM209" s="255"/>
      <c r="AN209" s="255">
        <f t="shared" si="90"/>
        <v>0</v>
      </c>
      <c r="AO209" s="256">
        <f t="shared" si="88"/>
        <v>0</v>
      </c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5"/>
      <c r="BA209" s="257"/>
      <c r="BB209" s="256"/>
      <c r="BC209" s="256"/>
      <c r="BD209" s="256"/>
      <c r="BE209" s="256"/>
      <c r="BF209" s="256"/>
      <c r="BG209" s="256"/>
      <c r="BH209" s="258" t="s">
        <v>462</v>
      </c>
      <c r="BI209" s="259"/>
    </row>
    <row r="210" spans="1:61" s="386" customFormat="1" ht="36" x14ac:dyDescent="0.2">
      <c r="A210" s="263"/>
      <c r="B210" s="264"/>
      <c r="C210" s="387"/>
      <c r="D210" s="388"/>
      <c r="E210" s="253" t="s">
        <v>793</v>
      </c>
      <c r="F210" s="254"/>
      <c r="G210" s="255">
        <f t="shared" si="91"/>
        <v>1983</v>
      </c>
      <c r="H210" s="254"/>
      <c r="I210" s="255">
        <f t="shared" ref="I210" si="94">H210+J210</f>
        <v>1983</v>
      </c>
      <c r="J210" s="255">
        <f t="shared" ref="J210" si="95">SUM(K210:AC210)</f>
        <v>1983</v>
      </c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>
        <v>1983</v>
      </c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6"/>
      <c r="AP210" s="256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5"/>
      <c r="BA210" s="257"/>
      <c r="BB210" s="256"/>
      <c r="BC210" s="256"/>
      <c r="BD210" s="256"/>
      <c r="BE210" s="256"/>
      <c r="BF210" s="256"/>
      <c r="BG210" s="256"/>
      <c r="BH210" s="258" t="s">
        <v>794</v>
      </c>
      <c r="BI210" s="259"/>
    </row>
    <row r="211" spans="1:61" ht="36" customHeight="1" x14ac:dyDescent="0.2">
      <c r="A211" s="263">
        <v>90000051699</v>
      </c>
      <c r="B211" s="264"/>
      <c r="C211" s="413" t="s">
        <v>263</v>
      </c>
      <c r="D211" s="414"/>
      <c r="E211" s="253" t="s">
        <v>308</v>
      </c>
      <c r="F211" s="254">
        <v>667748</v>
      </c>
      <c r="G211" s="255">
        <f t="shared" si="91"/>
        <v>645497</v>
      </c>
      <c r="H211" s="254">
        <f>446922</f>
        <v>446922</v>
      </c>
      <c r="I211" s="255">
        <f t="shared" si="93"/>
        <v>421444</v>
      </c>
      <c r="J211" s="255">
        <f t="shared" si="84"/>
        <v>-25478</v>
      </c>
      <c r="K211" s="255"/>
      <c r="L211" s="255"/>
      <c r="M211" s="255"/>
      <c r="N211" s="255">
        <v>1135</v>
      </c>
      <c r="O211" s="255"/>
      <c r="P211" s="255"/>
      <c r="Q211" s="255"/>
      <c r="R211" s="255"/>
      <c r="S211" s="255"/>
      <c r="T211" s="255"/>
      <c r="U211" s="255"/>
      <c r="V211" s="255">
        <v>-26613</v>
      </c>
      <c r="W211" s="255"/>
      <c r="X211" s="255"/>
      <c r="Y211" s="255"/>
      <c r="Z211" s="255"/>
      <c r="AA211" s="255"/>
      <c r="AB211" s="255"/>
      <c r="AC211" s="255"/>
      <c r="AD211" s="255">
        <f>160775</f>
        <v>160775</v>
      </c>
      <c r="AE211" s="255">
        <f t="shared" si="92"/>
        <v>164252</v>
      </c>
      <c r="AF211" s="255">
        <f t="shared" si="87"/>
        <v>3477</v>
      </c>
      <c r="AG211" s="255">
        <f>3474+3</f>
        <v>3477</v>
      </c>
      <c r="AH211" s="255"/>
      <c r="AI211" s="255"/>
      <c r="AJ211" s="255"/>
      <c r="AK211" s="255"/>
      <c r="AL211" s="255"/>
      <c r="AM211" s="255">
        <f>60051</f>
        <v>60051</v>
      </c>
      <c r="AN211" s="255">
        <f t="shared" si="90"/>
        <v>59801</v>
      </c>
      <c r="AO211" s="256">
        <f t="shared" si="88"/>
        <v>-250</v>
      </c>
      <c r="AP211" s="256"/>
      <c r="AQ211" s="256">
        <f>11950</f>
        <v>11950</v>
      </c>
      <c r="AR211" s="256"/>
      <c r="AS211" s="256"/>
      <c r="AT211" s="256">
        <v>-12200</v>
      </c>
      <c r="AU211" s="256"/>
      <c r="AV211" s="256"/>
      <c r="AW211" s="256"/>
      <c r="AX211" s="256"/>
      <c r="AY211" s="256"/>
      <c r="AZ211" s="255"/>
      <c r="BA211" s="257"/>
      <c r="BB211" s="256"/>
      <c r="BC211" s="256"/>
      <c r="BD211" s="256"/>
      <c r="BE211" s="256"/>
      <c r="BF211" s="256"/>
      <c r="BG211" s="256"/>
      <c r="BH211" s="258" t="s">
        <v>463</v>
      </c>
      <c r="BI211" s="259"/>
    </row>
    <row r="212" spans="1:61" ht="12.75" x14ac:dyDescent="0.2">
      <c r="A212" s="263"/>
      <c r="B212" s="264"/>
      <c r="C212" s="265"/>
      <c r="D212" s="266"/>
      <c r="E212" s="253" t="s">
        <v>346</v>
      </c>
      <c r="F212" s="254">
        <v>67312</v>
      </c>
      <c r="G212" s="255">
        <f t="shared" si="91"/>
        <v>69133</v>
      </c>
      <c r="H212" s="254">
        <f>50582</f>
        <v>50582</v>
      </c>
      <c r="I212" s="255">
        <f t="shared" si="93"/>
        <v>50582</v>
      </c>
      <c r="J212" s="255">
        <f t="shared" ref="J212:J223" si="96">SUM(K212:AC212)</f>
        <v>0</v>
      </c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>
        <f>16730</f>
        <v>16730</v>
      </c>
      <c r="AE212" s="255">
        <f t="shared" si="92"/>
        <v>18551</v>
      </c>
      <c r="AF212" s="255">
        <f t="shared" si="87"/>
        <v>1821</v>
      </c>
      <c r="AG212" s="255">
        <v>1821</v>
      </c>
      <c r="AH212" s="255"/>
      <c r="AI212" s="255"/>
      <c r="AJ212" s="255"/>
      <c r="AK212" s="255"/>
      <c r="AL212" s="255"/>
      <c r="AM212" s="255"/>
      <c r="AN212" s="255">
        <f t="shared" si="90"/>
        <v>0</v>
      </c>
      <c r="AO212" s="256">
        <f t="shared" si="88"/>
        <v>0</v>
      </c>
      <c r="AP212" s="256"/>
      <c r="AQ212" s="256"/>
      <c r="AR212" s="256"/>
      <c r="AS212" s="256"/>
      <c r="AT212" s="256"/>
      <c r="AU212" s="256"/>
      <c r="AV212" s="256"/>
      <c r="AW212" s="256"/>
      <c r="AX212" s="256"/>
      <c r="AY212" s="256"/>
      <c r="AZ212" s="255"/>
      <c r="BA212" s="257"/>
      <c r="BB212" s="256"/>
      <c r="BC212" s="256"/>
      <c r="BD212" s="256"/>
      <c r="BE212" s="256"/>
      <c r="BF212" s="256"/>
      <c r="BG212" s="256"/>
      <c r="BH212" s="258" t="s">
        <v>464</v>
      </c>
      <c r="BI212" s="259"/>
    </row>
    <row r="213" spans="1:61" ht="36.75" customHeight="1" x14ac:dyDescent="0.2">
      <c r="A213" s="263">
        <v>90000051612</v>
      </c>
      <c r="B213" s="264"/>
      <c r="C213" s="413" t="s">
        <v>264</v>
      </c>
      <c r="D213" s="414"/>
      <c r="E213" s="253" t="s">
        <v>308</v>
      </c>
      <c r="F213" s="254">
        <v>611616</v>
      </c>
      <c r="G213" s="255">
        <f t="shared" si="91"/>
        <v>620533</v>
      </c>
      <c r="H213" s="254">
        <f>301265</f>
        <v>301265</v>
      </c>
      <c r="I213" s="255">
        <f t="shared" si="93"/>
        <v>303643</v>
      </c>
      <c r="J213" s="255">
        <f t="shared" si="96"/>
        <v>2378</v>
      </c>
      <c r="K213" s="255"/>
      <c r="L213" s="255"/>
      <c r="M213" s="255"/>
      <c r="N213" s="255"/>
      <c r="O213" s="255"/>
      <c r="P213" s="255">
        <f>1135</f>
        <v>1135</v>
      </c>
      <c r="Q213" s="255"/>
      <c r="R213" s="255"/>
      <c r="S213" s="255"/>
      <c r="T213" s="255"/>
      <c r="U213" s="255"/>
      <c r="V213" s="255">
        <v>1243</v>
      </c>
      <c r="W213" s="255"/>
      <c r="X213" s="255"/>
      <c r="Y213" s="255"/>
      <c r="Z213" s="255"/>
      <c r="AA213" s="255"/>
      <c r="AB213" s="255"/>
      <c r="AC213" s="255"/>
      <c r="AD213" s="255">
        <f>305054</f>
        <v>305054</v>
      </c>
      <c r="AE213" s="255">
        <f t="shared" si="92"/>
        <v>311126</v>
      </c>
      <c r="AF213" s="255">
        <f t="shared" si="87"/>
        <v>6072</v>
      </c>
      <c r="AG213" s="255"/>
      <c r="AH213" s="255">
        <f>6072</f>
        <v>6072</v>
      </c>
      <c r="AI213" s="255"/>
      <c r="AJ213" s="255"/>
      <c r="AK213" s="255"/>
      <c r="AL213" s="255"/>
      <c r="AM213" s="255">
        <f>5297</f>
        <v>5297</v>
      </c>
      <c r="AN213" s="255">
        <f t="shared" si="90"/>
        <v>5764</v>
      </c>
      <c r="AO213" s="256">
        <f t="shared" si="88"/>
        <v>467</v>
      </c>
      <c r="AP213" s="256"/>
      <c r="AQ213" s="256"/>
      <c r="AR213" s="256">
        <v>467</v>
      </c>
      <c r="AS213" s="256"/>
      <c r="AT213" s="256"/>
      <c r="AU213" s="256"/>
      <c r="AV213" s="256"/>
      <c r="AW213" s="256"/>
      <c r="AX213" s="256"/>
      <c r="AY213" s="256"/>
      <c r="AZ213" s="255"/>
      <c r="BA213" s="257"/>
      <c r="BB213" s="256"/>
      <c r="BC213" s="256"/>
      <c r="BD213" s="256"/>
      <c r="BE213" s="256"/>
      <c r="BF213" s="256"/>
      <c r="BG213" s="256"/>
      <c r="BH213" s="258" t="s">
        <v>465</v>
      </c>
      <c r="BI213" s="259"/>
    </row>
    <row r="214" spans="1:61" ht="12.75" x14ac:dyDescent="0.2">
      <c r="A214" s="263"/>
      <c r="B214" s="264"/>
      <c r="C214" s="265"/>
      <c r="D214" s="266"/>
      <c r="E214" s="253" t="s">
        <v>346</v>
      </c>
      <c r="F214" s="254">
        <v>81435</v>
      </c>
      <c r="G214" s="255">
        <f t="shared" si="91"/>
        <v>91971</v>
      </c>
      <c r="H214" s="254">
        <f>54908</f>
        <v>54908</v>
      </c>
      <c r="I214" s="255">
        <f t="shared" si="93"/>
        <v>54908</v>
      </c>
      <c r="J214" s="255">
        <f t="shared" si="96"/>
        <v>0</v>
      </c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>
        <f>26527</f>
        <v>26527</v>
      </c>
      <c r="AE214" s="255">
        <f t="shared" si="92"/>
        <v>37063</v>
      </c>
      <c r="AF214" s="255">
        <f t="shared" si="87"/>
        <v>10536</v>
      </c>
      <c r="AG214" s="255"/>
      <c r="AH214" s="255">
        <f>10536</f>
        <v>10536</v>
      </c>
      <c r="AI214" s="255"/>
      <c r="AJ214" s="255"/>
      <c r="AK214" s="255"/>
      <c r="AL214" s="255"/>
      <c r="AM214" s="255"/>
      <c r="AN214" s="255">
        <f t="shared" si="90"/>
        <v>0</v>
      </c>
      <c r="AO214" s="256">
        <f t="shared" si="88"/>
        <v>0</v>
      </c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5"/>
      <c r="BA214" s="257"/>
      <c r="BB214" s="256"/>
      <c r="BC214" s="256"/>
      <c r="BD214" s="256"/>
      <c r="BE214" s="256"/>
      <c r="BF214" s="256"/>
      <c r="BG214" s="256"/>
      <c r="BH214" s="258" t="s">
        <v>466</v>
      </c>
      <c r="BI214" s="259"/>
    </row>
    <row r="215" spans="1:61" ht="36" customHeight="1" x14ac:dyDescent="0.2">
      <c r="A215" s="263">
        <v>90009251342</v>
      </c>
      <c r="B215" s="264"/>
      <c r="C215" s="413" t="s">
        <v>348</v>
      </c>
      <c r="D215" s="414"/>
      <c r="E215" s="253" t="s">
        <v>308</v>
      </c>
      <c r="F215" s="254">
        <v>710154</v>
      </c>
      <c r="G215" s="255">
        <f t="shared" si="91"/>
        <v>721573</v>
      </c>
      <c r="H215" s="254">
        <f>44897</f>
        <v>44897</v>
      </c>
      <c r="I215" s="255">
        <f t="shared" si="93"/>
        <v>44897</v>
      </c>
      <c r="J215" s="255">
        <f t="shared" si="96"/>
        <v>0</v>
      </c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>
        <f>652571</f>
        <v>652571</v>
      </c>
      <c r="AE215" s="255">
        <f t="shared" si="92"/>
        <v>662185</v>
      </c>
      <c r="AF215" s="255">
        <f t="shared" si="87"/>
        <v>9614</v>
      </c>
      <c r="AG215" s="255"/>
      <c r="AH215" s="255"/>
      <c r="AI215" s="255"/>
      <c r="AJ215" s="255">
        <v>9614</v>
      </c>
      <c r="AK215" s="255"/>
      <c r="AL215" s="255"/>
      <c r="AM215" s="255">
        <f>12686</f>
        <v>12686</v>
      </c>
      <c r="AN215" s="255">
        <f t="shared" si="90"/>
        <v>14491</v>
      </c>
      <c r="AO215" s="256">
        <f t="shared" si="88"/>
        <v>1805</v>
      </c>
      <c r="AP215" s="256"/>
      <c r="AQ215" s="256">
        <f>1805</f>
        <v>1805</v>
      </c>
      <c r="AR215" s="256"/>
      <c r="AS215" s="256"/>
      <c r="AT215" s="256"/>
      <c r="AU215" s="256"/>
      <c r="AV215" s="256"/>
      <c r="AW215" s="256"/>
      <c r="AX215" s="256"/>
      <c r="AY215" s="256"/>
      <c r="AZ215" s="255"/>
      <c r="BA215" s="257"/>
      <c r="BB215" s="256"/>
      <c r="BC215" s="256"/>
      <c r="BD215" s="256"/>
      <c r="BE215" s="256"/>
      <c r="BF215" s="256"/>
      <c r="BG215" s="256"/>
      <c r="BH215" s="258" t="s">
        <v>467</v>
      </c>
      <c r="BI215" s="259"/>
    </row>
    <row r="216" spans="1:61" ht="41.25" customHeight="1" x14ac:dyDescent="0.2">
      <c r="A216" s="263">
        <v>90009249367</v>
      </c>
      <c r="B216" s="264"/>
      <c r="C216" s="413" t="s">
        <v>686</v>
      </c>
      <c r="D216" s="414"/>
      <c r="E216" s="253" t="s">
        <v>349</v>
      </c>
      <c r="F216" s="254">
        <v>527928</v>
      </c>
      <c r="G216" s="255">
        <f t="shared" si="91"/>
        <v>548981</v>
      </c>
      <c r="H216" s="254">
        <f>316654</f>
        <v>316654</v>
      </c>
      <c r="I216" s="255">
        <f t="shared" si="93"/>
        <v>320681</v>
      </c>
      <c r="J216" s="255">
        <f t="shared" si="96"/>
        <v>4027</v>
      </c>
      <c r="K216" s="255"/>
      <c r="L216" s="255"/>
      <c r="M216" s="255"/>
      <c r="N216" s="255"/>
      <c r="O216" s="255"/>
      <c r="P216" s="313">
        <v>-13088</v>
      </c>
      <c r="Q216" s="255"/>
      <c r="R216" s="255"/>
      <c r="S216" s="255"/>
      <c r="T216" s="255">
        <v>3605</v>
      </c>
      <c r="U216" s="255"/>
      <c r="V216" s="255">
        <v>13510</v>
      </c>
      <c r="W216" s="255"/>
      <c r="X216" s="255"/>
      <c r="Y216" s="255"/>
      <c r="Z216" s="255"/>
      <c r="AA216" s="255"/>
      <c r="AB216" s="255"/>
      <c r="AC216" s="255"/>
      <c r="AD216" s="255">
        <f>205785</f>
        <v>205785</v>
      </c>
      <c r="AE216" s="255">
        <f t="shared" si="92"/>
        <v>208488</v>
      </c>
      <c r="AF216" s="255">
        <f t="shared" si="87"/>
        <v>2703</v>
      </c>
      <c r="AG216" s="255"/>
      <c r="AH216" s="255"/>
      <c r="AI216" s="255"/>
      <c r="AJ216" s="255">
        <v>2703</v>
      </c>
      <c r="AK216" s="255"/>
      <c r="AL216" s="255"/>
      <c r="AM216" s="255">
        <f>5489</f>
        <v>5489</v>
      </c>
      <c r="AN216" s="255">
        <f t="shared" si="90"/>
        <v>19812</v>
      </c>
      <c r="AO216" s="256">
        <f t="shared" si="88"/>
        <v>14323</v>
      </c>
      <c r="AP216" s="256"/>
      <c r="AQ216" s="256"/>
      <c r="AR216" s="256">
        <f>14323</f>
        <v>14323</v>
      </c>
      <c r="AS216" s="256"/>
      <c r="AT216" s="256"/>
      <c r="AU216" s="256"/>
      <c r="AV216" s="256"/>
      <c r="AW216" s="256"/>
      <c r="AX216" s="256"/>
      <c r="AY216" s="256"/>
      <c r="AZ216" s="255"/>
      <c r="BA216" s="257"/>
      <c r="BB216" s="256"/>
      <c r="BC216" s="256"/>
      <c r="BD216" s="256"/>
      <c r="BE216" s="256"/>
      <c r="BF216" s="256"/>
      <c r="BG216" s="256"/>
      <c r="BH216" s="258" t="s">
        <v>468</v>
      </c>
      <c r="BI216" s="259"/>
    </row>
    <row r="217" spans="1:61" ht="12.75" x14ac:dyDescent="0.2">
      <c r="A217" s="263"/>
      <c r="B217" s="264"/>
      <c r="C217" s="265"/>
      <c r="D217" s="266"/>
      <c r="E217" s="253" t="s">
        <v>531</v>
      </c>
      <c r="F217" s="254">
        <v>210310</v>
      </c>
      <c r="G217" s="255">
        <f t="shared" si="91"/>
        <v>207715</v>
      </c>
      <c r="H217" s="254">
        <f>198310</f>
        <v>198310</v>
      </c>
      <c r="I217" s="255">
        <f t="shared" si="93"/>
        <v>195715</v>
      </c>
      <c r="J217" s="255">
        <f t="shared" si="96"/>
        <v>-2595</v>
      </c>
      <c r="K217" s="255"/>
      <c r="L217" s="255"/>
      <c r="M217" s="255"/>
      <c r="N217" s="255"/>
      <c r="O217" s="255"/>
      <c r="P217" s="313">
        <v>1010</v>
      </c>
      <c r="Q217" s="255"/>
      <c r="R217" s="255"/>
      <c r="S217" s="255"/>
      <c r="T217" s="255">
        <v>-3605</v>
      </c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>
        <f>12000</f>
        <v>12000</v>
      </c>
      <c r="AN217" s="255">
        <f t="shared" si="90"/>
        <v>12000</v>
      </c>
      <c r="AO217" s="256">
        <f t="shared" si="88"/>
        <v>0</v>
      </c>
      <c r="AP217" s="256"/>
      <c r="AQ217" s="256"/>
      <c r="AR217" s="256"/>
      <c r="AS217" s="256"/>
      <c r="AT217" s="256"/>
      <c r="AU217" s="256"/>
      <c r="AV217" s="256"/>
      <c r="AW217" s="256"/>
      <c r="AX217" s="256"/>
      <c r="AY217" s="256"/>
      <c r="AZ217" s="255"/>
      <c r="BA217" s="257"/>
      <c r="BB217" s="256"/>
      <c r="BC217" s="256"/>
      <c r="BD217" s="256"/>
      <c r="BE217" s="256"/>
      <c r="BF217" s="256"/>
      <c r="BG217" s="256"/>
      <c r="BH217" s="258" t="s">
        <v>469</v>
      </c>
      <c r="BI217" s="259" t="s">
        <v>672</v>
      </c>
    </row>
    <row r="218" spans="1:61" ht="38.25" customHeight="1" x14ac:dyDescent="0.2">
      <c r="A218" s="263">
        <v>90000783949</v>
      </c>
      <c r="B218" s="264"/>
      <c r="C218" s="413" t="s">
        <v>20</v>
      </c>
      <c r="D218" s="414"/>
      <c r="E218" s="253" t="s">
        <v>308</v>
      </c>
      <c r="F218" s="254">
        <v>502205</v>
      </c>
      <c r="G218" s="255">
        <f t="shared" si="91"/>
        <v>538055</v>
      </c>
      <c r="H218" s="254">
        <f>267395</f>
        <v>267395</v>
      </c>
      <c r="I218" s="255">
        <f t="shared" si="93"/>
        <v>279784</v>
      </c>
      <c r="J218" s="255">
        <f t="shared" si="96"/>
        <v>12389</v>
      </c>
      <c r="K218" s="255"/>
      <c r="L218" s="255"/>
      <c r="M218" s="255"/>
      <c r="N218" s="255">
        <v>4491</v>
      </c>
      <c r="O218" s="255"/>
      <c r="P218" s="255"/>
      <c r="Q218" s="255"/>
      <c r="R218" s="255"/>
      <c r="S218" s="255"/>
      <c r="T218" s="255"/>
      <c r="U218" s="255"/>
      <c r="V218" s="255">
        <f>185+7713</f>
        <v>7898</v>
      </c>
      <c r="W218" s="255"/>
      <c r="X218" s="255"/>
      <c r="Y218" s="255"/>
      <c r="Z218" s="255"/>
      <c r="AA218" s="255"/>
      <c r="AB218" s="255"/>
      <c r="AC218" s="255"/>
      <c r="AD218" s="255">
        <f>228537</f>
        <v>228537</v>
      </c>
      <c r="AE218" s="255">
        <f>AD218+AF218</f>
        <v>248725</v>
      </c>
      <c r="AF218" s="255">
        <f>SUM(AG218:AL218)</f>
        <v>20188</v>
      </c>
      <c r="AG218" s="255">
        <f>16845+3150+59+134</f>
        <v>20188</v>
      </c>
      <c r="AH218" s="255"/>
      <c r="AI218" s="255"/>
      <c r="AJ218" s="255"/>
      <c r="AK218" s="255"/>
      <c r="AL218" s="255"/>
      <c r="AM218" s="255">
        <f>6232</f>
        <v>6232</v>
      </c>
      <c r="AN218" s="255">
        <f t="shared" si="90"/>
        <v>9502</v>
      </c>
      <c r="AO218" s="256">
        <f>SUM(AP218:AW218)</f>
        <v>3270</v>
      </c>
      <c r="AP218" s="256"/>
      <c r="AQ218" s="256">
        <f>3270</f>
        <v>3270</v>
      </c>
      <c r="AR218" s="256"/>
      <c r="AS218" s="256"/>
      <c r="AT218" s="256"/>
      <c r="AU218" s="256"/>
      <c r="AV218" s="256"/>
      <c r="AW218" s="256"/>
      <c r="AX218" s="256"/>
      <c r="AY218" s="256">
        <f>41</f>
        <v>41</v>
      </c>
      <c r="AZ218" s="255">
        <f>BA218+AY218</f>
        <v>44</v>
      </c>
      <c r="BA218" s="257">
        <f>SUM(BB218:BG218)</f>
        <v>3</v>
      </c>
      <c r="BB218" s="256">
        <v>3</v>
      </c>
      <c r="BC218" s="256"/>
      <c r="BD218" s="256"/>
      <c r="BE218" s="256"/>
      <c r="BF218" s="256"/>
      <c r="BG218" s="256"/>
      <c r="BH218" s="258" t="s">
        <v>470</v>
      </c>
      <c r="BI218" s="259"/>
    </row>
    <row r="219" spans="1:61" ht="12.75" x14ac:dyDescent="0.2">
      <c r="A219" s="263"/>
      <c r="B219" s="264"/>
      <c r="C219" s="265"/>
      <c r="D219" s="266"/>
      <c r="E219" s="253" t="s">
        <v>346</v>
      </c>
      <c r="F219" s="254">
        <v>49094</v>
      </c>
      <c r="G219" s="255">
        <f t="shared" si="91"/>
        <v>52265</v>
      </c>
      <c r="H219" s="254">
        <f>35980</f>
        <v>35980</v>
      </c>
      <c r="I219" s="255">
        <f t="shared" si="93"/>
        <v>35980</v>
      </c>
      <c r="J219" s="255">
        <f t="shared" si="96"/>
        <v>0</v>
      </c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>
        <f>13114</f>
        <v>13114</v>
      </c>
      <c r="AE219" s="255">
        <f>AD219+AF219</f>
        <v>16285</v>
      </c>
      <c r="AF219" s="255">
        <f>SUM(AG219:AL219)</f>
        <v>3171</v>
      </c>
      <c r="AG219" s="255">
        <v>3171</v>
      </c>
      <c r="AH219" s="255"/>
      <c r="AI219" s="255"/>
      <c r="AJ219" s="255"/>
      <c r="AK219" s="255"/>
      <c r="AL219" s="255"/>
      <c r="AM219" s="255"/>
      <c r="AN219" s="255">
        <f t="shared" si="90"/>
        <v>0</v>
      </c>
      <c r="AO219" s="256">
        <f>SUM(AP219:AW219)</f>
        <v>0</v>
      </c>
      <c r="AP219" s="256"/>
      <c r="AQ219" s="256"/>
      <c r="AR219" s="256"/>
      <c r="AS219" s="256"/>
      <c r="AT219" s="256"/>
      <c r="AU219" s="256"/>
      <c r="AV219" s="256"/>
      <c r="AW219" s="256"/>
      <c r="AX219" s="256"/>
      <c r="AY219" s="256"/>
      <c r="AZ219" s="255"/>
      <c r="BA219" s="257"/>
      <c r="BB219" s="256"/>
      <c r="BC219" s="256"/>
      <c r="BD219" s="256"/>
      <c r="BE219" s="256"/>
      <c r="BF219" s="256"/>
      <c r="BG219" s="256"/>
      <c r="BH219" s="258" t="s">
        <v>471</v>
      </c>
      <c r="BI219" s="259"/>
    </row>
    <row r="220" spans="1:61" ht="60" x14ac:dyDescent="0.2">
      <c r="A220" s="263"/>
      <c r="B220" s="264"/>
      <c r="C220" s="265"/>
      <c r="D220" s="266"/>
      <c r="E220" s="253" t="s">
        <v>715</v>
      </c>
      <c r="F220" s="254"/>
      <c r="G220" s="255">
        <f t="shared" si="91"/>
        <v>7491</v>
      </c>
      <c r="H220" s="254"/>
      <c r="I220" s="255">
        <f t="shared" si="93"/>
        <v>7491</v>
      </c>
      <c r="J220" s="255">
        <f t="shared" si="96"/>
        <v>7491</v>
      </c>
      <c r="K220" s="255"/>
      <c r="L220" s="255"/>
      <c r="M220" s="255">
        <v>7491</v>
      </c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>
        <f t="shared" si="90"/>
        <v>0</v>
      </c>
      <c r="AO220" s="256">
        <f t="shared" si="88"/>
        <v>0</v>
      </c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5"/>
      <c r="BA220" s="257"/>
      <c r="BB220" s="256"/>
      <c r="BC220" s="256"/>
      <c r="BD220" s="256"/>
      <c r="BE220" s="256"/>
      <c r="BF220" s="256"/>
      <c r="BG220" s="256"/>
      <c r="BH220" s="258" t="s">
        <v>716</v>
      </c>
      <c r="BI220" s="259"/>
    </row>
    <row r="221" spans="1:61" ht="36.75" customHeight="1" x14ac:dyDescent="0.2">
      <c r="A221" s="263">
        <v>90000051646</v>
      </c>
      <c r="B221" s="264"/>
      <c r="C221" s="413" t="s">
        <v>198</v>
      </c>
      <c r="D221" s="414"/>
      <c r="E221" s="253" t="s">
        <v>308</v>
      </c>
      <c r="F221" s="254">
        <v>369374</v>
      </c>
      <c r="G221" s="255">
        <f t="shared" si="91"/>
        <v>375124</v>
      </c>
      <c r="H221" s="254">
        <f>86506</f>
        <v>86506</v>
      </c>
      <c r="I221" s="255">
        <f>H221+J221</f>
        <v>86506</v>
      </c>
      <c r="J221" s="255">
        <f t="shared" si="96"/>
        <v>0</v>
      </c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>
        <f>282868</f>
        <v>282868</v>
      </c>
      <c r="AE221" s="255">
        <f>AD221+AF221</f>
        <v>288618</v>
      </c>
      <c r="AF221" s="255">
        <f>SUM(AG221:AL221)</f>
        <v>5750</v>
      </c>
      <c r="AG221" s="255"/>
      <c r="AH221" s="255">
        <f>5750</f>
        <v>5750</v>
      </c>
      <c r="AI221" s="255"/>
      <c r="AJ221" s="255"/>
      <c r="AK221" s="255"/>
      <c r="AL221" s="255"/>
      <c r="AM221" s="255"/>
      <c r="AN221" s="255">
        <f t="shared" si="90"/>
        <v>0</v>
      </c>
      <c r="AO221" s="256">
        <f t="shared" si="88"/>
        <v>0</v>
      </c>
      <c r="AP221" s="256"/>
      <c r="AQ221" s="256"/>
      <c r="AR221" s="256"/>
      <c r="AS221" s="256"/>
      <c r="AT221" s="256"/>
      <c r="AU221" s="256"/>
      <c r="AV221" s="256"/>
      <c r="AW221" s="256"/>
      <c r="AX221" s="256"/>
      <c r="AY221" s="256"/>
      <c r="AZ221" s="255"/>
      <c r="BA221" s="257"/>
      <c r="BB221" s="256"/>
      <c r="BC221" s="256"/>
      <c r="BD221" s="256"/>
      <c r="BE221" s="256"/>
      <c r="BF221" s="256"/>
      <c r="BG221" s="256"/>
      <c r="BH221" s="258" t="s">
        <v>472</v>
      </c>
      <c r="BI221" s="259"/>
    </row>
    <row r="222" spans="1:61" ht="12.75" x14ac:dyDescent="0.2">
      <c r="A222" s="263"/>
      <c r="B222" s="264"/>
      <c r="C222" s="265"/>
      <c r="D222" s="266"/>
      <c r="E222" s="253" t="s">
        <v>346</v>
      </c>
      <c r="F222" s="254">
        <v>78810</v>
      </c>
      <c r="G222" s="255">
        <f t="shared" si="91"/>
        <v>78810</v>
      </c>
      <c r="H222" s="254">
        <f>78810</f>
        <v>78810</v>
      </c>
      <c r="I222" s="255">
        <f t="shared" si="93"/>
        <v>78810</v>
      </c>
      <c r="J222" s="255">
        <f t="shared" si="96"/>
        <v>0</v>
      </c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>
        <f t="shared" si="90"/>
        <v>0</v>
      </c>
      <c r="AO222" s="256">
        <f t="shared" si="88"/>
        <v>0</v>
      </c>
      <c r="AP222" s="256"/>
      <c r="AQ222" s="256"/>
      <c r="AR222" s="256"/>
      <c r="AS222" s="256"/>
      <c r="AT222" s="256"/>
      <c r="AU222" s="256"/>
      <c r="AV222" s="256"/>
      <c r="AW222" s="256"/>
      <c r="AX222" s="256"/>
      <c r="AY222" s="256"/>
      <c r="AZ222" s="255"/>
      <c r="BA222" s="257"/>
      <c r="BB222" s="256"/>
      <c r="BC222" s="256"/>
      <c r="BD222" s="256"/>
      <c r="BE222" s="256"/>
      <c r="BF222" s="256"/>
      <c r="BG222" s="256"/>
      <c r="BH222" s="258" t="s">
        <v>473</v>
      </c>
      <c r="BI222" s="259"/>
    </row>
    <row r="223" spans="1:61" ht="12.75" customHeight="1" x14ac:dyDescent="0.2">
      <c r="A223" s="263">
        <v>40008006745</v>
      </c>
      <c r="B223" s="264"/>
      <c r="C223" s="413" t="s">
        <v>362</v>
      </c>
      <c r="D223" s="414"/>
      <c r="E223" s="253" t="s">
        <v>346</v>
      </c>
      <c r="F223" s="254">
        <v>17262</v>
      </c>
      <c r="G223" s="255">
        <f t="shared" si="91"/>
        <v>21444</v>
      </c>
      <c r="H223" s="254">
        <v>0</v>
      </c>
      <c r="I223" s="255">
        <f t="shared" si="93"/>
        <v>0</v>
      </c>
      <c r="J223" s="255">
        <f t="shared" si="96"/>
        <v>0</v>
      </c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>
        <f>17262</f>
        <v>17262</v>
      </c>
      <c r="AE223" s="255">
        <f>AD223+AF223</f>
        <v>21444</v>
      </c>
      <c r="AF223" s="255">
        <f>SUM(AG223:AL223)</f>
        <v>4182</v>
      </c>
      <c r="AG223" s="255">
        <f>4182</f>
        <v>4182</v>
      </c>
      <c r="AH223" s="255"/>
      <c r="AI223" s="255"/>
      <c r="AJ223" s="255"/>
      <c r="AK223" s="255"/>
      <c r="AL223" s="255"/>
      <c r="AM223" s="255"/>
      <c r="AN223" s="255">
        <f t="shared" si="90"/>
        <v>0</v>
      </c>
      <c r="AO223" s="256">
        <f t="shared" si="88"/>
        <v>0</v>
      </c>
      <c r="AP223" s="256"/>
      <c r="AQ223" s="256"/>
      <c r="AR223" s="256"/>
      <c r="AS223" s="256"/>
      <c r="AT223" s="256"/>
      <c r="AU223" s="256"/>
      <c r="AV223" s="256"/>
      <c r="AW223" s="256"/>
      <c r="AX223" s="256"/>
      <c r="AY223" s="256"/>
      <c r="AZ223" s="255"/>
      <c r="BA223" s="257"/>
      <c r="BB223" s="256"/>
      <c r="BC223" s="256"/>
      <c r="BD223" s="256"/>
      <c r="BE223" s="256"/>
      <c r="BF223" s="256"/>
      <c r="BG223" s="256"/>
      <c r="BH223" s="258" t="s">
        <v>474</v>
      </c>
      <c r="BI223" s="259"/>
    </row>
    <row r="224" spans="1:61" ht="36.75" customHeight="1" x14ac:dyDescent="0.2">
      <c r="A224" s="263">
        <v>40003426429</v>
      </c>
      <c r="B224" s="317"/>
      <c r="C224" s="424" t="s">
        <v>718</v>
      </c>
      <c r="D224" s="425"/>
      <c r="E224" s="253" t="s">
        <v>720</v>
      </c>
      <c r="F224" s="254">
        <v>104184</v>
      </c>
      <c r="G224" s="255">
        <f t="shared" si="91"/>
        <v>0</v>
      </c>
      <c r="H224" s="254">
        <f>SUM(H225:H227)</f>
        <v>104184</v>
      </c>
      <c r="I224" s="255">
        <f>H224+J224</f>
        <v>0</v>
      </c>
      <c r="J224" s="255">
        <f>SUM(K224:AC224)</f>
        <v>-104184</v>
      </c>
      <c r="K224" s="255"/>
      <c r="L224" s="255"/>
      <c r="M224" s="255">
        <f>SUM(M225:M227)</f>
        <v>-104184</v>
      </c>
      <c r="N224" s="255">
        <f t="shared" ref="N224:AC224" si="97">SUM(N225:N227)</f>
        <v>0</v>
      </c>
      <c r="O224" s="255">
        <f t="shared" si="97"/>
        <v>0</v>
      </c>
      <c r="P224" s="255">
        <f t="shared" si="97"/>
        <v>0</v>
      </c>
      <c r="Q224" s="255">
        <f t="shared" si="97"/>
        <v>0</v>
      </c>
      <c r="R224" s="255">
        <f t="shared" si="97"/>
        <v>0</v>
      </c>
      <c r="S224" s="255">
        <f t="shared" si="97"/>
        <v>0</v>
      </c>
      <c r="T224" s="255">
        <f>SUM(T225:T227)</f>
        <v>0</v>
      </c>
      <c r="U224" s="255">
        <f>SUM(U225:U227)</f>
        <v>0</v>
      </c>
      <c r="V224" s="255">
        <f t="shared" ref="V224:AA224" si="98">SUM(V225:V227)</f>
        <v>0</v>
      </c>
      <c r="W224" s="255">
        <f t="shared" si="98"/>
        <v>0</v>
      </c>
      <c r="X224" s="255">
        <f t="shared" si="98"/>
        <v>0</v>
      </c>
      <c r="Y224" s="255">
        <f t="shared" si="98"/>
        <v>0</v>
      </c>
      <c r="Z224" s="255">
        <f t="shared" si="98"/>
        <v>0</v>
      </c>
      <c r="AA224" s="255">
        <f t="shared" si="98"/>
        <v>0</v>
      </c>
      <c r="AB224" s="255">
        <f>SUM(AB225:AB227)</f>
        <v>0</v>
      </c>
      <c r="AC224" s="255">
        <f t="shared" si="97"/>
        <v>0</v>
      </c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6">
        <f t="shared" si="88"/>
        <v>0</v>
      </c>
      <c r="AP224" s="256"/>
      <c r="AQ224" s="256"/>
      <c r="AR224" s="256"/>
      <c r="AS224" s="256"/>
      <c r="AT224" s="256"/>
      <c r="AU224" s="256"/>
      <c r="AV224" s="256"/>
      <c r="AW224" s="256"/>
      <c r="AX224" s="256"/>
      <c r="AY224" s="256"/>
      <c r="AZ224" s="255"/>
      <c r="BA224" s="257"/>
      <c r="BB224" s="256"/>
      <c r="BC224" s="256"/>
      <c r="BD224" s="256"/>
      <c r="BE224" s="256"/>
      <c r="BF224" s="256"/>
      <c r="BG224" s="256"/>
      <c r="BH224" s="258"/>
      <c r="BI224" s="259"/>
    </row>
    <row r="225" spans="1:61" ht="24" x14ac:dyDescent="0.2">
      <c r="A225" s="263"/>
      <c r="B225" s="264"/>
      <c r="C225" s="265"/>
      <c r="D225" s="266"/>
      <c r="E225" s="337" t="s">
        <v>721</v>
      </c>
      <c r="F225" s="254">
        <v>34410</v>
      </c>
      <c r="G225" s="255">
        <f t="shared" si="91"/>
        <v>0</v>
      </c>
      <c r="H225" s="254">
        <f>34410</f>
        <v>34410</v>
      </c>
      <c r="I225" s="255">
        <f>H225+J225</f>
        <v>0</v>
      </c>
      <c r="J225" s="255">
        <f>SUM(K225:AC225)</f>
        <v>-34410</v>
      </c>
      <c r="K225" s="255"/>
      <c r="L225" s="255"/>
      <c r="M225" s="255">
        <v>-34410</v>
      </c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6">
        <f t="shared" si="88"/>
        <v>0</v>
      </c>
      <c r="AP225" s="256"/>
      <c r="AQ225" s="256"/>
      <c r="AR225" s="256"/>
      <c r="AS225" s="256"/>
      <c r="AT225" s="256"/>
      <c r="AU225" s="256"/>
      <c r="AV225" s="256"/>
      <c r="AW225" s="256"/>
      <c r="AX225" s="256"/>
      <c r="AY225" s="256"/>
      <c r="AZ225" s="255"/>
      <c r="BA225" s="257"/>
      <c r="BB225" s="256"/>
      <c r="BC225" s="256"/>
      <c r="BD225" s="256"/>
      <c r="BE225" s="256"/>
      <c r="BF225" s="256"/>
      <c r="BG225" s="256"/>
      <c r="BH225" s="258"/>
      <c r="BI225" s="259"/>
    </row>
    <row r="226" spans="1:61" ht="36" x14ac:dyDescent="0.2">
      <c r="A226" s="263"/>
      <c r="B226" s="264"/>
      <c r="C226" s="265"/>
      <c r="D226" s="266"/>
      <c r="E226" s="337" t="s">
        <v>722</v>
      </c>
      <c r="F226" s="254">
        <v>6744</v>
      </c>
      <c r="G226" s="255">
        <f t="shared" si="91"/>
        <v>0</v>
      </c>
      <c r="H226" s="254">
        <f>6744</f>
        <v>6744</v>
      </c>
      <c r="I226" s="255">
        <f>H226+J226</f>
        <v>0</v>
      </c>
      <c r="J226" s="255">
        <f>SUM(K226:AC226)</f>
        <v>-6744</v>
      </c>
      <c r="K226" s="255"/>
      <c r="L226" s="255"/>
      <c r="M226" s="255">
        <v>-6744</v>
      </c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6">
        <f t="shared" si="88"/>
        <v>0</v>
      </c>
      <c r="AP226" s="256"/>
      <c r="AQ226" s="256"/>
      <c r="AR226" s="256"/>
      <c r="AS226" s="256"/>
      <c r="AT226" s="256"/>
      <c r="AU226" s="256"/>
      <c r="AV226" s="256"/>
      <c r="AW226" s="256"/>
      <c r="AX226" s="256"/>
      <c r="AY226" s="256"/>
      <c r="AZ226" s="255"/>
      <c r="BA226" s="257"/>
      <c r="BB226" s="256"/>
      <c r="BC226" s="256"/>
      <c r="BD226" s="256"/>
      <c r="BE226" s="256"/>
      <c r="BF226" s="256"/>
      <c r="BG226" s="256"/>
      <c r="BH226" s="258"/>
      <c r="BI226" s="259"/>
    </row>
    <row r="227" spans="1:61" ht="24" x14ac:dyDescent="0.2">
      <c r="A227" s="263"/>
      <c r="B227" s="264"/>
      <c r="C227" s="265"/>
      <c r="D227" s="266"/>
      <c r="E227" s="337" t="s">
        <v>723</v>
      </c>
      <c r="F227" s="254">
        <v>63030</v>
      </c>
      <c r="G227" s="255">
        <f t="shared" si="91"/>
        <v>0</v>
      </c>
      <c r="H227" s="254">
        <f>63030</f>
        <v>63030</v>
      </c>
      <c r="I227" s="255">
        <f>H227+J227</f>
        <v>0</v>
      </c>
      <c r="J227" s="255">
        <f>SUM(K227:AC227)</f>
        <v>-63030</v>
      </c>
      <c r="K227" s="255"/>
      <c r="L227" s="255"/>
      <c r="M227" s="255">
        <v>-63030</v>
      </c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6">
        <f t="shared" si="88"/>
        <v>0</v>
      </c>
      <c r="AP227" s="256"/>
      <c r="AQ227" s="256"/>
      <c r="AR227" s="256"/>
      <c r="AS227" s="256"/>
      <c r="AT227" s="256"/>
      <c r="AU227" s="256"/>
      <c r="AV227" s="256"/>
      <c r="AW227" s="256"/>
      <c r="AX227" s="256"/>
      <c r="AY227" s="256"/>
      <c r="AZ227" s="255"/>
      <c r="BA227" s="257"/>
      <c r="BB227" s="256"/>
      <c r="BC227" s="256"/>
      <c r="BD227" s="256"/>
      <c r="BE227" s="256"/>
      <c r="BF227" s="256"/>
      <c r="BG227" s="256"/>
      <c r="BH227" s="258"/>
      <c r="BI227" s="259"/>
    </row>
    <row r="228" spans="1:61" ht="60" x14ac:dyDescent="0.2">
      <c r="A228" s="263"/>
      <c r="B228" s="264"/>
      <c r="C228" s="413" t="s">
        <v>214</v>
      </c>
      <c r="D228" s="414"/>
      <c r="E228" s="293" t="s">
        <v>528</v>
      </c>
      <c r="F228" s="254">
        <v>400000</v>
      </c>
      <c r="G228" s="255">
        <f>SUM(I228,AE228,AN228,AX228,AZ228)</f>
        <v>400000</v>
      </c>
      <c r="H228" s="254"/>
      <c r="I228" s="338"/>
      <c r="J228" s="338"/>
      <c r="K228" s="338"/>
      <c r="L228" s="338"/>
      <c r="M228" s="338"/>
      <c r="N228" s="338"/>
      <c r="O228" s="338"/>
      <c r="P228" s="338"/>
      <c r="Q228" s="338"/>
      <c r="R228" s="338"/>
      <c r="S228" s="338"/>
      <c r="T228" s="338"/>
      <c r="U228" s="338"/>
      <c r="V228" s="338"/>
      <c r="W228" s="338"/>
      <c r="X228" s="338"/>
      <c r="Y228" s="338"/>
      <c r="Z228" s="338"/>
      <c r="AA228" s="338"/>
      <c r="AB228" s="338"/>
      <c r="AC228" s="338"/>
      <c r="AD228" s="338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6"/>
      <c r="AP228" s="255"/>
      <c r="AQ228" s="255"/>
      <c r="AR228" s="255"/>
      <c r="AS228" s="255"/>
      <c r="AT228" s="255"/>
      <c r="AU228" s="255"/>
      <c r="AV228" s="255"/>
      <c r="AW228" s="255"/>
      <c r="AX228" s="255">
        <v>400000</v>
      </c>
      <c r="AY228" s="256"/>
      <c r="AZ228" s="255"/>
      <c r="BA228" s="257"/>
      <c r="BB228" s="255"/>
      <c r="BC228" s="255"/>
      <c r="BD228" s="255"/>
      <c r="BE228" s="255"/>
      <c r="BF228" s="255"/>
      <c r="BG228" s="255"/>
      <c r="BH228" s="258"/>
      <c r="BI228" s="259"/>
    </row>
    <row r="229" spans="1:61" ht="24" x14ac:dyDescent="0.2">
      <c r="A229" s="263"/>
      <c r="B229" s="264"/>
      <c r="C229" s="265"/>
      <c r="D229" s="304"/>
      <c r="E229" s="293" t="s">
        <v>174</v>
      </c>
      <c r="F229" s="254">
        <v>554920</v>
      </c>
      <c r="G229" s="255">
        <f>SUM(I229,AE229,AN229,AX229,AZ229)</f>
        <v>554920</v>
      </c>
      <c r="H229" s="254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6"/>
      <c r="AP229" s="255"/>
      <c r="AQ229" s="255"/>
      <c r="AR229" s="255"/>
      <c r="AS229" s="255"/>
      <c r="AT229" s="255"/>
      <c r="AU229" s="255"/>
      <c r="AV229" s="255"/>
      <c r="AW229" s="255"/>
      <c r="AX229" s="255">
        <v>554920</v>
      </c>
      <c r="AY229" s="256"/>
      <c r="AZ229" s="255"/>
      <c r="BA229" s="257"/>
      <c r="BB229" s="255"/>
      <c r="BC229" s="255"/>
      <c r="BD229" s="255"/>
      <c r="BE229" s="255"/>
      <c r="BF229" s="255"/>
      <c r="BG229" s="255"/>
      <c r="BH229" s="258"/>
      <c r="BI229" s="259"/>
    </row>
    <row r="230" spans="1:61" ht="24" x14ac:dyDescent="0.2">
      <c r="A230" s="263"/>
      <c r="B230" s="264"/>
      <c r="C230" s="265"/>
      <c r="D230" s="304"/>
      <c r="E230" s="293" t="s">
        <v>523</v>
      </c>
      <c r="F230" s="254">
        <v>284577</v>
      </c>
      <c r="G230" s="255">
        <f>SUM(I230,AE230,AN230,AX230,AZ230)</f>
        <v>284577</v>
      </c>
      <c r="H230" s="254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6"/>
      <c r="AP230" s="255"/>
      <c r="AQ230" s="255"/>
      <c r="AR230" s="255"/>
      <c r="AS230" s="255"/>
      <c r="AT230" s="255"/>
      <c r="AU230" s="255"/>
      <c r="AV230" s="255"/>
      <c r="AW230" s="255"/>
      <c r="AX230" s="255">
        <v>284577</v>
      </c>
      <c r="AY230" s="256"/>
      <c r="AZ230" s="255"/>
      <c r="BA230" s="257"/>
      <c r="BB230" s="255"/>
      <c r="BC230" s="255"/>
      <c r="BD230" s="255"/>
      <c r="BE230" s="255"/>
      <c r="BF230" s="255"/>
      <c r="BG230" s="255"/>
      <c r="BH230" s="258"/>
      <c r="BI230" s="259"/>
    </row>
    <row r="231" spans="1:61" ht="24" x14ac:dyDescent="0.2">
      <c r="A231" s="263"/>
      <c r="B231" s="264"/>
      <c r="C231" s="265"/>
      <c r="D231" s="304"/>
      <c r="E231" s="293" t="s">
        <v>524</v>
      </c>
      <c r="F231" s="254">
        <v>95785</v>
      </c>
      <c r="G231" s="255">
        <f>SUM(I231,AE231,AN231,AX231,AZ231)</f>
        <v>95785</v>
      </c>
      <c r="H231" s="254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6"/>
      <c r="AP231" s="255"/>
      <c r="AQ231" s="255"/>
      <c r="AR231" s="255"/>
      <c r="AS231" s="255"/>
      <c r="AT231" s="255"/>
      <c r="AU231" s="255"/>
      <c r="AV231" s="255"/>
      <c r="AW231" s="255"/>
      <c r="AX231" s="255">
        <v>95785</v>
      </c>
      <c r="AY231" s="256"/>
      <c r="AZ231" s="255"/>
      <c r="BA231" s="257"/>
      <c r="BB231" s="255"/>
      <c r="BC231" s="255"/>
      <c r="BD231" s="255"/>
      <c r="BE231" s="255"/>
      <c r="BF231" s="255"/>
      <c r="BG231" s="255"/>
      <c r="BH231" s="258"/>
      <c r="BI231" s="259"/>
    </row>
    <row r="232" spans="1:61" ht="52.5" customHeight="1" x14ac:dyDescent="0.2">
      <c r="A232" s="263"/>
      <c r="B232" s="278"/>
      <c r="C232" s="265"/>
      <c r="D232" s="304"/>
      <c r="E232" s="293" t="s">
        <v>534</v>
      </c>
      <c r="F232" s="254">
        <v>208261</v>
      </c>
      <c r="G232" s="255">
        <f>SUM(I232,AE232,AN232,AX232,AZ232)</f>
        <v>208261</v>
      </c>
      <c r="H232" s="254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6"/>
      <c r="AP232" s="256"/>
      <c r="AQ232" s="256"/>
      <c r="AR232" s="256"/>
      <c r="AS232" s="256"/>
      <c r="AT232" s="256"/>
      <c r="AU232" s="256"/>
      <c r="AV232" s="256"/>
      <c r="AW232" s="256"/>
      <c r="AX232" s="256">
        <v>208261</v>
      </c>
      <c r="AY232" s="256"/>
      <c r="AZ232" s="255"/>
      <c r="BA232" s="257"/>
      <c r="BB232" s="256"/>
      <c r="BC232" s="256"/>
      <c r="BD232" s="256"/>
      <c r="BE232" s="256"/>
      <c r="BF232" s="256"/>
      <c r="BG232" s="256"/>
      <c r="BH232" s="258"/>
      <c r="BI232" s="259"/>
    </row>
    <row r="233" spans="1:61" ht="13.5" thickBot="1" x14ac:dyDescent="0.25">
      <c r="A233" s="263"/>
      <c r="B233" s="279"/>
      <c r="C233" s="419"/>
      <c r="D233" s="420"/>
      <c r="E233" s="294"/>
      <c r="F233" s="267"/>
      <c r="G233" s="268"/>
      <c r="H233" s="267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8"/>
      <c r="AI233" s="268"/>
      <c r="AJ233" s="268"/>
      <c r="AK233" s="268"/>
      <c r="AL233" s="268"/>
      <c r="AM233" s="268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8"/>
      <c r="BA233" s="270"/>
      <c r="BB233" s="269"/>
      <c r="BC233" s="269"/>
      <c r="BD233" s="269"/>
      <c r="BE233" s="269"/>
      <c r="BF233" s="269"/>
      <c r="BG233" s="269"/>
      <c r="BH233" s="271"/>
      <c r="BI233" s="272"/>
    </row>
    <row r="234" spans="1:61" ht="12.75" thickBot="1" x14ac:dyDescent="0.25">
      <c r="A234" s="282"/>
      <c r="B234" s="421" t="s">
        <v>22</v>
      </c>
      <c r="C234" s="421"/>
      <c r="D234" s="244" t="s">
        <v>23</v>
      </c>
      <c r="E234" s="283"/>
      <c r="F234" s="284">
        <v>5922231</v>
      </c>
      <c r="G234" s="285">
        <f t="shared" ref="G234:G261" si="99">SUM(I234,AE234,AN234,AX234,AZ234)</f>
        <v>5969567</v>
      </c>
      <c r="H234" s="284">
        <f t="shared" ref="H234:BG234" si="100">SUM(H235:H262)</f>
        <v>4728324</v>
      </c>
      <c r="I234" s="248">
        <f>SUM(I235:I262)</f>
        <v>4769998</v>
      </c>
      <c r="J234" s="248">
        <f t="shared" si="100"/>
        <v>41674</v>
      </c>
      <c r="K234" s="248">
        <f t="shared" si="100"/>
        <v>0</v>
      </c>
      <c r="L234" s="248">
        <f t="shared" si="100"/>
        <v>0</v>
      </c>
      <c r="M234" s="248">
        <f t="shared" si="100"/>
        <v>0</v>
      </c>
      <c r="N234" s="248">
        <f t="shared" si="100"/>
        <v>1143</v>
      </c>
      <c r="O234" s="248">
        <f t="shared" si="100"/>
        <v>0</v>
      </c>
      <c r="P234" s="248">
        <f t="shared" si="100"/>
        <v>0</v>
      </c>
      <c r="Q234" s="248">
        <f t="shared" si="100"/>
        <v>0</v>
      </c>
      <c r="R234" s="248">
        <f t="shared" si="100"/>
        <v>53125</v>
      </c>
      <c r="S234" s="248">
        <f>SUM(S235:S262)</f>
        <v>0</v>
      </c>
      <c r="T234" s="248">
        <f t="shared" si="100"/>
        <v>0</v>
      </c>
      <c r="U234" s="248">
        <f t="shared" si="100"/>
        <v>0</v>
      </c>
      <c r="V234" s="248">
        <f t="shared" ref="V234:AA234" si="101">SUM(V235:V262)</f>
        <v>-12594</v>
      </c>
      <c r="W234" s="248">
        <f t="shared" si="101"/>
        <v>0</v>
      </c>
      <c r="X234" s="248">
        <f t="shared" si="101"/>
        <v>0</v>
      </c>
      <c r="Y234" s="248">
        <f t="shared" si="101"/>
        <v>0</v>
      </c>
      <c r="Z234" s="248">
        <f t="shared" si="101"/>
        <v>0</v>
      </c>
      <c r="AA234" s="248">
        <f t="shared" si="101"/>
        <v>0</v>
      </c>
      <c r="AB234" s="248">
        <f t="shared" si="100"/>
        <v>0</v>
      </c>
      <c r="AC234" s="248">
        <f t="shared" si="100"/>
        <v>0</v>
      </c>
      <c r="AD234" s="248">
        <f t="shared" si="100"/>
        <v>194430</v>
      </c>
      <c r="AE234" s="248">
        <f>SUM(AE235:AE262)</f>
        <v>194430</v>
      </c>
      <c r="AF234" s="248">
        <f t="shared" si="100"/>
        <v>0</v>
      </c>
      <c r="AG234" s="248">
        <f t="shared" si="100"/>
        <v>0</v>
      </c>
      <c r="AH234" s="248">
        <f t="shared" si="100"/>
        <v>0</v>
      </c>
      <c r="AI234" s="248">
        <f t="shared" si="100"/>
        <v>0</v>
      </c>
      <c r="AJ234" s="248">
        <f t="shared" si="100"/>
        <v>0</v>
      </c>
      <c r="AK234" s="248">
        <f t="shared" si="100"/>
        <v>0</v>
      </c>
      <c r="AL234" s="248">
        <f t="shared" si="100"/>
        <v>0</v>
      </c>
      <c r="AM234" s="248">
        <f t="shared" si="100"/>
        <v>642276</v>
      </c>
      <c r="AN234" s="248">
        <f t="shared" si="100"/>
        <v>647284</v>
      </c>
      <c r="AO234" s="248">
        <f t="shared" si="100"/>
        <v>5008</v>
      </c>
      <c r="AP234" s="248">
        <f t="shared" si="100"/>
        <v>0</v>
      </c>
      <c r="AQ234" s="248">
        <f t="shared" si="100"/>
        <v>1127</v>
      </c>
      <c r="AR234" s="248">
        <f t="shared" si="100"/>
        <v>0</v>
      </c>
      <c r="AS234" s="248">
        <f t="shared" si="100"/>
        <v>3881</v>
      </c>
      <c r="AT234" s="248">
        <f t="shared" si="100"/>
        <v>0</v>
      </c>
      <c r="AU234" s="248">
        <f t="shared" ref="AU234:AV234" si="102">SUM(AU235:AU262)</f>
        <v>0</v>
      </c>
      <c r="AV234" s="248">
        <f t="shared" si="102"/>
        <v>0</v>
      </c>
      <c r="AW234" s="248">
        <f t="shared" si="100"/>
        <v>0</v>
      </c>
      <c r="AX234" s="248">
        <f t="shared" si="100"/>
        <v>348605</v>
      </c>
      <c r="AY234" s="248">
        <f t="shared" si="100"/>
        <v>8596</v>
      </c>
      <c r="AZ234" s="248">
        <f t="shared" si="100"/>
        <v>9250</v>
      </c>
      <c r="BA234" s="249">
        <f t="shared" si="100"/>
        <v>654</v>
      </c>
      <c r="BB234" s="248">
        <f t="shared" si="100"/>
        <v>654</v>
      </c>
      <c r="BC234" s="248">
        <f t="shared" si="100"/>
        <v>0</v>
      </c>
      <c r="BD234" s="248">
        <f t="shared" si="100"/>
        <v>0</v>
      </c>
      <c r="BE234" s="248">
        <f t="shared" si="100"/>
        <v>0</v>
      </c>
      <c r="BF234" s="248">
        <f t="shared" si="100"/>
        <v>0</v>
      </c>
      <c r="BG234" s="248">
        <f t="shared" si="100"/>
        <v>0</v>
      </c>
      <c r="BH234" s="288"/>
      <c r="BI234" s="289"/>
    </row>
    <row r="235" spans="1:61" ht="48.75" thickTop="1" x14ac:dyDescent="0.2">
      <c r="A235" s="263">
        <v>90000056357</v>
      </c>
      <c r="B235" s="291"/>
      <c r="C235" s="422" t="s">
        <v>5</v>
      </c>
      <c r="D235" s="423"/>
      <c r="E235" s="305" t="s">
        <v>597</v>
      </c>
      <c r="F235" s="254">
        <v>848</v>
      </c>
      <c r="G235" s="255">
        <f t="shared" si="99"/>
        <v>848</v>
      </c>
      <c r="H235" s="254">
        <f>848</f>
        <v>848</v>
      </c>
      <c r="I235" s="255">
        <f t="shared" ref="I235:I259" si="103">H235+J235</f>
        <v>848</v>
      </c>
      <c r="J235" s="255">
        <f t="shared" ref="J235:J259" si="104">SUM(K235:AC235)</f>
        <v>0</v>
      </c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>
        <f t="shared" ref="AN235:AN259" si="105">AO235+AM235</f>
        <v>0</v>
      </c>
      <c r="AO235" s="256">
        <f>SUM(AP235:AW235)</f>
        <v>0</v>
      </c>
      <c r="AP235" s="256"/>
      <c r="AQ235" s="256"/>
      <c r="AR235" s="256"/>
      <c r="AS235" s="256"/>
      <c r="AT235" s="256"/>
      <c r="AU235" s="256"/>
      <c r="AV235" s="256"/>
      <c r="AW235" s="256"/>
      <c r="AX235" s="256"/>
      <c r="AY235" s="256"/>
      <c r="AZ235" s="255"/>
      <c r="BA235" s="257"/>
      <c r="BB235" s="256"/>
      <c r="BC235" s="256"/>
      <c r="BD235" s="256"/>
      <c r="BE235" s="256"/>
      <c r="BF235" s="256"/>
      <c r="BG235" s="256"/>
      <c r="BH235" s="258" t="s">
        <v>647</v>
      </c>
      <c r="BI235" s="272"/>
    </row>
    <row r="236" spans="1:61" ht="48" x14ac:dyDescent="0.2">
      <c r="A236" s="263"/>
      <c r="B236" s="295"/>
      <c r="C236" s="296"/>
      <c r="D236" s="297"/>
      <c r="E236" s="312" t="s">
        <v>780</v>
      </c>
      <c r="F236" s="254"/>
      <c r="G236" s="255">
        <f t="shared" si="99"/>
        <v>53125</v>
      </c>
      <c r="H236" s="254"/>
      <c r="I236" s="255">
        <f t="shared" si="103"/>
        <v>53125</v>
      </c>
      <c r="J236" s="255">
        <f t="shared" si="104"/>
        <v>53125</v>
      </c>
      <c r="K236" s="255"/>
      <c r="L236" s="255"/>
      <c r="M236" s="255"/>
      <c r="N236" s="255"/>
      <c r="O236" s="255"/>
      <c r="P236" s="255"/>
      <c r="Q236" s="255"/>
      <c r="R236" s="255">
        <f>33765+19360</f>
        <v>53125</v>
      </c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>
        <f t="shared" si="105"/>
        <v>0</v>
      </c>
      <c r="AO236" s="256">
        <f>SUM(AP236:AW236)</f>
        <v>0</v>
      </c>
      <c r="AP236" s="256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5"/>
      <c r="BA236" s="257"/>
      <c r="BB236" s="256"/>
      <c r="BC236" s="256"/>
      <c r="BD236" s="256"/>
      <c r="BE236" s="256"/>
      <c r="BF236" s="256"/>
      <c r="BG236" s="256"/>
      <c r="BH236" s="258" t="s">
        <v>781</v>
      </c>
      <c r="BI236" s="272" t="s">
        <v>583</v>
      </c>
    </row>
    <row r="237" spans="1:61" ht="12.75" x14ac:dyDescent="0.2">
      <c r="A237" s="263">
        <v>90000594245</v>
      </c>
      <c r="B237" s="264"/>
      <c r="C237" s="413" t="s">
        <v>24</v>
      </c>
      <c r="D237" s="414"/>
      <c r="E237" s="253" t="s">
        <v>239</v>
      </c>
      <c r="F237" s="254">
        <v>739626</v>
      </c>
      <c r="G237" s="255">
        <f t="shared" si="99"/>
        <v>744807</v>
      </c>
      <c r="H237" s="254">
        <f>739626</f>
        <v>739626</v>
      </c>
      <c r="I237" s="255">
        <f t="shared" si="103"/>
        <v>741068</v>
      </c>
      <c r="J237" s="255">
        <f t="shared" si="104"/>
        <v>1442</v>
      </c>
      <c r="K237" s="255"/>
      <c r="L237" s="255"/>
      <c r="M237" s="255"/>
      <c r="N237" s="255"/>
      <c r="O237" s="255"/>
      <c r="P237" s="255"/>
      <c r="Q237" s="255"/>
      <c r="R237" s="255">
        <v>300</v>
      </c>
      <c r="S237" s="255"/>
      <c r="T237" s="255"/>
      <c r="U237" s="255"/>
      <c r="V237" s="255">
        <v>1142</v>
      </c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>
        <f t="shared" si="105"/>
        <v>3739</v>
      </c>
      <c r="AO237" s="256">
        <f>SUM(AP237:AW237)</f>
        <v>3739</v>
      </c>
      <c r="AP237" s="256"/>
      <c r="AQ237" s="256"/>
      <c r="AR237" s="256"/>
      <c r="AS237" s="256">
        <v>3739</v>
      </c>
      <c r="AT237" s="256"/>
      <c r="AU237" s="256"/>
      <c r="AV237" s="256"/>
      <c r="AW237" s="256"/>
      <c r="AX237" s="256"/>
      <c r="AY237" s="256"/>
      <c r="AZ237" s="255"/>
      <c r="BA237" s="257"/>
      <c r="BB237" s="256"/>
      <c r="BC237" s="256"/>
      <c r="BD237" s="256"/>
      <c r="BE237" s="256"/>
      <c r="BF237" s="256"/>
      <c r="BG237" s="256"/>
      <c r="BH237" s="258" t="s">
        <v>691</v>
      </c>
      <c r="BI237" s="259"/>
    </row>
    <row r="238" spans="1:61" ht="27" customHeight="1" x14ac:dyDescent="0.2">
      <c r="A238" s="263"/>
      <c r="B238" s="264"/>
      <c r="C238" s="265"/>
      <c r="D238" s="266"/>
      <c r="E238" s="253" t="s">
        <v>272</v>
      </c>
      <c r="F238" s="254">
        <v>170896</v>
      </c>
      <c r="G238" s="255">
        <f t="shared" si="99"/>
        <v>172696</v>
      </c>
      <c r="H238" s="254">
        <f>14896</f>
        <v>14896</v>
      </c>
      <c r="I238" s="255">
        <f t="shared" si="103"/>
        <v>16696</v>
      </c>
      <c r="J238" s="255">
        <f t="shared" si="104"/>
        <v>1800</v>
      </c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>
        <v>1800</v>
      </c>
      <c r="W238" s="255"/>
      <c r="X238" s="255"/>
      <c r="Y238" s="255"/>
      <c r="Z238" s="255"/>
      <c r="AA238" s="255"/>
      <c r="AB238" s="255"/>
      <c r="AC238" s="255"/>
      <c r="AD238" s="255">
        <f>156000</f>
        <v>156000</v>
      </c>
      <c r="AE238" s="255">
        <f>AD238+AF238</f>
        <v>156000</v>
      </c>
      <c r="AF238" s="255">
        <f>SUM(AG238:AL238)</f>
        <v>0</v>
      </c>
      <c r="AG238" s="255"/>
      <c r="AH238" s="255"/>
      <c r="AI238" s="255"/>
      <c r="AJ238" s="255"/>
      <c r="AK238" s="255"/>
      <c r="AL238" s="255"/>
      <c r="AM238" s="255"/>
      <c r="AN238" s="255">
        <f t="shared" si="105"/>
        <v>0</v>
      </c>
      <c r="AO238" s="256">
        <f>SUM(AP238:AW238)</f>
        <v>0</v>
      </c>
      <c r="AP238" s="256"/>
      <c r="AQ238" s="256"/>
      <c r="AR238" s="256"/>
      <c r="AS238" s="256"/>
      <c r="AT238" s="256"/>
      <c r="AU238" s="256"/>
      <c r="AV238" s="256"/>
      <c r="AW238" s="256"/>
      <c r="AX238" s="256"/>
      <c r="AY238" s="256"/>
      <c r="AZ238" s="255"/>
      <c r="BA238" s="257"/>
      <c r="BB238" s="256"/>
      <c r="BC238" s="256"/>
      <c r="BD238" s="256"/>
      <c r="BE238" s="256"/>
      <c r="BF238" s="256"/>
      <c r="BG238" s="256"/>
      <c r="BH238" s="258" t="s">
        <v>475</v>
      </c>
      <c r="BI238" s="259" t="s">
        <v>700</v>
      </c>
    </row>
    <row r="239" spans="1:61" ht="24" x14ac:dyDescent="0.2">
      <c r="A239" s="263"/>
      <c r="B239" s="264"/>
      <c r="C239" s="265"/>
      <c r="D239" s="266"/>
      <c r="E239" s="253" t="s">
        <v>273</v>
      </c>
      <c r="F239" s="254">
        <v>179203</v>
      </c>
      <c r="G239" s="255">
        <f t="shared" si="99"/>
        <v>179203</v>
      </c>
      <c r="H239" s="254">
        <f>170663</f>
        <v>170663</v>
      </c>
      <c r="I239" s="255">
        <f t="shared" si="103"/>
        <v>170663</v>
      </c>
      <c r="J239" s="255">
        <f t="shared" si="104"/>
        <v>0</v>
      </c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>
        <f>8540</f>
        <v>8540</v>
      </c>
      <c r="AE239" s="255">
        <f>AD239+AF239</f>
        <v>8540</v>
      </c>
      <c r="AF239" s="255">
        <f>SUM(AG239:AL239)</f>
        <v>0</v>
      </c>
      <c r="AG239" s="255"/>
      <c r="AH239" s="255"/>
      <c r="AI239" s="255"/>
      <c r="AJ239" s="255"/>
      <c r="AK239" s="255"/>
      <c r="AL239" s="255"/>
      <c r="AM239" s="255"/>
      <c r="AN239" s="255">
        <f t="shared" si="105"/>
        <v>0</v>
      </c>
      <c r="AO239" s="256">
        <f>SUM(AP239:AW239)</f>
        <v>0</v>
      </c>
      <c r="AP239" s="256"/>
      <c r="AQ239" s="256"/>
      <c r="AR239" s="256"/>
      <c r="AS239" s="256"/>
      <c r="AT239" s="256"/>
      <c r="AU239" s="256"/>
      <c r="AV239" s="256"/>
      <c r="AW239" s="256"/>
      <c r="AX239" s="256"/>
      <c r="AY239" s="256"/>
      <c r="AZ239" s="255"/>
      <c r="BA239" s="257"/>
      <c r="BB239" s="256"/>
      <c r="BC239" s="256"/>
      <c r="BD239" s="256"/>
      <c r="BE239" s="256"/>
      <c r="BF239" s="256"/>
      <c r="BG239" s="256"/>
      <c r="BH239" s="258" t="s">
        <v>476</v>
      </c>
      <c r="BI239" s="259" t="s">
        <v>700</v>
      </c>
    </row>
    <row r="240" spans="1:61" ht="24" x14ac:dyDescent="0.2">
      <c r="A240" s="263"/>
      <c r="B240" s="264"/>
      <c r="C240" s="265"/>
      <c r="D240" s="266"/>
      <c r="E240" s="253" t="s">
        <v>274</v>
      </c>
      <c r="F240" s="254">
        <v>342750</v>
      </c>
      <c r="G240" s="255">
        <f t="shared" si="99"/>
        <v>339329</v>
      </c>
      <c r="H240" s="254">
        <f>340614</f>
        <v>340614</v>
      </c>
      <c r="I240" s="255">
        <f t="shared" si="103"/>
        <v>337051</v>
      </c>
      <c r="J240" s="255">
        <f t="shared" si="104"/>
        <v>-3563</v>
      </c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>
        <v>-3563</v>
      </c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>
        <v>2136</v>
      </c>
      <c r="AN240" s="255">
        <f t="shared" si="105"/>
        <v>2278</v>
      </c>
      <c r="AO240" s="256">
        <f t="shared" ref="AO240:AO259" si="106">SUM(AP240:AW240)</f>
        <v>142</v>
      </c>
      <c r="AP240" s="256"/>
      <c r="AQ240" s="256"/>
      <c r="AR240" s="256"/>
      <c r="AS240" s="256">
        <v>142</v>
      </c>
      <c r="AT240" s="256"/>
      <c r="AU240" s="256"/>
      <c r="AV240" s="256"/>
      <c r="AW240" s="256"/>
      <c r="AX240" s="256"/>
      <c r="AY240" s="256"/>
      <c r="AZ240" s="255"/>
      <c r="BA240" s="257"/>
      <c r="BB240" s="256"/>
      <c r="BC240" s="256"/>
      <c r="BD240" s="256"/>
      <c r="BE240" s="256"/>
      <c r="BF240" s="256"/>
      <c r="BG240" s="256"/>
      <c r="BH240" s="258" t="s">
        <v>477</v>
      </c>
      <c r="BI240" s="259" t="s">
        <v>701</v>
      </c>
    </row>
    <row r="241" spans="1:61" ht="24" x14ac:dyDescent="0.2">
      <c r="A241" s="263"/>
      <c r="B241" s="264"/>
      <c r="C241" s="265"/>
      <c r="D241" s="266"/>
      <c r="E241" s="253" t="s">
        <v>275</v>
      </c>
      <c r="F241" s="254">
        <v>455973</v>
      </c>
      <c r="G241" s="255">
        <f t="shared" si="99"/>
        <v>443726</v>
      </c>
      <c r="H241" s="254">
        <f>455973</f>
        <v>455973</v>
      </c>
      <c r="I241" s="255">
        <f t="shared" si="103"/>
        <v>443726</v>
      </c>
      <c r="J241" s="255">
        <f t="shared" si="104"/>
        <v>-12247</v>
      </c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>
        <v>-12247</v>
      </c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>
        <f t="shared" si="105"/>
        <v>0</v>
      </c>
      <c r="AO241" s="256">
        <f t="shared" si="106"/>
        <v>0</v>
      </c>
      <c r="AP241" s="256"/>
      <c r="AQ241" s="256"/>
      <c r="AR241" s="256"/>
      <c r="AS241" s="256"/>
      <c r="AT241" s="256"/>
      <c r="AU241" s="256"/>
      <c r="AV241" s="256"/>
      <c r="AW241" s="256"/>
      <c r="AX241" s="256"/>
      <c r="AY241" s="256"/>
      <c r="AZ241" s="255"/>
      <c r="BA241" s="257"/>
      <c r="BB241" s="256"/>
      <c r="BC241" s="256"/>
      <c r="BD241" s="256"/>
      <c r="BE241" s="256"/>
      <c r="BF241" s="256"/>
      <c r="BG241" s="256"/>
      <c r="BH241" s="258" t="s">
        <v>478</v>
      </c>
      <c r="BI241" s="259" t="s">
        <v>702</v>
      </c>
    </row>
    <row r="242" spans="1:61" ht="24" x14ac:dyDescent="0.2">
      <c r="A242" s="263"/>
      <c r="B242" s="264"/>
      <c r="C242" s="265"/>
      <c r="D242" s="266"/>
      <c r="E242" s="253" t="s">
        <v>595</v>
      </c>
      <c r="F242" s="254">
        <v>380200</v>
      </c>
      <c r="G242" s="255">
        <f t="shared" si="99"/>
        <v>380200</v>
      </c>
      <c r="H242" s="254">
        <f>380200</f>
        <v>380200</v>
      </c>
      <c r="I242" s="255">
        <f t="shared" si="103"/>
        <v>380200</v>
      </c>
      <c r="J242" s="255">
        <f t="shared" si="104"/>
        <v>0</v>
      </c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>
        <f t="shared" si="105"/>
        <v>0</v>
      </c>
      <c r="AO242" s="256">
        <f t="shared" si="106"/>
        <v>0</v>
      </c>
      <c r="AP242" s="256"/>
      <c r="AQ242" s="256"/>
      <c r="AR242" s="256"/>
      <c r="AS242" s="256"/>
      <c r="AT242" s="256"/>
      <c r="AU242" s="256"/>
      <c r="AV242" s="256"/>
      <c r="AW242" s="256"/>
      <c r="AX242" s="256"/>
      <c r="AY242" s="256"/>
      <c r="AZ242" s="255"/>
      <c r="BA242" s="257"/>
      <c r="BB242" s="256"/>
      <c r="BC242" s="256"/>
      <c r="BD242" s="256"/>
      <c r="BE242" s="256"/>
      <c r="BF242" s="256"/>
      <c r="BG242" s="256"/>
      <c r="BH242" s="258" t="s">
        <v>479</v>
      </c>
      <c r="BI242" s="259" t="s">
        <v>359</v>
      </c>
    </row>
    <row r="243" spans="1:61" ht="24" x14ac:dyDescent="0.2">
      <c r="A243" s="263"/>
      <c r="B243" s="264"/>
      <c r="C243" s="265"/>
      <c r="D243" s="266"/>
      <c r="E243" s="253" t="s">
        <v>594</v>
      </c>
      <c r="F243" s="254">
        <v>470965</v>
      </c>
      <c r="G243" s="255">
        <f t="shared" si="99"/>
        <v>470665</v>
      </c>
      <c r="H243" s="254">
        <f>470965</f>
        <v>470965</v>
      </c>
      <c r="I243" s="255">
        <f t="shared" si="103"/>
        <v>470665</v>
      </c>
      <c r="J243" s="255">
        <f t="shared" si="104"/>
        <v>-300</v>
      </c>
      <c r="K243" s="255"/>
      <c r="L243" s="255"/>
      <c r="M243" s="255"/>
      <c r="N243" s="255"/>
      <c r="O243" s="255"/>
      <c r="P243" s="255"/>
      <c r="Q243" s="255"/>
      <c r="R243" s="255">
        <v>-300</v>
      </c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>
        <f t="shared" si="105"/>
        <v>0</v>
      </c>
      <c r="AO243" s="256">
        <f t="shared" si="106"/>
        <v>0</v>
      </c>
      <c r="AP243" s="256"/>
      <c r="AQ243" s="256"/>
      <c r="AR243" s="256"/>
      <c r="AS243" s="256"/>
      <c r="AT243" s="256"/>
      <c r="AU243" s="256"/>
      <c r="AV243" s="256"/>
      <c r="AW243" s="256"/>
      <c r="AX243" s="256"/>
      <c r="AY243" s="256"/>
      <c r="AZ243" s="255"/>
      <c r="BA243" s="257"/>
      <c r="BB243" s="256"/>
      <c r="BC243" s="256"/>
      <c r="BD243" s="256"/>
      <c r="BE243" s="256"/>
      <c r="BF243" s="256"/>
      <c r="BG243" s="256"/>
      <c r="BH243" s="258" t="s">
        <v>480</v>
      </c>
      <c r="BI243" s="259" t="s">
        <v>702</v>
      </c>
    </row>
    <row r="244" spans="1:61" ht="36" x14ac:dyDescent="0.2">
      <c r="A244" s="263"/>
      <c r="B244" s="264"/>
      <c r="C244" s="265"/>
      <c r="D244" s="266"/>
      <c r="E244" s="253" t="s">
        <v>651</v>
      </c>
      <c r="F244" s="254">
        <v>10529</v>
      </c>
      <c r="G244" s="255">
        <f t="shared" si="99"/>
        <v>10182</v>
      </c>
      <c r="H244" s="254">
        <f>10529</f>
        <v>10529</v>
      </c>
      <c r="I244" s="255">
        <f t="shared" si="103"/>
        <v>10182</v>
      </c>
      <c r="J244" s="255">
        <f t="shared" si="104"/>
        <v>-347</v>
      </c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408">
        <v>-347</v>
      </c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>
        <f t="shared" si="105"/>
        <v>0</v>
      </c>
      <c r="AO244" s="256">
        <f t="shared" si="106"/>
        <v>0</v>
      </c>
      <c r="AP244" s="256"/>
      <c r="AQ244" s="256"/>
      <c r="AR244" s="256"/>
      <c r="AS244" s="256"/>
      <c r="AT244" s="256"/>
      <c r="AU244" s="256"/>
      <c r="AV244" s="256"/>
      <c r="AW244" s="256"/>
      <c r="AX244" s="256"/>
      <c r="AY244" s="256"/>
      <c r="AZ244" s="255"/>
      <c r="BA244" s="257"/>
      <c r="BB244" s="256"/>
      <c r="BC244" s="256"/>
      <c r="BD244" s="256"/>
      <c r="BE244" s="256"/>
      <c r="BF244" s="256"/>
      <c r="BG244" s="256"/>
      <c r="BH244" s="258" t="s">
        <v>481</v>
      </c>
      <c r="BI244" s="259"/>
    </row>
    <row r="245" spans="1:61" ht="24" x14ac:dyDescent="0.2">
      <c r="A245" s="263"/>
      <c r="B245" s="264"/>
      <c r="C245" s="265"/>
      <c r="D245" s="266"/>
      <c r="E245" s="253" t="s">
        <v>674</v>
      </c>
      <c r="F245" s="254">
        <v>32707</v>
      </c>
      <c r="G245" s="255">
        <f t="shared" si="99"/>
        <v>33328</v>
      </c>
      <c r="H245" s="254">
        <f>32707</f>
        <v>32707</v>
      </c>
      <c r="I245" s="255">
        <f t="shared" si="103"/>
        <v>33328</v>
      </c>
      <c r="J245" s="255">
        <f t="shared" si="104"/>
        <v>621</v>
      </c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>
        <v>621</v>
      </c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>
        <f t="shared" si="105"/>
        <v>0</v>
      </c>
      <c r="AO245" s="256">
        <f t="shared" si="106"/>
        <v>0</v>
      </c>
      <c r="AP245" s="256"/>
      <c r="AQ245" s="256"/>
      <c r="AR245" s="256"/>
      <c r="AS245" s="256"/>
      <c r="AT245" s="256"/>
      <c r="AU245" s="256"/>
      <c r="AV245" s="256"/>
      <c r="AW245" s="256"/>
      <c r="AX245" s="256"/>
      <c r="AY245" s="256"/>
      <c r="AZ245" s="255"/>
      <c r="BA245" s="257"/>
      <c r="BB245" s="256"/>
      <c r="BC245" s="256"/>
      <c r="BD245" s="256"/>
      <c r="BE245" s="256"/>
      <c r="BF245" s="256"/>
      <c r="BG245" s="256"/>
      <c r="BH245" s="258" t="s">
        <v>661</v>
      </c>
      <c r="BI245" s="259"/>
    </row>
    <row r="246" spans="1:61" ht="24" x14ac:dyDescent="0.2">
      <c r="A246" s="263">
        <v>90001876536</v>
      </c>
      <c r="B246" s="264"/>
      <c r="C246" s="413" t="s">
        <v>199</v>
      </c>
      <c r="D246" s="414"/>
      <c r="E246" s="253" t="s">
        <v>277</v>
      </c>
      <c r="F246" s="254">
        <v>1192241</v>
      </c>
      <c r="G246" s="255">
        <f t="shared" si="99"/>
        <v>1193368</v>
      </c>
      <c r="H246" s="254">
        <f>529443</f>
        <v>529443</v>
      </c>
      <c r="I246" s="255">
        <f t="shared" si="103"/>
        <v>529443</v>
      </c>
      <c r="J246" s="255">
        <f t="shared" si="104"/>
        <v>0</v>
      </c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>
        <f>29890</f>
        <v>29890</v>
      </c>
      <c r="AE246" s="255">
        <f>AD246+AF246</f>
        <v>29890</v>
      </c>
      <c r="AF246" s="255">
        <f>SUM(AG246:AL246)</f>
        <v>0</v>
      </c>
      <c r="AG246" s="255"/>
      <c r="AH246" s="255"/>
      <c r="AI246" s="255"/>
      <c r="AJ246" s="255"/>
      <c r="AK246" s="255"/>
      <c r="AL246" s="255"/>
      <c r="AM246" s="255">
        <f>630634</f>
        <v>630634</v>
      </c>
      <c r="AN246" s="255">
        <f t="shared" si="105"/>
        <v>631761</v>
      </c>
      <c r="AO246" s="256">
        <f t="shared" si="106"/>
        <v>1127</v>
      </c>
      <c r="AP246" s="256"/>
      <c r="AQ246" s="256">
        <v>1127</v>
      </c>
      <c r="AR246" s="256"/>
      <c r="AS246" s="256"/>
      <c r="AT246" s="256"/>
      <c r="AU246" s="256"/>
      <c r="AV246" s="256"/>
      <c r="AW246" s="256"/>
      <c r="AX246" s="256"/>
      <c r="AY246" s="256">
        <v>2274</v>
      </c>
      <c r="AZ246" s="255">
        <f>AY246+BA246</f>
        <v>2274</v>
      </c>
      <c r="BA246" s="257">
        <f>SUM(BB246:BG246)</f>
        <v>0</v>
      </c>
      <c r="BB246" s="256"/>
      <c r="BC246" s="256"/>
      <c r="BD246" s="256"/>
      <c r="BE246" s="256"/>
      <c r="BF246" s="256"/>
      <c r="BG246" s="256"/>
      <c r="BH246" s="258" t="s">
        <v>482</v>
      </c>
      <c r="BI246" s="259"/>
    </row>
    <row r="247" spans="1:61" ht="36" x14ac:dyDescent="0.2">
      <c r="A247" s="263"/>
      <c r="B247" s="264"/>
      <c r="C247" s="265"/>
      <c r="D247" s="266"/>
      <c r="E247" s="253" t="s">
        <v>278</v>
      </c>
      <c r="F247" s="254">
        <v>27755</v>
      </c>
      <c r="G247" s="255">
        <f t="shared" si="99"/>
        <v>27755</v>
      </c>
      <c r="H247" s="254">
        <f>24194</f>
        <v>24194</v>
      </c>
      <c r="I247" s="255">
        <f t="shared" si="103"/>
        <v>24194</v>
      </c>
      <c r="J247" s="255">
        <f t="shared" si="104"/>
        <v>0</v>
      </c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>
        <v>3561</v>
      </c>
      <c r="AN247" s="255">
        <f t="shared" si="105"/>
        <v>3561</v>
      </c>
      <c r="AO247" s="256">
        <f t="shared" si="106"/>
        <v>0</v>
      </c>
      <c r="AP247" s="256"/>
      <c r="AQ247" s="256"/>
      <c r="AR247" s="256"/>
      <c r="AS247" s="256"/>
      <c r="AT247" s="256"/>
      <c r="AU247" s="256"/>
      <c r="AV247" s="256"/>
      <c r="AW247" s="256"/>
      <c r="AX247" s="256"/>
      <c r="AY247" s="256"/>
      <c r="AZ247" s="255"/>
      <c r="BA247" s="257"/>
      <c r="BB247" s="256"/>
      <c r="BC247" s="256"/>
      <c r="BD247" s="256"/>
      <c r="BE247" s="256"/>
      <c r="BF247" s="256"/>
      <c r="BG247" s="256"/>
      <c r="BH247" s="258" t="s">
        <v>483</v>
      </c>
      <c r="BI247" s="259"/>
    </row>
    <row r="248" spans="1:61" ht="12.75" x14ac:dyDescent="0.2">
      <c r="A248" s="263"/>
      <c r="B248" s="264"/>
      <c r="C248" s="265"/>
      <c r="D248" s="266"/>
      <c r="E248" s="253" t="s">
        <v>356</v>
      </c>
      <c r="F248" s="254">
        <v>32245</v>
      </c>
      <c r="G248" s="255">
        <f t="shared" si="99"/>
        <v>32245</v>
      </c>
      <c r="H248" s="254">
        <f>32245</f>
        <v>32245</v>
      </c>
      <c r="I248" s="255">
        <f t="shared" si="103"/>
        <v>32245</v>
      </c>
      <c r="J248" s="255">
        <f t="shared" si="104"/>
        <v>0</v>
      </c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>
        <f t="shared" si="105"/>
        <v>0</v>
      </c>
      <c r="AO248" s="256">
        <f t="shared" si="106"/>
        <v>0</v>
      </c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5"/>
      <c r="BA248" s="257"/>
      <c r="BB248" s="256"/>
      <c r="BC248" s="256"/>
      <c r="BD248" s="256"/>
      <c r="BE248" s="256"/>
      <c r="BF248" s="256"/>
      <c r="BG248" s="256"/>
      <c r="BH248" s="258" t="s">
        <v>484</v>
      </c>
      <c r="BI248" s="259"/>
    </row>
    <row r="249" spans="1:61" ht="24" x14ac:dyDescent="0.2">
      <c r="A249" s="263"/>
      <c r="B249" s="264"/>
      <c r="C249" s="265"/>
      <c r="D249" s="266"/>
      <c r="E249" s="253" t="s">
        <v>281</v>
      </c>
      <c r="F249" s="254">
        <v>10500</v>
      </c>
      <c r="G249" s="255">
        <f t="shared" si="99"/>
        <v>10500</v>
      </c>
      <c r="H249" s="254">
        <f>10500</f>
        <v>10500</v>
      </c>
      <c r="I249" s="255">
        <f t="shared" si="103"/>
        <v>10500</v>
      </c>
      <c r="J249" s="255">
        <f t="shared" si="104"/>
        <v>0</v>
      </c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>
        <f t="shared" si="105"/>
        <v>0</v>
      </c>
      <c r="AO249" s="256">
        <f t="shared" si="106"/>
        <v>0</v>
      </c>
      <c r="AP249" s="256"/>
      <c r="AQ249" s="256"/>
      <c r="AR249" s="256"/>
      <c r="AS249" s="256"/>
      <c r="AT249" s="256"/>
      <c r="AU249" s="256"/>
      <c r="AV249" s="256"/>
      <c r="AW249" s="256"/>
      <c r="AX249" s="256"/>
      <c r="AY249" s="256"/>
      <c r="AZ249" s="255"/>
      <c r="BA249" s="257"/>
      <c r="BB249" s="256"/>
      <c r="BC249" s="256"/>
      <c r="BD249" s="256"/>
      <c r="BE249" s="256"/>
      <c r="BF249" s="256"/>
      <c r="BG249" s="256"/>
      <c r="BH249" s="258" t="s">
        <v>485</v>
      </c>
      <c r="BI249" s="259"/>
    </row>
    <row r="250" spans="1:61" ht="12.75" x14ac:dyDescent="0.2">
      <c r="A250" s="263"/>
      <c r="B250" s="264"/>
      <c r="C250" s="265"/>
      <c r="D250" s="266"/>
      <c r="E250" s="253" t="s">
        <v>279</v>
      </c>
      <c r="F250" s="254">
        <v>85885</v>
      </c>
      <c r="G250" s="255">
        <f t="shared" si="99"/>
        <v>85885</v>
      </c>
      <c r="H250" s="254">
        <f>85885</f>
        <v>85885</v>
      </c>
      <c r="I250" s="255">
        <f t="shared" si="103"/>
        <v>85885</v>
      </c>
      <c r="J250" s="255">
        <f t="shared" si="104"/>
        <v>0</v>
      </c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>
        <f t="shared" si="105"/>
        <v>0</v>
      </c>
      <c r="AO250" s="256">
        <f t="shared" si="106"/>
        <v>0</v>
      </c>
      <c r="AP250" s="256"/>
      <c r="AQ250" s="256"/>
      <c r="AR250" s="256"/>
      <c r="AS250" s="256"/>
      <c r="AT250" s="256"/>
      <c r="AU250" s="256"/>
      <c r="AV250" s="256"/>
      <c r="AW250" s="256"/>
      <c r="AX250" s="256"/>
      <c r="AY250" s="256"/>
      <c r="AZ250" s="255"/>
      <c r="BA250" s="257"/>
      <c r="BB250" s="256"/>
      <c r="BC250" s="256"/>
      <c r="BD250" s="256"/>
      <c r="BE250" s="256"/>
      <c r="BF250" s="256"/>
      <c r="BG250" s="256"/>
      <c r="BH250" s="258" t="s">
        <v>486</v>
      </c>
      <c r="BI250" s="259"/>
    </row>
    <row r="251" spans="1:61" ht="24" x14ac:dyDescent="0.2">
      <c r="A251" s="263"/>
      <c r="B251" s="264"/>
      <c r="C251" s="265"/>
      <c r="D251" s="266"/>
      <c r="E251" s="253" t="s">
        <v>650</v>
      </c>
      <c r="F251" s="254">
        <v>368615</v>
      </c>
      <c r="G251" s="255">
        <f t="shared" si="99"/>
        <v>368615</v>
      </c>
      <c r="H251" s="254">
        <f>368615</f>
        <v>368615</v>
      </c>
      <c r="I251" s="255">
        <f t="shared" si="103"/>
        <v>368615</v>
      </c>
      <c r="J251" s="255">
        <f t="shared" si="104"/>
        <v>0</v>
      </c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>
        <f t="shared" si="105"/>
        <v>0</v>
      </c>
      <c r="AO251" s="256">
        <f t="shared" si="106"/>
        <v>0</v>
      </c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5"/>
      <c r="BA251" s="257"/>
      <c r="BB251" s="256"/>
      <c r="BC251" s="256"/>
      <c r="BD251" s="256"/>
      <c r="BE251" s="256"/>
      <c r="BF251" s="256"/>
      <c r="BG251" s="256"/>
      <c r="BH251" s="258" t="s">
        <v>487</v>
      </c>
      <c r="BI251" s="259"/>
    </row>
    <row r="252" spans="1:61" ht="24" x14ac:dyDescent="0.2">
      <c r="A252" s="263"/>
      <c r="B252" s="264"/>
      <c r="C252" s="265"/>
      <c r="D252" s="266"/>
      <c r="E252" s="253" t="s">
        <v>280</v>
      </c>
      <c r="F252" s="254">
        <v>42976</v>
      </c>
      <c r="G252" s="255">
        <f t="shared" si="99"/>
        <v>42976</v>
      </c>
      <c r="H252" s="254">
        <f>42976</f>
        <v>42976</v>
      </c>
      <c r="I252" s="255">
        <f t="shared" si="103"/>
        <v>42976</v>
      </c>
      <c r="J252" s="255">
        <f t="shared" si="104"/>
        <v>0</v>
      </c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>
        <f t="shared" si="105"/>
        <v>0</v>
      </c>
      <c r="AO252" s="256">
        <f t="shared" si="106"/>
        <v>0</v>
      </c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5"/>
      <c r="BA252" s="257"/>
      <c r="BB252" s="256"/>
      <c r="BC252" s="256"/>
      <c r="BD252" s="256"/>
      <c r="BE252" s="256"/>
      <c r="BF252" s="256"/>
      <c r="BG252" s="256"/>
      <c r="BH252" s="258" t="s">
        <v>488</v>
      </c>
      <c r="BI252" s="259"/>
    </row>
    <row r="253" spans="1:61" ht="24" x14ac:dyDescent="0.2">
      <c r="A253" s="263"/>
      <c r="B253" s="264"/>
      <c r="C253" s="265"/>
      <c r="D253" s="266"/>
      <c r="E253" s="253" t="s">
        <v>504</v>
      </c>
      <c r="F253" s="254">
        <v>31630</v>
      </c>
      <c r="G253" s="255">
        <f t="shared" si="99"/>
        <v>31630</v>
      </c>
      <c r="H253" s="254">
        <f>31630</f>
        <v>31630</v>
      </c>
      <c r="I253" s="255">
        <f t="shared" si="103"/>
        <v>31630</v>
      </c>
      <c r="J253" s="255">
        <f t="shared" si="104"/>
        <v>0</v>
      </c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>
        <f t="shared" si="105"/>
        <v>0</v>
      </c>
      <c r="AO253" s="256">
        <f t="shared" si="106"/>
        <v>0</v>
      </c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5"/>
      <c r="BA253" s="257"/>
      <c r="BB253" s="256"/>
      <c r="BC253" s="256"/>
      <c r="BD253" s="256"/>
      <c r="BE253" s="256"/>
      <c r="BF253" s="256"/>
      <c r="BG253" s="256"/>
      <c r="BH253" s="258" t="s">
        <v>663</v>
      </c>
      <c r="BI253" s="259"/>
    </row>
    <row r="254" spans="1:61" ht="48" x14ac:dyDescent="0.2">
      <c r="A254" s="263"/>
      <c r="B254" s="264"/>
      <c r="C254" s="265"/>
      <c r="D254" s="266"/>
      <c r="E254" s="253" t="s">
        <v>357</v>
      </c>
      <c r="F254" s="254">
        <v>186887</v>
      </c>
      <c r="G254" s="255">
        <f t="shared" si="99"/>
        <v>186887</v>
      </c>
      <c r="H254" s="254">
        <f>185242</f>
        <v>185242</v>
      </c>
      <c r="I254" s="255">
        <f t="shared" si="103"/>
        <v>185242</v>
      </c>
      <c r="J254" s="255">
        <f t="shared" si="104"/>
        <v>0</v>
      </c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>
        <v>1645</v>
      </c>
      <c r="AN254" s="255">
        <f t="shared" si="105"/>
        <v>1645</v>
      </c>
      <c r="AO254" s="256">
        <f t="shared" si="106"/>
        <v>0</v>
      </c>
      <c r="AP254" s="256"/>
      <c r="AQ254" s="256"/>
      <c r="AR254" s="256"/>
      <c r="AS254" s="256"/>
      <c r="AT254" s="256"/>
      <c r="AU254" s="256"/>
      <c r="AV254" s="256"/>
      <c r="AW254" s="256"/>
      <c r="AX254" s="256"/>
      <c r="AY254" s="256"/>
      <c r="AZ254" s="255"/>
      <c r="BA254" s="257"/>
      <c r="BB254" s="256"/>
      <c r="BC254" s="256"/>
      <c r="BD254" s="256"/>
      <c r="BE254" s="256"/>
      <c r="BF254" s="256"/>
      <c r="BG254" s="256"/>
      <c r="BH254" s="258" t="s">
        <v>489</v>
      </c>
      <c r="BI254" s="259"/>
    </row>
    <row r="255" spans="1:61" ht="48" x14ac:dyDescent="0.2">
      <c r="A255" s="263"/>
      <c r="B255" s="264"/>
      <c r="C255" s="265"/>
      <c r="D255" s="266"/>
      <c r="E255" s="253" t="s">
        <v>670</v>
      </c>
      <c r="F255" s="254">
        <v>63079</v>
      </c>
      <c r="G255" s="255">
        <f t="shared" si="99"/>
        <v>64070</v>
      </c>
      <c r="H255" s="254">
        <f>63079</f>
        <v>63079</v>
      </c>
      <c r="I255" s="255">
        <f t="shared" si="103"/>
        <v>64070</v>
      </c>
      <c r="J255" s="255">
        <f t="shared" si="104"/>
        <v>991</v>
      </c>
      <c r="K255" s="255"/>
      <c r="L255" s="255"/>
      <c r="M255" s="255"/>
      <c r="N255" s="255">
        <v>991</v>
      </c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>
        <f t="shared" si="105"/>
        <v>0</v>
      </c>
      <c r="AO255" s="256">
        <f>SUM(AP255:AW255)</f>
        <v>0</v>
      </c>
      <c r="AP255" s="256"/>
      <c r="AQ255" s="256"/>
      <c r="AR255" s="256"/>
      <c r="AS255" s="256"/>
      <c r="AT255" s="256"/>
      <c r="AU255" s="256"/>
      <c r="AV255" s="256"/>
      <c r="AW255" s="256"/>
      <c r="AX255" s="256"/>
      <c r="AY255" s="256"/>
      <c r="AZ255" s="255"/>
      <c r="BA255" s="257"/>
      <c r="BB255" s="256"/>
      <c r="BC255" s="256"/>
      <c r="BD255" s="256"/>
      <c r="BE255" s="256"/>
      <c r="BF255" s="256"/>
      <c r="BG255" s="256"/>
      <c r="BH255" s="258" t="s">
        <v>664</v>
      </c>
      <c r="BI255" s="259"/>
    </row>
    <row r="256" spans="1:61" ht="24" x14ac:dyDescent="0.2">
      <c r="A256" s="263">
        <v>90001868844</v>
      </c>
      <c r="B256" s="264"/>
      <c r="C256" s="413" t="s">
        <v>200</v>
      </c>
      <c r="D256" s="414"/>
      <c r="E256" s="253" t="s">
        <v>250</v>
      </c>
      <c r="F256" s="254">
        <v>596329</v>
      </c>
      <c r="G256" s="255">
        <f t="shared" si="99"/>
        <v>597111</v>
      </c>
      <c r="H256" s="254">
        <f>585707</f>
        <v>585707</v>
      </c>
      <c r="I256" s="255">
        <f t="shared" si="103"/>
        <v>585835</v>
      </c>
      <c r="J256" s="255">
        <f t="shared" si="104"/>
        <v>128</v>
      </c>
      <c r="K256" s="255"/>
      <c r="L256" s="255"/>
      <c r="M256" s="255"/>
      <c r="N256" s="255">
        <v>128</v>
      </c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>
        <v>4300</v>
      </c>
      <c r="AN256" s="255">
        <f t="shared" si="105"/>
        <v>4300</v>
      </c>
      <c r="AO256" s="256">
        <f t="shared" si="106"/>
        <v>0</v>
      </c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>
        <f>6322</f>
        <v>6322</v>
      </c>
      <c r="AZ256" s="255">
        <f>AY256+BA256</f>
        <v>6976</v>
      </c>
      <c r="BA256" s="257">
        <f>SUM(BB256:BG256)</f>
        <v>654</v>
      </c>
      <c r="BB256" s="256">
        <v>654</v>
      </c>
      <c r="BC256" s="256"/>
      <c r="BD256" s="256"/>
      <c r="BE256" s="256"/>
      <c r="BF256" s="256"/>
      <c r="BG256" s="256"/>
      <c r="BH256" s="258" t="s">
        <v>490</v>
      </c>
      <c r="BI256" s="259"/>
    </row>
    <row r="257" spans="1:61" ht="24" x14ac:dyDescent="0.2">
      <c r="A257" s="263"/>
      <c r="B257" s="264"/>
      <c r="C257" s="265"/>
      <c r="D257" s="266"/>
      <c r="E257" s="253" t="s">
        <v>281</v>
      </c>
      <c r="F257" s="254">
        <v>1770</v>
      </c>
      <c r="G257" s="255">
        <f t="shared" si="99"/>
        <v>1770</v>
      </c>
      <c r="H257" s="254">
        <f>1770</f>
        <v>1770</v>
      </c>
      <c r="I257" s="255">
        <f t="shared" si="103"/>
        <v>1770</v>
      </c>
      <c r="J257" s="255">
        <f t="shared" si="104"/>
        <v>0</v>
      </c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>
        <f t="shared" si="105"/>
        <v>0</v>
      </c>
      <c r="AO257" s="256">
        <f t="shared" si="106"/>
        <v>0</v>
      </c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6"/>
      <c r="AZ257" s="255"/>
      <c r="BA257" s="257"/>
      <c r="BB257" s="255"/>
      <c r="BC257" s="255"/>
      <c r="BD257" s="255"/>
      <c r="BE257" s="255"/>
      <c r="BF257" s="255"/>
      <c r="BG257" s="255"/>
      <c r="BH257" s="258" t="s">
        <v>491</v>
      </c>
      <c r="BI257" s="259"/>
    </row>
    <row r="258" spans="1:61" ht="24" x14ac:dyDescent="0.2">
      <c r="A258" s="263">
        <v>90000091456</v>
      </c>
      <c r="B258" s="264"/>
      <c r="C258" s="413" t="s">
        <v>258</v>
      </c>
      <c r="D258" s="414"/>
      <c r="E258" s="253" t="s">
        <v>251</v>
      </c>
      <c r="F258" s="254">
        <v>134178</v>
      </c>
      <c r="G258" s="255">
        <f t="shared" si="99"/>
        <v>134202</v>
      </c>
      <c r="H258" s="254">
        <f>134178</f>
        <v>134178</v>
      </c>
      <c r="I258" s="255">
        <f t="shared" si="103"/>
        <v>134202</v>
      </c>
      <c r="J258" s="255">
        <f t="shared" si="104"/>
        <v>24</v>
      </c>
      <c r="K258" s="255"/>
      <c r="L258" s="255"/>
      <c r="M258" s="255"/>
      <c r="N258" s="255">
        <v>24</v>
      </c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>
        <f t="shared" si="105"/>
        <v>0</v>
      </c>
      <c r="AO258" s="256">
        <f t="shared" si="106"/>
        <v>0</v>
      </c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5"/>
      <c r="BA258" s="257"/>
      <c r="BB258" s="256"/>
      <c r="BC258" s="256"/>
      <c r="BD258" s="256"/>
      <c r="BE258" s="256"/>
      <c r="BF258" s="256"/>
      <c r="BG258" s="256"/>
      <c r="BH258" s="258" t="s">
        <v>492</v>
      </c>
      <c r="BI258" s="259"/>
    </row>
    <row r="259" spans="1:61" ht="72" x14ac:dyDescent="0.2">
      <c r="A259" s="263">
        <v>50003220021</v>
      </c>
      <c r="B259" s="264"/>
      <c r="C259" s="413" t="s">
        <v>331</v>
      </c>
      <c r="D259" s="414"/>
      <c r="E259" s="253" t="s">
        <v>671</v>
      </c>
      <c r="F259" s="254">
        <v>15839</v>
      </c>
      <c r="G259" s="255">
        <f t="shared" si="99"/>
        <v>15839</v>
      </c>
      <c r="H259" s="254">
        <f>15839</f>
        <v>15839</v>
      </c>
      <c r="I259" s="255">
        <f t="shared" si="103"/>
        <v>15839</v>
      </c>
      <c r="J259" s="255">
        <f t="shared" si="104"/>
        <v>0</v>
      </c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>
        <f t="shared" si="105"/>
        <v>0</v>
      </c>
      <c r="AO259" s="256">
        <f t="shared" si="106"/>
        <v>0</v>
      </c>
      <c r="AP259" s="256"/>
      <c r="AQ259" s="256"/>
      <c r="AR259" s="256"/>
      <c r="AS259" s="256"/>
      <c r="AT259" s="256"/>
      <c r="AU259" s="256"/>
      <c r="AV259" s="256"/>
      <c r="AW259" s="256"/>
      <c r="AX259" s="256"/>
      <c r="AY259" s="256"/>
      <c r="AZ259" s="255"/>
      <c r="BA259" s="257"/>
      <c r="BB259" s="256"/>
      <c r="BC259" s="256"/>
      <c r="BD259" s="256"/>
      <c r="BE259" s="256"/>
      <c r="BF259" s="256"/>
      <c r="BG259" s="256"/>
      <c r="BH259" s="258" t="s">
        <v>493</v>
      </c>
      <c r="BI259" s="259"/>
    </row>
    <row r="260" spans="1:61" ht="64.5" customHeight="1" x14ac:dyDescent="0.2">
      <c r="A260" s="263"/>
      <c r="B260" s="264"/>
      <c r="C260" s="413" t="s">
        <v>214</v>
      </c>
      <c r="D260" s="414"/>
      <c r="E260" s="293" t="s">
        <v>526</v>
      </c>
      <c r="F260" s="254">
        <v>241889</v>
      </c>
      <c r="G260" s="255">
        <f t="shared" si="99"/>
        <v>241889</v>
      </c>
      <c r="H260" s="254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6"/>
      <c r="AP260" s="255"/>
      <c r="AQ260" s="255"/>
      <c r="AR260" s="255"/>
      <c r="AS260" s="255"/>
      <c r="AT260" s="255"/>
      <c r="AU260" s="255"/>
      <c r="AV260" s="255"/>
      <c r="AW260" s="255"/>
      <c r="AX260" s="255">
        <v>241889</v>
      </c>
      <c r="AY260" s="256"/>
      <c r="AZ260" s="255"/>
      <c r="BA260" s="257"/>
      <c r="BB260" s="255"/>
      <c r="BC260" s="255"/>
      <c r="BD260" s="255"/>
      <c r="BE260" s="255"/>
      <c r="BF260" s="255"/>
      <c r="BG260" s="255"/>
      <c r="BH260" s="258"/>
      <c r="BI260" s="259"/>
    </row>
    <row r="261" spans="1:61" ht="48" x14ac:dyDescent="0.2">
      <c r="A261" s="263"/>
      <c r="B261" s="264"/>
      <c r="C261" s="265"/>
      <c r="D261" s="266"/>
      <c r="E261" s="293" t="s">
        <v>363</v>
      </c>
      <c r="F261" s="254">
        <v>106716</v>
      </c>
      <c r="G261" s="255">
        <f t="shared" si="99"/>
        <v>106716</v>
      </c>
      <c r="H261" s="254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6"/>
      <c r="AP261" s="255"/>
      <c r="AQ261" s="255"/>
      <c r="AR261" s="255"/>
      <c r="AS261" s="255"/>
      <c r="AT261" s="255"/>
      <c r="AU261" s="255"/>
      <c r="AV261" s="255"/>
      <c r="AW261" s="255"/>
      <c r="AX261" s="255">
        <v>106716</v>
      </c>
      <c r="AY261" s="256"/>
      <c r="AZ261" s="255"/>
      <c r="BA261" s="257"/>
      <c r="BB261" s="255"/>
      <c r="BC261" s="255"/>
      <c r="BD261" s="255"/>
      <c r="BE261" s="255"/>
      <c r="BF261" s="255"/>
      <c r="BG261" s="255"/>
      <c r="BH261" s="258"/>
      <c r="BI261" s="259"/>
    </row>
    <row r="262" spans="1:61" ht="12.75" thickBot="1" x14ac:dyDescent="0.25">
      <c r="A262" s="277"/>
      <c r="C262" s="415"/>
      <c r="D262" s="416"/>
      <c r="E262" s="294"/>
      <c r="F262" s="267"/>
      <c r="G262" s="268"/>
      <c r="H262" s="267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  <c r="AD262" s="268"/>
      <c r="AE262" s="268"/>
      <c r="AF262" s="268"/>
      <c r="AG262" s="268"/>
      <c r="AH262" s="268"/>
      <c r="AI262" s="268"/>
      <c r="AJ262" s="268"/>
      <c r="AK262" s="268"/>
      <c r="AL262" s="268"/>
      <c r="AM262" s="268"/>
      <c r="AN262" s="268"/>
      <c r="AO262" s="269"/>
      <c r="AP262" s="269"/>
      <c r="AQ262" s="269"/>
      <c r="AR262" s="269"/>
      <c r="AS262" s="269"/>
      <c r="AT262" s="269"/>
      <c r="AU262" s="269"/>
      <c r="AV262" s="269"/>
      <c r="AW262" s="269"/>
      <c r="AX262" s="269"/>
      <c r="AY262" s="269"/>
      <c r="AZ262" s="268"/>
      <c r="BA262" s="270"/>
      <c r="BB262" s="269"/>
      <c r="BC262" s="269"/>
      <c r="BD262" s="269"/>
      <c r="BE262" s="269"/>
      <c r="BF262" s="269"/>
      <c r="BG262" s="269"/>
      <c r="BH262" s="271"/>
      <c r="BI262" s="339"/>
    </row>
    <row r="263" spans="1:61" ht="13.5" thickTop="1" thickBot="1" x14ac:dyDescent="0.25">
      <c r="A263" s="340"/>
      <c r="B263" s="411" t="s">
        <v>149</v>
      </c>
      <c r="C263" s="411"/>
      <c r="D263" s="412"/>
      <c r="E263" s="341"/>
      <c r="F263" s="342">
        <v>403848</v>
      </c>
      <c r="G263" s="343">
        <f>SUM(I263,AE263,AN263,AX263,AZ263)</f>
        <v>1439224</v>
      </c>
      <c r="H263" s="342">
        <f>SUM(H264)</f>
        <v>289094</v>
      </c>
      <c r="I263" s="344">
        <f>SUM(I264)</f>
        <v>1105275</v>
      </c>
      <c r="J263" s="344">
        <f t="shared" ref="J263:BG263" si="107">SUM(J264)</f>
        <v>816181</v>
      </c>
      <c r="K263" s="344">
        <f t="shared" si="107"/>
        <v>0</v>
      </c>
      <c r="L263" s="344">
        <f t="shared" si="107"/>
        <v>0</v>
      </c>
      <c r="M263" s="344">
        <f t="shared" si="107"/>
        <v>0</v>
      </c>
      <c r="N263" s="344">
        <f t="shared" si="107"/>
        <v>1030341</v>
      </c>
      <c r="O263" s="344">
        <f t="shared" si="107"/>
        <v>-113825</v>
      </c>
      <c r="P263" s="344">
        <f t="shared" si="107"/>
        <v>-443104</v>
      </c>
      <c r="Q263" s="344">
        <f t="shared" si="107"/>
        <v>800</v>
      </c>
      <c r="R263" s="344">
        <f t="shared" si="107"/>
        <v>-375572</v>
      </c>
      <c r="S263" s="344">
        <f t="shared" si="107"/>
        <v>0</v>
      </c>
      <c r="T263" s="344">
        <f t="shared" si="107"/>
        <v>0</v>
      </c>
      <c r="U263" s="344">
        <f t="shared" si="107"/>
        <v>0</v>
      </c>
      <c r="V263" s="344">
        <f t="shared" si="107"/>
        <v>-72445</v>
      </c>
      <c r="W263" s="344">
        <f t="shared" si="107"/>
        <v>1125</v>
      </c>
      <c r="X263" s="344">
        <f t="shared" si="107"/>
        <v>0</v>
      </c>
      <c r="Y263" s="344">
        <f t="shared" si="107"/>
        <v>788861</v>
      </c>
      <c r="Z263" s="344">
        <f t="shared" si="107"/>
        <v>0</v>
      </c>
      <c r="AA263" s="344">
        <f t="shared" si="107"/>
        <v>0</v>
      </c>
      <c r="AB263" s="344">
        <f t="shared" si="107"/>
        <v>0</v>
      </c>
      <c r="AC263" s="344">
        <f t="shared" si="107"/>
        <v>0</v>
      </c>
      <c r="AD263" s="344">
        <f t="shared" si="107"/>
        <v>2942</v>
      </c>
      <c r="AE263" s="344">
        <f t="shared" si="107"/>
        <v>283786</v>
      </c>
      <c r="AF263" s="344">
        <f t="shared" si="107"/>
        <v>280844</v>
      </c>
      <c r="AG263" s="344">
        <f t="shared" si="107"/>
        <v>352083</v>
      </c>
      <c r="AH263" s="344">
        <f t="shared" si="107"/>
        <v>-61625</v>
      </c>
      <c r="AI263" s="344">
        <f t="shared" si="107"/>
        <v>0</v>
      </c>
      <c r="AJ263" s="344">
        <f t="shared" si="107"/>
        <v>-9614</v>
      </c>
      <c r="AK263" s="344">
        <f t="shared" si="107"/>
        <v>0</v>
      </c>
      <c r="AL263" s="344">
        <f t="shared" si="107"/>
        <v>0</v>
      </c>
      <c r="AM263" s="344">
        <f t="shared" si="107"/>
        <v>111076</v>
      </c>
      <c r="AN263" s="344">
        <f t="shared" si="107"/>
        <v>49377</v>
      </c>
      <c r="AO263" s="345">
        <f t="shared" si="107"/>
        <v>-61699</v>
      </c>
      <c r="AP263" s="345">
        <f t="shared" si="107"/>
        <v>13324</v>
      </c>
      <c r="AQ263" s="345">
        <f t="shared" si="107"/>
        <v>-5256</v>
      </c>
      <c r="AR263" s="345">
        <f t="shared" si="107"/>
        <v>-65410</v>
      </c>
      <c r="AS263" s="345">
        <f t="shared" si="107"/>
        <v>0</v>
      </c>
      <c r="AT263" s="345">
        <f t="shared" si="107"/>
        <v>-4357</v>
      </c>
      <c r="AU263" s="345">
        <f t="shared" si="107"/>
        <v>0</v>
      </c>
      <c r="AV263" s="345">
        <f t="shared" si="107"/>
        <v>0</v>
      </c>
      <c r="AW263" s="345">
        <f t="shared" si="107"/>
        <v>0</v>
      </c>
      <c r="AX263" s="345">
        <f t="shared" si="107"/>
        <v>0</v>
      </c>
      <c r="AY263" s="345">
        <f t="shared" si="107"/>
        <v>736</v>
      </c>
      <c r="AZ263" s="344">
        <f t="shared" si="107"/>
        <v>786</v>
      </c>
      <c r="BA263" s="346">
        <f t="shared" si="107"/>
        <v>50</v>
      </c>
      <c r="BB263" s="345">
        <f t="shared" si="107"/>
        <v>3024</v>
      </c>
      <c r="BC263" s="345">
        <f t="shared" si="107"/>
        <v>-2974</v>
      </c>
      <c r="BD263" s="345">
        <f t="shared" si="107"/>
        <v>0</v>
      </c>
      <c r="BE263" s="345">
        <f t="shared" si="107"/>
        <v>0</v>
      </c>
      <c r="BF263" s="345">
        <f t="shared" si="107"/>
        <v>0</v>
      </c>
      <c r="BG263" s="345">
        <f t="shared" si="107"/>
        <v>0</v>
      </c>
      <c r="BH263" s="347"/>
      <c r="BI263" s="348"/>
    </row>
    <row r="264" spans="1:61" ht="36" customHeight="1" thickTop="1" thickBot="1" x14ac:dyDescent="0.25">
      <c r="A264" s="349"/>
      <c r="B264" s="350"/>
      <c r="C264" s="417" t="s">
        <v>734</v>
      </c>
      <c r="D264" s="418"/>
      <c r="E264" s="351"/>
      <c r="F264" s="352">
        <v>403848</v>
      </c>
      <c r="G264" s="353">
        <f>SUM(I264,AE264,AN264,AX264,AZ264)</f>
        <v>1439224</v>
      </c>
      <c r="H264" s="352">
        <f>289094</f>
        <v>289094</v>
      </c>
      <c r="I264" s="255">
        <f>H264+J264</f>
        <v>1105275</v>
      </c>
      <c r="J264" s="353">
        <f>SUM(K264:AC264)</f>
        <v>816181</v>
      </c>
      <c r="K264" s="353"/>
      <c r="L264" s="353"/>
      <c r="M264" s="353"/>
      <c r="N264" s="353">
        <f>984100+46241</f>
        <v>1030341</v>
      </c>
      <c r="O264" s="353">
        <f>-78774-35051</f>
        <v>-113825</v>
      </c>
      <c r="P264" s="353">
        <f>89378-894137+204047+14223+45963+173600-76178</f>
        <v>-443104</v>
      </c>
      <c r="Q264" s="353">
        <v>800</v>
      </c>
      <c r="R264" s="353">
        <f>15230+195+1659+20000-4386-330931+3724-33765+6473-19360-34411</f>
        <v>-375572</v>
      </c>
      <c r="S264" s="353"/>
      <c r="T264" s="353"/>
      <c r="U264" s="353"/>
      <c r="V264" s="353">
        <f>-600-72192+347</f>
        <v>-72445</v>
      </c>
      <c r="W264" s="353">
        <v>1125</v>
      </c>
      <c r="X264" s="353"/>
      <c r="Y264" s="353">
        <v>788861</v>
      </c>
      <c r="Z264" s="353"/>
      <c r="AA264" s="353"/>
      <c r="AB264" s="353"/>
      <c r="AC264" s="353"/>
      <c r="AD264" s="353">
        <f>2942</f>
        <v>2942</v>
      </c>
      <c r="AE264" s="353">
        <f>AD264+AF264</f>
        <v>283786</v>
      </c>
      <c r="AF264" s="353">
        <f>SUM(AG264:AL264)</f>
        <v>280844</v>
      </c>
      <c r="AG264" s="353">
        <v>352083</v>
      </c>
      <c r="AH264" s="353">
        <f>-15063-11218-8399-26945</f>
        <v>-61625</v>
      </c>
      <c r="AI264" s="353"/>
      <c r="AJ264" s="353">
        <v>-9614</v>
      </c>
      <c r="AK264" s="353"/>
      <c r="AL264" s="353"/>
      <c r="AM264" s="353">
        <f>111076</f>
        <v>111076</v>
      </c>
      <c r="AN264" s="353">
        <f>AO264+AM264</f>
        <v>49377</v>
      </c>
      <c r="AO264" s="354">
        <f>SUM(AP264:AW264)</f>
        <v>-61699</v>
      </c>
      <c r="AP264" s="354">
        <v>13324</v>
      </c>
      <c r="AQ264" s="354">
        <v>-5256</v>
      </c>
      <c r="AR264" s="354">
        <f>-37670-13325-14415</f>
        <v>-65410</v>
      </c>
      <c r="AS264" s="354"/>
      <c r="AT264" s="354">
        <f>-2469-1888</f>
        <v>-4357</v>
      </c>
      <c r="AU264" s="354"/>
      <c r="AV264" s="354"/>
      <c r="AW264" s="354"/>
      <c r="AX264" s="354"/>
      <c r="AY264" s="354">
        <f>622+114</f>
        <v>736</v>
      </c>
      <c r="AZ264" s="353">
        <f>AY264+BA264</f>
        <v>786</v>
      </c>
      <c r="BA264" s="355">
        <f>SUM(BB264:BG264)</f>
        <v>50</v>
      </c>
      <c r="BB264" s="354">
        <f>2974+50</f>
        <v>3024</v>
      </c>
      <c r="BC264" s="354">
        <v>-2974</v>
      </c>
      <c r="BD264" s="354"/>
      <c r="BE264" s="354"/>
      <c r="BF264" s="354"/>
      <c r="BG264" s="354"/>
      <c r="BH264" s="356"/>
      <c r="BI264" s="348"/>
    </row>
    <row r="265" spans="1:61" ht="28.5" customHeight="1" thickTop="1" thickBot="1" x14ac:dyDescent="0.25">
      <c r="A265" s="340"/>
      <c r="B265" s="411" t="s">
        <v>146</v>
      </c>
      <c r="C265" s="411"/>
      <c r="D265" s="412"/>
      <c r="E265" s="341"/>
      <c r="F265" s="342">
        <v>104220855.3208452</v>
      </c>
      <c r="G265" s="343">
        <f>SUM(I265,AE265,AN265,AX265,AZ265)</f>
        <v>105534869</v>
      </c>
      <c r="H265" s="342">
        <f t="shared" ref="H265:AW265" si="108">H13+H28+H36-SUM(H60:H62)+H64+H78-H89+H92+H101-SUM(H136:H138)+H141-SUM(H228:H231)+H234-SUM(H260:H261)-H76</f>
        <v>93497782.370000005</v>
      </c>
      <c r="I265" s="344">
        <f t="shared" si="108"/>
        <v>94255194</v>
      </c>
      <c r="J265" s="344">
        <f t="shared" si="108"/>
        <v>757411</v>
      </c>
      <c r="K265" s="344">
        <f t="shared" si="108"/>
        <v>0</v>
      </c>
      <c r="L265" s="344">
        <f t="shared" si="108"/>
        <v>0</v>
      </c>
      <c r="M265" s="344">
        <f t="shared" si="108"/>
        <v>7491</v>
      </c>
      <c r="N265" s="344">
        <f t="shared" si="108"/>
        <v>54047</v>
      </c>
      <c r="O265" s="344">
        <f t="shared" si="108"/>
        <v>113825</v>
      </c>
      <c r="P265" s="344">
        <f t="shared" si="108"/>
        <v>624543</v>
      </c>
      <c r="Q265" s="344">
        <f t="shared" si="108"/>
        <v>3200</v>
      </c>
      <c r="R265" s="344">
        <f t="shared" si="108"/>
        <v>412240</v>
      </c>
      <c r="S265" s="344">
        <f>S13+S28+S36-SUM(S60:S62)+S64+S78-S89+S92+S101-SUM(S136:S138)+S141-SUM(S228:S231)+S234-SUM(S260:S261)-S76</f>
        <v>0</v>
      </c>
      <c r="T265" s="344">
        <f t="shared" si="108"/>
        <v>0</v>
      </c>
      <c r="U265" s="344">
        <f t="shared" si="108"/>
        <v>1983</v>
      </c>
      <c r="V265" s="344">
        <f t="shared" ref="V265:AA265" si="109">V13+V28+V36-SUM(V60:V62)+V64+V78-V89+V92+V101-SUM(V136:V138)+V141-SUM(V228:V231)+V234-SUM(V260:V261)-V76</f>
        <v>322568</v>
      </c>
      <c r="W265" s="344">
        <f t="shared" si="109"/>
        <v>6375</v>
      </c>
      <c r="X265" s="344">
        <f t="shared" si="109"/>
        <v>0</v>
      </c>
      <c r="Y265" s="344">
        <f t="shared" si="109"/>
        <v>-788861</v>
      </c>
      <c r="Z265" s="344">
        <f t="shared" si="109"/>
        <v>0</v>
      </c>
      <c r="AA265" s="344">
        <f t="shared" si="109"/>
        <v>0</v>
      </c>
      <c r="AB265" s="344">
        <f t="shared" si="108"/>
        <v>0</v>
      </c>
      <c r="AC265" s="344">
        <f t="shared" si="108"/>
        <v>0</v>
      </c>
      <c r="AD265" s="344">
        <f t="shared" si="108"/>
        <v>9032053</v>
      </c>
      <c r="AE265" s="344">
        <f t="shared" si="108"/>
        <v>9279987</v>
      </c>
      <c r="AF265" s="344">
        <f t="shared" si="108"/>
        <v>247934</v>
      </c>
      <c r="AG265" s="344">
        <f t="shared" si="108"/>
        <v>149360</v>
      </c>
      <c r="AH265" s="344">
        <f t="shared" si="108"/>
        <v>61625</v>
      </c>
      <c r="AI265" s="344">
        <f t="shared" si="108"/>
        <v>0</v>
      </c>
      <c r="AJ265" s="344">
        <f t="shared" si="108"/>
        <v>36949</v>
      </c>
      <c r="AK265" s="344">
        <f t="shared" si="108"/>
        <v>0</v>
      </c>
      <c r="AL265" s="344">
        <f t="shared" si="108"/>
        <v>0</v>
      </c>
      <c r="AM265" s="344">
        <f t="shared" si="108"/>
        <v>1665090</v>
      </c>
      <c r="AN265" s="344">
        <f t="shared" si="108"/>
        <v>1969614</v>
      </c>
      <c r="AO265" s="344">
        <f t="shared" si="108"/>
        <v>304524</v>
      </c>
      <c r="AP265" s="344">
        <f t="shared" si="108"/>
        <v>22000</v>
      </c>
      <c r="AQ265" s="344">
        <f t="shared" si="108"/>
        <v>110215</v>
      </c>
      <c r="AR265" s="344">
        <f t="shared" si="108"/>
        <v>131270</v>
      </c>
      <c r="AS265" s="344">
        <f t="shared" si="108"/>
        <v>32624</v>
      </c>
      <c r="AT265" s="344">
        <f t="shared" si="108"/>
        <v>8415</v>
      </c>
      <c r="AU265" s="344">
        <f t="shared" ref="AU265:AV265" si="110">AU13+AU28+AU36-SUM(AU60:AU62)+AU64+AU78-AU89+AU92+AU101-SUM(AU136:AU138)+AU141-SUM(AU228:AU231)+AU234-SUM(AU260:AU261)-AU76</f>
        <v>0</v>
      </c>
      <c r="AV265" s="344">
        <f t="shared" si="110"/>
        <v>0</v>
      </c>
      <c r="AW265" s="344">
        <f t="shared" si="108"/>
        <v>0</v>
      </c>
      <c r="AX265" s="344">
        <f>AX13+AX28+AX36-SUM(AX60:AX62)+AX64+AX78-AX89-AX90+AX92+AX101-SUM(AX136:AX139)+AX141-SUM(AX228:AX232)+AX234-SUM(AX260:AX261)-AX76</f>
        <v>0</v>
      </c>
      <c r="AY265" s="344">
        <f t="shared" ref="AY265:BG265" si="111">AY13+AY28+AY36-SUM(AY60:AY62)+AY64+AY78-AY89+AY92+AY101-SUM(AY136:AY138)+AY141-SUM(AY228:AY231)+AY234-SUM(AY260:AY261)-AY76</f>
        <v>25930</v>
      </c>
      <c r="AZ265" s="344">
        <f t="shared" si="111"/>
        <v>30074</v>
      </c>
      <c r="BA265" s="357">
        <f t="shared" si="111"/>
        <v>4144</v>
      </c>
      <c r="BB265" s="344">
        <f t="shared" si="111"/>
        <v>1379</v>
      </c>
      <c r="BC265" s="344">
        <f t="shared" si="111"/>
        <v>2765</v>
      </c>
      <c r="BD265" s="344">
        <f t="shared" si="111"/>
        <v>0</v>
      </c>
      <c r="BE265" s="344">
        <f t="shared" si="111"/>
        <v>0</v>
      </c>
      <c r="BF265" s="344">
        <f t="shared" si="111"/>
        <v>0</v>
      </c>
      <c r="BG265" s="344">
        <f t="shared" si="111"/>
        <v>0</v>
      </c>
      <c r="BH265" s="347"/>
      <c r="BI265" s="358"/>
    </row>
    <row r="266" spans="1:61" ht="13.5" thickTop="1" thickBot="1" x14ac:dyDescent="0.25">
      <c r="A266" s="340"/>
      <c r="B266" s="411" t="s">
        <v>147</v>
      </c>
      <c r="C266" s="411"/>
      <c r="D266" s="412"/>
      <c r="E266" s="245"/>
      <c r="F266" s="284">
        <v>109347454.3208452</v>
      </c>
      <c r="G266" s="285">
        <f>SUM(I266,AE266,AN266,AX266,AZ266)</f>
        <v>111900891</v>
      </c>
      <c r="H266" s="284">
        <f t="shared" ref="H266:BG266" si="112">SUM(H13,H28,H36,H64,H78,H92,H101,H141,H234,H263)</f>
        <v>93786876.370000005</v>
      </c>
      <c r="I266" s="248">
        <f t="shared" si="112"/>
        <v>95360469</v>
      </c>
      <c r="J266" s="248">
        <f t="shared" si="112"/>
        <v>1573592</v>
      </c>
      <c r="K266" s="248">
        <f t="shared" si="112"/>
        <v>0</v>
      </c>
      <c r="L266" s="248">
        <f t="shared" si="112"/>
        <v>0</v>
      </c>
      <c r="M266" s="248">
        <f t="shared" si="112"/>
        <v>7491</v>
      </c>
      <c r="N266" s="248">
        <f t="shared" si="112"/>
        <v>1084388</v>
      </c>
      <c r="O266" s="248">
        <f t="shared" si="112"/>
        <v>0</v>
      </c>
      <c r="P266" s="248">
        <f t="shared" si="112"/>
        <v>181439</v>
      </c>
      <c r="Q266" s="248">
        <f t="shared" si="112"/>
        <v>4000</v>
      </c>
      <c r="R266" s="248">
        <f t="shared" si="112"/>
        <v>36668</v>
      </c>
      <c r="S266" s="248">
        <f>SUM(S13,S28,S36,S64,S78,S92,S101,S141,S234,S263)</f>
        <v>0</v>
      </c>
      <c r="T266" s="248">
        <f t="shared" si="112"/>
        <v>0</v>
      </c>
      <c r="U266" s="248">
        <f t="shared" si="112"/>
        <v>1983</v>
      </c>
      <c r="V266" s="248">
        <f t="shared" ref="V266:AA266" si="113">SUM(V13,V28,V36,V64,V78,V92,V101,V141,V234,V263)</f>
        <v>250123</v>
      </c>
      <c r="W266" s="248">
        <f t="shared" si="113"/>
        <v>7500</v>
      </c>
      <c r="X266" s="248">
        <f t="shared" si="113"/>
        <v>0</v>
      </c>
      <c r="Y266" s="248">
        <f t="shared" si="113"/>
        <v>0</v>
      </c>
      <c r="Z266" s="248">
        <f t="shared" si="113"/>
        <v>0</v>
      </c>
      <c r="AA266" s="248">
        <f t="shared" si="113"/>
        <v>0</v>
      </c>
      <c r="AB266" s="248">
        <f t="shared" si="112"/>
        <v>0</v>
      </c>
      <c r="AC266" s="248">
        <f t="shared" si="112"/>
        <v>0</v>
      </c>
      <c r="AD266" s="248">
        <f t="shared" si="112"/>
        <v>9034995</v>
      </c>
      <c r="AE266" s="248">
        <f>SUM(AE13,AE28,AE36,AE64,AE78,AE92,AE101,AE141,AE234,AE263)</f>
        <v>9563773</v>
      </c>
      <c r="AF266" s="248">
        <f t="shared" si="112"/>
        <v>528778</v>
      </c>
      <c r="AG266" s="248">
        <f t="shared" si="112"/>
        <v>501443</v>
      </c>
      <c r="AH266" s="248">
        <f t="shared" si="112"/>
        <v>0</v>
      </c>
      <c r="AI266" s="248">
        <f t="shared" si="112"/>
        <v>0</v>
      </c>
      <c r="AJ266" s="248">
        <f t="shared" si="112"/>
        <v>27335</v>
      </c>
      <c r="AK266" s="248">
        <f t="shared" si="112"/>
        <v>0</v>
      </c>
      <c r="AL266" s="248">
        <f t="shared" si="112"/>
        <v>0</v>
      </c>
      <c r="AM266" s="248">
        <f t="shared" si="112"/>
        <v>1776166</v>
      </c>
      <c r="AN266" s="248">
        <f t="shared" si="112"/>
        <v>2018991</v>
      </c>
      <c r="AO266" s="286">
        <f t="shared" si="112"/>
        <v>242825</v>
      </c>
      <c r="AP266" s="286">
        <f t="shared" si="112"/>
        <v>35324</v>
      </c>
      <c r="AQ266" s="286">
        <f t="shared" si="112"/>
        <v>104959</v>
      </c>
      <c r="AR266" s="286">
        <f t="shared" si="112"/>
        <v>65860</v>
      </c>
      <c r="AS266" s="286">
        <f t="shared" si="112"/>
        <v>32624</v>
      </c>
      <c r="AT266" s="286">
        <f t="shared" si="112"/>
        <v>4058</v>
      </c>
      <c r="AU266" s="286">
        <f t="shared" ref="AU266:AV266" si="114">SUM(AU13,AU28,AU36,AU64,AU78,AU92,AU101,AU141,AU234,AU263)</f>
        <v>0</v>
      </c>
      <c r="AV266" s="286">
        <f t="shared" si="114"/>
        <v>0</v>
      </c>
      <c r="AW266" s="286">
        <f t="shared" si="112"/>
        <v>0</v>
      </c>
      <c r="AX266" s="286">
        <f t="shared" si="112"/>
        <v>4926798</v>
      </c>
      <c r="AY266" s="286">
        <f t="shared" si="112"/>
        <v>26666</v>
      </c>
      <c r="AZ266" s="248">
        <f t="shared" si="112"/>
        <v>30860</v>
      </c>
      <c r="BA266" s="287">
        <f t="shared" si="112"/>
        <v>4194</v>
      </c>
      <c r="BB266" s="286">
        <f t="shared" si="112"/>
        <v>4403</v>
      </c>
      <c r="BC266" s="286">
        <f t="shared" si="112"/>
        <v>-209</v>
      </c>
      <c r="BD266" s="286">
        <f t="shared" si="112"/>
        <v>0</v>
      </c>
      <c r="BE266" s="286">
        <f t="shared" si="112"/>
        <v>0</v>
      </c>
      <c r="BF266" s="286">
        <f t="shared" si="112"/>
        <v>0</v>
      </c>
      <c r="BG266" s="286">
        <f t="shared" si="112"/>
        <v>0</v>
      </c>
      <c r="BH266" s="359"/>
      <c r="BI266" s="358"/>
    </row>
    <row r="267" spans="1:61" ht="12.75" hidden="1" thickTop="1" x14ac:dyDescent="0.2">
      <c r="C267" s="360"/>
      <c r="D267" s="361" t="s">
        <v>25</v>
      </c>
      <c r="E267" s="361"/>
      <c r="F267" s="361"/>
      <c r="G267" s="362">
        <f>SUM(G14:G21,G29:G35,G37:G62,G65:G74,G76,G79:G87,G93:G100,G102:G140,G142:G223,G235:G262,G263,G89:G91,G228:G233)</f>
        <v>111824713</v>
      </c>
      <c r="H267" s="362"/>
      <c r="I267" s="362">
        <f>SUM(I14:I21,I29:I35,I37:I62,I65:I74,I76,I79:I87,I93:I100,I102:I140,I142:I223,I235:I262,I263,I89:I91,I228:I233)</f>
        <v>95284291</v>
      </c>
      <c r="J267" s="362"/>
      <c r="K267" s="362"/>
      <c r="L267" s="362"/>
      <c r="M267" s="362"/>
      <c r="N267" s="362"/>
      <c r="O267" s="362"/>
      <c r="P267" s="362"/>
      <c r="Q267" s="362"/>
      <c r="R267" s="362"/>
      <c r="S267" s="362"/>
      <c r="T267" s="362"/>
      <c r="U267" s="362"/>
      <c r="V267" s="362"/>
      <c r="W267" s="362"/>
      <c r="X267" s="362"/>
      <c r="Y267" s="362"/>
      <c r="Z267" s="362"/>
      <c r="AA267" s="362"/>
      <c r="AB267" s="362"/>
      <c r="AC267" s="362"/>
      <c r="AD267" s="362"/>
      <c r="AE267" s="362">
        <f>SUM(AE14:AE21,AE29:AE35,AE37:AE62,AE65:AE74,AE76,AE79:AE87,AE93:AE100,AE102:AE140,AE142:AE223,AE235:AE262,AE263,AE89:AE91,AE228:AE233)</f>
        <v>9563773</v>
      </c>
      <c r="AF267" s="362"/>
      <c r="AG267" s="362"/>
      <c r="AH267" s="362"/>
      <c r="AI267" s="362"/>
      <c r="AJ267" s="362"/>
      <c r="AK267" s="362"/>
      <c r="AL267" s="362"/>
      <c r="AM267" s="362"/>
      <c r="AN267" s="362">
        <f>SUM(AN14:AN21,AN29:AN35,AN37:AN62,AN65:AN74,AN76,AN79:AN87,AN93:AN100,AN102:AN140,AN142:AN223,AN235:AN262,AN263,AN89:AN91,AN228:AN233)</f>
        <v>2018991</v>
      </c>
      <c r="AO267" s="362"/>
      <c r="AP267" s="362"/>
      <c r="AQ267" s="362"/>
      <c r="AR267" s="362"/>
      <c r="AS267" s="362"/>
      <c r="AT267" s="362"/>
      <c r="AU267" s="362"/>
      <c r="AV267" s="362"/>
      <c r="AW267" s="362"/>
      <c r="AX267" s="362">
        <f>SUM(AX14:AX21,AX29:AX35,AX37:AX62,AX65:AX74,AX76,AX79:AX87,AX93:AX100,AX102:AX140,AX142:AX223,AX235:AX262,AX263,AX89:AX91,AX228:AX233)</f>
        <v>4926798</v>
      </c>
      <c r="AY267" s="362"/>
      <c r="AZ267" s="362">
        <f>SUM(AZ14:AZ21,AZ29:AZ35,AZ37:AZ62,AZ65:AZ74,AZ76,AZ79:AZ87,AZ93:AZ100,AZ102:AZ140,AZ142:AZ223,AZ235:AZ262,AZ263,AZ89:AZ91,AZ228:AZ233)</f>
        <v>30860</v>
      </c>
      <c r="BA267" s="362"/>
      <c r="BB267" s="362"/>
      <c r="BC267" s="362"/>
      <c r="BD267" s="362"/>
      <c r="BE267" s="362"/>
      <c r="BF267" s="362"/>
      <c r="BG267" s="362"/>
      <c r="BH267" s="363">
        <f>SUM(BH16:BH21,BH30:BH34,BH38:BH62,BH65:BH65,BH79:BH89,BH93:BH97,BH102:BH138,BH145:BH231,BH238:BH261,BH263)</f>
        <v>0</v>
      </c>
    </row>
    <row r="268" spans="1:61" ht="12.75" hidden="1" thickTop="1" x14ac:dyDescent="0.2">
      <c r="C268" s="360"/>
      <c r="D268" s="361" t="s">
        <v>26</v>
      </c>
      <c r="E268" s="361"/>
      <c r="F268" s="361"/>
      <c r="G268" s="362">
        <f>SUM(G13,G28,G36,G64,G78,G92,G101,G141,G234,G263)</f>
        <v>111900891</v>
      </c>
      <c r="H268" s="362"/>
      <c r="I268" s="362">
        <f>SUM(I13,I28,I36,I64,I78,I92,I101,I141,I234,I263)</f>
        <v>95360469</v>
      </c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  <c r="U268" s="362"/>
      <c r="V268" s="362"/>
      <c r="W268" s="362"/>
      <c r="X268" s="362"/>
      <c r="Y268" s="362"/>
      <c r="Z268" s="362"/>
      <c r="AA268" s="362"/>
      <c r="AB268" s="362"/>
      <c r="AC268" s="362"/>
      <c r="AD268" s="362"/>
      <c r="AE268" s="362">
        <f>SUM(AE13,AE28,AE36,AE64,AE78,AE92,AE101,AE141,AE234,AE263)</f>
        <v>9563773</v>
      </c>
      <c r="AF268" s="362"/>
      <c r="AG268" s="362"/>
      <c r="AH268" s="362"/>
      <c r="AI268" s="362"/>
      <c r="AJ268" s="362"/>
      <c r="AK268" s="362"/>
      <c r="AL268" s="362"/>
      <c r="AM268" s="362"/>
      <c r="AN268" s="362">
        <f>SUM(AN13,AN28,AN36,AN64,AN78,AN92,AN101,AN141,AN234,AN263)</f>
        <v>2018991</v>
      </c>
      <c r="AO268" s="362"/>
      <c r="AP268" s="362"/>
      <c r="AQ268" s="362"/>
      <c r="AR268" s="362"/>
      <c r="AS268" s="362"/>
      <c r="AT268" s="362"/>
      <c r="AU268" s="362"/>
      <c r="AV268" s="362"/>
      <c r="AW268" s="362"/>
      <c r="AX268" s="362">
        <f>SUM(AX13,AX28,AX36,AX64,AX78,AX92,AX101,AX141,AX234,AX263)</f>
        <v>4926798</v>
      </c>
      <c r="AY268" s="362"/>
      <c r="AZ268" s="362">
        <f>SUM(AZ13,AZ28,AZ36,AZ64,AZ78,AZ92,AZ101,AZ141,AZ234,AZ263)</f>
        <v>30860</v>
      </c>
      <c r="BA268" s="362"/>
      <c r="BB268" s="362"/>
      <c r="BC268" s="362"/>
      <c r="BD268" s="362"/>
      <c r="BE268" s="362"/>
      <c r="BF268" s="362"/>
      <c r="BG268" s="362"/>
      <c r="BH268" s="363">
        <f>SUM(BH13,BH28,BH36,BH64,BH78,BH92,BH101,BH141,BH234,BH263)</f>
        <v>0</v>
      </c>
    </row>
    <row r="269" spans="1:61" ht="12.75" hidden="1" thickTop="1" x14ac:dyDescent="0.2">
      <c r="C269" s="360"/>
      <c r="D269" s="361" t="s">
        <v>27</v>
      </c>
      <c r="E269" s="361"/>
      <c r="F269" s="361"/>
      <c r="G269" s="364" t="str">
        <f>IF(G266=G267=G268,"PROBLEM","")</f>
        <v/>
      </c>
      <c r="H269" s="364"/>
      <c r="I269" s="364" t="str">
        <f>IF(I266=I267=I268,"PROBLEM","")</f>
        <v/>
      </c>
      <c r="J269" s="364"/>
      <c r="K269" s="364"/>
      <c r="L269" s="364"/>
      <c r="M269" s="364"/>
      <c r="N269" s="364"/>
      <c r="O269" s="364"/>
      <c r="P269" s="364"/>
      <c r="Q269" s="364"/>
      <c r="R269" s="364"/>
      <c r="S269" s="364"/>
      <c r="T269" s="364"/>
      <c r="U269" s="364"/>
      <c r="V269" s="364"/>
      <c r="W269" s="364"/>
      <c r="X269" s="364"/>
      <c r="Y269" s="364"/>
      <c r="Z269" s="364"/>
      <c r="AA269" s="364"/>
      <c r="AB269" s="364"/>
      <c r="AC269" s="364"/>
      <c r="AD269" s="364"/>
      <c r="AE269" s="364" t="str">
        <f>IF(AE266=AE267=AE268,"PROBLEM","")</f>
        <v/>
      </c>
      <c r="AF269" s="364"/>
      <c r="AG269" s="364"/>
      <c r="AH269" s="364"/>
      <c r="AI269" s="364"/>
      <c r="AJ269" s="364"/>
      <c r="AK269" s="364"/>
      <c r="AL269" s="364"/>
      <c r="AM269" s="364"/>
      <c r="AN269" s="364" t="str">
        <f>IF(AN266=AN267=AN268,"PROBLEM","")</f>
        <v/>
      </c>
      <c r="AO269" s="364"/>
      <c r="AP269" s="364"/>
      <c r="AQ269" s="364"/>
      <c r="AR269" s="364"/>
      <c r="AS269" s="364"/>
      <c r="AT269" s="364"/>
      <c r="AU269" s="364"/>
      <c r="AV269" s="364"/>
      <c r="AW269" s="364"/>
      <c r="AX269" s="364" t="str">
        <f>IF(AX266=AX267=AX268,"PROBLEM","")</f>
        <v/>
      </c>
      <c r="AY269" s="364"/>
      <c r="AZ269" s="364" t="str">
        <f>IF(AZ266=AZ267=AZ268,"PROBLEM","")</f>
        <v/>
      </c>
      <c r="BA269" s="364"/>
      <c r="BB269" s="364"/>
      <c r="BC269" s="364"/>
      <c r="BD269" s="364"/>
      <c r="BE269" s="364"/>
      <c r="BF269" s="364"/>
      <c r="BG269" s="364"/>
      <c r="BH269" s="365" t="str">
        <f>IF(BH266=BH267=BH268,"PROBLEM","")</f>
        <v/>
      </c>
    </row>
    <row r="270" spans="1:61" ht="12.75" hidden="1" thickTop="1" x14ac:dyDescent="0.2">
      <c r="C270" s="360"/>
      <c r="D270" s="332"/>
      <c r="E270" s="332"/>
      <c r="F270" s="332"/>
      <c r="G270" s="332"/>
      <c r="H270" s="332"/>
    </row>
    <row r="271" spans="1:61" s="366" customFormat="1" ht="12.75" hidden="1" thickTop="1" x14ac:dyDescent="0.2">
      <c r="C271" s="367"/>
      <c r="D271" s="368"/>
      <c r="E271" s="368" t="s">
        <v>599</v>
      </c>
      <c r="F271" s="368"/>
      <c r="G271" s="368"/>
      <c r="H271" s="368"/>
      <c r="I271" s="369"/>
      <c r="J271" s="369"/>
      <c r="K271" s="369"/>
      <c r="L271" s="369"/>
      <c r="M271" s="369"/>
      <c r="N271" s="369"/>
      <c r="O271" s="369"/>
      <c r="P271" s="369"/>
      <c r="Q271" s="369"/>
      <c r="R271" s="369"/>
      <c r="S271" s="369"/>
      <c r="T271" s="369"/>
      <c r="U271" s="369"/>
      <c r="V271" s="369"/>
      <c r="W271" s="369"/>
      <c r="X271" s="369"/>
      <c r="Y271" s="369"/>
      <c r="Z271" s="369"/>
      <c r="AA271" s="369"/>
      <c r="AB271" s="369"/>
      <c r="AC271" s="369"/>
      <c r="AD271" s="369"/>
      <c r="AE271" s="369"/>
      <c r="AF271" s="369"/>
      <c r="AG271" s="369"/>
      <c r="AH271" s="369"/>
      <c r="AI271" s="369"/>
      <c r="AJ271" s="369"/>
      <c r="AK271" s="369"/>
      <c r="AL271" s="369"/>
      <c r="AM271" s="369"/>
      <c r="AN271" s="369"/>
      <c r="AO271" s="369"/>
      <c r="AP271" s="369"/>
      <c r="AQ271" s="369"/>
      <c r="AR271" s="369"/>
      <c r="AS271" s="369"/>
      <c r="AT271" s="369"/>
      <c r="AU271" s="369"/>
      <c r="AV271" s="369"/>
      <c r="AW271" s="369"/>
      <c r="AX271" s="369"/>
      <c r="AY271" s="369"/>
      <c r="AZ271" s="369"/>
      <c r="BA271" s="369"/>
      <c r="BB271" s="370"/>
      <c r="BC271" s="369"/>
      <c r="BD271" s="369"/>
      <c r="BE271" s="369"/>
      <c r="BF271" s="369"/>
      <c r="BG271" s="369"/>
      <c r="BH271" s="369"/>
      <c r="BI271" s="369"/>
    </row>
    <row r="272" spans="1:61" ht="12.75" thickTop="1" x14ac:dyDescent="0.2">
      <c r="C272" s="360"/>
      <c r="D272" s="332"/>
      <c r="E272" s="332"/>
      <c r="F272" s="332"/>
      <c r="G272" s="332"/>
      <c r="H272" s="332"/>
      <c r="AZ272" s="370"/>
      <c r="BA272" s="370"/>
      <c r="BB272" s="370"/>
      <c r="BC272" s="370"/>
      <c r="BD272" s="370"/>
      <c r="BE272" s="370"/>
      <c r="BF272" s="370"/>
      <c r="BG272" s="370"/>
    </row>
    <row r="273" spans="3:59" hidden="1" outlineLevel="1" x14ac:dyDescent="0.2">
      <c r="C273" s="360"/>
      <c r="D273" s="332"/>
      <c r="E273" s="332"/>
      <c r="F273" s="332"/>
      <c r="G273" s="332"/>
      <c r="H273" s="371"/>
      <c r="I273" s="372"/>
      <c r="AZ273" s="370"/>
    </row>
    <row r="274" spans="3:59" hidden="1" outlineLevel="1" x14ac:dyDescent="0.2">
      <c r="C274" s="360"/>
      <c r="D274" s="332"/>
      <c r="E274" s="373" t="s">
        <v>599</v>
      </c>
      <c r="F274" s="374">
        <f>Ienemumi!I188-Izdevumi!G266</f>
        <v>0</v>
      </c>
      <c r="G274" s="332"/>
      <c r="AE274" s="213"/>
      <c r="AF274" s="213"/>
      <c r="AG274" s="213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</row>
    <row r="275" spans="3:59" hidden="1" outlineLevel="1" x14ac:dyDescent="0.2">
      <c r="C275" s="360"/>
      <c r="D275" s="332"/>
      <c r="E275" s="361" t="s">
        <v>25</v>
      </c>
      <c r="F275" s="371">
        <f t="shared" ref="F275:BG275" si="115">SUM(F14:F21,F29:F34,F37:F62,F65:F76,F79:F90,F93:F99,F102:F139,F142:F224,F228:F232,F235:F261,F264)</f>
        <v>109347454.3208452</v>
      </c>
      <c r="G275" s="362">
        <f>SUM(G14:G21,G29:G34,G37:G62,G65:G76,G79:G90,G93:G99,G102:G139,G142:G224,G228:G232,G235:G261,G264)</f>
        <v>111900891</v>
      </c>
      <c r="H275" s="371">
        <f t="shared" si="115"/>
        <v>93786876.370000005</v>
      </c>
      <c r="I275" s="362">
        <f t="shared" si="115"/>
        <v>95360469</v>
      </c>
      <c r="J275" s="371">
        <f t="shared" si="115"/>
        <v>1573592</v>
      </c>
      <c r="K275" s="371">
        <f t="shared" si="115"/>
        <v>0</v>
      </c>
      <c r="L275" s="371">
        <f t="shared" si="115"/>
        <v>0</v>
      </c>
      <c r="M275" s="371">
        <f t="shared" si="115"/>
        <v>7491</v>
      </c>
      <c r="N275" s="371">
        <f t="shared" si="115"/>
        <v>1084388</v>
      </c>
      <c r="O275" s="371">
        <f t="shared" si="115"/>
        <v>0</v>
      </c>
      <c r="P275" s="371">
        <f t="shared" si="115"/>
        <v>181439</v>
      </c>
      <c r="Q275" s="371">
        <f t="shared" si="115"/>
        <v>4000</v>
      </c>
      <c r="R275" s="371">
        <f t="shared" si="115"/>
        <v>36668</v>
      </c>
      <c r="S275" s="371"/>
      <c r="T275" s="371">
        <f t="shared" si="115"/>
        <v>0</v>
      </c>
      <c r="U275" s="371">
        <f t="shared" si="115"/>
        <v>1983</v>
      </c>
      <c r="V275" s="371"/>
      <c r="W275" s="371"/>
      <c r="X275" s="371"/>
      <c r="Y275" s="371"/>
      <c r="Z275" s="371"/>
      <c r="AA275" s="371"/>
      <c r="AB275" s="371">
        <f t="shared" si="115"/>
        <v>0</v>
      </c>
      <c r="AC275" s="371">
        <f t="shared" si="115"/>
        <v>0</v>
      </c>
      <c r="AD275" s="371">
        <f t="shared" si="115"/>
        <v>9034995</v>
      </c>
      <c r="AE275" s="362">
        <f t="shared" si="115"/>
        <v>9563773</v>
      </c>
      <c r="AF275" s="371">
        <f t="shared" si="115"/>
        <v>528778</v>
      </c>
      <c r="AG275" s="371">
        <f t="shared" si="115"/>
        <v>501443</v>
      </c>
      <c r="AH275" s="371">
        <f t="shared" si="115"/>
        <v>0</v>
      </c>
      <c r="AI275" s="371">
        <f t="shared" si="115"/>
        <v>0</v>
      </c>
      <c r="AJ275" s="371">
        <f t="shared" si="115"/>
        <v>27335</v>
      </c>
      <c r="AK275" s="371">
        <f t="shared" si="115"/>
        <v>0</v>
      </c>
      <c r="AL275" s="371">
        <f t="shared" si="115"/>
        <v>0</v>
      </c>
      <c r="AM275" s="371">
        <f t="shared" si="115"/>
        <v>1776166</v>
      </c>
      <c r="AN275" s="362">
        <f t="shared" si="115"/>
        <v>2018991</v>
      </c>
      <c r="AO275" s="371">
        <f t="shared" si="115"/>
        <v>242825</v>
      </c>
      <c r="AP275" s="371">
        <f t="shared" si="115"/>
        <v>35324</v>
      </c>
      <c r="AQ275" s="371">
        <f t="shared" si="115"/>
        <v>104959</v>
      </c>
      <c r="AR275" s="371">
        <f t="shared" si="115"/>
        <v>65860</v>
      </c>
      <c r="AS275" s="371">
        <f t="shared" si="115"/>
        <v>32624</v>
      </c>
      <c r="AT275" s="371">
        <f t="shared" si="115"/>
        <v>4058</v>
      </c>
      <c r="AU275" s="371"/>
      <c r="AV275" s="371"/>
      <c r="AW275" s="371">
        <f t="shared" si="115"/>
        <v>0</v>
      </c>
      <c r="AX275" s="362">
        <f t="shared" si="115"/>
        <v>4926798</v>
      </c>
      <c r="AY275" s="371">
        <f t="shared" si="115"/>
        <v>26666</v>
      </c>
      <c r="AZ275" s="362">
        <f t="shared" si="115"/>
        <v>30860</v>
      </c>
      <c r="BA275" s="371">
        <f t="shared" si="115"/>
        <v>4194</v>
      </c>
      <c r="BB275" s="371">
        <f t="shared" si="115"/>
        <v>4403</v>
      </c>
      <c r="BC275" s="371">
        <f t="shared" si="115"/>
        <v>-209</v>
      </c>
      <c r="BD275" s="371">
        <f t="shared" si="115"/>
        <v>0</v>
      </c>
      <c r="BE275" s="371">
        <f t="shared" si="115"/>
        <v>0</v>
      </c>
      <c r="BF275" s="371">
        <f t="shared" si="115"/>
        <v>0</v>
      </c>
      <c r="BG275" s="371">
        <f t="shared" si="115"/>
        <v>0</v>
      </c>
    </row>
    <row r="276" spans="3:59" hidden="1" outlineLevel="1" x14ac:dyDescent="0.2">
      <c r="C276" s="360"/>
      <c r="D276" s="332"/>
      <c r="E276" s="361" t="s">
        <v>26</v>
      </c>
      <c r="F276" s="371">
        <f t="shared" ref="F276:BG276" si="116">SUM(F13,F28,F36,F64,F78,F92,F101,F141,F234,F263)</f>
        <v>109347454.3208452</v>
      </c>
      <c r="G276" s="362">
        <f>SUM(G13,G28,G36,G64,G78,G92,G101,G141,G234,G263)</f>
        <v>111900891</v>
      </c>
      <c r="H276" s="371">
        <f t="shared" si="116"/>
        <v>93786876.370000005</v>
      </c>
      <c r="I276" s="362">
        <f t="shared" si="116"/>
        <v>95360469</v>
      </c>
      <c r="J276" s="371">
        <f t="shared" si="116"/>
        <v>1573592</v>
      </c>
      <c r="K276" s="371">
        <f t="shared" si="116"/>
        <v>0</v>
      </c>
      <c r="L276" s="371">
        <f t="shared" si="116"/>
        <v>0</v>
      </c>
      <c r="M276" s="371">
        <f t="shared" si="116"/>
        <v>7491</v>
      </c>
      <c r="N276" s="371">
        <f t="shared" si="116"/>
        <v>1084388</v>
      </c>
      <c r="O276" s="371">
        <f t="shared" si="116"/>
        <v>0</v>
      </c>
      <c r="P276" s="371">
        <f t="shared" si="116"/>
        <v>181439</v>
      </c>
      <c r="Q276" s="371">
        <f t="shared" si="116"/>
        <v>4000</v>
      </c>
      <c r="R276" s="371">
        <f t="shared" si="116"/>
        <v>36668</v>
      </c>
      <c r="S276" s="371"/>
      <c r="T276" s="371">
        <f t="shared" si="116"/>
        <v>0</v>
      </c>
      <c r="U276" s="371">
        <f t="shared" si="116"/>
        <v>1983</v>
      </c>
      <c r="V276" s="371"/>
      <c r="W276" s="371"/>
      <c r="X276" s="371"/>
      <c r="Y276" s="371"/>
      <c r="Z276" s="371"/>
      <c r="AA276" s="371"/>
      <c r="AB276" s="371">
        <f t="shared" si="116"/>
        <v>0</v>
      </c>
      <c r="AC276" s="371">
        <f t="shared" si="116"/>
        <v>0</v>
      </c>
      <c r="AD276" s="371">
        <f t="shared" si="116"/>
        <v>9034995</v>
      </c>
      <c r="AE276" s="362">
        <f t="shared" si="116"/>
        <v>9563773</v>
      </c>
      <c r="AF276" s="371">
        <f t="shared" si="116"/>
        <v>528778</v>
      </c>
      <c r="AG276" s="371">
        <f t="shared" si="116"/>
        <v>501443</v>
      </c>
      <c r="AH276" s="371">
        <f t="shared" si="116"/>
        <v>0</v>
      </c>
      <c r="AI276" s="371">
        <f t="shared" si="116"/>
        <v>0</v>
      </c>
      <c r="AJ276" s="371">
        <f t="shared" si="116"/>
        <v>27335</v>
      </c>
      <c r="AK276" s="371">
        <f t="shared" si="116"/>
        <v>0</v>
      </c>
      <c r="AL276" s="371">
        <f t="shared" si="116"/>
        <v>0</v>
      </c>
      <c r="AM276" s="371">
        <f t="shared" si="116"/>
        <v>1776166</v>
      </c>
      <c r="AN276" s="362">
        <f t="shared" si="116"/>
        <v>2018991</v>
      </c>
      <c r="AO276" s="371">
        <f t="shared" si="116"/>
        <v>242825</v>
      </c>
      <c r="AP276" s="371">
        <f t="shared" si="116"/>
        <v>35324</v>
      </c>
      <c r="AQ276" s="371">
        <f t="shared" si="116"/>
        <v>104959</v>
      </c>
      <c r="AR276" s="371">
        <f t="shared" si="116"/>
        <v>65860</v>
      </c>
      <c r="AS276" s="371">
        <f t="shared" si="116"/>
        <v>32624</v>
      </c>
      <c r="AT276" s="371">
        <f t="shared" si="116"/>
        <v>4058</v>
      </c>
      <c r="AU276" s="371"/>
      <c r="AV276" s="371"/>
      <c r="AW276" s="371">
        <f t="shared" si="116"/>
        <v>0</v>
      </c>
      <c r="AX276" s="362">
        <f t="shared" si="116"/>
        <v>4926798</v>
      </c>
      <c r="AY276" s="371">
        <f t="shared" si="116"/>
        <v>26666</v>
      </c>
      <c r="AZ276" s="362">
        <f t="shared" si="116"/>
        <v>30860</v>
      </c>
      <c r="BA276" s="371">
        <f t="shared" si="116"/>
        <v>4194</v>
      </c>
      <c r="BB276" s="371">
        <f t="shared" si="116"/>
        <v>4403</v>
      </c>
      <c r="BC276" s="371">
        <f t="shared" si="116"/>
        <v>-209</v>
      </c>
      <c r="BD276" s="371">
        <f t="shared" si="116"/>
        <v>0</v>
      </c>
      <c r="BE276" s="371">
        <f t="shared" si="116"/>
        <v>0</v>
      </c>
      <c r="BF276" s="371">
        <f t="shared" si="116"/>
        <v>0</v>
      </c>
      <c r="BG276" s="371">
        <f t="shared" si="116"/>
        <v>0</v>
      </c>
    </row>
    <row r="277" spans="3:59" hidden="1" outlineLevel="1" x14ac:dyDescent="0.2">
      <c r="C277" s="360"/>
      <c r="D277" s="332"/>
      <c r="E277" s="361" t="s">
        <v>27</v>
      </c>
      <c r="F277" s="375" t="str">
        <f>IF(F266=F275=F276,"PROBLEM","")</f>
        <v/>
      </c>
      <c r="G277" s="375" t="str">
        <f t="shared" ref="G277:BG277" si="117">IF(G266=G275=G276,"PROBLEM","")</f>
        <v/>
      </c>
      <c r="H277" s="375" t="str">
        <f t="shared" si="117"/>
        <v/>
      </c>
      <c r="I277" s="375" t="str">
        <f t="shared" si="117"/>
        <v/>
      </c>
      <c r="J277" s="375" t="str">
        <f t="shared" si="117"/>
        <v/>
      </c>
      <c r="K277" s="375" t="str">
        <f t="shared" si="117"/>
        <v/>
      </c>
      <c r="L277" s="375" t="str">
        <f t="shared" si="117"/>
        <v/>
      </c>
      <c r="M277" s="375" t="str">
        <f t="shared" si="117"/>
        <v/>
      </c>
      <c r="N277" s="375" t="str">
        <f t="shared" si="117"/>
        <v/>
      </c>
      <c r="O277" s="375" t="str">
        <f t="shared" si="117"/>
        <v/>
      </c>
      <c r="P277" s="375" t="str">
        <f t="shared" si="117"/>
        <v/>
      </c>
      <c r="Q277" s="375" t="str">
        <f t="shared" si="117"/>
        <v/>
      </c>
      <c r="R277" s="375" t="str">
        <f t="shared" si="117"/>
        <v/>
      </c>
      <c r="S277" s="375"/>
      <c r="T277" s="375" t="str">
        <f>IF(T266=T275=T276,"PROBLEM","")</f>
        <v/>
      </c>
      <c r="U277" s="375" t="str">
        <f>IF(U266=U275=U276,"PROBLEM","")</f>
        <v/>
      </c>
      <c r="V277" s="375"/>
      <c r="W277" s="375"/>
      <c r="X277" s="375"/>
      <c r="Y277" s="375"/>
      <c r="Z277" s="375"/>
      <c r="AA277" s="375"/>
      <c r="AB277" s="375" t="str">
        <f>IF(AB266=AB275=AB276,"PROBLEM","")</f>
        <v/>
      </c>
      <c r="AC277" s="375" t="str">
        <f t="shared" si="117"/>
        <v/>
      </c>
      <c r="AD277" s="375" t="str">
        <f t="shared" si="117"/>
        <v/>
      </c>
      <c r="AE277" s="375" t="str">
        <f t="shared" si="117"/>
        <v/>
      </c>
      <c r="AF277" s="375" t="str">
        <f t="shared" si="117"/>
        <v/>
      </c>
      <c r="AG277" s="375" t="str">
        <f t="shared" si="117"/>
        <v/>
      </c>
      <c r="AH277" s="375" t="str">
        <f t="shared" si="117"/>
        <v/>
      </c>
      <c r="AI277" s="375" t="str">
        <f t="shared" si="117"/>
        <v/>
      </c>
      <c r="AJ277" s="375" t="str">
        <f t="shared" si="117"/>
        <v/>
      </c>
      <c r="AK277" s="375" t="str">
        <f t="shared" si="117"/>
        <v/>
      </c>
      <c r="AL277" s="375" t="str">
        <f t="shared" si="117"/>
        <v/>
      </c>
      <c r="AM277" s="375" t="str">
        <f t="shared" si="117"/>
        <v/>
      </c>
      <c r="AN277" s="375" t="str">
        <f t="shared" si="117"/>
        <v/>
      </c>
      <c r="AO277" s="375" t="str">
        <f t="shared" si="117"/>
        <v/>
      </c>
      <c r="AP277" s="375" t="str">
        <f t="shared" si="117"/>
        <v/>
      </c>
      <c r="AQ277" s="375" t="str">
        <f t="shared" si="117"/>
        <v/>
      </c>
      <c r="AR277" s="375" t="str">
        <f t="shared" si="117"/>
        <v/>
      </c>
      <c r="AS277" s="375" t="str">
        <f t="shared" si="117"/>
        <v/>
      </c>
      <c r="AT277" s="375" t="str">
        <f t="shared" si="117"/>
        <v/>
      </c>
      <c r="AU277" s="375"/>
      <c r="AV277" s="375"/>
      <c r="AW277" s="375" t="str">
        <f t="shared" si="117"/>
        <v/>
      </c>
      <c r="AX277" s="375" t="str">
        <f t="shared" si="117"/>
        <v/>
      </c>
      <c r="AY277" s="375" t="str">
        <f t="shared" si="117"/>
        <v/>
      </c>
      <c r="AZ277" s="375" t="str">
        <f t="shared" si="117"/>
        <v/>
      </c>
      <c r="BA277" s="375" t="str">
        <f t="shared" si="117"/>
        <v/>
      </c>
      <c r="BB277" s="375" t="str">
        <f t="shared" si="117"/>
        <v/>
      </c>
      <c r="BC277" s="375" t="str">
        <f t="shared" si="117"/>
        <v/>
      </c>
      <c r="BD277" s="375" t="str">
        <f t="shared" si="117"/>
        <v/>
      </c>
      <c r="BE277" s="375" t="str">
        <f t="shared" si="117"/>
        <v/>
      </c>
      <c r="BF277" s="375" t="str">
        <f t="shared" si="117"/>
        <v/>
      </c>
      <c r="BG277" s="375" t="str">
        <f t="shared" si="117"/>
        <v/>
      </c>
    </row>
    <row r="278" spans="3:59" collapsed="1" x14ac:dyDescent="0.2">
      <c r="C278" s="360"/>
      <c r="D278" s="332"/>
      <c r="E278" s="332"/>
      <c r="F278" s="332"/>
      <c r="G278" s="332"/>
      <c r="H278" s="332"/>
    </row>
    <row r="279" spans="3:59" x14ac:dyDescent="0.2">
      <c r="C279" s="360"/>
      <c r="D279" s="332"/>
      <c r="E279" s="332"/>
      <c r="F279" s="332"/>
      <c r="G279" s="371"/>
      <c r="H279" s="332"/>
    </row>
    <row r="280" spans="3:59" x14ac:dyDescent="0.2">
      <c r="C280" s="360"/>
      <c r="D280" s="332"/>
      <c r="E280" s="332"/>
      <c r="F280" s="332"/>
      <c r="G280" s="332"/>
      <c r="H280" s="332"/>
    </row>
    <row r="281" spans="3:59" x14ac:dyDescent="0.2">
      <c r="C281" s="360"/>
      <c r="D281" s="332"/>
      <c r="E281" s="332"/>
      <c r="F281" s="332"/>
      <c r="G281" s="332"/>
      <c r="H281" s="332"/>
    </row>
    <row r="282" spans="3:59" x14ac:dyDescent="0.2">
      <c r="C282" s="360"/>
      <c r="D282" s="332"/>
      <c r="E282" s="332"/>
      <c r="F282" s="332"/>
      <c r="G282" s="332"/>
      <c r="H282" s="332"/>
    </row>
    <row r="283" spans="3:59" x14ac:dyDescent="0.2">
      <c r="C283" s="360"/>
      <c r="D283" s="332"/>
      <c r="E283" s="332"/>
      <c r="F283" s="332"/>
      <c r="G283" s="332"/>
      <c r="H283" s="332"/>
    </row>
    <row r="284" spans="3:59" x14ac:dyDescent="0.2">
      <c r="C284" s="360"/>
      <c r="D284" s="332"/>
      <c r="E284" s="332"/>
      <c r="F284" s="332"/>
      <c r="G284" s="332"/>
      <c r="H284" s="332"/>
    </row>
    <row r="285" spans="3:59" x14ac:dyDescent="0.2">
      <c r="C285" s="360"/>
      <c r="D285" s="332"/>
      <c r="E285" s="332"/>
      <c r="F285" s="332"/>
      <c r="G285" s="332"/>
      <c r="H285" s="332"/>
    </row>
    <row r="286" spans="3:59" x14ac:dyDescent="0.2">
      <c r="C286" s="360"/>
      <c r="D286" s="332"/>
      <c r="E286" s="332"/>
      <c r="F286" s="332"/>
      <c r="G286" s="332"/>
      <c r="H286" s="332"/>
    </row>
    <row r="287" spans="3:59" x14ac:dyDescent="0.2">
      <c r="C287" s="360"/>
      <c r="D287" s="332"/>
      <c r="E287" s="332"/>
      <c r="F287" s="332"/>
      <c r="G287" s="332"/>
      <c r="H287" s="332"/>
    </row>
    <row r="288" spans="3:59" x14ac:dyDescent="0.2">
      <c r="C288" s="360"/>
      <c r="D288" s="332"/>
      <c r="E288" s="332"/>
      <c r="F288" s="332"/>
      <c r="G288" s="332"/>
      <c r="H288" s="332"/>
    </row>
    <row r="289" spans="3:8" x14ac:dyDescent="0.2">
      <c r="C289" s="360"/>
      <c r="D289" s="332"/>
      <c r="E289" s="332"/>
      <c r="F289" s="332"/>
      <c r="G289" s="332"/>
      <c r="H289" s="332"/>
    </row>
    <row r="290" spans="3:8" x14ac:dyDescent="0.2">
      <c r="C290" s="360"/>
      <c r="D290" s="332"/>
      <c r="E290" s="332"/>
      <c r="F290" s="332"/>
      <c r="G290" s="332"/>
      <c r="H290" s="332"/>
    </row>
    <row r="291" spans="3:8" x14ac:dyDescent="0.2">
      <c r="C291" s="360"/>
      <c r="D291" s="332"/>
      <c r="E291" s="332"/>
      <c r="F291" s="332"/>
      <c r="G291" s="332"/>
      <c r="H291" s="332"/>
    </row>
    <row r="292" spans="3:8" x14ac:dyDescent="0.2">
      <c r="C292" s="360"/>
      <c r="D292" s="332"/>
      <c r="E292" s="332"/>
      <c r="F292" s="332"/>
      <c r="G292" s="332"/>
      <c r="H292" s="332"/>
    </row>
    <row r="293" spans="3:8" x14ac:dyDescent="0.2">
      <c r="C293" s="360"/>
      <c r="D293" s="332"/>
      <c r="E293" s="332"/>
      <c r="F293" s="332"/>
      <c r="G293" s="332"/>
      <c r="H293" s="332"/>
    </row>
    <row r="294" spans="3:8" x14ac:dyDescent="0.2">
      <c r="C294" s="360"/>
      <c r="D294" s="332"/>
      <c r="E294" s="332"/>
      <c r="F294" s="332"/>
      <c r="G294" s="332"/>
      <c r="H294" s="332"/>
    </row>
    <row r="295" spans="3:8" x14ac:dyDescent="0.2">
      <c r="C295" s="360"/>
      <c r="D295" s="332"/>
      <c r="E295" s="332"/>
      <c r="F295" s="332"/>
      <c r="G295" s="332"/>
      <c r="H295" s="332"/>
    </row>
    <row r="296" spans="3:8" x14ac:dyDescent="0.2">
      <c r="C296" s="360"/>
      <c r="D296" s="332"/>
      <c r="E296" s="332"/>
      <c r="F296" s="332"/>
      <c r="G296" s="332"/>
      <c r="H296" s="332"/>
    </row>
    <row r="297" spans="3:8" x14ac:dyDescent="0.2">
      <c r="C297" s="360"/>
      <c r="D297" s="332"/>
      <c r="E297" s="332"/>
      <c r="F297" s="332"/>
      <c r="G297" s="332"/>
      <c r="H297" s="332"/>
    </row>
    <row r="298" spans="3:8" x14ac:dyDescent="0.2">
      <c r="C298" s="360"/>
      <c r="D298" s="332"/>
      <c r="E298" s="332"/>
      <c r="F298" s="332"/>
      <c r="G298" s="332"/>
      <c r="H298" s="332"/>
    </row>
    <row r="299" spans="3:8" x14ac:dyDescent="0.2">
      <c r="C299" s="360"/>
      <c r="D299" s="332"/>
      <c r="E299" s="332"/>
      <c r="F299" s="332"/>
      <c r="G299" s="332"/>
      <c r="H299" s="332"/>
    </row>
    <row r="300" spans="3:8" x14ac:dyDescent="0.2">
      <c r="C300" s="360"/>
      <c r="D300" s="332"/>
      <c r="E300" s="332"/>
      <c r="F300" s="332"/>
      <c r="G300" s="332"/>
      <c r="H300" s="332"/>
    </row>
    <row r="301" spans="3:8" x14ac:dyDescent="0.2">
      <c r="C301" s="360"/>
      <c r="D301" s="332"/>
      <c r="E301" s="332"/>
      <c r="F301" s="332"/>
      <c r="G301" s="332"/>
      <c r="H301" s="332"/>
    </row>
    <row r="302" spans="3:8" x14ac:dyDescent="0.2">
      <c r="C302" s="360"/>
      <c r="D302" s="332"/>
      <c r="E302" s="332"/>
      <c r="F302" s="332"/>
      <c r="G302" s="332"/>
      <c r="H302" s="332"/>
    </row>
    <row r="303" spans="3:8" x14ac:dyDescent="0.2">
      <c r="C303" s="360"/>
      <c r="D303" s="332"/>
      <c r="E303" s="332"/>
      <c r="F303" s="332"/>
      <c r="G303" s="332"/>
      <c r="H303" s="332"/>
    </row>
    <row r="304" spans="3:8" x14ac:dyDescent="0.2">
      <c r="C304" s="360"/>
      <c r="D304" s="332"/>
      <c r="E304" s="332"/>
      <c r="F304" s="332"/>
      <c r="G304" s="332"/>
      <c r="H304" s="332"/>
    </row>
    <row r="305" spans="3:8" x14ac:dyDescent="0.2">
      <c r="C305" s="360"/>
      <c r="D305" s="332"/>
      <c r="E305" s="332"/>
      <c r="F305" s="332"/>
      <c r="G305" s="332"/>
      <c r="H305" s="332"/>
    </row>
    <row r="306" spans="3:8" x14ac:dyDescent="0.2">
      <c r="C306" s="360"/>
      <c r="D306" s="332"/>
      <c r="E306" s="332"/>
      <c r="F306" s="332"/>
      <c r="G306" s="332"/>
      <c r="H306" s="332"/>
    </row>
    <row r="307" spans="3:8" x14ac:dyDescent="0.2">
      <c r="C307" s="360"/>
      <c r="D307" s="332"/>
      <c r="E307" s="332"/>
      <c r="F307" s="332"/>
      <c r="G307" s="332"/>
      <c r="H307" s="332"/>
    </row>
    <row r="308" spans="3:8" x14ac:dyDescent="0.2">
      <c r="C308" s="360"/>
      <c r="D308" s="332"/>
      <c r="E308" s="332"/>
      <c r="F308" s="332"/>
      <c r="G308" s="332"/>
      <c r="H308" s="332"/>
    </row>
    <row r="309" spans="3:8" x14ac:dyDescent="0.2">
      <c r="C309" s="360"/>
      <c r="D309" s="332"/>
      <c r="E309" s="332"/>
      <c r="F309" s="332"/>
      <c r="G309" s="332"/>
      <c r="H309" s="332"/>
    </row>
    <row r="310" spans="3:8" x14ac:dyDescent="0.2">
      <c r="C310" s="360"/>
      <c r="D310" s="332"/>
      <c r="E310" s="332"/>
      <c r="F310" s="332"/>
      <c r="G310" s="332"/>
      <c r="H310" s="332"/>
    </row>
    <row r="311" spans="3:8" x14ac:dyDescent="0.2">
      <c r="C311" s="360"/>
      <c r="D311" s="332"/>
      <c r="E311" s="332"/>
      <c r="F311" s="332"/>
      <c r="G311" s="332"/>
      <c r="H311" s="332"/>
    </row>
    <row r="312" spans="3:8" x14ac:dyDescent="0.2">
      <c r="C312" s="360"/>
      <c r="D312" s="332"/>
      <c r="E312" s="332"/>
      <c r="F312" s="332"/>
      <c r="G312" s="332"/>
      <c r="H312" s="332"/>
    </row>
    <row r="313" spans="3:8" x14ac:dyDescent="0.2">
      <c r="C313" s="360"/>
      <c r="D313" s="332"/>
      <c r="E313" s="332"/>
      <c r="F313" s="332"/>
      <c r="G313" s="332"/>
      <c r="H313" s="332"/>
    </row>
    <row r="314" spans="3:8" x14ac:dyDescent="0.2">
      <c r="C314" s="360"/>
      <c r="D314" s="332"/>
      <c r="E314" s="332"/>
      <c r="F314" s="332"/>
      <c r="G314" s="332"/>
      <c r="H314" s="332"/>
    </row>
    <row r="315" spans="3:8" x14ac:dyDescent="0.2">
      <c r="C315" s="360"/>
      <c r="D315" s="332"/>
      <c r="E315" s="332"/>
      <c r="F315" s="332"/>
      <c r="G315" s="332"/>
      <c r="H315" s="332"/>
    </row>
    <row r="316" spans="3:8" x14ac:dyDescent="0.2">
      <c r="C316" s="360"/>
      <c r="D316" s="332"/>
      <c r="E316" s="332"/>
      <c r="F316" s="332"/>
      <c r="G316" s="332"/>
      <c r="H316" s="332"/>
    </row>
    <row r="317" spans="3:8" x14ac:dyDescent="0.2">
      <c r="C317" s="360"/>
      <c r="D317" s="332"/>
      <c r="E317" s="332"/>
      <c r="F317" s="332"/>
      <c r="G317" s="332"/>
      <c r="H317" s="332"/>
    </row>
    <row r="318" spans="3:8" x14ac:dyDescent="0.2">
      <c r="C318" s="360"/>
      <c r="D318" s="332"/>
      <c r="E318" s="332"/>
      <c r="F318" s="332"/>
      <c r="G318" s="332"/>
      <c r="H318" s="332"/>
    </row>
    <row r="319" spans="3:8" x14ac:dyDescent="0.2">
      <c r="C319" s="360"/>
      <c r="D319" s="332"/>
      <c r="E319" s="332"/>
      <c r="F319" s="332"/>
      <c r="G319" s="332"/>
      <c r="H319" s="332"/>
    </row>
    <row r="320" spans="3:8" x14ac:dyDescent="0.2">
      <c r="C320" s="360"/>
      <c r="D320" s="332"/>
      <c r="E320" s="332"/>
      <c r="F320" s="332"/>
      <c r="G320" s="332"/>
      <c r="H320" s="332"/>
    </row>
    <row r="321" spans="3:8" x14ac:dyDescent="0.2">
      <c r="C321" s="360"/>
      <c r="D321" s="332"/>
      <c r="E321" s="332"/>
      <c r="F321" s="332"/>
      <c r="G321" s="332"/>
      <c r="H321" s="332"/>
    </row>
    <row r="322" spans="3:8" x14ac:dyDescent="0.2">
      <c r="C322" s="360"/>
      <c r="D322" s="332"/>
      <c r="E322" s="332"/>
      <c r="F322" s="332"/>
      <c r="G322" s="332"/>
      <c r="H322" s="332"/>
    </row>
    <row r="323" spans="3:8" x14ac:dyDescent="0.2">
      <c r="C323" s="360"/>
      <c r="D323" s="332"/>
      <c r="E323" s="332"/>
      <c r="F323" s="332"/>
      <c r="G323" s="332"/>
      <c r="H323" s="332"/>
    </row>
    <row r="324" spans="3:8" x14ac:dyDescent="0.2">
      <c r="C324" s="360"/>
      <c r="D324" s="332"/>
      <c r="E324" s="332"/>
      <c r="F324" s="332"/>
      <c r="G324" s="332"/>
      <c r="H324" s="332"/>
    </row>
    <row r="325" spans="3:8" x14ac:dyDescent="0.2">
      <c r="C325" s="360"/>
      <c r="D325" s="332"/>
      <c r="E325" s="332"/>
      <c r="F325" s="332"/>
      <c r="G325" s="332"/>
      <c r="H325" s="332"/>
    </row>
    <row r="326" spans="3:8" x14ac:dyDescent="0.2">
      <c r="C326" s="360"/>
      <c r="D326" s="332"/>
      <c r="E326" s="332"/>
      <c r="F326" s="332"/>
      <c r="G326" s="332"/>
      <c r="H326" s="332"/>
    </row>
    <row r="327" spans="3:8" x14ac:dyDescent="0.2">
      <c r="C327" s="360"/>
      <c r="D327" s="332"/>
      <c r="E327" s="332"/>
      <c r="F327" s="332"/>
      <c r="G327" s="332"/>
      <c r="H327" s="332"/>
    </row>
    <row r="328" spans="3:8" x14ac:dyDescent="0.2">
      <c r="C328" s="360"/>
      <c r="D328" s="332"/>
      <c r="E328" s="332"/>
      <c r="F328" s="332"/>
      <c r="G328" s="332"/>
      <c r="H328" s="332"/>
    </row>
    <row r="329" spans="3:8" x14ac:dyDescent="0.2">
      <c r="C329" s="360"/>
      <c r="D329" s="332"/>
      <c r="E329" s="332"/>
      <c r="F329" s="332"/>
      <c r="G329" s="332"/>
      <c r="H329" s="332"/>
    </row>
    <row r="330" spans="3:8" x14ac:dyDescent="0.2">
      <c r="C330" s="360"/>
      <c r="D330" s="332"/>
      <c r="E330" s="332"/>
      <c r="F330" s="332"/>
      <c r="G330" s="332"/>
      <c r="H330" s="332"/>
    </row>
    <row r="331" spans="3:8" x14ac:dyDescent="0.2">
      <c r="C331" s="360"/>
      <c r="D331" s="332"/>
      <c r="E331" s="332"/>
      <c r="F331" s="332"/>
      <c r="G331" s="332"/>
      <c r="H331" s="332"/>
    </row>
    <row r="332" spans="3:8" x14ac:dyDescent="0.2">
      <c r="C332" s="360"/>
      <c r="D332" s="332"/>
      <c r="E332" s="332"/>
      <c r="F332" s="332"/>
      <c r="G332" s="332"/>
      <c r="H332" s="332"/>
    </row>
    <row r="333" spans="3:8" x14ac:dyDescent="0.2">
      <c r="C333" s="360"/>
      <c r="D333" s="332"/>
      <c r="E333" s="332"/>
      <c r="F333" s="332"/>
      <c r="G333" s="332"/>
      <c r="H333" s="332"/>
    </row>
    <row r="334" spans="3:8" x14ac:dyDescent="0.2">
      <c r="C334" s="360"/>
      <c r="D334" s="332"/>
      <c r="E334" s="332"/>
      <c r="F334" s="332"/>
      <c r="G334" s="332"/>
      <c r="H334" s="332"/>
    </row>
    <row r="335" spans="3:8" x14ac:dyDescent="0.2">
      <c r="C335" s="360"/>
      <c r="D335" s="332"/>
      <c r="E335" s="332"/>
      <c r="F335" s="332"/>
      <c r="G335" s="332"/>
      <c r="H335" s="332"/>
    </row>
    <row r="336" spans="3:8" x14ac:dyDescent="0.2">
      <c r="C336" s="360"/>
      <c r="D336" s="332"/>
      <c r="E336" s="332"/>
      <c r="F336" s="332"/>
      <c r="G336" s="332"/>
      <c r="H336" s="332"/>
    </row>
    <row r="337" spans="3:8" x14ac:dyDescent="0.2">
      <c r="C337" s="360"/>
      <c r="D337" s="332"/>
      <c r="E337" s="332"/>
      <c r="F337" s="332"/>
      <c r="G337" s="332"/>
      <c r="H337" s="332"/>
    </row>
    <row r="338" spans="3:8" x14ac:dyDescent="0.2">
      <c r="C338" s="360"/>
      <c r="D338" s="332"/>
      <c r="E338" s="332"/>
      <c r="F338" s="332"/>
      <c r="G338" s="332"/>
      <c r="H338" s="332"/>
    </row>
    <row r="339" spans="3:8" x14ac:dyDescent="0.2">
      <c r="C339" s="360"/>
      <c r="D339" s="332"/>
      <c r="E339" s="332"/>
      <c r="F339" s="332"/>
      <c r="G339" s="332"/>
      <c r="H339" s="332"/>
    </row>
    <row r="340" spans="3:8" x14ac:dyDescent="0.2">
      <c r="C340" s="360"/>
      <c r="D340" s="332"/>
      <c r="E340" s="332"/>
      <c r="F340" s="332"/>
      <c r="G340" s="332"/>
      <c r="H340" s="332"/>
    </row>
    <row r="341" spans="3:8" x14ac:dyDescent="0.2">
      <c r="C341" s="360"/>
      <c r="D341" s="332"/>
      <c r="E341" s="332"/>
      <c r="F341" s="332"/>
      <c r="G341" s="332"/>
      <c r="H341" s="332"/>
    </row>
    <row r="342" spans="3:8" x14ac:dyDescent="0.2">
      <c r="C342" s="360"/>
      <c r="D342" s="332"/>
      <c r="E342" s="332"/>
      <c r="F342" s="332"/>
      <c r="G342" s="332"/>
      <c r="H342" s="332"/>
    </row>
    <row r="343" spans="3:8" x14ac:dyDescent="0.2">
      <c r="C343" s="360"/>
      <c r="D343" s="332"/>
      <c r="E343" s="332"/>
      <c r="F343" s="332"/>
      <c r="G343" s="332"/>
      <c r="H343" s="332"/>
    </row>
    <row r="344" spans="3:8" x14ac:dyDescent="0.2">
      <c r="C344" s="360"/>
      <c r="D344" s="332"/>
      <c r="E344" s="332"/>
      <c r="F344" s="332"/>
      <c r="G344" s="332"/>
      <c r="H344" s="332"/>
    </row>
    <row r="345" spans="3:8" x14ac:dyDescent="0.2">
      <c r="C345" s="360"/>
      <c r="D345" s="332"/>
      <c r="E345" s="332"/>
      <c r="F345" s="332"/>
      <c r="G345" s="332"/>
      <c r="H345" s="332"/>
    </row>
    <row r="346" spans="3:8" x14ac:dyDescent="0.2">
      <c r="C346" s="360"/>
      <c r="D346" s="332"/>
      <c r="E346" s="332"/>
      <c r="F346" s="332"/>
      <c r="G346" s="332"/>
      <c r="H346" s="332"/>
    </row>
    <row r="347" spans="3:8" x14ac:dyDescent="0.2">
      <c r="C347" s="360"/>
      <c r="D347" s="332"/>
      <c r="E347" s="332"/>
      <c r="F347" s="332"/>
      <c r="G347" s="332"/>
      <c r="H347" s="332"/>
    </row>
    <row r="348" spans="3:8" x14ac:dyDescent="0.2">
      <c r="C348" s="360"/>
      <c r="D348" s="332"/>
      <c r="E348" s="332"/>
      <c r="F348" s="332"/>
      <c r="G348" s="332"/>
      <c r="H348" s="332"/>
    </row>
    <row r="349" spans="3:8" x14ac:dyDescent="0.2">
      <c r="C349" s="360"/>
      <c r="D349" s="332"/>
      <c r="E349" s="332"/>
      <c r="F349" s="332"/>
      <c r="G349" s="332"/>
      <c r="H349" s="332"/>
    </row>
    <row r="350" spans="3:8" x14ac:dyDescent="0.2">
      <c r="C350" s="360"/>
      <c r="D350" s="332"/>
      <c r="E350" s="332"/>
      <c r="F350" s="332"/>
      <c r="G350" s="332"/>
      <c r="H350" s="332"/>
    </row>
    <row r="351" spans="3:8" x14ac:dyDescent="0.2">
      <c r="C351" s="360"/>
      <c r="D351" s="332"/>
      <c r="E351" s="332"/>
      <c r="F351" s="332"/>
      <c r="G351" s="332"/>
      <c r="H351" s="332"/>
    </row>
    <row r="352" spans="3:8" x14ac:dyDescent="0.2">
      <c r="C352" s="360"/>
      <c r="D352" s="332"/>
      <c r="E352" s="332"/>
      <c r="F352" s="332"/>
      <c r="G352" s="332"/>
      <c r="H352" s="332"/>
    </row>
    <row r="353" spans="3:8" x14ac:dyDescent="0.2">
      <c r="C353" s="360"/>
      <c r="D353" s="332"/>
      <c r="E353" s="332"/>
      <c r="F353" s="332"/>
      <c r="G353" s="332"/>
      <c r="H353" s="332"/>
    </row>
    <row r="354" spans="3:8" x14ac:dyDescent="0.2">
      <c r="C354" s="360"/>
      <c r="D354" s="332"/>
      <c r="E354" s="332"/>
      <c r="F354" s="332"/>
      <c r="G354" s="332"/>
      <c r="H354" s="332"/>
    </row>
    <row r="355" spans="3:8" x14ac:dyDescent="0.2">
      <c r="C355" s="360"/>
      <c r="D355" s="332"/>
      <c r="E355" s="332"/>
      <c r="F355" s="332"/>
      <c r="G355" s="332"/>
      <c r="H355" s="332"/>
    </row>
    <row r="356" spans="3:8" x14ac:dyDescent="0.2">
      <c r="C356" s="360"/>
      <c r="D356" s="332"/>
      <c r="E356" s="332"/>
      <c r="F356" s="332"/>
      <c r="G356" s="332"/>
      <c r="H356" s="332"/>
    </row>
    <row r="357" spans="3:8" x14ac:dyDescent="0.2">
      <c r="C357" s="360"/>
      <c r="D357" s="332"/>
      <c r="E357" s="332"/>
      <c r="F357" s="332"/>
      <c r="G357" s="332"/>
      <c r="H357" s="332"/>
    </row>
    <row r="358" spans="3:8" x14ac:dyDescent="0.2">
      <c r="C358" s="360"/>
      <c r="D358" s="332"/>
      <c r="E358" s="332"/>
      <c r="F358" s="332"/>
      <c r="G358" s="332"/>
      <c r="H358" s="332"/>
    </row>
    <row r="359" spans="3:8" x14ac:dyDescent="0.2">
      <c r="C359" s="360"/>
      <c r="D359" s="332"/>
      <c r="E359" s="332"/>
      <c r="F359" s="332"/>
      <c r="G359" s="332"/>
      <c r="H359" s="332"/>
    </row>
    <row r="360" spans="3:8" x14ac:dyDescent="0.2">
      <c r="C360" s="360"/>
      <c r="D360" s="332"/>
      <c r="E360" s="332"/>
      <c r="F360" s="332"/>
      <c r="G360" s="332"/>
      <c r="H360" s="332"/>
    </row>
    <row r="361" spans="3:8" x14ac:dyDescent="0.2">
      <c r="C361" s="360"/>
      <c r="D361" s="332"/>
      <c r="E361" s="332"/>
      <c r="F361" s="332"/>
      <c r="G361" s="332"/>
      <c r="H361" s="332"/>
    </row>
    <row r="362" spans="3:8" x14ac:dyDescent="0.2">
      <c r="C362" s="360"/>
      <c r="D362" s="332"/>
      <c r="E362" s="332"/>
      <c r="F362" s="332"/>
      <c r="G362" s="332"/>
      <c r="H362" s="332"/>
    </row>
    <row r="363" spans="3:8" x14ac:dyDescent="0.2">
      <c r="C363" s="360"/>
      <c r="D363" s="332"/>
      <c r="E363" s="332"/>
      <c r="F363" s="332"/>
      <c r="G363" s="332"/>
      <c r="H363" s="332"/>
    </row>
    <row r="364" spans="3:8" x14ac:dyDescent="0.2">
      <c r="C364" s="360"/>
      <c r="D364" s="332"/>
      <c r="E364" s="332"/>
      <c r="F364" s="332"/>
      <c r="G364" s="332"/>
      <c r="H364" s="332"/>
    </row>
    <row r="365" spans="3:8" x14ac:dyDescent="0.2">
      <c r="C365" s="360"/>
      <c r="D365" s="332"/>
      <c r="E365" s="332"/>
      <c r="F365" s="332"/>
      <c r="G365" s="332"/>
      <c r="H365" s="332"/>
    </row>
    <row r="366" spans="3:8" x14ac:dyDescent="0.2">
      <c r="C366" s="360"/>
      <c r="D366" s="332"/>
      <c r="E366" s="332"/>
      <c r="F366" s="332"/>
      <c r="G366" s="332"/>
      <c r="H366" s="332"/>
    </row>
    <row r="367" spans="3:8" x14ac:dyDescent="0.2">
      <c r="C367" s="360"/>
      <c r="D367" s="332"/>
      <c r="E367" s="332"/>
      <c r="F367" s="332"/>
      <c r="G367" s="332"/>
      <c r="H367" s="332"/>
    </row>
    <row r="368" spans="3:8" x14ac:dyDescent="0.2">
      <c r="C368" s="360"/>
      <c r="D368" s="332"/>
      <c r="E368" s="332"/>
      <c r="F368" s="332"/>
      <c r="G368" s="332"/>
      <c r="H368" s="332"/>
    </row>
    <row r="369" spans="3:8" x14ac:dyDescent="0.2">
      <c r="C369" s="360"/>
      <c r="D369" s="332"/>
      <c r="E369" s="332"/>
      <c r="F369" s="332"/>
      <c r="G369" s="332"/>
      <c r="H369" s="332"/>
    </row>
    <row r="370" spans="3:8" x14ac:dyDescent="0.2">
      <c r="C370" s="360"/>
      <c r="D370" s="332"/>
      <c r="E370" s="332"/>
      <c r="F370" s="332"/>
      <c r="G370" s="332"/>
      <c r="H370" s="332"/>
    </row>
    <row r="371" spans="3:8" x14ac:dyDescent="0.2">
      <c r="C371" s="360"/>
      <c r="D371" s="332"/>
      <c r="E371" s="332"/>
      <c r="F371" s="332"/>
      <c r="G371" s="332"/>
      <c r="H371" s="332"/>
    </row>
    <row r="372" spans="3:8" x14ac:dyDescent="0.2">
      <c r="C372" s="360"/>
      <c r="D372" s="332"/>
      <c r="E372" s="332"/>
      <c r="F372" s="332"/>
      <c r="G372" s="332"/>
      <c r="H372" s="332"/>
    </row>
    <row r="373" spans="3:8" x14ac:dyDescent="0.2">
      <c r="C373" s="360"/>
      <c r="D373" s="332"/>
      <c r="E373" s="332"/>
      <c r="F373" s="332"/>
      <c r="G373" s="332"/>
      <c r="H373" s="332"/>
    </row>
    <row r="374" spans="3:8" x14ac:dyDescent="0.2">
      <c r="C374" s="360"/>
      <c r="D374" s="332"/>
      <c r="E374" s="332"/>
      <c r="F374" s="332"/>
      <c r="G374" s="332"/>
      <c r="H374" s="332"/>
    </row>
    <row r="375" spans="3:8" x14ac:dyDescent="0.2">
      <c r="C375" s="360"/>
      <c r="D375" s="332"/>
      <c r="E375" s="332"/>
      <c r="F375" s="332"/>
      <c r="G375" s="332"/>
      <c r="H375" s="332"/>
    </row>
    <row r="376" spans="3:8" x14ac:dyDescent="0.2">
      <c r="C376" s="360"/>
      <c r="D376" s="332"/>
      <c r="E376" s="332"/>
      <c r="F376" s="332"/>
      <c r="G376" s="332"/>
      <c r="H376" s="332"/>
    </row>
    <row r="377" spans="3:8" x14ac:dyDescent="0.2">
      <c r="C377" s="360"/>
      <c r="D377" s="332"/>
      <c r="E377" s="332"/>
      <c r="F377" s="332"/>
      <c r="G377" s="332"/>
      <c r="H377" s="332"/>
    </row>
    <row r="378" spans="3:8" x14ac:dyDescent="0.2">
      <c r="C378" s="360"/>
      <c r="D378" s="332"/>
      <c r="E378" s="332"/>
      <c r="F378" s="332"/>
      <c r="G378" s="332"/>
      <c r="H378" s="332"/>
    </row>
    <row r="379" spans="3:8" x14ac:dyDescent="0.2">
      <c r="C379" s="360"/>
      <c r="D379" s="332"/>
      <c r="E379" s="332"/>
      <c r="F379" s="332"/>
      <c r="G379" s="332"/>
      <c r="H379" s="332"/>
    </row>
    <row r="380" spans="3:8" x14ac:dyDescent="0.2">
      <c r="C380" s="360"/>
      <c r="D380" s="332"/>
      <c r="E380" s="332"/>
      <c r="F380" s="332"/>
      <c r="G380" s="332"/>
      <c r="H380" s="332"/>
    </row>
    <row r="381" spans="3:8" x14ac:dyDescent="0.2">
      <c r="C381" s="360"/>
      <c r="D381" s="332"/>
      <c r="E381" s="332"/>
      <c r="F381" s="332"/>
      <c r="G381" s="332"/>
      <c r="H381" s="332"/>
    </row>
    <row r="382" spans="3:8" x14ac:dyDescent="0.2">
      <c r="C382" s="360"/>
      <c r="D382" s="332"/>
      <c r="E382" s="332"/>
      <c r="F382" s="332"/>
      <c r="G382" s="332"/>
      <c r="H382" s="332"/>
    </row>
    <row r="383" spans="3:8" x14ac:dyDescent="0.2">
      <c r="C383" s="360"/>
      <c r="D383" s="332"/>
      <c r="E383" s="332"/>
      <c r="F383" s="332"/>
      <c r="G383" s="332"/>
      <c r="H383" s="332"/>
    </row>
    <row r="384" spans="3:8" x14ac:dyDescent="0.2">
      <c r="C384" s="360"/>
      <c r="D384" s="332"/>
      <c r="E384" s="332"/>
      <c r="F384" s="332"/>
      <c r="G384" s="332"/>
      <c r="H384" s="332"/>
    </row>
    <row r="385" spans="3:8" x14ac:dyDescent="0.2">
      <c r="C385" s="360"/>
      <c r="D385" s="332"/>
      <c r="E385" s="332"/>
      <c r="F385" s="332"/>
      <c r="G385" s="332"/>
      <c r="H385" s="332"/>
    </row>
    <row r="386" spans="3:8" x14ac:dyDescent="0.2">
      <c r="C386" s="360"/>
      <c r="D386" s="332"/>
      <c r="E386" s="332"/>
      <c r="F386" s="332"/>
      <c r="G386" s="332"/>
      <c r="H386" s="332"/>
    </row>
    <row r="387" spans="3:8" x14ac:dyDescent="0.2">
      <c r="C387" s="360"/>
      <c r="D387" s="332"/>
      <c r="E387" s="332"/>
      <c r="F387" s="332"/>
      <c r="G387" s="332"/>
      <c r="H387" s="332"/>
    </row>
    <row r="388" spans="3:8" x14ac:dyDescent="0.2">
      <c r="C388" s="360"/>
      <c r="D388" s="332"/>
      <c r="E388" s="332"/>
      <c r="F388" s="332"/>
      <c r="G388" s="332"/>
      <c r="H388" s="332"/>
    </row>
    <row r="389" spans="3:8" x14ac:dyDescent="0.2">
      <c r="C389" s="360"/>
      <c r="D389" s="332"/>
      <c r="E389" s="332"/>
      <c r="F389" s="332"/>
      <c r="G389" s="332"/>
      <c r="H389" s="332"/>
    </row>
    <row r="390" spans="3:8" x14ac:dyDescent="0.2">
      <c r="C390" s="360"/>
      <c r="D390" s="332"/>
      <c r="E390" s="332"/>
      <c r="F390" s="332"/>
      <c r="G390" s="332"/>
      <c r="H390" s="332"/>
    </row>
    <row r="391" spans="3:8" x14ac:dyDescent="0.2">
      <c r="C391" s="360"/>
      <c r="D391" s="332"/>
      <c r="E391" s="332"/>
      <c r="F391" s="332"/>
      <c r="G391" s="332"/>
      <c r="H391" s="332"/>
    </row>
    <row r="392" spans="3:8" x14ac:dyDescent="0.2">
      <c r="C392" s="360"/>
      <c r="D392" s="332"/>
      <c r="E392" s="332"/>
      <c r="F392" s="332"/>
      <c r="G392" s="332"/>
      <c r="H392" s="332"/>
    </row>
    <row r="393" spans="3:8" x14ac:dyDescent="0.2">
      <c r="C393" s="360"/>
      <c r="D393" s="332"/>
      <c r="E393" s="332"/>
      <c r="F393" s="332"/>
      <c r="G393" s="332"/>
      <c r="H393" s="332"/>
    </row>
    <row r="394" spans="3:8" x14ac:dyDescent="0.2">
      <c r="C394" s="360"/>
      <c r="D394" s="332"/>
      <c r="E394" s="332"/>
      <c r="F394" s="332"/>
      <c r="G394" s="332"/>
      <c r="H394" s="332"/>
    </row>
    <row r="395" spans="3:8" x14ac:dyDescent="0.2">
      <c r="C395" s="360"/>
      <c r="D395" s="332"/>
      <c r="E395" s="332"/>
      <c r="F395" s="332"/>
      <c r="G395" s="332"/>
      <c r="H395" s="332"/>
    </row>
    <row r="396" spans="3:8" x14ac:dyDescent="0.2">
      <c r="C396" s="360"/>
      <c r="D396" s="332"/>
      <c r="E396" s="332"/>
      <c r="F396" s="332"/>
      <c r="G396" s="332"/>
      <c r="H396" s="332"/>
    </row>
    <row r="397" spans="3:8" x14ac:dyDescent="0.2">
      <c r="C397" s="360"/>
      <c r="D397" s="332"/>
      <c r="E397" s="332"/>
      <c r="F397" s="332"/>
      <c r="G397" s="332"/>
      <c r="H397" s="332"/>
    </row>
    <row r="398" spans="3:8" x14ac:dyDescent="0.2">
      <c r="C398" s="360"/>
      <c r="D398" s="332"/>
      <c r="E398" s="332"/>
      <c r="F398" s="332"/>
      <c r="G398" s="332"/>
      <c r="H398" s="332"/>
    </row>
    <row r="399" spans="3:8" x14ac:dyDescent="0.2">
      <c r="C399" s="360"/>
      <c r="D399" s="332"/>
      <c r="E399" s="332"/>
      <c r="F399" s="332"/>
      <c r="G399" s="332"/>
      <c r="H399" s="332"/>
    </row>
    <row r="400" spans="3:8" x14ac:dyDescent="0.2">
      <c r="C400" s="360"/>
      <c r="D400" s="332"/>
      <c r="E400" s="332"/>
      <c r="F400" s="332"/>
      <c r="G400" s="332"/>
      <c r="H400" s="332"/>
    </row>
    <row r="401" spans="3:8" x14ac:dyDescent="0.2">
      <c r="C401" s="360"/>
      <c r="D401" s="332"/>
      <c r="E401" s="332"/>
      <c r="F401" s="332"/>
      <c r="G401" s="332"/>
      <c r="H401" s="332"/>
    </row>
    <row r="402" spans="3:8" x14ac:dyDescent="0.2">
      <c r="C402" s="360"/>
      <c r="D402" s="332"/>
      <c r="E402" s="332"/>
      <c r="F402" s="332"/>
      <c r="G402" s="332"/>
      <c r="H402" s="332"/>
    </row>
    <row r="403" spans="3:8" x14ac:dyDescent="0.2">
      <c r="C403" s="360"/>
      <c r="D403" s="332"/>
      <c r="E403" s="332"/>
      <c r="F403" s="332"/>
      <c r="G403" s="332"/>
      <c r="H403" s="332"/>
    </row>
    <row r="404" spans="3:8" x14ac:dyDescent="0.2">
      <c r="C404" s="360"/>
      <c r="D404" s="332"/>
      <c r="E404" s="332"/>
      <c r="F404" s="332"/>
      <c r="G404" s="332"/>
      <c r="H404" s="332"/>
    </row>
    <row r="405" spans="3:8" x14ac:dyDescent="0.2">
      <c r="C405" s="360"/>
      <c r="D405" s="332"/>
      <c r="E405" s="332"/>
      <c r="F405" s="332"/>
      <c r="G405" s="332"/>
      <c r="H405" s="332"/>
    </row>
    <row r="406" spans="3:8" x14ac:dyDescent="0.2">
      <c r="C406" s="360"/>
      <c r="D406" s="332"/>
      <c r="E406" s="332"/>
      <c r="F406" s="332"/>
      <c r="G406" s="332"/>
      <c r="H406" s="332"/>
    </row>
    <row r="407" spans="3:8" x14ac:dyDescent="0.2">
      <c r="C407" s="360"/>
      <c r="D407" s="332"/>
      <c r="E407" s="332"/>
      <c r="F407" s="332"/>
      <c r="G407" s="332"/>
      <c r="H407" s="332"/>
    </row>
    <row r="408" spans="3:8" x14ac:dyDescent="0.2">
      <c r="C408" s="360"/>
      <c r="D408" s="332"/>
      <c r="E408" s="332"/>
      <c r="F408" s="332"/>
      <c r="G408" s="332"/>
      <c r="H408" s="332"/>
    </row>
    <row r="409" spans="3:8" x14ac:dyDescent="0.2">
      <c r="C409" s="360"/>
      <c r="D409" s="332"/>
      <c r="E409" s="332"/>
      <c r="F409" s="332"/>
      <c r="G409" s="332"/>
      <c r="H409" s="332"/>
    </row>
    <row r="410" spans="3:8" x14ac:dyDescent="0.2">
      <c r="C410" s="360"/>
      <c r="D410" s="332"/>
      <c r="E410" s="332"/>
      <c r="F410" s="332"/>
      <c r="G410" s="332"/>
      <c r="H410" s="332"/>
    </row>
    <row r="411" spans="3:8" x14ac:dyDescent="0.2">
      <c r="C411" s="360"/>
      <c r="D411" s="332"/>
      <c r="E411" s="332"/>
      <c r="F411" s="332"/>
      <c r="G411" s="332"/>
      <c r="H411" s="332"/>
    </row>
    <row r="412" spans="3:8" x14ac:dyDescent="0.2">
      <c r="C412" s="360"/>
      <c r="D412" s="332"/>
      <c r="E412" s="332"/>
      <c r="F412" s="332"/>
      <c r="G412" s="332"/>
      <c r="H412" s="332"/>
    </row>
    <row r="413" spans="3:8" x14ac:dyDescent="0.2">
      <c r="C413" s="360"/>
      <c r="D413" s="332"/>
      <c r="E413" s="332"/>
      <c r="F413" s="332"/>
      <c r="G413" s="332"/>
      <c r="H413" s="332"/>
    </row>
    <row r="414" spans="3:8" x14ac:dyDescent="0.2">
      <c r="C414" s="360"/>
      <c r="D414" s="332"/>
      <c r="E414" s="332"/>
      <c r="F414" s="332"/>
      <c r="G414" s="332"/>
      <c r="H414" s="332"/>
    </row>
    <row r="415" spans="3:8" x14ac:dyDescent="0.2">
      <c r="C415" s="360"/>
      <c r="D415" s="332"/>
      <c r="E415" s="332"/>
      <c r="F415" s="332"/>
      <c r="G415" s="332"/>
      <c r="H415" s="332"/>
    </row>
    <row r="416" spans="3:8" x14ac:dyDescent="0.2">
      <c r="C416" s="360"/>
      <c r="D416" s="332"/>
      <c r="E416" s="332"/>
      <c r="F416" s="332"/>
      <c r="G416" s="332"/>
      <c r="H416" s="332"/>
    </row>
    <row r="417" spans="3:8" x14ac:dyDescent="0.2">
      <c r="C417" s="360"/>
      <c r="D417" s="332"/>
      <c r="E417" s="332"/>
      <c r="F417" s="332"/>
      <c r="G417" s="332"/>
      <c r="H417" s="332"/>
    </row>
    <row r="418" spans="3:8" x14ac:dyDescent="0.2">
      <c r="C418" s="360"/>
      <c r="D418" s="332"/>
      <c r="E418" s="332"/>
      <c r="F418" s="332"/>
      <c r="G418" s="332"/>
      <c r="H418" s="332"/>
    </row>
    <row r="419" spans="3:8" x14ac:dyDescent="0.2">
      <c r="C419" s="360"/>
      <c r="D419" s="332"/>
      <c r="E419" s="332"/>
      <c r="F419" s="332"/>
      <c r="G419" s="332"/>
      <c r="H419" s="332"/>
    </row>
    <row r="420" spans="3:8" x14ac:dyDescent="0.2">
      <c r="C420" s="360"/>
      <c r="D420" s="332"/>
      <c r="E420" s="332"/>
      <c r="F420" s="332"/>
      <c r="G420" s="332"/>
      <c r="H420" s="332"/>
    </row>
    <row r="421" spans="3:8" x14ac:dyDescent="0.2">
      <c r="C421" s="360"/>
      <c r="D421" s="332"/>
      <c r="E421" s="332"/>
      <c r="F421" s="332"/>
      <c r="G421" s="332"/>
      <c r="H421" s="332"/>
    </row>
    <row r="422" spans="3:8" x14ac:dyDescent="0.2">
      <c r="C422" s="360"/>
      <c r="D422" s="332"/>
      <c r="E422" s="332"/>
      <c r="F422" s="332"/>
      <c r="G422" s="332"/>
      <c r="H422" s="332"/>
    </row>
    <row r="423" spans="3:8" x14ac:dyDescent="0.2">
      <c r="C423" s="360"/>
      <c r="D423" s="332"/>
      <c r="E423" s="332"/>
      <c r="F423" s="332"/>
      <c r="G423" s="332"/>
      <c r="H423" s="332"/>
    </row>
    <row r="424" spans="3:8" x14ac:dyDescent="0.2">
      <c r="C424" s="360"/>
      <c r="D424" s="332"/>
      <c r="E424" s="332"/>
      <c r="F424" s="332"/>
      <c r="G424" s="332"/>
      <c r="H424" s="332"/>
    </row>
    <row r="425" spans="3:8" x14ac:dyDescent="0.2">
      <c r="C425" s="360"/>
      <c r="D425" s="332"/>
      <c r="E425" s="332"/>
      <c r="F425" s="332"/>
      <c r="G425" s="332"/>
      <c r="H425" s="332"/>
    </row>
    <row r="426" spans="3:8" x14ac:dyDescent="0.2">
      <c r="C426" s="360"/>
      <c r="D426" s="332"/>
      <c r="E426" s="332"/>
      <c r="F426" s="332"/>
      <c r="G426" s="332"/>
      <c r="H426" s="332"/>
    </row>
    <row r="427" spans="3:8" x14ac:dyDescent="0.2">
      <c r="C427" s="360"/>
      <c r="D427" s="332"/>
      <c r="E427" s="332"/>
      <c r="F427" s="332"/>
      <c r="G427" s="332"/>
      <c r="H427" s="332"/>
    </row>
    <row r="428" spans="3:8" x14ac:dyDescent="0.2">
      <c r="C428" s="360"/>
      <c r="D428" s="332"/>
      <c r="E428" s="332"/>
      <c r="F428" s="332"/>
      <c r="G428" s="332"/>
      <c r="H428" s="332"/>
    </row>
    <row r="429" spans="3:8" x14ac:dyDescent="0.2">
      <c r="C429" s="360"/>
      <c r="D429" s="332"/>
      <c r="E429" s="332"/>
      <c r="F429" s="332"/>
      <c r="G429" s="332"/>
      <c r="H429" s="332"/>
    </row>
    <row r="430" spans="3:8" x14ac:dyDescent="0.2">
      <c r="C430" s="360"/>
      <c r="D430" s="332"/>
      <c r="E430" s="332"/>
      <c r="F430" s="332"/>
      <c r="G430" s="332"/>
      <c r="H430" s="332"/>
    </row>
    <row r="431" spans="3:8" x14ac:dyDescent="0.2">
      <c r="C431" s="360"/>
      <c r="D431" s="332"/>
      <c r="E431" s="332"/>
      <c r="F431" s="332"/>
      <c r="G431" s="332"/>
      <c r="H431" s="332"/>
    </row>
    <row r="432" spans="3:8" x14ac:dyDescent="0.2">
      <c r="C432" s="360"/>
      <c r="D432" s="332"/>
      <c r="E432" s="332"/>
      <c r="F432" s="332"/>
      <c r="G432" s="332"/>
      <c r="H432" s="332"/>
    </row>
    <row r="433" spans="3:8" x14ac:dyDescent="0.2">
      <c r="C433" s="360"/>
      <c r="D433" s="332"/>
      <c r="E433" s="332"/>
      <c r="F433" s="332"/>
      <c r="G433" s="332"/>
      <c r="H433" s="332"/>
    </row>
    <row r="434" spans="3:8" x14ac:dyDescent="0.2">
      <c r="C434" s="360"/>
      <c r="D434" s="332"/>
      <c r="E434" s="332"/>
      <c r="F434" s="332"/>
      <c r="G434" s="332"/>
      <c r="H434" s="332"/>
    </row>
    <row r="435" spans="3:8" x14ac:dyDescent="0.2">
      <c r="C435" s="360"/>
      <c r="D435" s="332"/>
      <c r="E435" s="332"/>
      <c r="F435" s="332"/>
      <c r="G435" s="332"/>
      <c r="H435" s="332"/>
    </row>
    <row r="436" spans="3:8" x14ac:dyDescent="0.2">
      <c r="C436" s="360"/>
      <c r="D436" s="332"/>
      <c r="E436" s="332"/>
      <c r="F436" s="332"/>
      <c r="G436" s="332"/>
      <c r="H436" s="332"/>
    </row>
    <row r="437" spans="3:8" x14ac:dyDescent="0.2">
      <c r="C437" s="360"/>
      <c r="D437" s="332"/>
      <c r="E437" s="332"/>
      <c r="F437" s="332"/>
      <c r="G437" s="332"/>
      <c r="H437" s="332"/>
    </row>
    <row r="438" spans="3:8" x14ac:dyDescent="0.2">
      <c r="C438" s="360"/>
      <c r="D438" s="332"/>
      <c r="E438" s="332"/>
      <c r="F438" s="332"/>
      <c r="G438" s="332"/>
      <c r="H438" s="332"/>
    </row>
    <row r="439" spans="3:8" x14ac:dyDescent="0.2">
      <c r="C439" s="360"/>
      <c r="D439" s="332"/>
      <c r="E439" s="332"/>
      <c r="F439" s="332"/>
      <c r="G439" s="332"/>
      <c r="H439" s="332"/>
    </row>
    <row r="440" spans="3:8" x14ac:dyDescent="0.2">
      <c r="C440" s="360"/>
      <c r="D440" s="332"/>
      <c r="E440" s="332"/>
      <c r="F440" s="332"/>
      <c r="G440" s="332"/>
      <c r="H440" s="332"/>
    </row>
    <row r="441" spans="3:8" x14ac:dyDescent="0.2">
      <c r="C441" s="360"/>
      <c r="D441" s="332"/>
      <c r="E441" s="332"/>
      <c r="F441" s="332"/>
      <c r="G441" s="332"/>
      <c r="H441" s="332"/>
    </row>
    <row r="442" spans="3:8" x14ac:dyDescent="0.2">
      <c r="C442" s="360"/>
      <c r="D442" s="332"/>
      <c r="E442" s="332"/>
      <c r="F442" s="332"/>
      <c r="G442" s="332"/>
      <c r="H442" s="332"/>
    </row>
    <row r="443" spans="3:8" x14ac:dyDescent="0.2">
      <c r="C443" s="360"/>
      <c r="D443" s="332"/>
      <c r="E443" s="332"/>
      <c r="F443" s="332"/>
      <c r="G443" s="332"/>
      <c r="H443" s="332"/>
    </row>
    <row r="444" spans="3:8" x14ac:dyDescent="0.2">
      <c r="C444" s="360"/>
      <c r="D444" s="332"/>
      <c r="E444" s="332"/>
      <c r="F444" s="332"/>
      <c r="G444" s="332"/>
      <c r="H444" s="332"/>
    </row>
    <row r="445" spans="3:8" x14ac:dyDescent="0.2">
      <c r="C445" s="360"/>
      <c r="D445" s="332"/>
      <c r="E445" s="332"/>
      <c r="F445" s="332"/>
      <c r="G445" s="332"/>
      <c r="H445" s="332"/>
    </row>
    <row r="446" spans="3:8" x14ac:dyDescent="0.2">
      <c r="C446" s="360"/>
      <c r="D446" s="332"/>
      <c r="E446" s="332"/>
      <c r="F446" s="332"/>
      <c r="G446" s="332"/>
      <c r="H446" s="332"/>
    </row>
    <row r="447" spans="3:8" x14ac:dyDescent="0.2">
      <c r="C447" s="360"/>
      <c r="D447" s="332"/>
      <c r="E447" s="332"/>
      <c r="F447" s="332"/>
      <c r="G447" s="332"/>
      <c r="H447" s="332"/>
    </row>
    <row r="448" spans="3:8" x14ac:dyDescent="0.2">
      <c r="C448" s="360"/>
      <c r="D448" s="332"/>
      <c r="E448" s="332"/>
      <c r="F448" s="332"/>
      <c r="G448" s="332"/>
      <c r="H448" s="332"/>
    </row>
    <row r="449" spans="3:8" x14ac:dyDescent="0.2">
      <c r="C449" s="360"/>
      <c r="D449" s="332"/>
      <c r="E449" s="332"/>
      <c r="F449" s="332"/>
      <c r="G449" s="332"/>
      <c r="H449" s="332"/>
    </row>
    <row r="450" spans="3:8" x14ac:dyDescent="0.2">
      <c r="C450" s="360"/>
      <c r="D450" s="332"/>
      <c r="E450" s="332"/>
      <c r="F450" s="332"/>
      <c r="G450" s="332"/>
      <c r="H450" s="332"/>
    </row>
    <row r="451" spans="3:8" x14ac:dyDescent="0.2">
      <c r="C451" s="360"/>
      <c r="D451" s="332"/>
      <c r="E451" s="332"/>
      <c r="F451" s="332"/>
      <c r="G451" s="332"/>
      <c r="H451" s="332"/>
    </row>
    <row r="452" spans="3:8" x14ac:dyDescent="0.2">
      <c r="C452" s="360"/>
      <c r="D452" s="332"/>
      <c r="E452" s="332"/>
      <c r="F452" s="332"/>
      <c r="G452" s="332"/>
      <c r="H452" s="332"/>
    </row>
    <row r="453" spans="3:8" x14ac:dyDescent="0.2">
      <c r="C453" s="360"/>
      <c r="D453" s="332"/>
      <c r="E453" s="332"/>
      <c r="F453" s="332"/>
      <c r="G453" s="332"/>
      <c r="H453" s="332"/>
    </row>
    <row r="454" spans="3:8" x14ac:dyDescent="0.2">
      <c r="C454" s="360"/>
      <c r="D454" s="332"/>
      <c r="E454" s="332"/>
      <c r="F454" s="332"/>
      <c r="G454" s="332"/>
      <c r="H454" s="332"/>
    </row>
    <row r="455" spans="3:8" x14ac:dyDescent="0.2">
      <c r="C455" s="360"/>
      <c r="D455" s="332"/>
      <c r="E455" s="332"/>
      <c r="F455" s="332"/>
      <c r="G455" s="332"/>
      <c r="H455" s="332"/>
    </row>
    <row r="456" spans="3:8" x14ac:dyDescent="0.2">
      <c r="C456" s="360"/>
      <c r="D456" s="332"/>
      <c r="E456" s="332"/>
      <c r="F456" s="332"/>
      <c r="G456" s="332"/>
      <c r="H456" s="332"/>
    </row>
    <row r="457" spans="3:8" x14ac:dyDescent="0.2">
      <c r="C457" s="360"/>
      <c r="D457" s="332"/>
      <c r="E457" s="332"/>
      <c r="F457" s="332"/>
      <c r="G457" s="332"/>
      <c r="H457" s="332"/>
    </row>
    <row r="458" spans="3:8" x14ac:dyDescent="0.2">
      <c r="C458" s="360"/>
      <c r="D458" s="332"/>
      <c r="E458" s="332"/>
      <c r="F458" s="332"/>
      <c r="G458" s="332"/>
      <c r="H458" s="332"/>
    </row>
    <row r="459" spans="3:8" x14ac:dyDescent="0.2">
      <c r="C459" s="360"/>
      <c r="D459" s="332"/>
      <c r="E459" s="332"/>
      <c r="F459" s="332"/>
      <c r="G459" s="332"/>
      <c r="H459" s="332"/>
    </row>
    <row r="460" spans="3:8" x14ac:dyDescent="0.2">
      <c r="C460" s="360"/>
      <c r="D460" s="332"/>
      <c r="E460" s="332"/>
      <c r="F460" s="332"/>
      <c r="G460" s="332"/>
      <c r="H460" s="332"/>
    </row>
    <row r="461" spans="3:8" x14ac:dyDescent="0.2">
      <c r="C461" s="360"/>
      <c r="D461" s="332"/>
      <c r="E461" s="332"/>
      <c r="F461" s="332"/>
      <c r="G461" s="332"/>
      <c r="H461" s="332"/>
    </row>
    <row r="462" spans="3:8" x14ac:dyDescent="0.2">
      <c r="C462" s="360"/>
      <c r="D462" s="332"/>
      <c r="E462" s="332"/>
      <c r="F462" s="332"/>
      <c r="G462" s="332"/>
      <c r="H462" s="332"/>
    </row>
    <row r="463" spans="3:8" x14ac:dyDescent="0.2">
      <c r="C463" s="360"/>
      <c r="D463" s="332"/>
      <c r="E463" s="332"/>
      <c r="F463" s="332"/>
      <c r="G463" s="332"/>
      <c r="H463" s="332"/>
    </row>
    <row r="464" spans="3:8" x14ac:dyDescent="0.2">
      <c r="C464" s="360"/>
      <c r="D464" s="332"/>
      <c r="E464" s="332"/>
      <c r="F464" s="332"/>
      <c r="G464" s="332"/>
      <c r="H464" s="332"/>
    </row>
    <row r="465" spans="3:8" x14ac:dyDescent="0.2">
      <c r="C465" s="360"/>
      <c r="D465" s="332"/>
      <c r="E465" s="332"/>
      <c r="F465" s="332"/>
      <c r="G465" s="332"/>
      <c r="H465" s="332"/>
    </row>
    <row r="466" spans="3:8" x14ac:dyDescent="0.2">
      <c r="C466" s="360"/>
      <c r="D466" s="332"/>
      <c r="E466" s="332"/>
      <c r="F466" s="332"/>
      <c r="G466" s="332"/>
      <c r="H466" s="332"/>
    </row>
    <row r="467" spans="3:8" x14ac:dyDescent="0.2">
      <c r="C467" s="360"/>
      <c r="D467" s="332"/>
      <c r="E467" s="332"/>
      <c r="F467" s="332"/>
      <c r="G467" s="332"/>
      <c r="H467" s="332"/>
    </row>
    <row r="468" spans="3:8" x14ac:dyDescent="0.2">
      <c r="C468" s="360"/>
      <c r="D468" s="332"/>
      <c r="E468" s="332"/>
      <c r="F468" s="332"/>
      <c r="G468" s="332"/>
      <c r="H468" s="332"/>
    </row>
    <row r="469" spans="3:8" x14ac:dyDescent="0.2">
      <c r="C469" s="360"/>
      <c r="D469" s="332"/>
      <c r="E469" s="332"/>
      <c r="F469" s="332"/>
      <c r="G469" s="332"/>
      <c r="H469" s="332"/>
    </row>
    <row r="470" spans="3:8" x14ac:dyDescent="0.2">
      <c r="C470" s="360"/>
      <c r="D470" s="332"/>
      <c r="E470" s="332"/>
      <c r="F470" s="332"/>
      <c r="G470" s="332"/>
      <c r="H470" s="332"/>
    </row>
    <row r="471" spans="3:8" x14ac:dyDescent="0.2">
      <c r="C471" s="360"/>
      <c r="D471" s="332"/>
      <c r="E471" s="332"/>
      <c r="F471" s="332"/>
      <c r="G471" s="332"/>
      <c r="H471" s="332"/>
    </row>
    <row r="472" spans="3:8" x14ac:dyDescent="0.2">
      <c r="C472" s="360"/>
      <c r="D472" s="332"/>
      <c r="E472" s="332"/>
      <c r="F472" s="332"/>
      <c r="G472" s="332"/>
      <c r="H472" s="332"/>
    </row>
    <row r="473" spans="3:8" x14ac:dyDescent="0.2">
      <c r="C473" s="360"/>
      <c r="D473" s="332"/>
      <c r="E473" s="332"/>
      <c r="F473" s="332"/>
      <c r="G473" s="332"/>
      <c r="H473" s="332"/>
    </row>
    <row r="474" spans="3:8" x14ac:dyDescent="0.2">
      <c r="C474" s="360"/>
      <c r="D474" s="332"/>
      <c r="E474" s="332"/>
      <c r="F474" s="332"/>
      <c r="G474" s="332"/>
      <c r="H474" s="332"/>
    </row>
    <row r="475" spans="3:8" x14ac:dyDescent="0.2">
      <c r="C475" s="360"/>
      <c r="D475" s="332"/>
      <c r="E475" s="332"/>
      <c r="F475" s="332"/>
      <c r="G475" s="332"/>
      <c r="H475" s="332"/>
    </row>
    <row r="476" spans="3:8" x14ac:dyDescent="0.2">
      <c r="C476" s="360"/>
      <c r="D476" s="332"/>
      <c r="E476" s="332"/>
      <c r="F476" s="332"/>
      <c r="G476" s="332"/>
      <c r="H476" s="332"/>
    </row>
    <row r="477" spans="3:8" x14ac:dyDescent="0.2">
      <c r="C477" s="360"/>
      <c r="D477" s="332"/>
      <c r="E477" s="332"/>
      <c r="F477" s="332"/>
      <c r="G477" s="332"/>
      <c r="H477" s="332"/>
    </row>
    <row r="478" spans="3:8" x14ac:dyDescent="0.2">
      <c r="C478" s="360"/>
      <c r="D478" s="332"/>
      <c r="E478" s="332"/>
      <c r="F478" s="332"/>
      <c r="G478" s="332"/>
      <c r="H478" s="332"/>
    </row>
    <row r="479" spans="3:8" x14ac:dyDescent="0.2">
      <c r="C479" s="360"/>
      <c r="D479" s="332"/>
      <c r="E479" s="332"/>
      <c r="F479" s="332"/>
      <c r="G479" s="332"/>
      <c r="H479" s="332"/>
    </row>
    <row r="480" spans="3:8" x14ac:dyDescent="0.2">
      <c r="C480" s="360"/>
      <c r="D480" s="332"/>
      <c r="E480" s="332"/>
      <c r="F480" s="332"/>
      <c r="G480" s="332"/>
      <c r="H480" s="332"/>
    </row>
    <row r="481" spans="3:8" x14ac:dyDescent="0.2">
      <c r="C481" s="360"/>
      <c r="D481" s="332"/>
      <c r="E481" s="332"/>
      <c r="F481" s="332"/>
      <c r="G481" s="332"/>
      <c r="H481" s="332"/>
    </row>
    <row r="482" spans="3:8" x14ac:dyDescent="0.2">
      <c r="C482" s="360"/>
      <c r="D482" s="332"/>
      <c r="E482" s="332"/>
      <c r="F482" s="332"/>
      <c r="G482" s="332"/>
      <c r="H482" s="332"/>
    </row>
    <row r="483" spans="3:8" x14ac:dyDescent="0.2">
      <c r="C483" s="360"/>
      <c r="D483" s="332"/>
      <c r="E483" s="332"/>
      <c r="F483" s="332"/>
      <c r="G483" s="332"/>
      <c r="H483" s="332"/>
    </row>
    <row r="484" spans="3:8" x14ac:dyDescent="0.2">
      <c r="C484" s="360"/>
      <c r="D484" s="332"/>
      <c r="E484" s="332"/>
      <c r="F484" s="332"/>
      <c r="G484" s="332"/>
      <c r="H484" s="332"/>
    </row>
    <row r="485" spans="3:8" x14ac:dyDescent="0.2">
      <c r="C485" s="360"/>
      <c r="D485" s="332"/>
      <c r="E485" s="332"/>
      <c r="F485" s="332"/>
      <c r="G485" s="332"/>
      <c r="H485" s="332"/>
    </row>
    <row r="486" spans="3:8" x14ac:dyDescent="0.2">
      <c r="C486" s="360"/>
      <c r="D486" s="332"/>
      <c r="E486" s="332"/>
      <c r="F486" s="332"/>
      <c r="G486" s="332"/>
      <c r="H486" s="332"/>
    </row>
    <row r="487" spans="3:8" x14ac:dyDescent="0.2">
      <c r="C487" s="360"/>
      <c r="D487" s="332"/>
      <c r="E487" s="332"/>
      <c r="F487" s="332"/>
      <c r="G487" s="332"/>
      <c r="H487" s="332"/>
    </row>
    <row r="488" spans="3:8" x14ac:dyDescent="0.2">
      <c r="C488" s="360"/>
      <c r="D488" s="332"/>
      <c r="E488" s="332"/>
      <c r="F488" s="332"/>
      <c r="G488" s="332"/>
      <c r="H488" s="332"/>
    </row>
    <row r="489" spans="3:8" x14ac:dyDescent="0.2">
      <c r="C489" s="360"/>
      <c r="D489" s="332"/>
      <c r="E489" s="332"/>
      <c r="F489" s="332"/>
      <c r="G489" s="332"/>
      <c r="H489" s="332"/>
    </row>
    <row r="490" spans="3:8" x14ac:dyDescent="0.2">
      <c r="C490" s="360"/>
      <c r="D490" s="332"/>
      <c r="E490" s="332"/>
      <c r="F490" s="332"/>
      <c r="G490" s="332"/>
      <c r="H490" s="332"/>
    </row>
    <row r="491" spans="3:8" x14ac:dyDescent="0.2">
      <c r="C491" s="360"/>
      <c r="D491" s="332"/>
      <c r="E491" s="332"/>
      <c r="F491" s="332"/>
      <c r="G491" s="332"/>
      <c r="H491" s="332"/>
    </row>
    <row r="492" spans="3:8" x14ac:dyDescent="0.2">
      <c r="C492" s="360"/>
      <c r="D492" s="332"/>
      <c r="E492" s="332"/>
      <c r="F492" s="332"/>
      <c r="G492" s="332"/>
      <c r="H492" s="332"/>
    </row>
    <row r="493" spans="3:8" x14ac:dyDescent="0.2">
      <c r="C493" s="360"/>
      <c r="D493" s="332"/>
      <c r="E493" s="332"/>
      <c r="F493" s="332"/>
      <c r="G493" s="332"/>
      <c r="H493" s="332"/>
    </row>
    <row r="494" spans="3:8" x14ac:dyDescent="0.2">
      <c r="C494" s="360"/>
      <c r="D494" s="332"/>
      <c r="E494" s="332"/>
      <c r="F494" s="332"/>
      <c r="G494" s="332"/>
      <c r="H494" s="332"/>
    </row>
    <row r="495" spans="3:8" x14ac:dyDescent="0.2">
      <c r="C495" s="360"/>
      <c r="D495" s="332"/>
      <c r="E495" s="332"/>
      <c r="F495" s="332"/>
      <c r="G495" s="332"/>
      <c r="H495" s="332"/>
    </row>
    <row r="496" spans="3:8" x14ac:dyDescent="0.2">
      <c r="C496" s="360"/>
      <c r="D496" s="332"/>
      <c r="E496" s="332"/>
      <c r="F496" s="332"/>
      <c r="G496" s="332"/>
      <c r="H496" s="332"/>
    </row>
    <row r="497" spans="3:8" x14ac:dyDescent="0.2">
      <c r="C497" s="360"/>
      <c r="D497" s="332"/>
      <c r="E497" s="332"/>
      <c r="F497" s="332"/>
      <c r="G497" s="332"/>
      <c r="H497" s="332"/>
    </row>
    <row r="498" spans="3:8" x14ac:dyDescent="0.2">
      <c r="C498" s="360"/>
      <c r="D498" s="332"/>
      <c r="E498" s="332"/>
      <c r="F498" s="332"/>
      <c r="G498" s="332"/>
      <c r="H498" s="332"/>
    </row>
    <row r="499" spans="3:8" x14ac:dyDescent="0.2">
      <c r="C499" s="360"/>
      <c r="D499" s="332"/>
      <c r="E499" s="332"/>
      <c r="F499" s="332"/>
      <c r="G499" s="332"/>
      <c r="H499" s="332"/>
    </row>
    <row r="500" spans="3:8" x14ac:dyDescent="0.2">
      <c r="C500" s="360"/>
      <c r="D500" s="332"/>
      <c r="E500" s="332"/>
      <c r="F500" s="332"/>
      <c r="G500" s="332"/>
      <c r="H500" s="332"/>
    </row>
    <row r="501" spans="3:8" x14ac:dyDescent="0.2">
      <c r="C501" s="360"/>
      <c r="D501" s="332"/>
      <c r="E501" s="332"/>
      <c r="F501" s="332"/>
      <c r="G501" s="332"/>
      <c r="H501" s="332"/>
    </row>
    <row r="502" spans="3:8" x14ac:dyDescent="0.2">
      <c r="C502" s="360"/>
      <c r="D502" s="332"/>
      <c r="E502" s="332"/>
      <c r="F502" s="332"/>
      <c r="G502" s="332"/>
      <c r="H502" s="332"/>
    </row>
    <row r="503" spans="3:8" x14ac:dyDescent="0.2">
      <c r="C503" s="360"/>
      <c r="D503" s="332"/>
      <c r="E503" s="332"/>
      <c r="F503" s="332"/>
      <c r="G503" s="332"/>
      <c r="H503" s="332"/>
    </row>
    <row r="504" spans="3:8" x14ac:dyDescent="0.2">
      <c r="C504" s="360"/>
      <c r="D504" s="332"/>
      <c r="E504" s="332"/>
      <c r="F504" s="332"/>
      <c r="G504" s="332"/>
      <c r="H504" s="332"/>
    </row>
    <row r="505" spans="3:8" x14ac:dyDescent="0.2">
      <c r="C505" s="360"/>
      <c r="D505" s="332"/>
      <c r="E505" s="332"/>
      <c r="F505" s="332"/>
      <c r="G505" s="332"/>
      <c r="H505" s="332"/>
    </row>
    <row r="506" spans="3:8" x14ac:dyDescent="0.2">
      <c r="C506" s="360"/>
      <c r="D506" s="332"/>
      <c r="E506" s="332"/>
      <c r="F506" s="332"/>
      <c r="G506" s="332"/>
      <c r="H506" s="332"/>
    </row>
    <row r="507" spans="3:8" x14ac:dyDescent="0.2">
      <c r="C507" s="360"/>
      <c r="D507" s="332"/>
      <c r="E507" s="332"/>
      <c r="F507" s="332"/>
      <c r="G507" s="332"/>
      <c r="H507" s="332"/>
    </row>
    <row r="508" spans="3:8" x14ac:dyDescent="0.2">
      <c r="C508" s="360"/>
      <c r="D508" s="332"/>
      <c r="E508" s="332"/>
      <c r="F508" s="332"/>
      <c r="G508" s="332"/>
      <c r="H508" s="332"/>
    </row>
    <row r="509" spans="3:8" x14ac:dyDescent="0.2">
      <c r="C509" s="360"/>
      <c r="D509" s="332"/>
      <c r="E509" s="332"/>
      <c r="F509" s="332"/>
      <c r="G509" s="332"/>
      <c r="H509" s="332"/>
    </row>
    <row r="510" spans="3:8" x14ac:dyDescent="0.2">
      <c r="C510" s="360"/>
      <c r="D510" s="332"/>
      <c r="E510" s="332"/>
      <c r="F510" s="332"/>
      <c r="G510" s="332"/>
      <c r="H510" s="332"/>
    </row>
    <row r="511" spans="3:8" x14ac:dyDescent="0.2">
      <c r="C511" s="360"/>
      <c r="D511" s="332"/>
      <c r="E511" s="332"/>
      <c r="F511" s="332"/>
      <c r="G511" s="332"/>
      <c r="H511" s="332"/>
    </row>
    <row r="512" spans="3:8" x14ac:dyDescent="0.2">
      <c r="C512" s="360"/>
      <c r="D512" s="332"/>
      <c r="E512" s="332"/>
      <c r="F512" s="332"/>
      <c r="G512" s="332"/>
      <c r="H512" s="332"/>
    </row>
    <row r="513" spans="3:8" x14ac:dyDescent="0.2">
      <c r="C513" s="360"/>
      <c r="D513" s="332"/>
      <c r="E513" s="332"/>
      <c r="F513" s="332"/>
      <c r="G513" s="332"/>
      <c r="H513" s="332"/>
    </row>
    <row r="514" spans="3:8" x14ac:dyDescent="0.2">
      <c r="C514" s="360"/>
      <c r="D514" s="332"/>
      <c r="E514" s="332"/>
      <c r="F514" s="332"/>
      <c r="G514" s="332"/>
      <c r="H514" s="332"/>
    </row>
    <row r="515" spans="3:8" x14ac:dyDescent="0.2">
      <c r="C515" s="360"/>
      <c r="D515" s="332"/>
      <c r="E515" s="332"/>
      <c r="F515" s="332"/>
      <c r="G515" s="332"/>
      <c r="H515" s="332"/>
    </row>
    <row r="516" spans="3:8" x14ac:dyDescent="0.2">
      <c r="C516" s="360"/>
      <c r="D516" s="332"/>
      <c r="E516" s="332"/>
      <c r="F516" s="332"/>
      <c r="G516" s="332"/>
      <c r="H516" s="332"/>
    </row>
    <row r="517" spans="3:8" x14ac:dyDescent="0.2">
      <c r="C517" s="360"/>
      <c r="D517" s="332"/>
      <c r="E517" s="332"/>
      <c r="F517" s="332"/>
      <c r="G517" s="332"/>
      <c r="H517" s="332"/>
    </row>
    <row r="518" spans="3:8" x14ac:dyDescent="0.2">
      <c r="C518" s="360"/>
      <c r="D518" s="332"/>
      <c r="E518" s="332"/>
      <c r="F518" s="332"/>
      <c r="G518" s="332"/>
      <c r="H518" s="332"/>
    </row>
    <row r="519" spans="3:8" x14ac:dyDescent="0.2">
      <c r="C519" s="360"/>
      <c r="D519" s="332"/>
      <c r="E519" s="332"/>
      <c r="F519" s="332"/>
      <c r="G519" s="332"/>
      <c r="H519" s="332"/>
    </row>
    <row r="520" spans="3:8" x14ac:dyDescent="0.2">
      <c r="C520" s="360"/>
      <c r="D520" s="332"/>
      <c r="E520" s="332"/>
      <c r="F520" s="332"/>
      <c r="G520" s="332"/>
      <c r="H520" s="332"/>
    </row>
    <row r="521" spans="3:8" x14ac:dyDescent="0.2">
      <c r="C521" s="360"/>
      <c r="D521" s="332"/>
      <c r="E521" s="332"/>
      <c r="F521" s="332"/>
      <c r="G521" s="332"/>
      <c r="H521" s="332"/>
    </row>
    <row r="522" spans="3:8" x14ac:dyDescent="0.2">
      <c r="C522" s="360"/>
      <c r="D522" s="332"/>
      <c r="E522" s="332"/>
      <c r="F522" s="332"/>
      <c r="G522" s="332"/>
      <c r="H522" s="332"/>
    </row>
    <row r="523" spans="3:8" x14ac:dyDescent="0.2">
      <c r="C523" s="360"/>
      <c r="D523" s="332"/>
      <c r="E523" s="332"/>
      <c r="F523" s="332"/>
      <c r="G523" s="332"/>
      <c r="H523" s="332"/>
    </row>
    <row r="524" spans="3:8" x14ac:dyDescent="0.2">
      <c r="C524" s="360"/>
      <c r="D524" s="332"/>
      <c r="E524" s="332"/>
      <c r="F524" s="332"/>
      <c r="G524" s="332"/>
      <c r="H524" s="332"/>
    </row>
    <row r="525" spans="3:8" x14ac:dyDescent="0.2">
      <c r="C525" s="360"/>
      <c r="D525" s="332"/>
      <c r="E525" s="332"/>
      <c r="F525" s="332"/>
      <c r="G525" s="332"/>
      <c r="H525" s="332"/>
    </row>
    <row r="526" spans="3:8" x14ac:dyDescent="0.2">
      <c r="C526" s="360"/>
      <c r="D526" s="332"/>
      <c r="E526" s="332"/>
      <c r="F526" s="332"/>
      <c r="G526" s="332"/>
      <c r="H526" s="332"/>
    </row>
    <row r="527" spans="3:8" x14ac:dyDescent="0.2">
      <c r="C527" s="360"/>
      <c r="D527" s="332"/>
      <c r="E527" s="332"/>
      <c r="F527" s="332"/>
      <c r="G527" s="332"/>
      <c r="H527" s="332"/>
    </row>
    <row r="528" spans="3:8" x14ac:dyDescent="0.2">
      <c r="C528" s="360"/>
      <c r="D528" s="332"/>
      <c r="E528" s="332"/>
      <c r="F528" s="332"/>
      <c r="G528" s="332"/>
      <c r="H528" s="332"/>
    </row>
    <row r="529" spans="3:8" x14ac:dyDescent="0.2">
      <c r="C529" s="360"/>
      <c r="D529" s="332"/>
      <c r="E529" s="332"/>
      <c r="F529" s="332"/>
      <c r="G529" s="332"/>
      <c r="H529" s="332"/>
    </row>
    <row r="530" spans="3:8" x14ac:dyDescent="0.2">
      <c r="C530" s="360"/>
      <c r="D530" s="332"/>
      <c r="E530" s="332"/>
      <c r="F530" s="332"/>
      <c r="G530" s="332"/>
      <c r="H530" s="332"/>
    </row>
    <row r="531" spans="3:8" x14ac:dyDescent="0.2">
      <c r="C531" s="360"/>
      <c r="D531" s="332"/>
      <c r="E531" s="332"/>
      <c r="F531" s="332"/>
      <c r="G531" s="332"/>
      <c r="H531" s="332"/>
    </row>
    <row r="532" spans="3:8" x14ac:dyDescent="0.2">
      <c r="C532" s="360"/>
      <c r="D532" s="332"/>
      <c r="E532" s="332"/>
      <c r="F532" s="332"/>
      <c r="G532" s="332"/>
      <c r="H532" s="332"/>
    </row>
    <row r="533" spans="3:8" x14ac:dyDescent="0.2">
      <c r="C533" s="360"/>
      <c r="D533" s="332"/>
      <c r="E533" s="332"/>
      <c r="F533" s="332"/>
      <c r="G533" s="332"/>
      <c r="H533" s="332"/>
    </row>
    <row r="534" spans="3:8" x14ac:dyDescent="0.2">
      <c r="C534" s="360"/>
      <c r="D534" s="332"/>
      <c r="E534" s="332"/>
      <c r="F534" s="332"/>
      <c r="G534" s="332"/>
      <c r="H534" s="332"/>
    </row>
    <row r="535" spans="3:8" x14ac:dyDescent="0.2">
      <c r="C535" s="360"/>
      <c r="D535" s="332"/>
      <c r="E535" s="332"/>
      <c r="F535" s="332"/>
      <c r="G535" s="332"/>
      <c r="H535" s="332"/>
    </row>
    <row r="536" spans="3:8" x14ac:dyDescent="0.2">
      <c r="C536" s="360"/>
      <c r="D536" s="332"/>
      <c r="E536" s="332"/>
      <c r="F536" s="332"/>
      <c r="G536" s="332"/>
      <c r="H536" s="332"/>
    </row>
    <row r="537" spans="3:8" x14ac:dyDescent="0.2">
      <c r="C537" s="360"/>
      <c r="D537" s="332"/>
      <c r="E537" s="332"/>
      <c r="F537" s="332"/>
      <c r="G537" s="332"/>
      <c r="H537" s="332"/>
    </row>
    <row r="538" spans="3:8" x14ac:dyDescent="0.2">
      <c r="C538" s="360"/>
      <c r="D538" s="332"/>
      <c r="E538" s="332"/>
      <c r="F538" s="332"/>
      <c r="G538" s="332"/>
      <c r="H538" s="332"/>
    </row>
    <row r="539" spans="3:8" x14ac:dyDescent="0.2">
      <c r="C539" s="360"/>
      <c r="D539" s="332"/>
      <c r="E539" s="332"/>
      <c r="F539" s="332"/>
      <c r="G539" s="332"/>
      <c r="H539" s="332"/>
    </row>
    <row r="540" spans="3:8" x14ac:dyDescent="0.2">
      <c r="C540" s="360"/>
      <c r="D540" s="332"/>
      <c r="E540" s="332"/>
      <c r="F540" s="332"/>
      <c r="G540" s="332"/>
      <c r="H540" s="332"/>
    </row>
    <row r="541" spans="3:8" x14ac:dyDescent="0.2">
      <c r="C541" s="360"/>
      <c r="D541" s="332"/>
      <c r="E541" s="332"/>
      <c r="F541" s="332"/>
      <c r="G541" s="332"/>
      <c r="H541" s="332"/>
    </row>
    <row r="542" spans="3:8" x14ac:dyDescent="0.2">
      <c r="C542" s="360"/>
      <c r="D542" s="332"/>
      <c r="E542" s="332"/>
      <c r="F542" s="332"/>
      <c r="G542" s="332"/>
      <c r="H542" s="332"/>
    </row>
    <row r="543" spans="3:8" x14ac:dyDescent="0.2">
      <c r="C543" s="360"/>
      <c r="D543" s="332"/>
      <c r="E543" s="332"/>
      <c r="F543" s="332"/>
      <c r="G543" s="332"/>
      <c r="H543" s="332"/>
    </row>
    <row r="544" spans="3:8" x14ac:dyDescent="0.2">
      <c r="C544" s="360"/>
      <c r="D544" s="332"/>
      <c r="E544" s="332"/>
      <c r="F544" s="332"/>
      <c r="G544" s="332"/>
      <c r="H544" s="332"/>
    </row>
    <row r="545" spans="3:8" x14ac:dyDescent="0.2">
      <c r="C545" s="360"/>
      <c r="D545" s="332"/>
      <c r="E545" s="332"/>
      <c r="F545" s="332"/>
      <c r="G545" s="332"/>
      <c r="H545" s="332"/>
    </row>
    <row r="546" spans="3:8" x14ac:dyDescent="0.2">
      <c r="C546" s="360"/>
      <c r="D546" s="332"/>
      <c r="E546" s="332"/>
      <c r="F546" s="332"/>
      <c r="G546" s="332"/>
      <c r="H546" s="332"/>
    </row>
    <row r="547" spans="3:8" x14ac:dyDescent="0.2">
      <c r="C547" s="360"/>
      <c r="D547" s="332"/>
      <c r="E547" s="332"/>
      <c r="F547" s="332"/>
      <c r="G547" s="332"/>
      <c r="H547" s="332"/>
    </row>
    <row r="548" spans="3:8" x14ac:dyDescent="0.2">
      <c r="C548" s="360"/>
      <c r="D548" s="332"/>
      <c r="E548" s="332"/>
      <c r="F548" s="332"/>
      <c r="G548" s="332"/>
      <c r="H548" s="332"/>
    </row>
    <row r="549" spans="3:8" x14ac:dyDescent="0.2">
      <c r="C549" s="360"/>
      <c r="D549" s="332"/>
      <c r="E549" s="332"/>
      <c r="F549" s="332"/>
      <c r="G549" s="332"/>
      <c r="H549" s="332"/>
    </row>
    <row r="550" spans="3:8" x14ac:dyDescent="0.2">
      <c r="C550" s="360"/>
      <c r="D550" s="332"/>
      <c r="E550" s="332"/>
      <c r="F550" s="332"/>
      <c r="G550" s="332"/>
      <c r="H550" s="332"/>
    </row>
    <row r="551" spans="3:8" x14ac:dyDescent="0.2">
      <c r="C551" s="360"/>
      <c r="D551" s="332"/>
      <c r="E551" s="332"/>
      <c r="F551" s="332"/>
      <c r="G551" s="332"/>
      <c r="H551" s="332"/>
    </row>
    <row r="552" spans="3:8" x14ac:dyDescent="0.2">
      <c r="C552" s="360"/>
      <c r="D552" s="332"/>
      <c r="E552" s="332"/>
      <c r="F552" s="332"/>
      <c r="G552" s="332"/>
      <c r="H552" s="332"/>
    </row>
    <row r="553" spans="3:8" x14ac:dyDescent="0.2">
      <c r="C553" s="360"/>
      <c r="D553" s="332"/>
      <c r="E553" s="332"/>
      <c r="F553" s="332"/>
      <c r="G553" s="332"/>
      <c r="H553" s="332"/>
    </row>
    <row r="554" spans="3:8" x14ac:dyDescent="0.2">
      <c r="C554" s="360"/>
      <c r="D554" s="332"/>
      <c r="E554" s="332"/>
      <c r="F554" s="332"/>
      <c r="G554" s="332"/>
      <c r="H554" s="332"/>
    </row>
    <row r="555" spans="3:8" x14ac:dyDescent="0.2">
      <c r="C555" s="360"/>
      <c r="D555" s="332"/>
      <c r="E555" s="332"/>
      <c r="F555" s="332"/>
      <c r="G555" s="332"/>
      <c r="H555" s="332"/>
    </row>
    <row r="556" spans="3:8" x14ac:dyDescent="0.2">
      <c r="C556" s="360"/>
      <c r="D556" s="332"/>
      <c r="E556" s="332"/>
      <c r="F556" s="332"/>
      <c r="G556" s="332"/>
      <c r="H556" s="332"/>
    </row>
    <row r="557" spans="3:8" x14ac:dyDescent="0.2">
      <c r="C557" s="360"/>
      <c r="D557" s="332"/>
      <c r="E557" s="332"/>
      <c r="F557" s="332"/>
      <c r="G557" s="332"/>
      <c r="H557" s="332"/>
    </row>
    <row r="558" spans="3:8" x14ac:dyDescent="0.2">
      <c r="C558" s="360"/>
      <c r="D558" s="332"/>
      <c r="E558" s="332"/>
      <c r="F558" s="332"/>
      <c r="G558" s="332"/>
      <c r="H558" s="332"/>
    </row>
    <row r="559" spans="3:8" x14ac:dyDescent="0.2">
      <c r="C559" s="360"/>
      <c r="D559" s="332"/>
      <c r="E559" s="332"/>
      <c r="F559" s="332"/>
      <c r="G559" s="332"/>
      <c r="H559" s="332"/>
    </row>
    <row r="560" spans="3:8" x14ac:dyDescent="0.2">
      <c r="C560" s="360"/>
      <c r="D560" s="332"/>
      <c r="E560" s="332"/>
      <c r="F560" s="332"/>
      <c r="G560" s="332"/>
      <c r="H560" s="332"/>
    </row>
    <row r="561" spans="3:8" x14ac:dyDescent="0.2">
      <c r="C561" s="360"/>
      <c r="D561" s="332"/>
      <c r="E561" s="332"/>
      <c r="F561" s="332"/>
      <c r="G561" s="332"/>
      <c r="H561" s="332"/>
    </row>
    <row r="562" spans="3:8" x14ac:dyDescent="0.2">
      <c r="C562" s="360"/>
      <c r="D562" s="332"/>
      <c r="E562" s="332"/>
      <c r="F562" s="332"/>
      <c r="G562" s="332"/>
      <c r="H562" s="332"/>
    </row>
    <row r="563" spans="3:8" x14ac:dyDescent="0.2">
      <c r="C563" s="360"/>
      <c r="D563" s="332"/>
      <c r="E563" s="332"/>
      <c r="F563" s="332"/>
      <c r="G563" s="332"/>
      <c r="H563" s="332"/>
    </row>
    <row r="564" spans="3:8" x14ac:dyDescent="0.2">
      <c r="C564" s="360"/>
      <c r="D564" s="332"/>
      <c r="E564" s="332"/>
      <c r="F564" s="332"/>
      <c r="G564" s="332"/>
      <c r="H564" s="332"/>
    </row>
    <row r="565" spans="3:8" x14ac:dyDescent="0.2">
      <c r="C565" s="360"/>
      <c r="D565" s="332"/>
      <c r="E565" s="332"/>
      <c r="F565" s="332"/>
      <c r="G565" s="332"/>
      <c r="H565" s="332"/>
    </row>
    <row r="566" spans="3:8" x14ac:dyDescent="0.2">
      <c r="C566" s="360"/>
      <c r="D566" s="332"/>
      <c r="E566" s="332"/>
      <c r="F566" s="332"/>
      <c r="G566" s="332"/>
      <c r="H566" s="332"/>
    </row>
    <row r="567" spans="3:8" x14ac:dyDescent="0.2">
      <c r="C567" s="360"/>
      <c r="D567" s="332"/>
      <c r="E567" s="332"/>
      <c r="F567" s="332"/>
      <c r="G567" s="332"/>
      <c r="H567" s="332"/>
    </row>
    <row r="568" spans="3:8" x14ac:dyDescent="0.2">
      <c r="C568" s="360"/>
      <c r="D568" s="332"/>
      <c r="E568" s="332"/>
      <c r="F568" s="332"/>
      <c r="G568" s="332"/>
      <c r="H568" s="332"/>
    </row>
    <row r="569" spans="3:8" x14ac:dyDescent="0.2">
      <c r="C569" s="360"/>
      <c r="D569" s="332"/>
      <c r="E569" s="332"/>
      <c r="F569" s="332"/>
      <c r="G569" s="332"/>
      <c r="H569" s="332"/>
    </row>
    <row r="570" spans="3:8" x14ac:dyDescent="0.2">
      <c r="C570" s="360"/>
      <c r="D570" s="332"/>
      <c r="E570" s="332"/>
      <c r="F570" s="332"/>
      <c r="G570" s="332"/>
      <c r="H570" s="332"/>
    </row>
    <row r="571" spans="3:8" x14ac:dyDescent="0.2">
      <c r="C571" s="360"/>
      <c r="D571" s="332"/>
      <c r="E571" s="332"/>
      <c r="F571" s="332"/>
      <c r="G571" s="332"/>
      <c r="H571" s="332"/>
    </row>
    <row r="572" spans="3:8" x14ac:dyDescent="0.2">
      <c r="C572" s="360"/>
      <c r="D572" s="332"/>
      <c r="E572" s="332"/>
      <c r="F572" s="332"/>
      <c r="G572" s="332"/>
      <c r="H572" s="332"/>
    </row>
    <row r="573" spans="3:8" x14ac:dyDescent="0.2">
      <c r="C573" s="360"/>
      <c r="D573" s="332"/>
      <c r="E573" s="332"/>
      <c r="F573" s="332"/>
      <c r="G573" s="332"/>
      <c r="H573" s="332"/>
    </row>
    <row r="574" spans="3:8" x14ac:dyDescent="0.2">
      <c r="C574" s="360"/>
      <c r="D574" s="332"/>
      <c r="E574" s="332"/>
      <c r="F574" s="332"/>
      <c r="G574" s="332"/>
      <c r="H574" s="332"/>
    </row>
    <row r="575" spans="3:8" x14ac:dyDescent="0.2">
      <c r="C575" s="360"/>
      <c r="D575" s="332"/>
      <c r="E575" s="332"/>
      <c r="F575" s="332"/>
      <c r="G575" s="332"/>
      <c r="H575" s="332"/>
    </row>
    <row r="576" spans="3:8" x14ac:dyDescent="0.2">
      <c r="C576" s="360"/>
      <c r="D576" s="332"/>
      <c r="E576" s="332"/>
      <c r="F576" s="332"/>
      <c r="G576" s="332"/>
      <c r="H576" s="332"/>
    </row>
    <row r="577" spans="3:8" x14ac:dyDescent="0.2">
      <c r="C577" s="360"/>
      <c r="D577" s="332"/>
      <c r="E577" s="332"/>
      <c r="F577" s="332"/>
      <c r="G577" s="332"/>
      <c r="H577" s="332"/>
    </row>
    <row r="578" spans="3:8" x14ac:dyDescent="0.2">
      <c r="C578" s="360"/>
      <c r="D578" s="332"/>
      <c r="E578" s="332"/>
      <c r="F578" s="332"/>
      <c r="G578" s="332"/>
      <c r="H578" s="332"/>
    </row>
    <row r="579" spans="3:8" x14ac:dyDescent="0.2">
      <c r="C579" s="360"/>
      <c r="D579" s="332"/>
      <c r="E579" s="332"/>
      <c r="F579" s="332"/>
      <c r="G579" s="332"/>
      <c r="H579" s="332"/>
    </row>
    <row r="580" spans="3:8" x14ac:dyDescent="0.2">
      <c r="C580" s="360"/>
      <c r="D580" s="332"/>
      <c r="E580" s="332"/>
      <c r="F580" s="332"/>
      <c r="G580" s="332"/>
      <c r="H580" s="332"/>
    </row>
    <row r="581" spans="3:8" x14ac:dyDescent="0.2">
      <c r="C581" s="360"/>
      <c r="D581" s="332"/>
      <c r="E581" s="332"/>
      <c r="F581" s="332"/>
      <c r="G581" s="332"/>
      <c r="H581" s="332"/>
    </row>
    <row r="582" spans="3:8" x14ac:dyDescent="0.2">
      <c r="C582" s="360"/>
      <c r="D582" s="332"/>
      <c r="E582" s="332"/>
      <c r="F582" s="332"/>
      <c r="G582" s="332"/>
      <c r="H582" s="332"/>
    </row>
    <row r="583" spans="3:8" x14ac:dyDescent="0.2">
      <c r="C583" s="360"/>
      <c r="D583" s="332"/>
      <c r="E583" s="332"/>
      <c r="F583" s="332"/>
      <c r="G583" s="332"/>
      <c r="H583" s="332"/>
    </row>
    <row r="584" spans="3:8" x14ac:dyDescent="0.2">
      <c r="C584" s="360"/>
      <c r="D584" s="332"/>
      <c r="E584" s="332"/>
      <c r="F584" s="332"/>
      <c r="G584" s="332"/>
      <c r="H584" s="332"/>
    </row>
    <row r="585" spans="3:8" x14ac:dyDescent="0.2">
      <c r="C585" s="360"/>
      <c r="D585" s="332"/>
      <c r="E585" s="332"/>
      <c r="F585" s="332"/>
      <c r="G585" s="332"/>
      <c r="H585" s="332"/>
    </row>
    <row r="586" spans="3:8" x14ac:dyDescent="0.2">
      <c r="C586" s="360"/>
      <c r="D586" s="332"/>
      <c r="E586" s="332"/>
      <c r="F586" s="332"/>
      <c r="G586" s="332"/>
      <c r="H586" s="332"/>
    </row>
    <row r="587" spans="3:8" x14ac:dyDescent="0.2">
      <c r="C587" s="360"/>
      <c r="D587" s="332"/>
      <c r="E587" s="332"/>
      <c r="F587" s="332"/>
      <c r="G587" s="332"/>
      <c r="H587" s="332"/>
    </row>
    <row r="588" spans="3:8" x14ac:dyDescent="0.2">
      <c r="C588" s="360"/>
      <c r="D588" s="332"/>
      <c r="E588" s="332"/>
      <c r="F588" s="332"/>
      <c r="G588" s="332"/>
      <c r="H588" s="332"/>
    </row>
    <row r="589" spans="3:8" x14ac:dyDescent="0.2">
      <c r="C589" s="360"/>
      <c r="D589" s="332"/>
      <c r="E589" s="332"/>
      <c r="F589" s="332"/>
      <c r="G589" s="332"/>
      <c r="H589" s="332"/>
    </row>
    <row r="590" spans="3:8" x14ac:dyDescent="0.2">
      <c r="C590" s="360"/>
      <c r="D590" s="332"/>
      <c r="E590" s="332"/>
      <c r="F590" s="332"/>
      <c r="G590" s="332"/>
      <c r="H590" s="332"/>
    </row>
    <row r="591" spans="3:8" x14ac:dyDescent="0.2">
      <c r="C591" s="360"/>
      <c r="D591" s="332"/>
      <c r="E591" s="332"/>
      <c r="F591" s="332"/>
      <c r="G591" s="332"/>
      <c r="H591" s="332"/>
    </row>
    <row r="592" spans="3:8" x14ac:dyDescent="0.2">
      <c r="C592" s="360"/>
      <c r="D592" s="332"/>
      <c r="E592" s="332"/>
      <c r="F592" s="332"/>
      <c r="G592" s="332"/>
      <c r="H592" s="332"/>
    </row>
    <row r="593" spans="3:8" x14ac:dyDescent="0.2">
      <c r="C593" s="360"/>
      <c r="D593" s="332"/>
      <c r="E593" s="332"/>
      <c r="F593" s="332"/>
      <c r="G593" s="332"/>
      <c r="H593" s="332"/>
    </row>
    <row r="594" spans="3:8" x14ac:dyDescent="0.2">
      <c r="C594" s="360"/>
      <c r="D594" s="332"/>
      <c r="E594" s="332"/>
      <c r="F594" s="332"/>
      <c r="G594" s="332"/>
      <c r="H594" s="332"/>
    </row>
    <row r="595" spans="3:8" x14ac:dyDescent="0.2">
      <c r="C595" s="360"/>
      <c r="D595" s="332"/>
      <c r="E595" s="332"/>
      <c r="F595" s="332"/>
      <c r="G595" s="332"/>
      <c r="H595" s="332"/>
    </row>
    <row r="596" spans="3:8" x14ac:dyDescent="0.2">
      <c r="C596" s="360"/>
      <c r="D596" s="332"/>
      <c r="E596" s="332"/>
      <c r="F596" s="332"/>
      <c r="G596" s="332"/>
      <c r="H596" s="332"/>
    </row>
    <row r="597" spans="3:8" x14ac:dyDescent="0.2">
      <c r="C597" s="360"/>
      <c r="D597" s="332"/>
      <c r="E597" s="332"/>
      <c r="F597" s="332"/>
      <c r="G597" s="332"/>
      <c r="H597" s="332"/>
    </row>
    <row r="598" spans="3:8" x14ac:dyDescent="0.2">
      <c r="C598" s="360"/>
      <c r="D598" s="332"/>
      <c r="E598" s="332"/>
      <c r="F598" s="332"/>
      <c r="G598" s="332"/>
      <c r="H598" s="332"/>
    </row>
    <row r="599" spans="3:8" x14ac:dyDescent="0.2">
      <c r="C599" s="360"/>
      <c r="D599" s="332"/>
      <c r="E599" s="332"/>
      <c r="F599" s="332"/>
      <c r="G599" s="332"/>
      <c r="H599" s="332"/>
    </row>
    <row r="600" spans="3:8" x14ac:dyDescent="0.2">
      <c r="C600" s="360"/>
      <c r="D600" s="332"/>
      <c r="E600" s="332"/>
      <c r="F600" s="332"/>
      <c r="G600" s="332"/>
      <c r="H600" s="332"/>
    </row>
    <row r="601" spans="3:8" x14ac:dyDescent="0.2">
      <c r="C601" s="360"/>
      <c r="D601" s="332"/>
      <c r="E601" s="332"/>
      <c r="F601" s="332"/>
      <c r="G601" s="332"/>
      <c r="H601" s="332"/>
    </row>
    <row r="602" spans="3:8" x14ac:dyDescent="0.2">
      <c r="C602" s="360"/>
      <c r="D602" s="332"/>
      <c r="E602" s="332"/>
      <c r="F602" s="332"/>
      <c r="G602" s="332"/>
      <c r="H602" s="332"/>
    </row>
    <row r="603" spans="3:8" x14ac:dyDescent="0.2">
      <c r="C603" s="360"/>
      <c r="D603" s="332"/>
      <c r="E603" s="332"/>
      <c r="F603" s="332"/>
      <c r="G603" s="332"/>
      <c r="H603" s="332"/>
    </row>
    <row r="604" spans="3:8" x14ac:dyDescent="0.2">
      <c r="C604" s="360"/>
      <c r="D604" s="332"/>
      <c r="E604" s="332"/>
      <c r="F604" s="332"/>
      <c r="G604" s="332"/>
      <c r="H604" s="332"/>
    </row>
    <row r="605" spans="3:8" x14ac:dyDescent="0.2">
      <c r="C605" s="360"/>
      <c r="D605" s="332"/>
      <c r="E605" s="332"/>
      <c r="F605" s="332"/>
      <c r="G605" s="332"/>
      <c r="H605" s="332"/>
    </row>
    <row r="606" spans="3:8" x14ac:dyDescent="0.2">
      <c r="C606" s="360"/>
      <c r="D606" s="332"/>
      <c r="E606" s="332"/>
      <c r="F606" s="332"/>
      <c r="G606" s="332"/>
      <c r="H606" s="332"/>
    </row>
    <row r="607" spans="3:8" x14ac:dyDescent="0.2">
      <c r="C607" s="360"/>
      <c r="D607" s="332"/>
      <c r="E607" s="332"/>
      <c r="F607" s="332"/>
      <c r="G607" s="332"/>
      <c r="H607" s="332"/>
    </row>
    <row r="608" spans="3:8" x14ac:dyDescent="0.2">
      <c r="C608" s="360"/>
      <c r="D608" s="332"/>
      <c r="E608" s="332"/>
      <c r="F608" s="332"/>
      <c r="G608" s="332"/>
      <c r="H608" s="332"/>
    </row>
    <row r="609" spans="3:8" x14ac:dyDescent="0.2">
      <c r="C609" s="360"/>
      <c r="D609" s="332"/>
      <c r="E609" s="332"/>
      <c r="F609" s="332"/>
      <c r="G609" s="332"/>
      <c r="H609" s="332"/>
    </row>
    <row r="610" spans="3:8" x14ac:dyDescent="0.2">
      <c r="C610" s="360"/>
      <c r="D610" s="332"/>
      <c r="E610" s="332"/>
      <c r="F610" s="332"/>
      <c r="G610" s="332"/>
      <c r="H610" s="332"/>
    </row>
    <row r="611" spans="3:8" x14ac:dyDescent="0.2">
      <c r="C611" s="360"/>
      <c r="D611" s="332"/>
      <c r="E611" s="332"/>
      <c r="F611" s="332"/>
      <c r="G611" s="332"/>
      <c r="H611" s="332"/>
    </row>
    <row r="612" spans="3:8" x14ac:dyDescent="0.2">
      <c r="C612" s="360"/>
      <c r="D612" s="332"/>
      <c r="E612" s="332"/>
      <c r="F612" s="332"/>
      <c r="G612" s="332"/>
      <c r="H612" s="332"/>
    </row>
    <row r="613" spans="3:8" x14ac:dyDescent="0.2">
      <c r="C613" s="360"/>
      <c r="D613" s="332"/>
      <c r="E613" s="332"/>
      <c r="F613" s="332"/>
      <c r="G613" s="332"/>
      <c r="H613" s="332"/>
    </row>
    <row r="614" spans="3:8" x14ac:dyDescent="0.2">
      <c r="C614" s="360"/>
      <c r="D614" s="332"/>
      <c r="E614" s="332"/>
      <c r="F614" s="332"/>
      <c r="G614" s="332"/>
      <c r="H614" s="332"/>
    </row>
    <row r="615" spans="3:8" x14ac:dyDescent="0.2">
      <c r="C615" s="360"/>
      <c r="D615" s="332"/>
      <c r="E615" s="332"/>
      <c r="F615" s="332"/>
      <c r="G615" s="332"/>
      <c r="H615" s="332"/>
    </row>
    <row r="616" spans="3:8" x14ac:dyDescent="0.2">
      <c r="C616" s="360"/>
      <c r="D616" s="332"/>
      <c r="E616" s="332"/>
      <c r="F616" s="332"/>
      <c r="G616" s="332"/>
      <c r="H616" s="332"/>
    </row>
    <row r="617" spans="3:8" x14ac:dyDescent="0.2">
      <c r="C617" s="360"/>
      <c r="D617" s="332"/>
      <c r="E617" s="332"/>
      <c r="F617" s="332"/>
      <c r="G617" s="332"/>
      <c r="H617" s="332"/>
    </row>
    <row r="618" spans="3:8" x14ac:dyDescent="0.2">
      <c r="C618" s="360"/>
      <c r="D618" s="332"/>
      <c r="E618" s="332"/>
      <c r="F618" s="332"/>
      <c r="G618" s="332"/>
      <c r="H618" s="332"/>
    </row>
    <row r="619" spans="3:8" x14ac:dyDescent="0.2">
      <c r="C619" s="360"/>
      <c r="D619" s="332"/>
      <c r="E619" s="332"/>
      <c r="F619" s="332"/>
      <c r="G619" s="332"/>
      <c r="H619" s="332"/>
    </row>
    <row r="620" spans="3:8" x14ac:dyDescent="0.2">
      <c r="C620" s="360"/>
      <c r="D620" s="332"/>
      <c r="E620" s="332"/>
      <c r="F620" s="332"/>
      <c r="G620" s="332"/>
      <c r="H620" s="332"/>
    </row>
    <row r="621" spans="3:8" x14ac:dyDescent="0.2">
      <c r="C621" s="360"/>
      <c r="D621" s="332"/>
      <c r="E621" s="332"/>
      <c r="F621" s="332"/>
      <c r="G621" s="332"/>
      <c r="H621" s="332"/>
    </row>
    <row r="622" spans="3:8" x14ac:dyDescent="0.2">
      <c r="C622" s="360"/>
      <c r="D622" s="332"/>
      <c r="E622" s="332"/>
      <c r="F622" s="332"/>
      <c r="G622" s="332"/>
      <c r="H622" s="332"/>
    </row>
    <row r="623" spans="3:8" x14ac:dyDescent="0.2">
      <c r="C623" s="360"/>
      <c r="D623" s="332"/>
      <c r="E623" s="332"/>
      <c r="F623" s="332"/>
      <c r="G623" s="332"/>
      <c r="H623" s="332"/>
    </row>
    <row r="624" spans="3:8" x14ac:dyDescent="0.2">
      <c r="C624" s="360"/>
      <c r="D624" s="332"/>
      <c r="E624" s="332"/>
      <c r="F624" s="332"/>
      <c r="G624" s="332"/>
      <c r="H624" s="332"/>
    </row>
    <row r="625" spans="3:8" x14ac:dyDescent="0.2">
      <c r="C625" s="360"/>
      <c r="D625" s="332"/>
      <c r="E625" s="332"/>
      <c r="F625" s="332"/>
      <c r="G625" s="332"/>
      <c r="H625" s="332"/>
    </row>
    <row r="626" spans="3:8" x14ac:dyDescent="0.2">
      <c r="C626" s="360"/>
      <c r="D626" s="332"/>
      <c r="E626" s="332"/>
      <c r="F626" s="332"/>
      <c r="G626" s="332"/>
      <c r="H626" s="332"/>
    </row>
    <row r="627" spans="3:8" x14ac:dyDescent="0.2">
      <c r="C627" s="360"/>
      <c r="D627" s="332"/>
      <c r="E627" s="332"/>
      <c r="F627" s="332"/>
      <c r="G627" s="332"/>
      <c r="H627" s="332"/>
    </row>
    <row r="628" spans="3:8" x14ac:dyDescent="0.2">
      <c r="C628" s="360"/>
      <c r="D628" s="332"/>
      <c r="E628" s="332"/>
      <c r="F628" s="332"/>
      <c r="G628" s="332"/>
      <c r="H628" s="332"/>
    </row>
    <row r="629" spans="3:8" x14ac:dyDescent="0.2">
      <c r="C629" s="360"/>
      <c r="D629" s="332"/>
      <c r="E629" s="332"/>
      <c r="F629" s="332"/>
      <c r="G629" s="332"/>
      <c r="H629" s="332"/>
    </row>
    <row r="630" spans="3:8" x14ac:dyDescent="0.2">
      <c r="C630" s="360"/>
      <c r="D630" s="332"/>
      <c r="E630" s="332"/>
      <c r="F630" s="332"/>
      <c r="G630" s="332"/>
      <c r="H630" s="332"/>
    </row>
    <row r="631" spans="3:8" x14ac:dyDescent="0.2">
      <c r="C631" s="360"/>
      <c r="D631" s="332"/>
      <c r="E631" s="332"/>
      <c r="F631" s="332"/>
      <c r="G631" s="332"/>
      <c r="H631" s="332"/>
    </row>
    <row r="632" spans="3:8" x14ac:dyDescent="0.2">
      <c r="C632" s="360"/>
      <c r="D632" s="332"/>
      <c r="E632" s="332"/>
      <c r="F632" s="332"/>
      <c r="G632" s="332"/>
      <c r="H632" s="332"/>
    </row>
    <row r="633" spans="3:8" x14ac:dyDescent="0.2">
      <c r="C633" s="360"/>
      <c r="D633" s="332"/>
      <c r="E633" s="332"/>
      <c r="F633" s="332"/>
      <c r="G633" s="332"/>
      <c r="H633" s="332"/>
    </row>
    <row r="634" spans="3:8" x14ac:dyDescent="0.2">
      <c r="C634" s="360"/>
      <c r="D634" s="332"/>
      <c r="E634" s="332"/>
      <c r="F634" s="332"/>
      <c r="G634" s="332"/>
      <c r="H634" s="332"/>
    </row>
    <row r="635" spans="3:8" x14ac:dyDescent="0.2">
      <c r="C635" s="360"/>
      <c r="D635" s="332"/>
      <c r="E635" s="332"/>
      <c r="F635" s="332"/>
      <c r="G635" s="332"/>
      <c r="H635" s="332"/>
    </row>
    <row r="636" spans="3:8" x14ac:dyDescent="0.2">
      <c r="C636" s="360"/>
      <c r="D636" s="332"/>
      <c r="E636" s="332"/>
      <c r="F636" s="332"/>
      <c r="G636" s="332"/>
      <c r="H636" s="332"/>
    </row>
    <row r="637" spans="3:8" x14ac:dyDescent="0.2">
      <c r="C637" s="360"/>
      <c r="D637" s="332"/>
      <c r="E637" s="332"/>
      <c r="F637" s="332"/>
      <c r="G637" s="332"/>
      <c r="H637" s="332"/>
    </row>
    <row r="638" spans="3:8" x14ac:dyDescent="0.2">
      <c r="C638" s="360"/>
      <c r="D638" s="332"/>
      <c r="E638" s="332"/>
      <c r="F638" s="332"/>
      <c r="G638" s="332"/>
      <c r="H638" s="332"/>
    </row>
    <row r="639" spans="3:8" x14ac:dyDescent="0.2">
      <c r="C639" s="360"/>
      <c r="D639" s="332"/>
      <c r="E639" s="332"/>
      <c r="F639" s="332"/>
      <c r="G639" s="332"/>
      <c r="H639" s="332"/>
    </row>
    <row r="640" spans="3:8" x14ac:dyDescent="0.2">
      <c r="C640" s="360"/>
      <c r="D640" s="332"/>
      <c r="E640" s="332"/>
      <c r="F640" s="332"/>
      <c r="G640" s="332"/>
      <c r="H640" s="332"/>
    </row>
    <row r="641" spans="3:8" x14ac:dyDescent="0.2">
      <c r="C641" s="360"/>
      <c r="D641" s="332"/>
      <c r="E641" s="332"/>
      <c r="F641" s="332"/>
      <c r="G641" s="332"/>
      <c r="H641" s="332"/>
    </row>
    <row r="642" spans="3:8" x14ac:dyDescent="0.2">
      <c r="C642" s="360"/>
      <c r="D642" s="332"/>
      <c r="E642" s="332"/>
      <c r="F642" s="332"/>
      <c r="G642" s="332"/>
      <c r="H642" s="332"/>
    </row>
    <row r="643" spans="3:8" x14ac:dyDescent="0.2">
      <c r="C643" s="360"/>
      <c r="D643" s="332"/>
      <c r="E643" s="332"/>
      <c r="F643" s="332"/>
      <c r="G643" s="332"/>
      <c r="H643" s="332"/>
    </row>
    <row r="644" spans="3:8" x14ac:dyDescent="0.2">
      <c r="C644" s="360"/>
      <c r="D644" s="332"/>
      <c r="E644" s="332"/>
      <c r="F644" s="332"/>
      <c r="G644" s="332"/>
      <c r="H644" s="332"/>
    </row>
    <row r="645" spans="3:8" x14ac:dyDescent="0.2">
      <c r="C645" s="360"/>
      <c r="D645" s="332"/>
      <c r="E645" s="332"/>
      <c r="F645" s="332"/>
      <c r="G645" s="332"/>
      <c r="H645" s="332"/>
    </row>
    <row r="646" spans="3:8" x14ac:dyDescent="0.2">
      <c r="C646" s="360"/>
      <c r="D646" s="332"/>
      <c r="E646" s="332"/>
      <c r="F646" s="332"/>
      <c r="G646" s="332"/>
      <c r="H646" s="332"/>
    </row>
    <row r="647" spans="3:8" x14ac:dyDescent="0.2">
      <c r="C647" s="360"/>
      <c r="D647" s="332"/>
      <c r="E647" s="332"/>
      <c r="F647" s="332"/>
      <c r="G647" s="332"/>
      <c r="H647" s="332"/>
    </row>
    <row r="648" spans="3:8" x14ac:dyDescent="0.2">
      <c r="C648" s="360"/>
      <c r="D648" s="332"/>
      <c r="E648" s="332"/>
      <c r="F648" s="332"/>
      <c r="G648" s="332"/>
      <c r="H648" s="332"/>
    </row>
    <row r="649" spans="3:8" x14ac:dyDescent="0.2">
      <c r="C649" s="360"/>
      <c r="D649" s="332"/>
      <c r="E649" s="332"/>
      <c r="F649" s="332"/>
      <c r="G649" s="332"/>
      <c r="H649" s="332"/>
    </row>
    <row r="650" spans="3:8" x14ac:dyDescent="0.2">
      <c r="C650" s="360"/>
      <c r="D650" s="332"/>
      <c r="E650" s="332"/>
      <c r="F650" s="332"/>
      <c r="G650" s="332"/>
      <c r="H650" s="332"/>
    </row>
    <row r="651" spans="3:8" x14ac:dyDescent="0.2">
      <c r="C651" s="360"/>
      <c r="D651" s="332"/>
      <c r="E651" s="332"/>
      <c r="F651" s="332"/>
      <c r="G651" s="332"/>
      <c r="H651" s="332"/>
    </row>
    <row r="652" spans="3:8" x14ac:dyDescent="0.2">
      <c r="C652" s="360"/>
      <c r="D652" s="332"/>
      <c r="E652" s="332"/>
      <c r="F652" s="332"/>
      <c r="G652" s="332"/>
      <c r="H652" s="332"/>
    </row>
    <row r="653" spans="3:8" x14ac:dyDescent="0.2">
      <c r="C653" s="360"/>
      <c r="D653" s="332"/>
      <c r="E653" s="332"/>
      <c r="F653" s="332"/>
      <c r="G653" s="332"/>
      <c r="H653" s="332"/>
    </row>
    <row r="654" spans="3:8" x14ac:dyDescent="0.2">
      <c r="C654" s="360"/>
      <c r="D654" s="332"/>
      <c r="E654" s="332"/>
      <c r="F654" s="332"/>
      <c r="G654" s="332"/>
      <c r="H654" s="332"/>
    </row>
    <row r="655" spans="3:8" x14ac:dyDescent="0.2">
      <c r="C655" s="360"/>
      <c r="D655" s="332"/>
      <c r="E655" s="332"/>
      <c r="F655" s="332"/>
      <c r="G655" s="332"/>
      <c r="H655" s="332"/>
    </row>
    <row r="656" spans="3:8" x14ac:dyDescent="0.2">
      <c r="C656" s="360"/>
      <c r="D656" s="332"/>
      <c r="E656" s="332"/>
      <c r="F656" s="332"/>
      <c r="G656" s="332"/>
      <c r="H656" s="332"/>
    </row>
    <row r="657" spans="3:8" x14ac:dyDescent="0.2">
      <c r="C657" s="360"/>
      <c r="D657" s="332"/>
      <c r="E657" s="332"/>
      <c r="F657" s="332"/>
      <c r="G657" s="332"/>
      <c r="H657" s="332"/>
    </row>
    <row r="658" spans="3:8" x14ac:dyDescent="0.2">
      <c r="C658" s="360"/>
      <c r="D658" s="332"/>
      <c r="E658" s="332"/>
      <c r="F658" s="332"/>
      <c r="G658" s="332"/>
      <c r="H658" s="332"/>
    </row>
    <row r="659" spans="3:8" x14ac:dyDescent="0.2">
      <c r="C659" s="360"/>
      <c r="D659" s="332"/>
      <c r="E659" s="332"/>
      <c r="F659" s="332"/>
      <c r="G659" s="332"/>
      <c r="H659" s="332"/>
    </row>
    <row r="660" spans="3:8" x14ac:dyDescent="0.2">
      <c r="C660" s="360"/>
      <c r="D660" s="332"/>
      <c r="E660" s="332"/>
      <c r="F660" s="332"/>
      <c r="G660" s="332"/>
      <c r="H660" s="332"/>
    </row>
    <row r="661" spans="3:8" x14ac:dyDescent="0.2">
      <c r="C661" s="360"/>
      <c r="D661" s="332"/>
      <c r="E661" s="332"/>
      <c r="F661" s="332"/>
      <c r="G661" s="332"/>
      <c r="H661" s="332"/>
    </row>
    <row r="662" spans="3:8" x14ac:dyDescent="0.2">
      <c r="C662" s="360"/>
      <c r="D662" s="332"/>
      <c r="E662" s="332"/>
      <c r="F662" s="332"/>
      <c r="G662" s="332"/>
      <c r="H662" s="332"/>
    </row>
    <row r="663" spans="3:8" x14ac:dyDescent="0.2">
      <c r="C663" s="360"/>
      <c r="D663" s="332"/>
      <c r="E663" s="332"/>
      <c r="F663" s="332"/>
      <c r="G663" s="332"/>
      <c r="H663" s="332"/>
    </row>
    <row r="664" spans="3:8" x14ac:dyDescent="0.2">
      <c r="C664" s="360"/>
      <c r="D664" s="332"/>
      <c r="E664" s="332"/>
      <c r="F664" s="332"/>
      <c r="G664" s="332"/>
      <c r="H664" s="332"/>
    </row>
    <row r="665" spans="3:8" x14ac:dyDescent="0.2">
      <c r="C665" s="360"/>
      <c r="D665" s="332"/>
      <c r="E665" s="332"/>
      <c r="F665" s="332"/>
      <c r="G665" s="332"/>
      <c r="H665" s="332"/>
    </row>
    <row r="666" spans="3:8" x14ac:dyDescent="0.2">
      <c r="C666" s="360"/>
      <c r="D666" s="332"/>
      <c r="E666" s="332"/>
      <c r="F666" s="332"/>
      <c r="G666" s="332"/>
      <c r="H666" s="332"/>
    </row>
    <row r="667" spans="3:8" x14ac:dyDescent="0.2">
      <c r="C667" s="360"/>
      <c r="D667" s="332"/>
      <c r="E667" s="332"/>
      <c r="F667" s="332"/>
      <c r="G667" s="332"/>
      <c r="H667" s="332"/>
    </row>
    <row r="668" spans="3:8" x14ac:dyDescent="0.2">
      <c r="C668" s="360"/>
      <c r="D668" s="332"/>
      <c r="E668" s="332"/>
      <c r="F668" s="332"/>
      <c r="G668" s="332"/>
      <c r="H668" s="332"/>
    </row>
    <row r="669" spans="3:8" x14ac:dyDescent="0.2">
      <c r="C669" s="360"/>
      <c r="D669" s="332"/>
      <c r="E669" s="332"/>
      <c r="F669" s="332"/>
      <c r="G669" s="332"/>
      <c r="H669" s="332"/>
    </row>
    <row r="670" spans="3:8" x14ac:dyDescent="0.2">
      <c r="C670" s="360"/>
      <c r="D670" s="332"/>
      <c r="E670" s="332"/>
      <c r="F670" s="332"/>
      <c r="G670" s="332"/>
      <c r="H670" s="332"/>
    </row>
    <row r="671" spans="3:8" x14ac:dyDescent="0.2">
      <c r="C671" s="360"/>
      <c r="D671" s="332"/>
      <c r="E671" s="332"/>
      <c r="F671" s="332"/>
      <c r="G671" s="332"/>
      <c r="H671" s="332"/>
    </row>
    <row r="672" spans="3:8" x14ac:dyDescent="0.2">
      <c r="C672" s="360"/>
      <c r="D672" s="332"/>
      <c r="E672" s="332"/>
      <c r="F672" s="332"/>
      <c r="G672" s="332"/>
      <c r="H672" s="332"/>
    </row>
    <row r="673" spans="3:8" x14ac:dyDescent="0.2">
      <c r="C673" s="360"/>
      <c r="D673" s="332"/>
      <c r="E673" s="332"/>
      <c r="F673" s="332"/>
      <c r="G673" s="332"/>
      <c r="H673" s="332"/>
    </row>
    <row r="674" spans="3:8" x14ac:dyDescent="0.2">
      <c r="C674" s="360"/>
      <c r="D674" s="332"/>
      <c r="E674" s="332"/>
      <c r="F674" s="332"/>
      <c r="G674" s="332"/>
      <c r="H674" s="332"/>
    </row>
    <row r="675" spans="3:8" x14ac:dyDescent="0.2">
      <c r="C675" s="360"/>
      <c r="D675" s="332"/>
      <c r="E675" s="332"/>
      <c r="F675" s="332"/>
      <c r="G675" s="332"/>
      <c r="H675" s="332"/>
    </row>
    <row r="676" spans="3:8" x14ac:dyDescent="0.2">
      <c r="C676" s="360"/>
      <c r="D676" s="332"/>
      <c r="E676" s="332"/>
      <c r="F676" s="332"/>
      <c r="G676" s="332"/>
      <c r="H676" s="332"/>
    </row>
    <row r="677" spans="3:8" x14ac:dyDescent="0.2">
      <c r="C677" s="360"/>
      <c r="D677" s="332"/>
      <c r="E677" s="332"/>
      <c r="F677" s="332"/>
      <c r="G677" s="332"/>
      <c r="H677" s="332"/>
    </row>
    <row r="678" spans="3:8" x14ac:dyDescent="0.2">
      <c r="C678" s="360"/>
      <c r="D678" s="332"/>
      <c r="E678" s="332"/>
      <c r="F678" s="332"/>
      <c r="G678" s="332"/>
      <c r="H678" s="332"/>
    </row>
    <row r="679" spans="3:8" x14ac:dyDescent="0.2">
      <c r="C679" s="360"/>
      <c r="D679" s="332"/>
      <c r="E679" s="332"/>
      <c r="F679" s="332"/>
      <c r="G679" s="332"/>
      <c r="H679" s="332"/>
    </row>
    <row r="680" spans="3:8" x14ac:dyDescent="0.2">
      <c r="C680" s="360"/>
      <c r="D680" s="332"/>
      <c r="E680" s="332"/>
      <c r="F680" s="332"/>
      <c r="G680" s="332"/>
      <c r="H680" s="332"/>
    </row>
    <row r="681" spans="3:8" x14ac:dyDescent="0.2">
      <c r="C681" s="360"/>
      <c r="D681" s="332"/>
      <c r="E681" s="332"/>
      <c r="F681" s="332"/>
      <c r="G681" s="332"/>
      <c r="H681" s="332"/>
    </row>
    <row r="682" spans="3:8" x14ac:dyDescent="0.2">
      <c r="C682" s="360"/>
      <c r="D682" s="332"/>
      <c r="E682" s="332"/>
      <c r="F682" s="332"/>
      <c r="G682" s="332"/>
      <c r="H682" s="332"/>
    </row>
    <row r="683" spans="3:8" x14ac:dyDescent="0.2">
      <c r="C683" s="360"/>
      <c r="D683" s="332"/>
      <c r="E683" s="332"/>
      <c r="F683" s="332"/>
      <c r="G683" s="332"/>
      <c r="H683" s="332"/>
    </row>
    <row r="684" spans="3:8" x14ac:dyDescent="0.2">
      <c r="C684" s="360"/>
      <c r="D684" s="332"/>
      <c r="E684" s="332"/>
      <c r="F684" s="332"/>
      <c r="G684" s="332"/>
      <c r="H684" s="332"/>
    </row>
    <row r="685" spans="3:8" x14ac:dyDescent="0.2">
      <c r="C685" s="360"/>
      <c r="D685" s="332"/>
      <c r="E685" s="332"/>
      <c r="F685" s="332"/>
      <c r="G685" s="332"/>
      <c r="H685" s="332"/>
    </row>
    <row r="686" spans="3:8" x14ac:dyDescent="0.2">
      <c r="C686" s="360"/>
      <c r="D686" s="332"/>
      <c r="E686" s="332"/>
      <c r="F686" s="332"/>
      <c r="G686" s="332"/>
      <c r="H686" s="332"/>
    </row>
    <row r="687" spans="3:8" x14ac:dyDescent="0.2">
      <c r="C687" s="360"/>
      <c r="D687" s="332"/>
      <c r="E687" s="332"/>
      <c r="F687" s="332"/>
      <c r="G687" s="332"/>
      <c r="H687" s="332"/>
    </row>
    <row r="688" spans="3:8" x14ac:dyDescent="0.2">
      <c r="C688" s="360"/>
      <c r="D688" s="332"/>
      <c r="E688" s="332"/>
      <c r="F688" s="332"/>
      <c r="G688" s="332"/>
      <c r="H688" s="332"/>
    </row>
    <row r="689" spans="3:8" x14ac:dyDescent="0.2">
      <c r="C689" s="360"/>
      <c r="D689" s="332"/>
      <c r="E689" s="332"/>
      <c r="F689" s="332"/>
      <c r="G689" s="332"/>
      <c r="H689" s="332"/>
    </row>
    <row r="690" spans="3:8" x14ac:dyDescent="0.2">
      <c r="C690" s="360"/>
      <c r="D690" s="332"/>
      <c r="E690" s="332"/>
      <c r="F690" s="332"/>
      <c r="G690" s="332"/>
      <c r="H690" s="332"/>
    </row>
    <row r="691" spans="3:8" x14ac:dyDescent="0.2">
      <c r="C691" s="360"/>
      <c r="D691" s="332"/>
      <c r="E691" s="332"/>
      <c r="F691" s="332"/>
      <c r="G691" s="332"/>
      <c r="H691" s="332"/>
    </row>
    <row r="692" spans="3:8" x14ac:dyDescent="0.2">
      <c r="C692" s="360"/>
      <c r="D692" s="332"/>
      <c r="E692" s="332"/>
      <c r="F692" s="332"/>
      <c r="G692" s="332"/>
      <c r="H692" s="332"/>
    </row>
    <row r="693" spans="3:8" x14ac:dyDescent="0.2">
      <c r="C693" s="360"/>
      <c r="D693" s="332"/>
      <c r="E693" s="332"/>
      <c r="F693" s="332"/>
      <c r="G693" s="332"/>
      <c r="H693" s="332"/>
    </row>
    <row r="694" spans="3:8" x14ac:dyDescent="0.2">
      <c r="C694" s="360"/>
      <c r="D694" s="332"/>
      <c r="E694" s="332"/>
      <c r="F694" s="332"/>
      <c r="G694" s="332"/>
      <c r="H694" s="332"/>
    </row>
    <row r="695" spans="3:8" x14ac:dyDescent="0.2">
      <c r="C695" s="360"/>
      <c r="D695" s="332"/>
      <c r="E695" s="332"/>
      <c r="F695" s="332"/>
      <c r="G695" s="332"/>
      <c r="H695" s="332"/>
    </row>
    <row r="696" spans="3:8" x14ac:dyDescent="0.2">
      <c r="C696" s="360"/>
      <c r="D696" s="332"/>
      <c r="E696" s="332"/>
      <c r="F696" s="332"/>
      <c r="G696" s="332"/>
      <c r="H696" s="332"/>
    </row>
    <row r="697" spans="3:8" x14ac:dyDescent="0.2">
      <c r="C697" s="360"/>
      <c r="D697" s="332"/>
      <c r="E697" s="332"/>
      <c r="F697" s="332"/>
      <c r="G697" s="332"/>
      <c r="H697" s="332"/>
    </row>
    <row r="698" spans="3:8" x14ac:dyDescent="0.2">
      <c r="C698" s="360"/>
      <c r="D698" s="332"/>
      <c r="E698" s="332"/>
      <c r="F698" s="332"/>
      <c r="G698" s="332"/>
      <c r="H698" s="332"/>
    </row>
    <row r="699" spans="3:8" x14ac:dyDescent="0.2">
      <c r="C699" s="360"/>
      <c r="D699" s="332"/>
      <c r="E699" s="332"/>
      <c r="F699" s="332"/>
      <c r="G699" s="332"/>
      <c r="H699" s="332"/>
    </row>
    <row r="700" spans="3:8" x14ac:dyDescent="0.2">
      <c r="C700" s="360"/>
      <c r="D700" s="332"/>
      <c r="E700" s="332"/>
      <c r="F700" s="332"/>
      <c r="G700" s="332"/>
      <c r="H700" s="332"/>
    </row>
    <row r="701" spans="3:8" x14ac:dyDescent="0.2">
      <c r="C701" s="360"/>
      <c r="D701" s="332"/>
      <c r="E701" s="332"/>
      <c r="F701" s="332"/>
      <c r="G701" s="332"/>
      <c r="H701" s="332"/>
    </row>
    <row r="702" spans="3:8" x14ac:dyDescent="0.2">
      <c r="C702" s="360"/>
      <c r="D702" s="332"/>
      <c r="E702" s="332"/>
      <c r="F702" s="332"/>
      <c r="G702" s="332"/>
      <c r="H702" s="332"/>
    </row>
    <row r="703" spans="3:8" x14ac:dyDescent="0.2">
      <c r="C703" s="360"/>
      <c r="D703" s="332"/>
      <c r="E703" s="332"/>
      <c r="F703" s="332"/>
      <c r="G703" s="332"/>
      <c r="H703" s="332"/>
    </row>
    <row r="704" spans="3:8" x14ac:dyDescent="0.2">
      <c r="C704" s="360"/>
      <c r="D704" s="332"/>
      <c r="E704" s="332"/>
      <c r="F704" s="332"/>
      <c r="G704" s="332"/>
      <c r="H704" s="332"/>
    </row>
    <row r="705" spans="3:8" x14ac:dyDescent="0.2">
      <c r="C705" s="360"/>
      <c r="D705" s="332"/>
      <c r="E705" s="332"/>
      <c r="F705" s="332"/>
      <c r="G705" s="332"/>
      <c r="H705" s="332"/>
    </row>
    <row r="706" spans="3:8" x14ac:dyDescent="0.2">
      <c r="C706" s="360"/>
      <c r="D706" s="332"/>
      <c r="E706" s="332"/>
      <c r="F706" s="332"/>
      <c r="G706" s="332"/>
      <c r="H706" s="332"/>
    </row>
    <row r="707" spans="3:8" x14ac:dyDescent="0.2">
      <c r="C707" s="360"/>
      <c r="D707" s="332"/>
      <c r="E707" s="332"/>
      <c r="F707" s="332"/>
      <c r="G707" s="332"/>
      <c r="H707" s="332"/>
    </row>
    <row r="708" spans="3:8" x14ac:dyDescent="0.2">
      <c r="C708" s="360"/>
      <c r="D708" s="332"/>
      <c r="E708" s="332"/>
      <c r="F708" s="332"/>
      <c r="G708" s="332"/>
      <c r="H708" s="332"/>
    </row>
    <row r="709" spans="3:8" x14ac:dyDescent="0.2">
      <c r="C709" s="360"/>
      <c r="D709" s="332"/>
      <c r="E709" s="332"/>
      <c r="F709" s="332"/>
      <c r="G709" s="332"/>
      <c r="H709" s="332"/>
    </row>
    <row r="710" spans="3:8" x14ac:dyDescent="0.2">
      <c r="C710" s="360"/>
      <c r="D710" s="332"/>
      <c r="E710" s="332"/>
      <c r="F710" s="332"/>
      <c r="G710" s="332"/>
      <c r="H710" s="332"/>
    </row>
    <row r="711" spans="3:8" x14ac:dyDescent="0.2">
      <c r="C711" s="360"/>
      <c r="D711" s="332"/>
      <c r="E711" s="332"/>
      <c r="F711" s="332"/>
      <c r="G711" s="332"/>
      <c r="H711" s="332"/>
    </row>
    <row r="712" spans="3:8" x14ac:dyDescent="0.2">
      <c r="C712" s="360"/>
      <c r="D712" s="332"/>
      <c r="E712" s="332"/>
      <c r="F712" s="332"/>
      <c r="G712" s="332"/>
      <c r="H712" s="332"/>
    </row>
    <row r="713" spans="3:8" x14ac:dyDescent="0.2">
      <c r="C713" s="360"/>
      <c r="D713" s="332"/>
      <c r="E713" s="332"/>
      <c r="F713" s="332"/>
      <c r="G713" s="332"/>
      <c r="H713" s="332"/>
    </row>
    <row r="714" spans="3:8" x14ac:dyDescent="0.2">
      <c r="C714" s="360"/>
      <c r="D714" s="332"/>
      <c r="E714" s="332"/>
      <c r="F714" s="332"/>
      <c r="G714" s="332"/>
      <c r="H714" s="332"/>
    </row>
    <row r="715" spans="3:8" x14ac:dyDescent="0.2">
      <c r="C715" s="360"/>
      <c r="D715" s="332"/>
      <c r="E715" s="332"/>
      <c r="F715" s="332"/>
      <c r="G715" s="332"/>
      <c r="H715" s="332"/>
    </row>
    <row r="716" spans="3:8" x14ac:dyDescent="0.2">
      <c r="C716" s="360"/>
      <c r="D716" s="332"/>
      <c r="E716" s="332"/>
      <c r="F716" s="332"/>
      <c r="G716" s="332"/>
      <c r="H716" s="332"/>
    </row>
    <row r="717" spans="3:8" x14ac:dyDescent="0.2">
      <c r="C717" s="360"/>
      <c r="D717" s="332"/>
      <c r="E717" s="332"/>
      <c r="F717" s="332"/>
      <c r="G717" s="332"/>
      <c r="H717" s="332"/>
    </row>
    <row r="718" spans="3:8" x14ac:dyDescent="0.2">
      <c r="C718" s="360"/>
      <c r="D718" s="332"/>
      <c r="E718" s="332"/>
      <c r="F718" s="332"/>
      <c r="G718" s="332"/>
      <c r="H718" s="332"/>
    </row>
    <row r="719" spans="3:8" x14ac:dyDescent="0.2">
      <c r="C719" s="360"/>
      <c r="D719" s="332"/>
      <c r="E719" s="332"/>
      <c r="F719" s="332"/>
      <c r="G719" s="332"/>
      <c r="H719" s="332"/>
    </row>
    <row r="720" spans="3:8" x14ac:dyDescent="0.2">
      <c r="C720" s="360"/>
      <c r="D720" s="332"/>
      <c r="E720" s="332"/>
      <c r="F720" s="332"/>
      <c r="G720" s="332"/>
      <c r="H720" s="332"/>
    </row>
    <row r="721" spans="3:8" x14ac:dyDescent="0.2">
      <c r="C721" s="360"/>
      <c r="D721" s="332"/>
      <c r="E721" s="332"/>
      <c r="F721" s="332"/>
      <c r="G721" s="332"/>
      <c r="H721" s="332"/>
    </row>
    <row r="722" spans="3:8" x14ac:dyDescent="0.2">
      <c r="C722" s="360"/>
      <c r="D722" s="332"/>
      <c r="E722" s="332"/>
      <c r="F722" s="332"/>
      <c r="G722" s="332"/>
      <c r="H722" s="332"/>
    </row>
    <row r="723" spans="3:8" x14ac:dyDescent="0.2">
      <c r="C723" s="360"/>
      <c r="D723" s="332"/>
      <c r="E723" s="332"/>
      <c r="F723" s="332"/>
      <c r="G723" s="332"/>
      <c r="H723" s="332"/>
    </row>
    <row r="724" spans="3:8" x14ac:dyDescent="0.2">
      <c r="C724" s="360"/>
      <c r="D724" s="332"/>
      <c r="E724" s="332"/>
      <c r="F724" s="332"/>
      <c r="G724" s="332"/>
      <c r="H724" s="332"/>
    </row>
    <row r="725" spans="3:8" x14ac:dyDescent="0.2">
      <c r="C725" s="360"/>
      <c r="D725" s="332"/>
      <c r="E725" s="332"/>
      <c r="F725" s="332"/>
      <c r="G725" s="332"/>
      <c r="H725" s="332"/>
    </row>
    <row r="726" spans="3:8" x14ac:dyDescent="0.2">
      <c r="C726" s="360"/>
      <c r="D726" s="332"/>
      <c r="E726" s="332"/>
      <c r="F726" s="332"/>
      <c r="G726" s="332"/>
      <c r="H726" s="332"/>
    </row>
    <row r="727" spans="3:8" x14ac:dyDescent="0.2">
      <c r="C727" s="360"/>
      <c r="D727" s="332"/>
      <c r="E727" s="332"/>
      <c r="F727" s="332"/>
      <c r="G727" s="332"/>
      <c r="H727" s="332"/>
    </row>
    <row r="728" spans="3:8" x14ac:dyDescent="0.2">
      <c r="C728" s="360"/>
      <c r="D728" s="332"/>
      <c r="E728" s="332"/>
      <c r="F728" s="332"/>
      <c r="G728" s="332"/>
      <c r="H728" s="332"/>
    </row>
    <row r="729" spans="3:8" x14ac:dyDescent="0.2">
      <c r="C729" s="360"/>
      <c r="D729" s="332"/>
      <c r="E729" s="332"/>
      <c r="F729" s="332"/>
      <c r="G729" s="332"/>
      <c r="H729" s="332"/>
    </row>
    <row r="730" spans="3:8" x14ac:dyDescent="0.2">
      <c r="C730" s="360"/>
      <c r="D730" s="332"/>
      <c r="E730" s="332"/>
      <c r="F730" s="332"/>
      <c r="G730" s="332"/>
      <c r="H730" s="332"/>
    </row>
    <row r="731" spans="3:8" x14ac:dyDescent="0.2">
      <c r="C731" s="360"/>
      <c r="D731" s="332"/>
      <c r="E731" s="332"/>
      <c r="F731" s="332"/>
      <c r="G731" s="332"/>
      <c r="H731" s="332"/>
    </row>
    <row r="732" spans="3:8" x14ac:dyDescent="0.2">
      <c r="C732" s="360"/>
      <c r="D732" s="332"/>
      <c r="E732" s="332"/>
      <c r="F732" s="332"/>
      <c r="G732" s="332"/>
      <c r="H732" s="332"/>
    </row>
    <row r="733" spans="3:8" x14ac:dyDescent="0.2">
      <c r="C733" s="360"/>
      <c r="D733" s="332"/>
      <c r="E733" s="332"/>
      <c r="F733" s="332"/>
      <c r="G733" s="332"/>
      <c r="H733" s="332"/>
    </row>
    <row r="734" spans="3:8" x14ac:dyDescent="0.2">
      <c r="C734" s="360"/>
      <c r="D734" s="332"/>
      <c r="E734" s="332"/>
      <c r="F734" s="332"/>
      <c r="G734" s="332"/>
      <c r="H734" s="332"/>
    </row>
    <row r="735" spans="3:8" x14ac:dyDescent="0.2">
      <c r="C735" s="360"/>
      <c r="D735" s="332"/>
      <c r="E735" s="332"/>
      <c r="F735" s="332"/>
      <c r="G735" s="332"/>
      <c r="H735" s="332"/>
    </row>
    <row r="736" spans="3:8" x14ac:dyDescent="0.2">
      <c r="C736" s="360"/>
      <c r="D736" s="332"/>
      <c r="E736" s="332"/>
      <c r="F736" s="332"/>
      <c r="G736" s="332"/>
      <c r="H736" s="332"/>
    </row>
    <row r="737" spans="3:8" x14ac:dyDescent="0.2">
      <c r="C737" s="360"/>
      <c r="D737" s="332"/>
      <c r="E737" s="332"/>
      <c r="F737" s="332"/>
      <c r="G737" s="332"/>
      <c r="H737" s="332"/>
    </row>
    <row r="738" spans="3:8" x14ac:dyDescent="0.2">
      <c r="C738" s="360"/>
      <c r="D738" s="332"/>
      <c r="E738" s="332"/>
      <c r="F738" s="332"/>
      <c r="G738" s="332"/>
      <c r="H738" s="332"/>
    </row>
    <row r="739" spans="3:8" x14ac:dyDescent="0.2">
      <c r="C739" s="360"/>
      <c r="D739" s="332"/>
      <c r="E739" s="332"/>
      <c r="F739" s="332"/>
      <c r="G739" s="332"/>
      <c r="H739" s="332"/>
    </row>
    <row r="740" spans="3:8" x14ac:dyDescent="0.2">
      <c r="C740" s="360"/>
      <c r="D740" s="332"/>
      <c r="E740" s="332"/>
      <c r="F740" s="332"/>
      <c r="G740" s="332"/>
      <c r="H740" s="332"/>
    </row>
    <row r="741" spans="3:8" x14ac:dyDescent="0.2">
      <c r="C741" s="360"/>
      <c r="D741" s="332"/>
      <c r="E741" s="332"/>
      <c r="F741" s="332"/>
      <c r="G741" s="332"/>
      <c r="H741" s="332"/>
    </row>
    <row r="742" spans="3:8" x14ac:dyDescent="0.2">
      <c r="C742" s="360"/>
      <c r="D742" s="332"/>
      <c r="E742" s="332"/>
      <c r="F742" s="332"/>
      <c r="G742" s="332"/>
      <c r="H742" s="332"/>
    </row>
    <row r="743" spans="3:8" x14ac:dyDescent="0.2">
      <c r="C743" s="360"/>
      <c r="D743" s="332"/>
      <c r="E743" s="332"/>
      <c r="F743" s="332"/>
      <c r="G743" s="332"/>
      <c r="H743" s="332"/>
    </row>
    <row r="744" spans="3:8" x14ac:dyDescent="0.2">
      <c r="C744" s="360"/>
      <c r="D744" s="332"/>
      <c r="E744" s="332"/>
      <c r="F744" s="332"/>
      <c r="G744" s="332"/>
      <c r="H744" s="332"/>
    </row>
    <row r="745" spans="3:8" x14ac:dyDescent="0.2">
      <c r="C745" s="360"/>
      <c r="D745" s="332"/>
      <c r="E745" s="332"/>
      <c r="F745" s="332"/>
      <c r="G745" s="332"/>
      <c r="H745" s="332"/>
    </row>
    <row r="746" spans="3:8" x14ac:dyDescent="0.2">
      <c r="C746" s="360"/>
      <c r="D746" s="332"/>
      <c r="E746" s="332"/>
      <c r="F746" s="332"/>
      <c r="G746" s="332"/>
      <c r="H746" s="332"/>
    </row>
    <row r="747" spans="3:8" x14ac:dyDescent="0.2">
      <c r="C747" s="360"/>
      <c r="D747" s="332"/>
      <c r="E747" s="332"/>
      <c r="F747" s="332"/>
      <c r="G747" s="332"/>
      <c r="H747" s="332"/>
    </row>
    <row r="748" spans="3:8" x14ac:dyDescent="0.2">
      <c r="C748" s="360"/>
      <c r="D748" s="332"/>
      <c r="E748" s="332"/>
      <c r="F748" s="332"/>
      <c r="G748" s="332"/>
      <c r="H748" s="332"/>
    </row>
    <row r="749" spans="3:8" x14ac:dyDescent="0.2">
      <c r="C749" s="360"/>
      <c r="D749" s="332"/>
      <c r="E749" s="332"/>
      <c r="F749" s="332"/>
      <c r="G749" s="332"/>
      <c r="H749" s="332"/>
    </row>
    <row r="750" spans="3:8" x14ac:dyDescent="0.2">
      <c r="C750" s="360"/>
      <c r="D750" s="332"/>
      <c r="E750" s="332"/>
      <c r="F750" s="332"/>
      <c r="G750" s="332"/>
      <c r="H750" s="332"/>
    </row>
    <row r="751" spans="3:8" x14ac:dyDescent="0.2">
      <c r="C751" s="360"/>
      <c r="D751" s="332"/>
      <c r="E751" s="332"/>
      <c r="F751" s="332"/>
      <c r="G751" s="332"/>
      <c r="H751" s="332"/>
    </row>
    <row r="752" spans="3:8" x14ac:dyDescent="0.2">
      <c r="C752" s="360"/>
      <c r="D752" s="332"/>
      <c r="E752" s="332"/>
      <c r="F752" s="332"/>
      <c r="G752" s="332"/>
      <c r="H752" s="332"/>
    </row>
    <row r="753" spans="3:8" x14ac:dyDescent="0.2">
      <c r="C753" s="360"/>
      <c r="D753" s="332"/>
      <c r="E753" s="332"/>
      <c r="F753" s="332"/>
      <c r="G753" s="332"/>
      <c r="H753" s="332"/>
    </row>
    <row r="754" spans="3:8" x14ac:dyDescent="0.2">
      <c r="C754" s="360"/>
      <c r="D754" s="332"/>
      <c r="E754" s="332"/>
      <c r="F754" s="332"/>
      <c r="G754" s="332"/>
      <c r="H754" s="332"/>
    </row>
    <row r="755" spans="3:8" x14ac:dyDescent="0.2">
      <c r="C755" s="360"/>
      <c r="D755" s="332"/>
      <c r="E755" s="332"/>
      <c r="F755" s="332"/>
      <c r="G755" s="332"/>
      <c r="H755" s="332"/>
    </row>
    <row r="756" spans="3:8" x14ac:dyDescent="0.2">
      <c r="C756" s="360"/>
      <c r="D756" s="332"/>
      <c r="E756" s="332"/>
      <c r="F756" s="332"/>
      <c r="G756" s="332"/>
      <c r="H756" s="332"/>
    </row>
    <row r="757" spans="3:8" x14ac:dyDescent="0.2">
      <c r="C757" s="360"/>
      <c r="D757" s="332"/>
      <c r="E757" s="332"/>
      <c r="F757" s="332"/>
      <c r="G757" s="332"/>
      <c r="H757" s="332"/>
    </row>
    <row r="758" spans="3:8" x14ac:dyDescent="0.2">
      <c r="C758" s="360"/>
      <c r="D758" s="332"/>
      <c r="E758" s="332"/>
      <c r="F758" s="332"/>
      <c r="G758" s="332"/>
      <c r="H758" s="332"/>
    </row>
    <row r="759" spans="3:8" x14ac:dyDescent="0.2">
      <c r="C759" s="360"/>
      <c r="D759" s="332"/>
      <c r="E759" s="332"/>
      <c r="F759" s="332"/>
      <c r="G759" s="332"/>
      <c r="H759" s="332"/>
    </row>
    <row r="760" spans="3:8" x14ac:dyDescent="0.2">
      <c r="C760" s="360"/>
      <c r="D760" s="332"/>
      <c r="E760" s="332"/>
      <c r="F760" s="332"/>
      <c r="G760" s="332"/>
      <c r="H760" s="332"/>
    </row>
    <row r="761" spans="3:8" x14ac:dyDescent="0.2">
      <c r="C761" s="360"/>
      <c r="D761" s="332"/>
      <c r="E761" s="332"/>
      <c r="F761" s="332"/>
      <c r="G761" s="332"/>
      <c r="H761" s="332"/>
    </row>
    <row r="762" spans="3:8" x14ac:dyDescent="0.2">
      <c r="C762" s="360"/>
      <c r="D762" s="332"/>
      <c r="E762" s="332"/>
      <c r="F762" s="332"/>
      <c r="G762" s="332"/>
      <c r="H762" s="332"/>
    </row>
    <row r="763" spans="3:8" x14ac:dyDescent="0.2">
      <c r="C763" s="360"/>
      <c r="D763" s="332"/>
      <c r="E763" s="332"/>
      <c r="F763" s="332"/>
      <c r="G763" s="332"/>
      <c r="H763" s="332"/>
    </row>
    <row r="764" spans="3:8" x14ac:dyDescent="0.2">
      <c r="C764" s="360"/>
      <c r="D764" s="332"/>
      <c r="E764" s="332"/>
      <c r="F764" s="332"/>
      <c r="G764" s="332"/>
      <c r="H764" s="332"/>
    </row>
    <row r="765" spans="3:8" x14ac:dyDescent="0.2">
      <c r="C765" s="360"/>
      <c r="D765" s="332"/>
      <c r="E765" s="332"/>
      <c r="F765" s="332"/>
      <c r="G765" s="332"/>
      <c r="H765" s="332"/>
    </row>
    <row r="766" spans="3:8" x14ac:dyDescent="0.2">
      <c r="C766" s="360"/>
      <c r="D766" s="332"/>
      <c r="E766" s="332"/>
      <c r="F766" s="332"/>
      <c r="G766" s="332"/>
      <c r="H766" s="332"/>
    </row>
    <row r="767" spans="3:8" x14ac:dyDescent="0.2">
      <c r="C767" s="360"/>
      <c r="D767" s="332"/>
      <c r="E767" s="332"/>
      <c r="F767" s="332"/>
      <c r="G767" s="332"/>
      <c r="H767" s="332"/>
    </row>
    <row r="768" spans="3:8" x14ac:dyDescent="0.2">
      <c r="C768" s="360"/>
      <c r="D768" s="332"/>
      <c r="E768" s="332"/>
      <c r="F768" s="332"/>
      <c r="G768" s="332"/>
      <c r="H768" s="332"/>
    </row>
    <row r="769" spans="3:8" x14ac:dyDescent="0.2">
      <c r="C769" s="360"/>
      <c r="D769" s="332"/>
      <c r="E769" s="332"/>
      <c r="F769" s="332"/>
      <c r="G769" s="332"/>
      <c r="H769" s="332"/>
    </row>
    <row r="770" spans="3:8" x14ac:dyDescent="0.2">
      <c r="C770" s="360"/>
      <c r="D770" s="332"/>
      <c r="E770" s="332"/>
      <c r="F770" s="332"/>
      <c r="G770" s="332"/>
      <c r="H770" s="332"/>
    </row>
    <row r="771" spans="3:8" x14ac:dyDescent="0.2">
      <c r="C771" s="360"/>
      <c r="D771" s="332"/>
      <c r="E771" s="332"/>
      <c r="F771" s="332"/>
      <c r="G771" s="332"/>
      <c r="H771" s="332"/>
    </row>
    <row r="772" spans="3:8" x14ac:dyDescent="0.2">
      <c r="C772" s="360"/>
      <c r="D772" s="332"/>
      <c r="E772" s="332"/>
      <c r="F772" s="332"/>
      <c r="G772" s="332"/>
      <c r="H772" s="332"/>
    </row>
    <row r="773" spans="3:8" x14ac:dyDescent="0.2">
      <c r="C773" s="360"/>
      <c r="D773" s="332"/>
      <c r="E773" s="332"/>
      <c r="F773" s="332"/>
      <c r="G773" s="332"/>
      <c r="H773" s="332"/>
    </row>
    <row r="774" spans="3:8" x14ac:dyDescent="0.2">
      <c r="C774" s="360"/>
      <c r="D774" s="332"/>
      <c r="E774" s="332"/>
      <c r="F774" s="332"/>
      <c r="G774" s="332"/>
      <c r="H774" s="332"/>
    </row>
    <row r="775" spans="3:8" x14ac:dyDescent="0.2">
      <c r="C775" s="360"/>
      <c r="D775" s="332"/>
      <c r="E775" s="332"/>
      <c r="F775" s="332"/>
      <c r="G775" s="332"/>
      <c r="H775" s="332"/>
    </row>
    <row r="776" spans="3:8" x14ac:dyDescent="0.2">
      <c r="C776" s="360"/>
      <c r="D776" s="332"/>
      <c r="E776" s="332"/>
      <c r="F776" s="332"/>
      <c r="G776" s="332"/>
      <c r="H776" s="332"/>
    </row>
    <row r="777" spans="3:8" x14ac:dyDescent="0.2">
      <c r="C777" s="360"/>
      <c r="D777" s="332"/>
      <c r="E777" s="332"/>
      <c r="F777" s="332"/>
      <c r="G777" s="332"/>
      <c r="H777" s="332"/>
    </row>
    <row r="778" spans="3:8" x14ac:dyDescent="0.2">
      <c r="C778" s="360"/>
      <c r="D778" s="332"/>
      <c r="E778" s="332"/>
      <c r="F778" s="332"/>
      <c r="G778" s="332"/>
      <c r="H778" s="332"/>
    </row>
    <row r="779" spans="3:8" x14ac:dyDescent="0.2">
      <c r="C779" s="360"/>
      <c r="D779" s="332"/>
      <c r="E779" s="332"/>
      <c r="F779" s="332"/>
      <c r="G779" s="332"/>
      <c r="H779" s="332"/>
    </row>
    <row r="780" spans="3:8" x14ac:dyDescent="0.2">
      <c r="C780" s="360"/>
      <c r="D780" s="332"/>
      <c r="E780" s="332"/>
      <c r="F780" s="332"/>
      <c r="G780" s="332"/>
      <c r="H780" s="332"/>
    </row>
    <row r="781" spans="3:8" x14ac:dyDescent="0.2">
      <c r="C781" s="360"/>
      <c r="D781" s="332"/>
      <c r="E781" s="332"/>
      <c r="F781" s="332"/>
      <c r="G781" s="332"/>
      <c r="H781" s="332"/>
    </row>
    <row r="782" spans="3:8" x14ac:dyDescent="0.2">
      <c r="C782" s="360"/>
      <c r="D782" s="332"/>
      <c r="E782" s="332"/>
      <c r="F782" s="332"/>
      <c r="G782" s="332"/>
      <c r="H782" s="332"/>
    </row>
    <row r="783" spans="3:8" x14ac:dyDescent="0.2">
      <c r="C783" s="360"/>
      <c r="D783" s="332"/>
      <c r="E783" s="332"/>
      <c r="F783" s="332"/>
      <c r="G783" s="332"/>
      <c r="H783" s="332"/>
    </row>
    <row r="784" spans="3:8" x14ac:dyDescent="0.2">
      <c r="C784" s="360"/>
      <c r="D784" s="332"/>
      <c r="E784" s="332"/>
      <c r="F784" s="332"/>
      <c r="G784" s="332"/>
      <c r="H784" s="332"/>
    </row>
    <row r="785" spans="3:8" x14ac:dyDescent="0.2">
      <c r="C785" s="360"/>
      <c r="D785" s="332"/>
      <c r="E785" s="332"/>
      <c r="F785" s="332"/>
      <c r="G785" s="332"/>
      <c r="H785" s="332"/>
    </row>
    <row r="786" spans="3:8" x14ac:dyDescent="0.2">
      <c r="C786" s="360"/>
      <c r="D786" s="332"/>
      <c r="E786" s="332"/>
      <c r="F786" s="332"/>
      <c r="G786" s="332"/>
      <c r="H786" s="332"/>
    </row>
    <row r="787" spans="3:8" x14ac:dyDescent="0.2">
      <c r="C787" s="360"/>
      <c r="D787" s="332"/>
      <c r="E787" s="332"/>
      <c r="F787" s="332"/>
      <c r="G787" s="332"/>
      <c r="H787" s="332"/>
    </row>
    <row r="788" spans="3:8" x14ac:dyDescent="0.2">
      <c r="C788" s="360"/>
      <c r="D788" s="332"/>
      <c r="E788" s="332"/>
      <c r="F788" s="332"/>
      <c r="G788" s="332"/>
      <c r="H788" s="332"/>
    </row>
    <row r="789" spans="3:8" x14ac:dyDescent="0.2">
      <c r="C789" s="360"/>
      <c r="D789" s="332"/>
      <c r="E789" s="332"/>
      <c r="F789" s="332"/>
      <c r="G789" s="332"/>
      <c r="H789" s="332"/>
    </row>
    <row r="790" spans="3:8" x14ac:dyDescent="0.2">
      <c r="C790" s="360"/>
      <c r="D790" s="332"/>
      <c r="E790" s="332"/>
      <c r="F790" s="332"/>
      <c r="G790" s="332"/>
      <c r="H790" s="332"/>
    </row>
    <row r="791" spans="3:8" x14ac:dyDescent="0.2">
      <c r="C791" s="360"/>
      <c r="D791" s="332"/>
      <c r="E791" s="332"/>
      <c r="F791" s="332"/>
      <c r="G791" s="332"/>
      <c r="H791" s="332"/>
    </row>
    <row r="792" spans="3:8" x14ac:dyDescent="0.2">
      <c r="C792" s="360"/>
      <c r="D792" s="332"/>
      <c r="E792" s="332"/>
      <c r="F792" s="332"/>
      <c r="G792" s="332"/>
      <c r="H792" s="332"/>
    </row>
    <row r="793" spans="3:8" x14ac:dyDescent="0.2">
      <c r="C793" s="360"/>
      <c r="D793" s="332"/>
      <c r="E793" s="332"/>
      <c r="F793" s="332"/>
      <c r="G793" s="332"/>
      <c r="H793" s="332"/>
    </row>
    <row r="794" spans="3:8" x14ac:dyDescent="0.2">
      <c r="C794" s="360"/>
      <c r="D794" s="332"/>
      <c r="E794" s="332"/>
      <c r="F794" s="332"/>
      <c r="G794" s="332"/>
      <c r="H794" s="332"/>
    </row>
    <row r="795" spans="3:8" x14ac:dyDescent="0.2">
      <c r="C795" s="360"/>
      <c r="D795" s="332"/>
      <c r="E795" s="332"/>
      <c r="F795" s="332"/>
      <c r="G795" s="332"/>
      <c r="H795" s="332"/>
    </row>
    <row r="796" spans="3:8" x14ac:dyDescent="0.2">
      <c r="C796" s="360"/>
      <c r="D796" s="332"/>
      <c r="E796" s="332"/>
      <c r="F796" s="332"/>
      <c r="G796" s="332"/>
      <c r="H796" s="332"/>
    </row>
    <row r="797" spans="3:8" x14ac:dyDescent="0.2">
      <c r="C797" s="360"/>
      <c r="D797" s="332"/>
      <c r="E797" s="332"/>
      <c r="F797" s="332"/>
      <c r="G797" s="332"/>
      <c r="H797" s="332"/>
    </row>
    <row r="798" spans="3:8" x14ac:dyDescent="0.2">
      <c r="C798" s="360"/>
      <c r="D798" s="332"/>
      <c r="E798" s="332"/>
      <c r="F798" s="332"/>
      <c r="G798" s="332"/>
      <c r="H798" s="332"/>
    </row>
    <row r="799" spans="3:8" x14ac:dyDescent="0.2">
      <c r="C799" s="360"/>
      <c r="D799" s="332"/>
      <c r="E799" s="332"/>
      <c r="F799" s="332"/>
      <c r="G799" s="332"/>
      <c r="H799" s="332"/>
    </row>
    <row r="800" spans="3:8" x14ac:dyDescent="0.2">
      <c r="C800" s="360"/>
      <c r="D800" s="332"/>
      <c r="E800" s="332"/>
      <c r="F800" s="332"/>
      <c r="G800" s="332"/>
      <c r="H800" s="332"/>
    </row>
    <row r="801" spans="3:8" x14ac:dyDescent="0.2">
      <c r="C801" s="360"/>
      <c r="D801" s="332"/>
      <c r="E801" s="332"/>
      <c r="F801" s="332"/>
      <c r="G801" s="332"/>
      <c r="H801" s="332"/>
    </row>
    <row r="802" spans="3:8" x14ac:dyDescent="0.2">
      <c r="C802" s="360"/>
      <c r="D802" s="332"/>
      <c r="E802" s="332"/>
      <c r="F802" s="332"/>
      <c r="G802" s="332"/>
      <c r="H802" s="332"/>
    </row>
    <row r="803" spans="3:8" x14ac:dyDescent="0.2">
      <c r="C803" s="360"/>
      <c r="D803" s="332"/>
      <c r="E803" s="332"/>
      <c r="F803" s="332"/>
      <c r="G803" s="332"/>
      <c r="H803" s="332"/>
    </row>
    <row r="804" spans="3:8" x14ac:dyDescent="0.2">
      <c r="C804" s="360"/>
      <c r="D804" s="332"/>
      <c r="E804" s="332"/>
      <c r="F804" s="332"/>
      <c r="G804" s="332"/>
      <c r="H804" s="332"/>
    </row>
    <row r="805" spans="3:8" x14ac:dyDescent="0.2">
      <c r="C805" s="360"/>
      <c r="D805" s="332"/>
      <c r="E805" s="332"/>
      <c r="F805" s="332"/>
      <c r="G805" s="332"/>
      <c r="H805" s="332"/>
    </row>
    <row r="806" spans="3:8" x14ac:dyDescent="0.2">
      <c r="C806" s="360"/>
      <c r="D806" s="332"/>
      <c r="E806" s="332"/>
      <c r="F806" s="332"/>
      <c r="G806" s="332"/>
      <c r="H806" s="332"/>
    </row>
    <row r="807" spans="3:8" x14ac:dyDescent="0.2">
      <c r="C807" s="360"/>
      <c r="D807" s="332"/>
      <c r="E807" s="332"/>
      <c r="F807" s="332"/>
      <c r="G807" s="332"/>
      <c r="H807" s="332"/>
    </row>
    <row r="808" spans="3:8" x14ac:dyDescent="0.2">
      <c r="C808" s="360"/>
      <c r="D808" s="332"/>
      <c r="E808" s="332"/>
      <c r="F808" s="332"/>
      <c r="G808" s="332"/>
      <c r="H808" s="332"/>
    </row>
    <row r="809" spans="3:8" x14ac:dyDescent="0.2">
      <c r="C809" s="360"/>
      <c r="D809" s="332"/>
      <c r="E809" s="332"/>
      <c r="F809" s="332"/>
      <c r="G809" s="332"/>
      <c r="H809" s="332"/>
    </row>
    <row r="810" spans="3:8" x14ac:dyDescent="0.2">
      <c r="C810" s="360"/>
      <c r="D810" s="332"/>
      <c r="E810" s="332"/>
      <c r="F810" s="332"/>
      <c r="G810" s="332"/>
      <c r="H810" s="332"/>
    </row>
    <row r="811" spans="3:8" x14ac:dyDescent="0.2">
      <c r="C811" s="360"/>
      <c r="D811" s="332"/>
      <c r="E811" s="332"/>
      <c r="F811" s="332"/>
      <c r="G811" s="332"/>
      <c r="H811" s="332"/>
    </row>
    <row r="812" spans="3:8" x14ac:dyDescent="0.2">
      <c r="C812" s="360"/>
      <c r="D812" s="332"/>
      <c r="E812" s="332"/>
      <c r="F812" s="332"/>
      <c r="G812" s="332"/>
      <c r="H812" s="332"/>
    </row>
    <row r="813" spans="3:8" x14ac:dyDescent="0.2">
      <c r="C813" s="360"/>
      <c r="D813" s="332"/>
      <c r="E813" s="332"/>
      <c r="F813" s="332"/>
      <c r="G813" s="332"/>
      <c r="H813" s="332"/>
    </row>
    <row r="814" spans="3:8" x14ac:dyDescent="0.2">
      <c r="C814" s="360"/>
      <c r="D814" s="332"/>
      <c r="E814" s="332"/>
      <c r="F814" s="332"/>
      <c r="G814" s="332"/>
      <c r="H814" s="332"/>
    </row>
    <row r="815" spans="3:8" x14ac:dyDescent="0.2">
      <c r="C815" s="360"/>
      <c r="D815" s="332"/>
      <c r="E815" s="332"/>
      <c r="F815" s="332"/>
      <c r="G815" s="332"/>
      <c r="H815" s="332"/>
    </row>
    <row r="816" spans="3:8" x14ac:dyDescent="0.2">
      <c r="C816" s="360"/>
      <c r="D816" s="332"/>
      <c r="E816" s="332"/>
      <c r="F816" s="332"/>
      <c r="G816" s="332"/>
      <c r="H816" s="332"/>
    </row>
    <row r="817" spans="3:8" x14ac:dyDescent="0.2">
      <c r="C817" s="360"/>
      <c r="D817" s="332"/>
      <c r="E817" s="332"/>
      <c r="F817" s="332"/>
      <c r="G817" s="332"/>
      <c r="H817" s="332"/>
    </row>
    <row r="818" spans="3:8" x14ac:dyDescent="0.2">
      <c r="C818" s="360"/>
      <c r="D818" s="332"/>
      <c r="E818" s="332"/>
      <c r="F818" s="332"/>
      <c r="G818" s="332"/>
      <c r="H818" s="332"/>
    </row>
    <row r="819" spans="3:8" x14ac:dyDescent="0.2">
      <c r="C819" s="360"/>
      <c r="D819" s="332"/>
      <c r="E819" s="332"/>
      <c r="F819" s="332"/>
      <c r="G819" s="332"/>
      <c r="H819" s="332"/>
    </row>
    <row r="820" spans="3:8" x14ac:dyDescent="0.2">
      <c r="C820" s="360"/>
      <c r="D820" s="332"/>
      <c r="E820" s="332"/>
      <c r="F820" s="332"/>
      <c r="G820" s="332"/>
      <c r="H820" s="332"/>
    </row>
    <row r="821" spans="3:8" x14ac:dyDescent="0.2">
      <c r="C821" s="360"/>
      <c r="D821" s="332"/>
      <c r="E821" s="332"/>
      <c r="F821" s="332"/>
      <c r="G821" s="332"/>
      <c r="H821" s="332"/>
    </row>
    <row r="822" spans="3:8" x14ac:dyDescent="0.2">
      <c r="C822" s="360"/>
      <c r="D822" s="332"/>
      <c r="E822" s="332"/>
      <c r="F822" s="332"/>
      <c r="G822" s="332"/>
      <c r="H822" s="332"/>
    </row>
    <row r="823" spans="3:8" x14ac:dyDescent="0.2">
      <c r="C823" s="360"/>
      <c r="D823" s="332"/>
      <c r="E823" s="332"/>
      <c r="F823" s="332"/>
      <c r="G823" s="332"/>
      <c r="H823" s="332"/>
    </row>
    <row r="824" spans="3:8" x14ac:dyDescent="0.2">
      <c r="C824" s="360"/>
      <c r="D824" s="332"/>
      <c r="E824" s="332"/>
      <c r="F824" s="332"/>
      <c r="G824" s="332"/>
      <c r="H824" s="332"/>
    </row>
    <row r="825" spans="3:8" x14ac:dyDescent="0.2">
      <c r="C825" s="360"/>
      <c r="D825" s="332"/>
      <c r="E825" s="332"/>
      <c r="F825" s="332"/>
      <c r="G825" s="332"/>
      <c r="H825" s="332"/>
    </row>
    <row r="826" spans="3:8" x14ac:dyDescent="0.2">
      <c r="C826" s="360"/>
      <c r="D826" s="332"/>
      <c r="E826" s="332"/>
      <c r="F826" s="332"/>
      <c r="G826" s="332"/>
      <c r="H826" s="332"/>
    </row>
    <row r="827" spans="3:8" x14ac:dyDescent="0.2">
      <c r="C827" s="360"/>
      <c r="D827" s="332"/>
      <c r="E827" s="332"/>
      <c r="F827" s="332"/>
      <c r="G827" s="332"/>
      <c r="H827" s="332"/>
    </row>
    <row r="828" spans="3:8" x14ac:dyDescent="0.2">
      <c r="C828" s="360"/>
      <c r="D828" s="332"/>
      <c r="E828" s="332"/>
      <c r="F828" s="332"/>
      <c r="G828" s="332"/>
      <c r="H828" s="332"/>
    </row>
    <row r="829" spans="3:8" x14ac:dyDescent="0.2">
      <c r="C829" s="360"/>
      <c r="D829" s="332"/>
      <c r="E829" s="332"/>
      <c r="F829" s="332"/>
      <c r="G829" s="332"/>
      <c r="H829" s="332"/>
    </row>
    <row r="830" spans="3:8" x14ac:dyDescent="0.2">
      <c r="C830" s="360"/>
      <c r="D830" s="332"/>
      <c r="E830" s="332"/>
      <c r="F830" s="332"/>
      <c r="G830" s="332"/>
      <c r="H830" s="332"/>
    </row>
    <row r="831" spans="3:8" x14ac:dyDescent="0.2">
      <c r="C831" s="360"/>
      <c r="D831" s="332"/>
      <c r="E831" s="332"/>
      <c r="F831" s="332"/>
      <c r="G831" s="332"/>
      <c r="H831" s="332"/>
    </row>
    <row r="832" spans="3:8" x14ac:dyDescent="0.2">
      <c r="C832" s="360"/>
      <c r="D832" s="332"/>
      <c r="E832" s="332"/>
      <c r="F832" s="332"/>
      <c r="G832" s="332"/>
      <c r="H832" s="332"/>
    </row>
    <row r="833" spans="3:8" x14ac:dyDescent="0.2">
      <c r="C833" s="360"/>
      <c r="D833" s="332"/>
      <c r="E833" s="332"/>
      <c r="F833" s="332"/>
      <c r="G833" s="332"/>
      <c r="H833" s="332"/>
    </row>
    <row r="834" spans="3:8" x14ac:dyDescent="0.2">
      <c r="C834" s="360"/>
      <c r="D834" s="332"/>
      <c r="E834" s="332"/>
      <c r="F834" s="332"/>
      <c r="G834" s="332"/>
      <c r="H834" s="332"/>
    </row>
    <row r="835" spans="3:8" x14ac:dyDescent="0.2">
      <c r="C835" s="360"/>
      <c r="D835" s="332"/>
      <c r="E835" s="332"/>
      <c r="F835" s="332"/>
      <c r="G835" s="332"/>
      <c r="H835" s="332"/>
    </row>
    <row r="836" spans="3:8" x14ac:dyDescent="0.2">
      <c r="C836" s="360"/>
      <c r="D836" s="332"/>
      <c r="E836" s="332"/>
      <c r="F836" s="332"/>
      <c r="G836" s="332"/>
      <c r="H836" s="332"/>
    </row>
    <row r="837" spans="3:8" x14ac:dyDescent="0.2">
      <c r="C837" s="360"/>
      <c r="D837" s="332"/>
      <c r="E837" s="332"/>
      <c r="F837" s="332"/>
      <c r="G837" s="332"/>
      <c r="H837" s="332"/>
    </row>
    <row r="838" spans="3:8" x14ac:dyDescent="0.2">
      <c r="C838" s="360"/>
      <c r="D838" s="332"/>
      <c r="E838" s="332"/>
      <c r="F838" s="332"/>
      <c r="G838" s="332"/>
      <c r="H838" s="332"/>
    </row>
    <row r="839" spans="3:8" x14ac:dyDescent="0.2">
      <c r="C839" s="360"/>
      <c r="D839" s="332"/>
      <c r="E839" s="332"/>
      <c r="F839" s="332"/>
      <c r="G839" s="332"/>
      <c r="H839" s="332"/>
    </row>
    <row r="840" spans="3:8" x14ac:dyDescent="0.2">
      <c r="C840" s="360"/>
      <c r="D840" s="332"/>
      <c r="E840" s="332"/>
      <c r="F840" s="332"/>
      <c r="G840" s="332"/>
      <c r="H840" s="332"/>
    </row>
    <row r="841" spans="3:8" x14ac:dyDescent="0.2">
      <c r="C841" s="360"/>
      <c r="D841" s="332"/>
      <c r="E841" s="332"/>
      <c r="F841" s="332"/>
      <c r="G841" s="332"/>
      <c r="H841" s="332"/>
    </row>
    <row r="842" spans="3:8" x14ac:dyDescent="0.2">
      <c r="C842" s="360"/>
      <c r="D842" s="332"/>
      <c r="E842" s="332"/>
      <c r="F842" s="332"/>
      <c r="G842" s="332"/>
      <c r="H842" s="332"/>
    </row>
    <row r="843" spans="3:8" x14ac:dyDescent="0.2">
      <c r="C843" s="360"/>
      <c r="D843" s="332"/>
      <c r="E843" s="332"/>
      <c r="F843" s="332"/>
      <c r="G843" s="332"/>
      <c r="H843" s="332"/>
    </row>
    <row r="844" spans="3:8" x14ac:dyDescent="0.2">
      <c r="C844" s="360"/>
      <c r="D844" s="332"/>
      <c r="E844" s="332"/>
      <c r="F844" s="332"/>
      <c r="G844" s="332"/>
      <c r="H844" s="332"/>
    </row>
    <row r="845" spans="3:8" x14ac:dyDescent="0.2">
      <c r="C845" s="360"/>
      <c r="D845" s="332"/>
      <c r="E845" s="332"/>
      <c r="F845" s="332"/>
      <c r="G845" s="332"/>
      <c r="H845" s="332"/>
    </row>
    <row r="846" spans="3:8" x14ac:dyDescent="0.2">
      <c r="C846" s="360"/>
      <c r="D846" s="332"/>
      <c r="E846" s="332"/>
      <c r="F846" s="332"/>
      <c r="G846" s="332"/>
      <c r="H846" s="332"/>
    </row>
    <row r="847" spans="3:8" x14ac:dyDescent="0.2">
      <c r="C847" s="360"/>
      <c r="D847" s="332"/>
      <c r="E847" s="332"/>
      <c r="F847" s="332"/>
      <c r="G847" s="332"/>
      <c r="H847" s="332"/>
    </row>
    <row r="848" spans="3:8" x14ac:dyDescent="0.2">
      <c r="C848" s="360"/>
      <c r="D848" s="332"/>
      <c r="E848" s="332"/>
      <c r="F848" s="332"/>
      <c r="G848" s="332"/>
      <c r="H848" s="332"/>
    </row>
    <row r="849" spans="3:8" x14ac:dyDescent="0.2">
      <c r="C849" s="360"/>
      <c r="D849" s="332"/>
      <c r="E849" s="332"/>
      <c r="F849" s="332"/>
      <c r="G849" s="332"/>
      <c r="H849" s="332"/>
    </row>
    <row r="850" spans="3:8" x14ac:dyDescent="0.2">
      <c r="C850" s="360"/>
      <c r="D850" s="332"/>
      <c r="E850" s="332"/>
      <c r="F850" s="332"/>
      <c r="G850" s="332"/>
      <c r="H850" s="332"/>
    </row>
    <row r="851" spans="3:8" x14ac:dyDescent="0.2">
      <c r="C851" s="360"/>
      <c r="D851" s="332"/>
      <c r="E851" s="332"/>
      <c r="F851" s="332"/>
      <c r="G851" s="332"/>
      <c r="H851" s="332"/>
    </row>
    <row r="852" spans="3:8" x14ac:dyDescent="0.2">
      <c r="C852" s="360"/>
      <c r="D852" s="332"/>
      <c r="E852" s="332"/>
      <c r="F852" s="332"/>
      <c r="G852" s="332"/>
      <c r="H852" s="332"/>
    </row>
    <row r="853" spans="3:8" x14ac:dyDescent="0.2">
      <c r="C853" s="360"/>
      <c r="D853" s="332"/>
      <c r="E853" s="332"/>
      <c r="F853" s="332"/>
      <c r="G853" s="332"/>
      <c r="H853" s="332"/>
    </row>
    <row r="854" spans="3:8" x14ac:dyDescent="0.2">
      <c r="C854" s="360"/>
      <c r="D854" s="332"/>
      <c r="E854" s="332"/>
      <c r="F854" s="332"/>
      <c r="G854" s="332"/>
      <c r="H854" s="332"/>
    </row>
    <row r="855" spans="3:8" x14ac:dyDescent="0.2">
      <c r="C855" s="360"/>
      <c r="D855" s="332"/>
      <c r="E855" s="332"/>
      <c r="F855" s="332"/>
      <c r="G855" s="332"/>
      <c r="H855" s="332"/>
    </row>
    <row r="856" spans="3:8" x14ac:dyDescent="0.2">
      <c r="C856" s="360"/>
      <c r="D856" s="332"/>
      <c r="E856" s="332"/>
      <c r="F856" s="332"/>
      <c r="G856" s="332"/>
      <c r="H856" s="332"/>
    </row>
    <row r="857" spans="3:8" x14ac:dyDescent="0.2">
      <c r="C857" s="360"/>
      <c r="D857" s="332"/>
      <c r="E857" s="332"/>
      <c r="F857" s="332"/>
      <c r="G857" s="332"/>
      <c r="H857" s="332"/>
    </row>
    <row r="858" spans="3:8" x14ac:dyDescent="0.2">
      <c r="C858" s="360"/>
      <c r="D858" s="332"/>
      <c r="E858" s="332"/>
      <c r="F858" s="332"/>
      <c r="G858" s="332"/>
      <c r="H858" s="332"/>
    </row>
    <row r="859" spans="3:8" x14ac:dyDescent="0.2">
      <c r="C859" s="360"/>
      <c r="D859" s="332"/>
      <c r="E859" s="332"/>
      <c r="F859" s="332"/>
      <c r="G859" s="332"/>
      <c r="H859" s="332"/>
    </row>
    <row r="860" spans="3:8" x14ac:dyDescent="0.2">
      <c r="C860" s="360"/>
      <c r="D860" s="332"/>
      <c r="E860" s="332"/>
      <c r="F860" s="332"/>
      <c r="G860" s="332"/>
      <c r="H860" s="332"/>
    </row>
    <row r="861" spans="3:8" x14ac:dyDescent="0.2">
      <c r="C861" s="360"/>
      <c r="D861" s="332"/>
      <c r="E861" s="332"/>
      <c r="F861" s="332"/>
      <c r="G861" s="332"/>
      <c r="H861" s="332"/>
    </row>
    <row r="862" spans="3:8" x14ac:dyDescent="0.2">
      <c r="C862" s="360"/>
      <c r="D862" s="332"/>
      <c r="E862" s="332"/>
      <c r="F862" s="332"/>
      <c r="G862" s="332"/>
      <c r="H862" s="332"/>
    </row>
    <row r="863" spans="3:8" x14ac:dyDescent="0.2">
      <c r="C863" s="360"/>
      <c r="D863" s="332"/>
      <c r="E863" s="332"/>
      <c r="F863" s="332"/>
      <c r="G863" s="332"/>
      <c r="H863" s="332"/>
    </row>
    <row r="864" spans="3:8" x14ac:dyDescent="0.2">
      <c r="C864" s="360"/>
      <c r="D864" s="332"/>
      <c r="E864" s="332"/>
      <c r="F864" s="332"/>
      <c r="G864" s="332"/>
      <c r="H864" s="332"/>
    </row>
    <row r="865" spans="3:8" x14ac:dyDescent="0.2">
      <c r="C865" s="360"/>
      <c r="D865" s="332"/>
      <c r="E865" s="332"/>
      <c r="F865" s="332"/>
      <c r="G865" s="332"/>
      <c r="H865" s="332"/>
    </row>
    <row r="866" spans="3:8" x14ac:dyDescent="0.2">
      <c r="C866" s="360"/>
      <c r="D866" s="332"/>
      <c r="E866" s="332"/>
      <c r="F866" s="332"/>
      <c r="G866" s="332"/>
      <c r="H866" s="332"/>
    </row>
    <row r="867" spans="3:8" x14ac:dyDescent="0.2">
      <c r="C867" s="360"/>
      <c r="D867" s="332"/>
      <c r="E867" s="332"/>
      <c r="F867" s="332"/>
      <c r="G867" s="332"/>
      <c r="H867" s="332"/>
    </row>
    <row r="868" spans="3:8" x14ac:dyDescent="0.2">
      <c r="C868" s="360"/>
      <c r="D868" s="332"/>
      <c r="E868" s="332"/>
      <c r="F868" s="332"/>
      <c r="G868" s="332"/>
      <c r="H868" s="332"/>
    </row>
    <row r="869" spans="3:8" x14ac:dyDescent="0.2">
      <c r="C869" s="360"/>
      <c r="D869" s="332"/>
      <c r="E869" s="332"/>
      <c r="F869" s="332"/>
      <c r="G869" s="332"/>
      <c r="H869" s="332"/>
    </row>
    <row r="870" spans="3:8" x14ac:dyDescent="0.2">
      <c r="C870" s="360"/>
      <c r="D870" s="332"/>
      <c r="E870" s="332"/>
      <c r="F870" s="332"/>
      <c r="G870" s="332"/>
      <c r="H870" s="332"/>
    </row>
    <row r="871" spans="3:8" x14ac:dyDescent="0.2">
      <c r="C871" s="360"/>
      <c r="D871" s="332"/>
      <c r="E871" s="332"/>
      <c r="F871" s="332"/>
      <c r="G871" s="332"/>
      <c r="H871" s="332"/>
    </row>
    <row r="872" spans="3:8" x14ac:dyDescent="0.2">
      <c r="C872" s="360"/>
      <c r="D872" s="332"/>
      <c r="E872" s="332"/>
      <c r="F872" s="332"/>
      <c r="G872" s="332"/>
      <c r="H872" s="332"/>
    </row>
    <row r="873" spans="3:8" x14ac:dyDescent="0.2">
      <c r="C873" s="360"/>
      <c r="D873" s="332"/>
      <c r="E873" s="332"/>
      <c r="F873" s="332"/>
      <c r="G873" s="332"/>
      <c r="H873" s="332"/>
    </row>
    <row r="874" spans="3:8" x14ac:dyDescent="0.2">
      <c r="C874" s="360"/>
      <c r="D874" s="332"/>
      <c r="E874" s="332"/>
      <c r="F874" s="332"/>
      <c r="G874" s="332"/>
      <c r="H874" s="332"/>
    </row>
    <row r="875" spans="3:8" x14ac:dyDescent="0.2">
      <c r="C875" s="360"/>
      <c r="D875" s="332"/>
      <c r="E875" s="332"/>
      <c r="F875" s="332"/>
      <c r="G875" s="332"/>
      <c r="H875" s="332"/>
    </row>
    <row r="876" spans="3:8" x14ac:dyDescent="0.2">
      <c r="C876" s="360"/>
      <c r="D876" s="332"/>
      <c r="E876" s="332"/>
      <c r="F876" s="332"/>
      <c r="G876" s="332"/>
      <c r="H876" s="332"/>
    </row>
    <row r="877" spans="3:8" x14ac:dyDescent="0.2">
      <c r="C877" s="360"/>
      <c r="D877" s="332"/>
      <c r="E877" s="332"/>
      <c r="F877" s="332"/>
      <c r="G877" s="332"/>
      <c r="H877" s="332"/>
    </row>
    <row r="878" spans="3:8" x14ac:dyDescent="0.2">
      <c r="C878" s="360"/>
      <c r="D878" s="332"/>
      <c r="E878" s="332"/>
      <c r="F878" s="332"/>
      <c r="G878" s="332"/>
      <c r="H878" s="332"/>
    </row>
    <row r="879" spans="3:8" x14ac:dyDescent="0.2">
      <c r="C879" s="360"/>
      <c r="D879" s="332"/>
      <c r="E879" s="332"/>
      <c r="F879" s="332"/>
      <c r="G879" s="332"/>
      <c r="H879" s="332"/>
    </row>
    <row r="880" spans="3:8" x14ac:dyDescent="0.2">
      <c r="C880" s="360"/>
      <c r="D880" s="332"/>
      <c r="E880" s="332"/>
      <c r="F880" s="332"/>
      <c r="G880" s="332"/>
      <c r="H880" s="332"/>
    </row>
    <row r="881" spans="3:8" x14ac:dyDescent="0.2">
      <c r="C881" s="360"/>
      <c r="D881" s="332"/>
      <c r="E881" s="332"/>
      <c r="F881" s="332"/>
      <c r="G881" s="332"/>
      <c r="H881" s="332"/>
    </row>
    <row r="882" spans="3:8" x14ac:dyDescent="0.2">
      <c r="C882" s="360"/>
      <c r="D882" s="332"/>
      <c r="E882" s="332"/>
      <c r="F882" s="332"/>
      <c r="G882" s="332"/>
      <c r="H882" s="332"/>
    </row>
    <row r="883" spans="3:8" x14ac:dyDescent="0.2">
      <c r="C883" s="360"/>
      <c r="D883" s="332"/>
      <c r="E883" s="332"/>
      <c r="F883" s="332"/>
      <c r="G883" s="332"/>
      <c r="H883" s="332"/>
    </row>
    <row r="884" spans="3:8" x14ac:dyDescent="0.2">
      <c r="C884" s="360"/>
      <c r="D884" s="332"/>
      <c r="E884" s="332"/>
      <c r="F884" s="332"/>
      <c r="G884" s="332"/>
      <c r="H884" s="332"/>
    </row>
    <row r="885" spans="3:8" x14ac:dyDescent="0.2">
      <c r="C885" s="360"/>
      <c r="D885" s="332"/>
      <c r="E885" s="332"/>
      <c r="F885" s="332"/>
      <c r="G885" s="332"/>
      <c r="H885" s="332"/>
    </row>
    <row r="886" spans="3:8" x14ac:dyDescent="0.2">
      <c r="C886" s="360"/>
      <c r="D886" s="332"/>
      <c r="E886" s="332"/>
      <c r="F886" s="332"/>
      <c r="G886" s="332"/>
      <c r="H886" s="332"/>
    </row>
    <row r="887" spans="3:8" x14ac:dyDescent="0.2">
      <c r="C887" s="360"/>
      <c r="D887" s="332"/>
      <c r="E887" s="332"/>
      <c r="F887" s="332"/>
      <c r="G887" s="332"/>
      <c r="H887" s="332"/>
    </row>
    <row r="888" spans="3:8" x14ac:dyDescent="0.2">
      <c r="C888" s="360"/>
      <c r="D888" s="332"/>
      <c r="E888" s="332"/>
      <c r="F888" s="332"/>
      <c r="G888" s="332"/>
      <c r="H888" s="332"/>
    </row>
    <row r="889" spans="3:8" x14ac:dyDescent="0.2">
      <c r="C889" s="360"/>
      <c r="D889" s="332"/>
      <c r="E889" s="332"/>
      <c r="F889" s="332"/>
      <c r="G889" s="332"/>
      <c r="H889" s="332"/>
    </row>
    <row r="890" spans="3:8" x14ac:dyDescent="0.2">
      <c r="C890" s="360"/>
      <c r="D890" s="332"/>
      <c r="E890" s="332"/>
      <c r="F890" s="332"/>
      <c r="G890" s="332"/>
      <c r="H890" s="332"/>
    </row>
    <row r="891" spans="3:8" x14ac:dyDescent="0.2">
      <c r="C891" s="360"/>
      <c r="D891" s="332"/>
      <c r="E891" s="332"/>
      <c r="F891" s="332"/>
      <c r="G891" s="332"/>
      <c r="H891" s="332"/>
    </row>
    <row r="892" spans="3:8" x14ac:dyDescent="0.2">
      <c r="C892" s="360"/>
      <c r="D892" s="332"/>
      <c r="E892" s="332"/>
      <c r="F892" s="332"/>
      <c r="G892" s="332"/>
      <c r="H892" s="332"/>
    </row>
    <row r="893" spans="3:8" x14ac:dyDescent="0.2">
      <c r="C893" s="360"/>
      <c r="D893" s="332"/>
      <c r="E893" s="332"/>
      <c r="F893" s="332"/>
      <c r="G893" s="332"/>
      <c r="H893" s="332"/>
    </row>
    <row r="894" spans="3:8" x14ac:dyDescent="0.2">
      <c r="C894" s="360"/>
      <c r="D894" s="332"/>
      <c r="E894" s="332"/>
      <c r="F894" s="332"/>
      <c r="G894" s="332"/>
      <c r="H894" s="332"/>
    </row>
    <row r="895" spans="3:8" x14ac:dyDescent="0.2">
      <c r="C895" s="360"/>
      <c r="D895" s="332"/>
      <c r="E895" s="332"/>
      <c r="F895" s="332"/>
      <c r="G895" s="332"/>
      <c r="H895" s="332"/>
    </row>
    <row r="896" spans="3:8" x14ac:dyDescent="0.2">
      <c r="C896" s="360"/>
      <c r="D896" s="332"/>
      <c r="E896" s="332"/>
      <c r="F896" s="332"/>
      <c r="G896" s="332"/>
      <c r="H896" s="332"/>
    </row>
    <row r="897" spans="3:8" x14ac:dyDescent="0.2">
      <c r="C897" s="360"/>
      <c r="D897" s="332"/>
      <c r="E897" s="332"/>
      <c r="F897" s="332"/>
      <c r="G897" s="332"/>
      <c r="H897" s="332"/>
    </row>
    <row r="898" spans="3:8" x14ac:dyDescent="0.2">
      <c r="C898" s="360"/>
      <c r="D898" s="332"/>
      <c r="E898" s="332"/>
      <c r="F898" s="332"/>
      <c r="G898" s="332"/>
      <c r="H898" s="332"/>
    </row>
    <row r="899" spans="3:8" x14ac:dyDescent="0.2">
      <c r="C899" s="360"/>
      <c r="D899" s="332"/>
      <c r="E899" s="332"/>
      <c r="F899" s="332"/>
      <c r="G899" s="332"/>
      <c r="H899" s="332"/>
    </row>
    <row r="900" spans="3:8" x14ac:dyDescent="0.2">
      <c r="C900" s="360"/>
      <c r="D900" s="332"/>
      <c r="E900" s="332"/>
      <c r="F900" s="332"/>
      <c r="G900" s="332"/>
      <c r="H900" s="332"/>
    </row>
    <row r="901" spans="3:8" x14ac:dyDescent="0.2">
      <c r="C901" s="360"/>
      <c r="D901" s="332"/>
      <c r="E901" s="332"/>
      <c r="F901" s="332"/>
      <c r="G901" s="332"/>
      <c r="H901" s="332"/>
    </row>
    <row r="902" spans="3:8" x14ac:dyDescent="0.2">
      <c r="C902" s="360"/>
      <c r="D902" s="332"/>
      <c r="E902" s="332"/>
      <c r="F902" s="332"/>
      <c r="G902" s="332"/>
      <c r="H902" s="332"/>
    </row>
    <row r="903" spans="3:8" x14ac:dyDescent="0.2">
      <c r="C903" s="360"/>
      <c r="D903" s="332"/>
      <c r="E903" s="332"/>
      <c r="F903" s="332"/>
      <c r="G903" s="332"/>
      <c r="H903" s="332"/>
    </row>
    <row r="904" spans="3:8" x14ac:dyDescent="0.2">
      <c r="C904" s="360"/>
      <c r="D904" s="332"/>
      <c r="E904" s="332"/>
      <c r="F904" s="332"/>
      <c r="G904" s="332"/>
      <c r="H904" s="332"/>
    </row>
    <row r="905" spans="3:8" x14ac:dyDescent="0.2">
      <c r="C905" s="360"/>
      <c r="D905" s="332"/>
      <c r="E905" s="332"/>
      <c r="F905" s="332"/>
      <c r="G905" s="332"/>
      <c r="H905" s="332"/>
    </row>
    <row r="906" spans="3:8" x14ac:dyDescent="0.2">
      <c r="C906" s="360"/>
      <c r="D906" s="332"/>
      <c r="E906" s="332"/>
      <c r="F906" s="332"/>
      <c r="G906" s="332"/>
      <c r="H906" s="332"/>
    </row>
    <row r="907" spans="3:8" x14ac:dyDescent="0.2">
      <c r="C907" s="360"/>
      <c r="D907" s="332"/>
      <c r="E907" s="332"/>
      <c r="F907" s="332"/>
      <c r="G907" s="332"/>
      <c r="H907" s="332"/>
    </row>
    <row r="908" spans="3:8" x14ac:dyDescent="0.2">
      <c r="C908" s="360"/>
      <c r="D908" s="332"/>
      <c r="E908" s="332"/>
      <c r="F908" s="332"/>
      <c r="G908" s="332"/>
      <c r="H908" s="332"/>
    </row>
    <row r="909" spans="3:8" x14ac:dyDescent="0.2">
      <c r="C909" s="360"/>
      <c r="D909" s="332"/>
      <c r="E909" s="332"/>
      <c r="F909" s="332"/>
      <c r="G909" s="332"/>
      <c r="H909" s="332"/>
    </row>
    <row r="910" spans="3:8" x14ac:dyDescent="0.2">
      <c r="C910" s="360"/>
      <c r="D910" s="332"/>
      <c r="E910" s="332"/>
      <c r="F910" s="332"/>
      <c r="G910" s="332"/>
      <c r="H910" s="332"/>
    </row>
    <row r="911" spans="3:8" x14ac:dyDescent="0.2">
      <c r="C911" s="360"/>
      <c r="D911" s="332"/>
      <c r="E911" s="332"/>
      <c r="F911" s="332"/>
      <c r="G911" s="332"/>
      <c r="H911" s="332"/>
    </row>
    <row r="912" spans="3:8" x14ac:dyDescent="0.2">
      <c r="C912" s="360"/>
      <c r="D912" s="332"/>
      <c r="E912" s="332"/>
      <c r="F912" s="332"/>
      <c r="G912" s="332"/>
      <c r="H912" s="332"/>
    </row>
    <row r="913" spans="3:8" x14ac:dyDescent="0.2">
      <c r="C913" s="360"/>
      <c r="D913" s="332"/>
      <c r="E913" s="332"/>
      <c r="F913" s="332"/>
      <c r="G913" s="332"/>
      <c r="H913" s="332"/>
    </row>
    <row r="914" spans="3:8" x14ac:dyDescent="0.2">
      <c r="C914" s="360"/>
      <c r="D914" s="332"/>
      <c r="E914" s="332"/>
      <c r="F914" s="332"/>
      <c r="G914" s="332"/>
      <c r="H914" s="332"/>
    </row>
    <row r="915" spans="3:8" x14ac:dyDescent="0.2">
      <c r="C915" s="360"/>
      <c r="D915" s="332"/>
      <c r="E915" s="332"/>
      <c r="F915" s="332"/>
      <c r="G915" s="332"/>
      <c r="H915" s="332"/>
    </row>
    <row r="916" spans="3:8" x14ac:dyDescent="0.2">
      <c r="C916" s="360"/>
      <c r="D916" s="332"/>
      <c r="E916" s="332"/>
      <c r="F916" s="332"/>
      <c r="G916" s="332"/>
      <c r="H916" s="332"/>
    </row>
    <row r="917" spans="3:8" x14ac:dyDescent="0.2">
      <c r="C917" s="360"/>
      <c r="D917" s="332"/>
      <c r="E917" s="332"/>
      <c r="F917" s="332"/>
      <c r="G917" s="332"/>
      <c r="H917" s="332"/>
    </row>
    <row r="918" spans="3:8" x14ac:dyDescent="0.2">
      <c r="C918" s="360"/>
      <c r="D918" s="332"/>
      <c r="E918" s="332"/>
      <c r="F918" s="332"/>
      <c r="G918" s="332"/>
      <c r="H918" s="332"/>
    </row>
    <row r="919" spans="3:8" x14ac:dyDescent="0.2">
      <c r="C919" s="360"/>
      <c r="D919" s="332"/>
      <c r="E919" s="332"/>
      <c r="F919" s="332"/>
      <c r="G919" s="332"/>
      <c r="H919" s="332"/>
    </row>
    <row r="920" spans="3:8" x14ac:dyDescent="0.2">
      <c r="C920" s="360"/>
      <c r="D920" s="332"/>
      <c r="E920" s="332"/>
      <c r="F920" s="332"/>
      <c r="G920" s="332"/>
      <c r="H920" s="332"/>
    </row>
    <row r="921" spans="3:8" x14ac:dyDescent="0.2">
      <c r="C921" s="360"/>
      <c r="D921" s="332"/>
      <c r="E921" s="332"/>
      <c r="F921" s="332"/>
      <c r="G921" s="332"/>
      <c r="H921" s="332"/>
    </row>
    <row r="922" spans="3:8" x14ac:dyDescent="0.2">
      <c r="C922" s="360"/>
      <c r="D922" s="332"/>
      <c r="E922" s="332"/>
      <c r="F922" s="332"/>
      <c r="G922" s="332"/>
      <c r="H922" s="332"/>
    </row>
    <row r="923" spans="3:8" x14ac:dyDescent="0.2">
      <c r="C923" s="360"/>
      <c r="D923" s="332"/>
      <c r="E923" s="332"/>
      <c r="F923" s="332"/>
      <c r="G923" s="332"/>
      <c r="H923" s="332"/>
    </row>
    <row r="924" spans="3:8" x14ac:dyDescent="0.2">
      <c r="C924" s="360"/>
      <c r="D924" s="332"/>
      <c r="E924" s="332"/>
      <c r="F924" s="332"/>
      <c r="G924" s="332"/>
      <c r="H924" s="332"/>
    </row>
    <row r="925" spans="3:8" x14ac:dyDescent="0.2">
      <c r="C925" s="360"/>
      <c r="D925" s="332"/>
      <c r="E925" s="332"/>
      <c r="F925" s="332"/>
      <c r="G925" s="332"/>
      <c r="H925" s="332"/>
    </row>
    <row r="926" spans="3:8" x14ac:dyDescent="0.2">
      <c r="C926" s="360"/>
      <c r="D926" s="332"/>
      <c r="E926" s="332"/>
      <c r="F926" s="332"/>
      <c r="G926" s="332"/>
      <c r="H926" s="332"/>
    </row>
    <row r="927" spans="3:8" x14ac:dyDescent="0.2">
      <c r="C927" s="360"/>
      <c r="D927" s="332"/>
      <c r="E927" s="332"/>
      <c r="F927" s="332"/>
      <c r="G927" s="332"/>
      <c r="H927" s="332"/>
    </row>
    <row r="928" spans="3:8" x14ac:dyDescent="0.2">
      <c r="C928" s="360"/>
      <c r="D928" s="332"/>
      <c r="E928" s="332"/>
      <c r="F928" s="332"/>
      <c r="G928" s="332"/>
      <c r="H928" s="332"/>
    </row>
    <row r="929" spans="3:8" x14ac:dyDescent="0.2">
      <c r="C929" s="360"/>
      <c r="D929" s="332"/>
      <c r="E929" s="332"/>
      <c r="F929" s="332"/>
      <c r="G929" s="332"/>
      <c r="H929" s="332"/>
    </row>
    <row r="930" spans="3:8" x14ac:dyDescent="0.2">
      <c r="C930" s="360"/>
      <c r="D930" s="332"/>
      <c r="E930" s="332"/>
      <c r="F930" s="332"/>
      <c r="G930" s="332"/>
      <c r="H930" s="332"/>
    </row>
    <row r="931" spans="3:8" x14ac:dyDescent="0.2">
      <c r="C931" s="360"/>
      <c r="D931" s="332"/>
      <c r="E931" s="332"/>
      <c r="F931" s="332"/>
      <c r="G931" s="332"/>
      <c r="H931" s="332"/>
    </row>
    <row r="932" spans="3:8" x14ac:dyDescent="0.2">
      <c r="C932" s="360"/>
      <c r="D932" s="332"/>
      <c r="E932" s="332"/>
      <c r="F932" s="332"/>
      <c r="G932" s="332"/>
      <c r="H932" s="332"/>
    </row>
    <row r="933" spans="3:8" x14ac:dyDescent="0.2">
      <c r="C933" s="360"/>
      <c r="D933" s="332"/>
      <c r="E933" s="332"/>
      <c r="F933" s="332"/>
      <c r="G933" s="332"/>
      <c r="H933" s="332"/>
    </row>
    <row r="934" spans="3:8" x14ac:dyDescent="0.2">
      <c r="C934" s="360"/>
      <c r="D934" s="332"/>
      <c r="E934" s="332"/>
      <c r="F934" s="332"/>
      <c r="G934" s="332"/>
      <c r="H934" s="332"/>
    </row>
    <row r="935" spans="3:8" x14ac:dyDescent="0.2">
      <c r="C935" s="360"/>
      <c r="D935" s="332"/>
      <c r="E935" s="332"/>
      <c r="F935" s="332"/>
      <c r="G935" s="332"/>
      <c r="H935" s="332"/>
    </row>
    <row r="936" spans="3:8" x14ac:dyDescent="0.2">
      <c r="C936" s="360"/>
      <c r="D936" s="332"/>
      <c r="E936" s="332"/>
      <c r="F936" s="332"/>
      <c r="G936" s="332"/>
      <c r="H936" s="332"/>
    </row>
    <row r="937" spans="3:8" x14ac:dyDescent="0.2">
      <c r="C937" s="360"/>
      <c r="D937" s="332"/>
      <c r="E937" s="332"/>
      <c r="F937" s="332"/>
      <c r="G937" s="332"/>
      <c r="H937" s="332"/>
    </row>
    <row r="938" spans="3:8" x14ac:dyDescent="0.2">
      <c r="C938" s="360"/>
      <c r="D938" s="332"/>
      <c r="E938" s="332"/>
      <c r="F938" s="332"/>
      <c r="G938" s="332"/>
      <c r="H938" s="332"/>
    </row>
    <row r="939" spans="3:8" x14ac:dyDescent="0.2">
      <c r="C939" s="360"/>
      <c r="D939" s="332"/>
      <c r="E939" s="332"/>
      <c r="F939" s="332"/>
      <c r="G939" s="332"/>
      <c r="H939" s="332"/>
    </row>
    <row r="940" spans="3:8" x14ac:dyDescent="0.2">
      <c r="C940" s="360"/>
      <c r="D940" s="332"/>
      <c r="E940" s="332"/>
      <c r="F940" s="332"/>
      <c r="G940" s="332"/>
      <c r="H940" s="332"/>
    </row>
    <row r="941" spans="3:8" x14ac:dyDescent="0.2">
      <c r="C941" s="360"/>
      <c r="D941" s="332"/>
      <c r="E941" s="332"/>
      <c r="F941" s="332"/>
      <c r="G941" s="332"/>
      <c r="H941" s="332"/>
    </row>
    <row r="942" spans="3:8" x14ac:dyDescent="0.2">
      <c r="C942" s="360"/>
      <c r="D942" s="332"/>
      <c r="E942" s="332"/>
      <c r="F942" s="332"/>
      <c r="G942" s="332"/>
      <c r="H942" s="332"/>
    </row>
    <row r="943" spans="3:8" x14ac:dyDescent="0.2">
      <c r="C943" s="360"/>
      <c r="D943" s="332"/>
      <c r="E943" s="332"/>
      <c r="F943" s="332"/>
      <c r="G943" s="332"/>
      <c r="H943" s="332"/>
    </row>
    <row r="944" spans="3:8" x14ac:dyDescent="0.2">
      <c r="C944" s="360"/>
      <c r="D944" s="332"/>
      <c r="E944" s="332"/>
      <c r="F944" s="332"/>
      <c r="G944" s="332"/>
      <c r="H944" s="332"/>
    </row>
    <row r="945" spans="3:8" x14ac:dyDescent="0.2">
      <c r="C945" s="360"/>
      <c r="D945" s="332"/>
      <c r="E945" s="332"/>
      <c r="F945" s="332"/>
      <c r="G945" s="332"/>
      <c r="H945" s="332"/>
    </row>
    <row r="946" spans="3:8" x14ac:dyDescent="0.2">
      <c r="C946" s="360"/>
      <c r="D946" s="332"/>
      <c r="E946" s="332"/>
      <c r="F946" s="332"/>
      <c r="G946" s="332"/>
      <c r="H946" s="332"/>
    </row>
    <row r="947" spans="3:8" x14ac:dyDescent="0.2">
      <c r="C947" s="360"/>
      <c r="D947" s="332"/>
      <c r="E947" s="332"/>
      <c r="F947" s="332"/>
      <c r="G947" s="332"/>
      <c r="H947" s="332"/>
    </row>
    <row r="948" spans="3:8" x14ac:dyDescent="0.2">
      <c r="C948" s="360"/>
      <c r="D948" s="332"/>
      <c r="E948" s="332"/>
      <c r="F948" s="332"/>
      <c r="G948" s="332"/>
      <c r="H948" s="332"/>
    </row>
    <row r="949" spans="3:8" x14ac:dyDescent="0.2">
      <c r="C949" s="360"/>
      <c r="D949" s="332"/>
      <c r="E949" s="332"/>
      <c r="F949" s="332"/>
      <c r="G949" s="332"/>
      <c r="H949" s="332"/>
    </row>
    <row r="950" spans="3:8" x14ac:dyDescent="0.2">
      <c r="C950" s="360"/>
      <c r="D950" s="332"/>
      <c r="E950" s="332"/>
      <c r="F950" s="332"/>
      <c r="G950" s="332"/>
      <c r="H950" s="332"/>
    </row>
    <row r="951" spans="3:8" x14ac:dyDescent="0.2">
      <c r="C951" s="360"/>
      <c r="D951" s="332"/>
      <c r="E951" s="332"/>
      <c r="F951" s="332"/>
      <c r="G951" s="332"/>
      <c r="H951" s="332"/>
    </row>
    <row r="952" spans="3:8" x14ac:dyDescent="0.2">
      <c r="C952" s="360"/>
      <c r="D952" s="332"/>
      <c r="E952" s="332"/>
      <c r="F952" s="332"/>
      <c r="G952" s="332"/>
      <c r="H952" s="332"/>
    </row>
    <row r="953" spans="3:8" x14ac:dyDescent="0.2">
      <c r="C953" s="360"/>
      <c r="D953" s="332"/>
      <c r="E953" s="332"/>
      <c r="F953" s="332"/>
      <c r="G953" s="332"/>
      <c r="H953" s="332"/>
    </row>
    <row r="954" spans="3:8" x14ac:dyDescent="0.2">
      <c r="C954" s="360"/>
      <c r="D954" s="332"/>
      <c r="E954" s="332"/>
      <c r="F954" s="332"/>
      <c r="G954" s="332"/>
      <c r="H954" s="332"/>
    </row>
    <row r="955" spans="3:8" x14ac:dyDescent="0.2">
      <c r="C955" s="360"/>
      <c r="D955" s="332"/>
      <c r="E955" s="332"/>
      <c r="F955" s="332"/>
      <c r="G955" s="332"/>
      <c r="H955" s="332"/>
    </row>
    <row r="956" spans="3:8" x14ac:dyDescent="0.2">
      <c r="C956" s="360"/>
      <c r="D956" s="332"/>
      <c r="E956" s="332"/>
      <c r="F956" s="332"/>
      <c r="G956" s="332"/>
      <c r="H956" s="332"/>
    </row>
    <row r="957" spans="3:8" x14ac:dyDescent="0.2">
      <c r="C957" s="360"/>
      <c r="D957" s="332"/>
      <c r="E957" s="332"/>
      <c r="F957" s="332"/>
      <c r="G957" s="332"/>
      <c r="H957" s="332"/>
    </row>
    <row r="958" spans="3:8" x14ac:dyDescent="0.2">
      <c r="C958" s="360"/>
      <c r="D958" s="332"/>
      <c r="E958" s="332"/>
      <c r="F958" s="332"/>
      <c r="G958" s="332"/>
      <c r="H958" s="332"/>
    </row>
    <row r="959" spans="3:8" x14ac:dyDescent="0.2">
      <c r="C959" s="360"/>
      <c r="D959" s="332"/>
      <c r="E959" s="332"/>
      <c r="F959" s="332"/>
      <c r="G959" s="332"/>
      <c r="H959" s="332"/>
    </row>
    <row r="960" spans="3:8" x14ac:dyDescent="0.2">
      <c r="C960" s="360"/>
      <c r="D960" s="332"/>
      <c r="E960" s="332"/>
      <c r="F960" s="332"/>
      <c r="G960" s="332"/>
      <c r="H960" s="332"/>
    </row>
    <row r="961" spans="3:8" x14ac:dyDescent="0.2">
      <c r="C961" s="360"/>
      <c r="D961" s="332"/>
      <c r="E961" s="332"/>
      <c r="F961" s="332"/>
      <c r="G961" s="332"/>
      <c r="H961" s="332"/>
    </row>
    <row r="962" spans="3:8" x14ac:dyDescent="0.2">
      <c r="C962" s="360"/>
      <c r="D962" s="332"/>
      <c r="E962" s="332"/>
      <c r="F962" s="332"/>
      <c r="G962" s="332"/>
      <c r="H962" s="332"/>
    </row>
    <row r="963" spans="3:8" x14ac:dyDescent="0.2">
      <c r="C963" s="360"/>
      <c r="D963" s="332"/>
      <c r="E963" s="332"/>
      <c r="F963" s="332"/>
      <c r="G963" s="332"/>
      <c r="H963" s="332"/>
    </row>
    <row r="964" spans="3:8" x14ac:dyDescent="0.2">
      <c r="C964" s="360"/>
      <c r="D964" s="332"/>
      <c r="E964" s="332"/>
      <c r="F964" s="332"/>
      <c r="G964" s="332"/>
      <c r="H964" s="332"/>
    </row>
    <row r="965" spans="3:8" x14ac:dyDescent="0.2">
      <c r="C965" s="360"/>
      <c r="D965" s="332"/>
      <c r="E965" s="332"/>
      <c r="F965" s="332"/>
      <c r="G965" s="332"/>
      <c r="H965" s="332"/>
    </row>
    <row r="966" spans="3:8" x14ac:dyDescent="0.2">
      <c r="C966" s="360"/>
      <c r="D966" s="332"/>
      <c r="E966" s="332"/>
      <c r="F966" s="332"/>
      <c r="G966" s="332"/>
      <c r="H966" s="332"/>
    </row>
    <row r="967" spans="3:8" x14ac:dyDescent="0.2">
      <c r="C967" s="360"/>
      <c r="D967" s="332"/>
      <c r="E967" s="332"/>
      <c r="F967" s="332"/>
      <c r="G967" s="332"/>
      <c r="H967" s="332"/>
    </row>
    <row r="968" spans="3:8" x14ac:dyDescent="0.2">
      <c r="C968" s="360"/>
      <c r="D968" s="332"/>
      <c r="E968" s="332"/>
      <c r="F968" s="332"/>
      <c r="G968" s="332"/>
      <c r="H968" s="332"/>
    </row>
    <row r="969" spans="3:8" x14ac:dyDescent="0.2">
      <c r="C969" s="360"/>
      <c r="D969" s="332"/>
      <c r="E969" s="332"/>
      <c r="F969" s="332"/>
      <c r="G969" s="332"/>
      <c r="H969" s="332"/>
    </row>
    <row r="970" spans="3:8" x14ac:dyDescent="0.2">
      <c r="C970" s="360"/>
      <c r="D970" s="332"/>
      <c r="E970" s="332"/>
      <c r="F970" s="332"/>
      <c r="G970" s="332"/>
      <c r="H970" s="332"/>
    </row>
    <row r="971" spans="3:8" x14ac:dyDescent="0.2">
      <c r="C971" s="360"/>
      <c r="D971" s="332"/>
      <c r="E971" s="332"/>
      <c r="F971" s="332"/>
      <c r="G971" s="332"/>
      <c r="H971" s="332"/>
    </row>
    <row r="972" spans="3:8" x14ac:dyDescent="0.2">
      <c r="C972" s="360"/>
      <c r="D972" s="332"/>
      <c r="E972" s="332"/>
      <c r="F972" s="332"/>
      <c r="G972" s="332"/>
      <c r="H972" s="332"/>
    </row>
    <row r="973" spans="3:8" x14ac:dyDescent="0.2">
      <c r="C973" s="360"/>
      <c r="D973" s="332"/>
      <c r="E973" s="332"/>
      <c r="F973" s="332"/>
      <c r="G973" s="332"/>
      <c r="H973" s="332"/>
    </row>
    <row r="974" spans="3:8" x14ac:dyDescent="0.2">
      <c r="C974" s="360"/>
      <c r="D974" s="332"/>
      <c r="E974" s="332"/>
      <c r="F974" s="332"/>
      <c r="G974" s="332"/>
      <c r="H974" s="332"/>
    </row>
    <row r="975" spans="3:8" x14ac:dyDescent="0.2">
      <c r="C975" s="360"/>
      <c r="D975" s="332"/>
      <c r="E975" s="332"/>
      <c r="F975" s="332"/>
      <c r="G975" s="332"/>
      <c r="H975" s="332"/>
    </row>
    <row r="976" spans="3:8" x14ac:dyDescent="0.2">
      <c r="C976" s="360"/>
      <c r="D976" s="332"/>
      <c r="E976" s="332"/>
      <c r="F976" s="332"/>
      <c r="G976" s="332"/>
      <c r="H976" s="332"/>
    </row>
    <row r="977" spans="3:8" x14ac:dyDescent="0.2">
      <c r="C977" s="360"/>
      <c r="D977" s="332"/>
      <c r="E977" s="332"/>
      <c r="F977" s="332"/>
      <c r="G977" s="332"/>
      <c r="H977" s="332"/>
    </row>
    <row r="978" spans="3:8" x14ac:dyDescent="0.2">
      <c r="C978" s="360"/>
      <c r="D978" s="332"/>
      <c r="E978" s="332"/>
      <c r="F978" s="332"/>
      <c r="G978" s="332"/>
      <c r="H978" s="332"/>
    </row>
    <row r="979" spans="3:8" x14ac:dyDescent="0.2">
      <c r="C979" s="360"/>
      <c r="D979" s="332"/>
      <c r="E979" s="332"/>
      <c r="F979" s="332"/>
      <c r="G979" s="332"/>
      <c r="H979" s="332"/>
    </row>
    <row r="980" spans="3:8" x14ac:dyDescent="0.2">
      <c r="C980" s="360"/>
      <c r="D980" s="332"/>
      <c r="E980" s="332"/>
      <c r="F980" s="332"/>
      <c r="G980" s="332"/>
      <c r="H980" s="332"/>
    </row>
    <row r="981" spans="3:8" x14ac:dyDescent="0.2">
      <c r="C981" s="360"/>
      <c r="D981" s="332"/>
      <c r="E981" s="332"/>
      <c r="F981" s="332"/>
      <c r="G981" s="332"/>
      <c r="H981" s="332"/>
    </row>
    <row r="982" spans="3:8" x14ac:dyDescent="0.2">
      <c r="C982" s="360"/>
      <c r="D982" s="332"/>
      <c r="E982" s="332"/>
      <c r="F982" s="332"/>
      <c r="G982" s="332"/>
      <c r="H982" s="332"/>
    </row>
    <row r="983" spans="3:8" x14ac:dyDescent="0.2">
      <c r="C983" s="360"/>
      <c r="D983" s="332"/>
      <c r="E983" s="332"/>
      <c r="F983" s="332"/>
      <c r="G983" s="332"/>
      <c r="H983" s="332"/>
    </row>
    <row r="984" spans="3:8" x14ac:dyDescent="0.2">
      <c r="C984" s="360"/>
      <c r="D984" s="332"/>
      <c r="E984" s="332"/>
      <c r="F984" s="332"/>
      <c r="G984" s="332"/>
      <c r="H984" s="332"/>
    </row>
    <row r="985" spans="3:8" x14ac:dyDescent="0.2">
      <c r="C985" s="360"/>
      <c r="D985" s="332"/>
      <c r="E985" s="332"/>
      <c r="F985" s="332"/>
      <c r="G985" s="332"/>
      <c r="H985" s="332"/>
    </row>
    <row r="986" spans="3:8" x14ac:dyDescent="0.2">
      <c r="C986" s="360"/>
      <c r="D986" s="332"/>
      <c r="E986" s="332"/>
      <c r="F986" s="332"/>
      <c r="G986" s="332"/>
      <c r="H986" s="332"/>
    </row>
    <row r="987" spans="3:8" x14ac:dyDescent="0.2">
      <c r="C987" s="360"/>
      <c r="D987" s="332"/>
      <c r="E987" s="332"/>
      <c r="F987" s="332"/>
      <c r="G987" s="332"/>
      <c r="H987" s="332"/>
    </row>
    <row r="988" spans="3:8" x14ac:dyDescent="0.2">
      <c r="C988" s="360"/>
      <c r="D988" s="332"/>
      <c r="E988" s="332"/>
      <c r="F988" s="332"/>
      <c r="G988" s="332"/>
      <c r="H988" s="332"/>
    </row>
    <row r="989" spans="3:8" x14ac:dyDescent="0.2">
      <c r="C989" s="360"/>
      <c r="D989" s="332"/>
      <c r="E989" s="332"/>
      <c r="F989" s="332"/>
      <c r="G989" s="332"/>
      <c r="H989" s="332"/>
    </row>
    <row r="990" spans="3:8" x14ac:dyDescent="0.2">
      <c r="C990" s="360"/>
      <c r="D990" s="332"/>
      <c r="E990" s="332"/>
      <c r="F990" s="332"/>
      <c r="G990" s="332"/>
      <c r="H990" s="332"/>
    </row>
    <row r="991" spans="3:8" x14ac:dyDescent="0.2">
      <c r="C991" s="360"/>
      <c r="D991" s="332"/>
      <c r="E991" s="332"/>
      <c r="F991" s="332"/>
      <c r="G991" s="332"/>
      <c r="H991" s="332"/>
    </row>
    <row r="992" spans="3:8" x14ac:dyDescent="0.2">
      <c r="C992" s="360"/>
      <c r="D992" s="332"/>
      <c r="E992" s="332"/>
      <c r="F992" s="332"/>
      <c r="G992" s="332"/>
      <c r="H992" s="332"/>
    </row>
    <row r="993" spans="3:8" x14ac:dyDescent="0.2">
      <c r="C993" s="360"/>
      <c r="D993" s="332"/>
      <c r="E993" s="332"/>
      <c r="F993" s="332"/>
      <c r="G993" s="332"/>
      <c r="H993" s="332"/>
    </row>
    <row r="994" spans="3:8" x14ac:dyDescent="0.2">
      <c r="C994" s="360"/>
      <c r="D994" s="332"/>
      <c r="E994" s="332"/>
      <c r="F994" s="332"/>
      <c r="G994" s="332"/>
      <c r="H994" s="332"/>
    </row>
    <row r="995" spans="3:8" x14ac:dyDescent="0.2">
      <c r="C995" s="360"/>
      <c r="D995" s="332"/>
      <c r="E995" s="332"/>
      <c r="F995" s="332"/>
      <c r="G995" s="332"/>
      <c r="H995" s="332"/>
    </row>
    <row r="996" spans="3:8" x14ac:dyDescent="0.2">
      <c r="C996" s="360"/>
      <c r="D996" s="332"/>
      <c r="E996" s="332"/>
      <c r="F996" s="332"/>
      <c r="G996" s="332"/>
      <c r="H996" s="332"/>
    </row>
    <row r="997" spans="3:8" x14ac:dyDescent="0.2">
      <c r="C997" s="360"/>
      <c r="D997" s="332"/>
      <c r="E997" s="332"/>
      <c r="F997" s="332"/>
      <c r="G997" s="332"/>
      <c r="H997" s="332"/>
    </row>
    <row r="998" spans="3:8" x14ac:dyDescent="0.2">
      <c r="C998" s="360"/>
      <c r="D998" s="332"/>
      <c r="E998" s="332"/>
      <c r="F998" s="332"/>
      <c r="G998" s="332"/>
      <c r="H998" s="332"/>
    </row>
    <row r="999" spans="3:8" x14ac:dyDescent="0.2">
      <c r="C999" s="360"/>
      <c r="D999" s="332"/>
      <c r="E999" s="332"/>
      <c r="F999" s="332"/>
      <c r="G999" s="332"/>
      <c r="H999" s="332"/>
    </row>
    <row r="1000" spans="3:8" x14ac:dyDescent="0.2">
      <c r="C1000" s="360"/>
      <c r="D1000" s="332"/>
      <c r="E1000" s="332"/>
      <c r="F1000" s="332"/>
      <c r="G1000" s="332"/>
      <c r="H1000" s="332"/>
    </row>
    <row r="1001" spans="3:8" x14ac:dyDescent="0.2">
      <c r="C1001" s="360"/>
      <c r="D1001" s="332"/>
      <c r="E1001" s="332"/>
      <c r="F1001" s="332"/>
      <c r="G1001" s="332"/>
      <c r="H1001" s="332"/>
    </row>
    <row r="1002" spans="3:8" x14ac:dyDescent="0.2">
      <c r="C1002" s="360"/>
      <c r="D1002" s="332"/>
      <c r="E1002" s="332"/>
      <c r="F1002" s="332"/>
      <c r="G1002" s="332"/>
      <c r="H1002" s="332"/>
    </row>
    <row r="1003" spans="3:8" x14ac:dyDescent="0.2">
      <c r="C1003" s="360"/>
      <c r="D1003" s="332"/>
      <c r="E1003" s="332"/>
      <c r="F1003" s="332"/>
      <c r="G1003" s="332"/>
      <c r="H1003" s="332"/>
    </row>
    <row r="1004" spans="3:8" x14ac:dyDescent="0.2">
      <c r="C1004" s="360"/>
      <c r="D1004" s="332"/>
      <c r="E1004" s="332"/>
      <c r="F1004" s="332"/>
      <c r="G1004" s="332"/>
      <c r="H1004" s="332"/>
    </row>
    <row r="1005" spans="3:8" x14ac:dyDescent="0.2">
      <c r="C1005" s="360"/>
      <c r="D1005" s="332"/>
      <c r="E1005" s="332"/>
      <c r="F1005" s="332"/>
      <c r="G1005" s="332"/>
      <c r="H1005" s="332"/>
    </row>
    <row r="1006" spans="3:8" x14ac:dyDescent="0.2">
      <c r="C1006" s="360"/>
      <c r="D1006" s="332"/>
      <c r="E1006" s="332"/>
      <c r="F1006" s="332"/>
      <c r="G1006" s="332"/>
      <c r="H1006" s="332"/>
    </row>
    <row r="1007" spans="3:8" x14ac:dyDescent="0.2">
      <c r="C1007" s="360"/>
      <c r="D1007" s="332"/>
      <c r="E1007" s="332"/>
      <c r="F1007" s="332"/>
      <c r="G1007" s="332"/>
      <c r="H1007" s="332"/>
    </row>
    <row r="1008" spans="3:8" x14ac:dyDescent="0.2">
      <c r="C1008" s="360"/>
      <c r="D1008" s="332"/>
      <c r="E1008" s="332"/>
      <c r="F1008" s="332"/>
      <c r="G1008" s="332"/>
      <c r="H1008" s="332"/>
    </row>
    <row r="1009" spans="3:8" x14ac:dyDescent="0.2">
      <c r="C1009" s="360"/>
      <c r="D1009" s="332"/>
      <c r="E1009" s="332"/>
      <c r="F1009" s="332"/>
      <c r="G1009" s="332"/>
      <c r="H1009" s="332"/>
    </row>
    <row r="1010" spans="3:8" x14ac:dyDescent="0.2">
      <c r="C1010" s="360"/>
      <c r="D1010" s="332"/>
      <c r="E1010" s="332"/>
      <c r="F1010" s="332"/>
      <c r="G1010" s="332"/>
      <c r="H1010" s="332"/>
    </row>
    <row r="1011" spans="3:8" x14ac:dyDescent="0.2">
      <c r="C1011" s="360"/>
      <c r="D1011" s="332"/>
      <c r="E1011" s="332"/>
      <c r="F1011" s="332"/>
      <c r="G1011" s="332"/>
      <c r="H1011" s="332"/>
    </row>
    <row r="1012" spans="3:8" x14ac:dyDescent="0.2">
      <c r="C1012" s="360"/>
      <c r="D1012" s="332"/>
      <c r="E1012" s="332"/>
      <c r="F1012" s="332"/>
      <c r="G1012" s="332"/>
      <c r="H1012" s="332"/>
    </row>
    <row r="1013" spans="3:8" x14ac:dyDescent="0.2">
      <c r="C1013" s="360"/>
      <c r="D1013" s="332"/>
      <c r="E1013" s="332"/>
      <c r="F1013" s="332"/>
      <c r="G1013" s="332"/>
      <c r="H1013" s="332"/>
    </row>
    <row r="1014" spans="3:8" x14ac:dyDescent="0.2">
      <c r="C1014" s="360"/>
      <c r="D1014" s="332"/>
      <c r="E1014" s="332"/>
      <c r="F1014" s="332"/>
      <c r="G1014" s="332"/>
      <c r="H1014" s="332"/>
    </row>
    <row r="1015" spans="3:8" x14ac:dyDescent="0.2">
      <c r="C1015" s="360"/>
      <c r="D1015" s="332"/>
      <c r="E1015" s="332"/>
      <c r="F1015" s="332"/>
      <c r="G1015" s="332"/>
      <c r="H1015" s="332"/>
    </row>
    <row r="1016" spans="3:8" x14ac:dyDescent="0.2">
      <c r="C1016" s="360"/>
      <c r="D1016" s="332"/>
      <c r="E1016" s="332"/>
      <c r="F1016" s="332"/>
      <c r="G1016" s="332"/>
      <c r="H1016" s="332"/>
    </row>
    <row r="1017" spans="3:8" x14ac:dyDescent="0.2">
      <c r="C1017" s="360"/>
      <c r="D1017" s="332"/>
      <c r="E1017" s="332"/>
      <c r="F1017" s="332"/>
      <c r="G1017" s="332"/>
      <c r="H1017" s="332"/>
    </row>
    <row r="1018" spans="3:8" x14ac:dyDescent="0.2">
      <c r="C1018" s="360"/>
      <c r="D1018" s="332"/>
      <c r="E1018" s="332"/>
      <c r="F1018" s="332"/>
      <c r="G1018" s="332"/>
      <c r="H1018" s="332"/>
    </row>
    <row r="1019" spans="3:8" x14ac:dyDescent="0.2">
      <c r="C1019" s="360"/>
      <c r="D1019" s="332"/>
      <c r="E1019" s="332"/>
      <c r="F1019" s="332"/>
      <c r="G1019" s="332"/>
      <c r="H1019" s="332"/>
    </row>
    <row r="1020" spans="3:8" x14ac:dyDescent="0.2">
      <c r="C1020" s="360"/>
      <c r="D1020" s="332"/>
      <c r="E1020" s="332"/>
      <c r="F1020" s="332"/>
      <c r="G1020" s="332"/>
      <c r="H1020" s="332"/>
    </row>
    <row r="1021" spans="3:8" x14ac:dyDescent="0.2">
      <c r="C1021" s="360"/>
      <c r="D1021" s="332"/>
      <c r="E1021" s="332"/>
      <c r="F1021" s="332"/>
      <c r="G1021" s="332"/>
      <c r="H1021" s="332"/>
    </row>
    <row r="1022" spans="3:8" x14ac:dyDescent="0.2">
      <c r="C1022" s="360"/>
      <c r="D1022" s="332"/>
      <c r="E1022" s="332"/>
      <c r="F1022" s="332"/>
      <c r="G1022" s="332"/>
      <c r="H1022" s="332"/>
    </row>
    <row r="1023" spans="3:8" x14ac:dyDescent="0.2">
      <c r="C1023" s="360"/>
      <c r="D1023" s="332"/>
      <c r="E1023" s="332"/>
      <c r="F1023" s="332"/>
      <c r="G1023" s="332"/>
      <c r="H1023" s="332"/>
    </row>
    <row r="1024" spans="3:8" x14ac:dyDescent="0.2">
      <c r="C1024" s="360"/>
      <c r="D1024" s="332"/>
      <c r="E1024" s="332"/>
      <c r="F1024" s="332"/>
      <c r="G1024" s="332"/>
      <c r="H1024" s="332"/>
    </row>
    <row r="1025" spans="3:8" x14ac:dyDescent="0.2">
      <c r="C1025" s="360"/>
      <c r="D1025" s="332"/>
      <c r="E1025" s="332"/>
      <c r="F1025" s="332"/>
      <c r="G1025" s="332"/>
      <c r="H1025" s="332"/>
    </row>
    <row r="1026" spans="3:8" x14ac:dyDescent="0.2">
      <c r="C1026" s="360"/>
      <c r="D1026" s="332"/>
      <c r="E1026" s="332"/>
      <c r="F1026" s="332"/>
      <c r="G1026" s="332"/>
      <c r="H1026" s="332"/>
    </row>
    <row r="1027" spans="3:8" x14ac:dyDescent="0.2">
      <c r="C1027" s="360"/>
      <c r="D1027" s="332"/>
      <c r="E1027" s="332"/>
      <c r="F1027" s="332"/>
      <c r="G1027" s="332"/>
      <c r="H1027" s="332"/>
    </row>
    <row r="1028" spans="3:8" x14ac:dyDescent="0.2">
      <c r="C1028" s="360"/>
      <c r="D1028" s="332"/>
      <c r="E1028" s="332"/>
      <c r="F1028" s="332"/>
      <c r="G1028" s="332"/>
      <c r="H1028" s="332"/>
    </row>
    <row r="1029" spans="3:8" x14ac:dyDescent="0.2">
      <c r="C1029" s="360"/>
      <c r="D1029" s="332"/>
      <c r="E1029" s="332"/>
      <c r="F1029" s="332"/>
      <c r="G1029" s="332"/>
      <c r="H1029" s="332"/>
    </row>
    <row r="1030" spans="3:8" x14ac:dyDescent="0.2">
      <c r="C1030" s="360"/>
      <c r="D1030" s="332"/>
      <c r="E1030" s="332"/>
      <c r="F1030" s="332"/>
      <c r="G1030" s="332"/>
      <c r="H1030" s="332"/>
    </row>
    <row r="1031" spans="3:8" x14ac:dyDescent="0.2">
      <c r="C1031" s="360"/>
      <c r="D1031" s="332"/>
      <c r="E1031" s="332"/>
      <c r="F1031" s="332"/>
      <c r="G1031" s="332"/>
      <c r="H1031" s="332"/>
    </row>
    <row r="1032" spans="3:8" x14ac:dyDescent="0.2">
      <c r="C1032" s="360"/>
      <c r="D1032" s="332"/>
      <c r="E1032" s="332"/>
      <c r="F1032" s="332"/>
      <c r="G1032" s="332"/>
      <c r="H1032" s="332"/>
    </row>
    <row r="1033" spans="3:8" x14ac:dyDescent="0.2">
      <c r="C1033" s="360"/>
      <c r="D1033" s="332"/>
      <c r="E1033" s="332"/>
      <c r="F1033" s="332"/>
      <c r="G1033" s="332"/>
      <c r="H1033" s="332"/>
    </row>
    <row r="1034" spans="3:8" x14ac:dyDescent="0.2">
      <c r="C1034" s="360"/>
      <c r="D1034" s="332"/>
      <c r="E1034" s="332"/>
      <c r="F1034" s="332"/>
      <c r="G1034" s="332"/>
      <c r="H1034" s="332"/>
    </row>
    <row r="1035" spans="3:8" x14ac:dyDescent="0.2">
      <c r="C1035" s="360"/>
      <c r="D1035" s="332"/>
      <c r="E1035" s="332"/>
      <c r="F1035" s="332"/>
      <c r="G1035" s="332"/>
      <c r="H1035" s="332"/>
    </row>
    <row r="1036" spans="3:8" x14ac:dyDescent="0.2">
      <c r="C1036" s="360"/>
      <c r="D1036" s="332"/>
      <c r="E1036" s="332"/>
      <c r="F1036" s="332"/>
      <c r="G1036" s="332"/>
      <c r="H1036" s="332"/>
    </row>
    <row r="1037" spans="3:8" x14ac:dyDescent="0.2">
      <c r="C1037" s="360"/>
      <c r="D1037" s="332"/>
      <c r="E1037" s="332"/>
      <c r="F1037" s="332"/>
      <c r="G1037" s="332"/>
      <c r="H1037" s="332"/>
    </row>
    <row r="1038" spans="3:8" x14ac:dyDescent="0.2">
      <c r="C1038" s="360"/>
      <c r="D1038" s="332"/>
      <c r="E1038" s="332"/>
      <c r="F1038" s="332"/>
      <c r="G1038" s="332"/>
      <c r="H1038" s="332"/>
    </row>
    <row r="1039" spans="3:8" x14ac:dyDescent="0.2">
      <c r="C1039" s="360"/>
      <c r="D1039" s="332"/>
      <c r="E1039" s="332"/>
      <c r="F1039" s="332"/>
      <c r="G1039" s="332"/>
      <c r="H1039" s="332"/>
    </row>
    <row r="1040" spans="3:8" x14ac:dyDescent="0.2">
      <c r="C1040" s="360"/>
      <c r="D1040" s="332"/>
      <c r="E1040" s="332"/>
      <c r="F1040" s="332"/>
      <c r="G1040" s="332"/>
      <c r="H1040" s="332"/>
    </row>
    <row r="1041" spans="3:8" x14ac:dyDescent="0.2">
      <c r="C1041" s="360"/>
      <c r="D1041" s="332"/>
      <c r="E1041" s="332"/>
      <c r="F1041" s="332"/>
      <c r="G1041" s="332"/>
      <c r="H1041" s="332"/>
    </row>
    <row r="1042" spans="3:8" x14ac:dyDescent="0.2">
      <c r="C1042" s="360"/>
      <c r="D1042" s="332"/>
      <c r="E1042" s="332"/>
      <c r="F1042" s="332"/>
      <c r="G1042" s="332"/>
      <c r="H1042" s="332"/>
    </row>
    <row r="1043" spans="3:8" x14ac:dyDescent="0.2">
      <c r="C1043" s="360"/>
      <c r="D1043" s="332"/>
      <c r="E1043" s="332"/>
      <c r="F1043" s="332"/>
      <c r="G1043" s="332"/>
      <c r="H1043" s="332"/>
    </row>
    <row r="1044" spans="3:8" x14ac:dyDescent="0.2">
      <c r="C1044" s="360"/>
      <c r="D1044" s="332"/>
      <c r="E1044" s="332"/>
      <c r="F1044" s="332"/>
      <c r="G1044" s="332"/>
      <c r="H1044" s="332"/>
    </row>
    <row r="1045" spans="3:8" x14ac:dyDescent="0.2">
      <c r="C1045" s="360"/>
      <c r="D1045" s="332"/>
      <c r="E1045" s="332"/>
      <c r="F1045" s="332"/>
      <c r="G1045" s="332"/>
      <c r="H1045" s="332"/>
    </row>
    <row r="1046" spans="3:8" x14ac:dyDescent="0.2">
      <c r="C1046" s="360"/>
      <c r="D1046" s="332"/>
      <c r="E1046" s="332"/>
      <c r="F1046" s="332"/>
      <c r="G1046" s="332"/>
      <c r="H1046" s="332"/>
    </row>
    <row r="1047" spans="3:8" x14ac:dyDescent="0.2">
      <c r="C1047" s="360"/>
      <c r="D1047" s="332"/>
      <c r="E1047" s="332"/>
      <c r="F1047" s="332"/>
      <c r="G1047" s="332"/>
      <c r="H1047" s="332"/>
    </row>
    <row r="1048" spans="3:8" x14ac:dyDescent="0.2">
      <c r="C1048" s="360"/>
      <c r="D1048" s="332"/>
      <c r="E1048" s="332"/>
      <c r="F1048" s="332"/>
      <c r="G1048" s="332"/>
      <c r="H1048" s="332"/>
    </row>
    <row r="1049" spans="3:8" x14ac:dyDescent="0.2">
      <c r="C1049" s="360"/>
      <c r="D1049" s="332"/>
      <c r="E1049" s="332"/>
      <c r="F1049" s="332"/>
      <c r="G1049" s="332"/>
      <c r="H1049" s="332"/>
    </row>
    <row r="1050" spans="3:8" x14ac:dyDescent="0.2">
      <c r="C1050" s="360"/>
      <c r="D1050" s="332"/>
      <c r="E1050" s="332"/>
      <c r="F1050" s="332"/>
      <c r="G1050" s="332"/>
      <c r="H1050" s="332"/>
    </row>
    <row r="1051" spans="3:8" x14ac:dyDescent="0.2">
      <c r="C1051" s="360"/>
      <c r="D1051" s="332"/>
      <c r="E1051" s="332"/>
      <c r="F1051" s="332"/>
      <c r="G1051" s="332"/>
      <c r="H1051" s="332"/>
    </row>
    <row r="1052" spans="3:8" x14ac:dyDescent="0.2">
      <c r="C1052" s="360"/>
      <c r="D1052" s="332"/>
      <c r="E1052" s="332"/>
      <c r="F1052" s="332"/>
      <c r="G1052" s="332"/>
      <c r="H1052" s="332"/>
    </row>
    <row r="1053" spans="3:8" x14ac:dyDescent="0.2">
      <c r="C1053" s="360"/>
      <c r="D1053" s="332"/>
      <c r="E1053" s="332"/>
      <c r="F1053" s="332"/>
      <c r="G1053" s="332"/>
      <c r="H1053" s="332"/>
    </row>
    <row r="1054" spans="3:8" x14ac:dyDescent="0.2">
      <c r="C1054" s="360"/>
      <c r="D1054" s="332"/>
      <c r="E1054" s="332"/>
      <c r="F1054" s="332"/>
      <c r="G1054" s="332"/>
      <c r="H1054" s="332"/>
    </row>
    <row r="1055" spans="3:8" x14ac:dyDescent="0.2">
      <c r="C1055" s="360"/>
      <c r="D1055" s="332"/>
      <c r="E1055" s="332"/>
      <c r="F1055" s="332"/>
      <c r="G1055" s="332"/>
      <c r="H1055" s="332"/>
    </row>
    <row r="1056" spans="3:8" x14ac:dyDescent="0.2">
      <c r="C1056" s="360"/>
      <c r="D1056" s="332"/>
      <c r="E1056" s="332"/>
      <c r="F1056" s="332"/>
      <c r="G1056" s="332"/>
      <c r="H1056" s="332"/>
    </row>
    <row r="1057" spans="3:8" x14ac:dyDescent="0.2">
      <c r="C1057" s="360"/>
      <c r="D1057" s="332"/>
      <c r="E1057" s="332"/>
      <c r="F1057" s="332"/>
      <c r="G1057" s="332"/>
      <c r="H1057" s="332"/>
    </row>
    <row r="1058" spans="3:8" x14ac:dyDescent="0.2">
      <c r="C1058" s="360"/>
      <c r="D1058" s="332"/>
      <c r="E1058" s="332"/>
      <c r="F1058" s="332"/>
      <c r="G1058" s="332"/>
      <c r="H1058" s="332"/>
    </row>
    <row r="1059" spans="3:8" x14ac:dyDescent="0.2">
      <c r="C1059" s="360"/>
      <c r="D1059" s="332"/>
      <c r="E1059" s="332"/>
      <c r="F1059" s="332"/>
      <c r="G1059" s="332"/>
      <c r="H1059" s="332"/>
    </row>
    <row r="1060" spans="3:8" x14ac:dyDescent="0.2">
      <c r="C1060" s="360"/>
      <c r="D1060" s="332"/>
      <c r="E1060" s="332"/>
      <c r="F1060" s="332"/>
      <c r="G1060" s="332"/>
      <c r="H1060" s="332"/>
    </row>
    <row r="1061" spans="3:8" x14ac:dyDescent="0.2">
      <c r="C1061" s="360"/>
      <c r="D1061" s="332"/>
      <c r="E1061" s="332"/>
      <c r="F1061" s="332"/>
      <c r="G1061" s="332"/>
      <c r="H1061" s="332"/>
    </row>
    <row r="1062" spans="3:8" x14ac:dyDescent="0.2">
      <c r="C1062" s="360"/>
      <c r="D1062" s="332"/>
      <c r="E1062" s="332"/>
      <c r="F1062" s="332"/>
      <c r="G1062" s="332"/>
      <c r="H1062" s="332"/>
    </row>
    <row r="1063" spans="3:8" x14ac:dyDescent="0.2">
      <c r="C1063" s="360"/>
      <c r="D1063" s="332"/>
      <c r="E1063" s="332"/>
      <c r="F1063" s="332"/>
      <c r="G1063" s="332"/>
      <c r="H1063" s="332"/>
    </row>
    <row r="1064" spans="3:8" x14ac:dyDescent="0.2">
      <c r="C1064" s="360"/>
      <c r="D1064" s="332"/>
      <c r="E1064" s="332"/>
      <c r="F1064" s="332"/>
      <c r="G1064" s="332"/>
      <c r="H1064" s="332"/>
    </row>
    <row r="1065" spans="3:8" x14ac:dyDescent="0.2">
      <c r="C1065" s="360"/>
      <c r="D1065" s="332"/>
      <c r="E1065" s="332"/>
      <c r="F1065" s="332"/>
      <c r="G1065" s="332"/>
      <c r="H1065" s="332"/>
    </row>
    <row r="1066" spans="3:8" x14ac:dyDescent="0.2">
      <c r="C1066" s="360"/>
      <c r="D1066" s="332"/>
      <c r="E1066" s="332"/>
      <c r="F1066" s="332"/>
      <c r="G1066" s="332"/>
      <c r="H1066" s="332"/>
    </row>
    <row r="1067" spans="3:8" x14ac:dyDescent="0.2">
      <c r="C1067" s="360"/>
      <c r="D1067" s="332"/>
      <c r="E1067" s="332"/>
      <c r="F1067" s="332"/>
      <c r="G1067" s="332"/>
      <c r="H1067" s="332"/>
    </row>
    <row r="1068" spans="3:8" x14ac:dyDescent="0.2">
      <c r="C1068" s="360"/>
      <c r="D1068" s="332"/>
      <c r="E1068" s="332"/>
      <c r="F1068" s="332"/>
      <c r="G1068" s="332"/>
      <c r="H1068" s="332"/>
    </row>
    <row r="1069" spans="3:8" x14ac:dyDescent="0.2">
      <c r="C1069" s="360"/>
      <c r="D1069" s="332"/>
      <c r="E1069" s="332"/>
      <c r="F1069" s="332"/>
      <c r="G1069" s="332"/>
      <c r="H1069" s="332"/>
    </row>
    <row r="1070" spans="3:8" x14ac:dyDescent="0.2">
      <c r="C1070" s="360"/>
      <c r="D1070" s="332"/>
      <c r="E1070" s="332"/>
      <c r="F1070" s="332"/>
      <c r="G1070" s="332"/>
      <c r="H1070" s="332"/>
    </row>
    <row r="1071" spans="3:8" x14ac:dyDescent="0.2">
      <c r="C1071" s="360"/>
      <c r="D1071" s="332"/>
      <c r="E1071" s="332"/>
      <c r="F1071" s="332"/>
      <c r="G1071" s="332"/>
      <c r="H1071" s="332"/>
    </row>
    <row r="1072" spans="3:8" x14ac:dyDescent="0.2">
      <c r="C1072" s="360"/>
      <c r="D1072" s="332"/>
      <c r="E1072" s="332"/>
      <c r="F1072" s="332"/>
      <c r="G1072" s="332"/>
      <c r="H1072" s="332"/>
    </row>
    <row r="1073" spans="3:8" x14ac:dyDescent="0.2">
      <c r="C1073" s="360"/>
      <c r="D1073" s="332"/>
      <c r="E1073" s="332"/>
      <c r="F1073" s="332"/>
      <c r="G1073" s="332"/>
      <c r="H1073" s="332"/>
    </row>
    <row r="1074" spans="3:8" x14ac:dyDescent="0.2">
      <c r="C1074" s="360"/>
      <c r="D1074" s="332"/>
      <c r="E1074" s="332"/>
      <c r="F1074" s="332"/>
      <c r="G1074" s="332"/>
      <c r="H1074" s="332"/>
    </row>
    <row r="1075" spans="3:8" x14ac:dyDescent="0.2">
      <c r="C1075" s="360"/>
      <c r="D1075" s="332"/>
      <c r="E1075" s="332"/>
      <c r="F1075" s="332"/>
      <c r="G1075" s="332"/>
      <c r="H1075" s="332"/>
    </row>
    <row r="1076" spans="3:8" x14ac:dyDescent="0.2">
      <c r="C1076" s="360"/>
      <c r="D1076" s="332"/>
      <c r="E1076" s="332"/>
      <c r="F1076" s="332"/>
      <c r="G1076" s="332"/>
      <c r="H1076" s="332"/>
    </row>
    <row r="1077" spans="3:8" x14ac:dyDescent="0.2">
      <c r="C1077" s="360"/>
      <c r="D1077" s="332"/>
      <c r="E1077" s="332"/>
      <c r="F1077" s="332"/>
      <c r="G1077" s="332"/>
      <c r="H1077" s="332"/>
    </row>
    <row r="1078" spans="3:8" x14ac:dyDescent="0.2">
      <c r="C1078" s="360"/>
      <c r="D1078" s="332"/>
      <c r="E1078" s="332"/>
      <c r="F1078" s="332"/>
      <c r="G1078" s="332"/>
      <c r="H1078" s="332"/>
    </row>
    <row r="1079" spans="3:8" x14ac:dyDescent="0.2">
      <c r="C1079" s="360"/>
      <c r="D1079" s="332"/>
      <c r="E1079" s="332"/>
      <c r="F1079" s="332"/>
      <c r="G1079" s="332"/>
      <c r="H1079" s="332"/>
    </row>
    <row r="1080" spans="3:8" x14ac:dyDescent="0.2">
      <c r="C1080" s="360"/>
      <c r="D1080" s="332"/>
      <c r="E1080" s="332"/>
      <c r="F1080" s="332"/>
      <c r="G1080" s="332"/>
      <c r="H1080" s="332"/>
    </row>
    <row r="1081" spans="3:8" x14ac:dyDescent="0.2">
      <c r="C1081" s="360"/>
      <c r="D1081" s="332"/>
      <c r="E1081" s="332"/>
      <c r="F1081" s="332"/>
      <c r="G1081" s="332"/>
      <c r="H1081" s="332"/>
    </row>
    <row r="1082" spans="3:8" x14ac:dyDescent="0.2">
      <c r="C1082" s="360"/>
      <c r="D1082" s="332"/>
      <c r="E1082" s="332"/>
      <c r="F1082" s="332"/>
      <c r="G1082" s="332"/>
      <c r="H1082" s="332"/>
    </row>
    <row r="1083" spans="3:8" x14ac:dyDescent="0.2">
      <c r="C1083" s="360"/>
      <c r="D1083" s="332"/>
      <c r="E1083" s="332"/>
      <c r="F1083" s="332"/>
      <c r="G1083" s="332"/>
      <c r="H1083" s="332"/>
    </row>
    <row r="1084" spans="3:8" x14ac:dyDescent="0.2">
      <c r="C1084" s="360"/>
      <c r="D1084" s="332"/>
      <c r="E1084" s="332"/>
      <c r="F1084" s="332"/>
      <c r="G1084" s="332"/>
      <c r="H1084" s="332"/>
    </row>
    <row r="1085" spans="3:8" x14ac:dyDescent="0.2">
      <c r="C1085" s="360"/>
      <c r="D1085" s="332"/>
      <c r="E1085" s="332"/>
      <c r="F1085" s="332"/>
      <c r="G1085" s="332"/>
      <c r="H1085" s="332"/>
    </row>
    <row r="1086" spans="3:8" x14ac:dyDescent="0.2">
      <c r="C1086" s="360"/>
      <c r="D1086" s="332"/>
      <c r="E1086" s="332"/>
      <c r="F1086" s="332"/>
      <c r="G1086" s="332"/>
      <c r="H1086" s="332"/>
    </row>
    <row r="1087" spans="3:8" x14ac:dyDescent="0.2">
      <c r="C1087" s="360"/>
      <c r="D1087" s="332"/>
      <c r="E1087" s="332"/>
      <c r="F1087" s="332"/>
      <c r="G1087" s="332"/>
      <c r="H1087" s="332"/>
    </row>
    <row r="1088" spans="3:8" x14ac:dyDescent="0.2">
      <c r="C1088" s="360"/>
      <c r="D1088" s="332"/>
      <c r="E1088" s="332"/>
      <c r="F1088" s="332"/>
      <c r="G1088" s="332"/>
      <c r="H1088" s="332"/>
    </row>
    <row r="1089" spans="3:8" x14ac:dyDescent="0.2">
      <c r="C1089" s="360"/>
      <c r="D1089" s="332"/>
      <c r="E1089" s="332"/>
      <c r="F1089" s="332"/>
      <c r="G1089" s="332"/>
      <c r="H1089" s="332"/>
    </row>
    <row r="1090" spans="3:8" x14ac:dyDescent="0.2">
      <c r="C1090" s="360"/>
      <c r="D1090" s="332"/>
      <c r="E1090" s="332"/>
      <c r="F1090" s="332"/>
      <c r="G1090" s="332"/>
      <c r="H1090" s="332"/>
    </row>
    <row r="1091" spans="3:8" x14ac:dyDescent="0.2">
      <c r="C1091" s="360"/>
      <c r="D1091" s="332"/>
      <c r="E1091" s="332"/>
      <c r="F1091" s="332"/>
      <c r="G1091" s="332"/>
      <c r="H1091" s="332"/>
    </row>
    <row r="1092" spans="3:8" x14ac:dyDescent="0.2">
      <c r="C1092" s="360"/>
      <c r="D1092" s="332"/>
      <c r="E1092" s="332"/>
      <c r="F1092" s="332"/>
      <c r="G1092" s="332"/>
      <c r="H1092" s="332"/>
    </row>
    <row r="1093" spans="3:8" x14ac:dyDescent="0.2">
      <c r="C1093" s="360"/>
      <c r="D1093" s="332"/>
      <c r="E1093" s="332"/>
      <c r="F1093" s="332"/>
      <c r="G1093" s="332"/>
      <c r="H1093" s="332"/>
    </row>
    <row r="1094" spans="3:8" x14ac:dyDescent="0.2">
      <c r="C1094" s="360"/>
      <c r="D1094" s="332"/>
      <c r="E1094" s="332"/>
      <c r="F1094" s="332"/>
      <c r="G1094" s="332"/>
      <c r="H1094" s="332"/>
    </row>
    <row r="1095" spans="3:8" x14ac:dyDescent="0.2">
      <c r="C1095" s="360"/>
      <c r="D1095" s="332"/>
      <c r="E1095" s="332"/>
      <c r="F1095" s="332"/>
      <c r="G1095" s="332"/>
      <c r="H1095" s="332"/>
    </row>
    <row r="1096" spans="3:8" x14ac:dyDescent="0.2">
      <c r="C1096" s="360"/>
      <c r="D1096" s="332"/>
      <c r="E1096" s="332"/>
      <c r="F1096" s="332"/>
      <c r="G1096" s="332"/>
      <c r="H1096" s="332"/>
    </row>
    <row r="1097" spans="3:8" x14ac:dyDescent="0.2">
      <c r="C1097" s="360"/>
      <c r="D1097" s="332"/>
      <c r="E1097" s="332"/>
      <c r="F1097" s="332"/>
      <c r="G1097" s="332"/>
      <c r="H1097" s="332"/>
    </row>
    <row r="1098" spans="3:8" x14ac:dyDescent="0.2">
      <c r="C1098" s="360"/>
      <c r="D1098" s="332"/>
      <c r="E1098" s="332"/>
      <c r="F1098" s="332"/>
      <c r="G1098" s="332"/>
      <c r="H1098" s="332"/>
    </row>
    <row r="1099" spans="3:8" x14ac:dyDescent="0.2">
      <c r="C1099" s="360"/>
      <c r="D1099" s="332"/>
      <c r="E1099" s="332"/>
      <c r="F1099" s="332"/>
      <c r="G1099" s="332"/>
      <c r="H1099" s="332"/>
    </row>
    <row r="1100" spans="3:8" x14ac:dyDescent="0.2">
      <c r="C1100" s="360"/>
      <c r="D1100" s="332"/>
      <c r="E1100" s="332"/>
      <c r="F1100" s="332"/>
      <c r="G1100" s="332"/>
      <c r="H1100" s="332"/>
    </row>
    <row r="1101" spans="3:8" x14ac:dyDescent="0.2">
      <c r="C1101" s="360"/>
      <c r="D1101" s="332"/>
      <c r="E1101" s="332"/>
      <c r="F1101" s="332"/>
      <c r="G1101" s="332"/>
      <c r="H1101" s="332"/>
    </row>
    <row r="1102" spans="3:8" x14ac:dyDescent="0.2">
      <c r="C1102" s="360"/>
      <c r="D1102" s="332"/>
      <c r="E1102" s="332"/>
      <c r="F1102" s="332"/>
      <c r="G1102" s="332"/>
      <c r="H1102" s="332"/>
    </row>
    <row r="1103" spans="3:8" x14ac:dyDescent="0.2">
      <c r="C1103" s="360"/>
      <c r="D1103" s="332"/>
      <c r="E1103" s="332"/>
      <c r="F1103" s="332"/>
      <c r="G1103" s="332"/>
      <c r="H1103" s="332"/>
    </row>
    <row r="1104" spans="3:8" x14ac:dyDescent="0.2">
      <c r="C1104" s="360"/>
      <c r="D1104" s="332"/>
      <c r="E1104" s="332"/>
      <c r="F1104" s="332"/>
      <c r="G1104" s="332"/>
      <c r="H1104" s="332"/>
    </row>
    <row r="1105" spans="3:8" x14ac:dyDescent="0.2">
      <c r="C1105" s="360"/>
      <c r="D1105" s="332"/>
      <c r="E1105" s="332"/>
      <c r="F1105" s="332"/>
      <c r="G1105" s="332"/>
      <c r="H1105" s="332"/>
    </row>
    <row r="1106" spans="3:8" x14ac:dyDescent="0.2">
      <c r="C1106" s="360"/>
      <c r="D1106" s="332"/>
      <c r="E1106" s="332"/>
      <c r="F1106" s="332"/>
      <c r="G1106" s="332"/>
      <c r="H1106" s="332"/>
    </row>
    <row r="1107" spans="3:8" x14ac:dyDescent="0.2">
      <c r="C1107" s="360"/>
      <c r="D1107" s="332"/>
      <c r="E1107" s="332"/>
      <c r="F1107" s="332"/>
      <c r="G1107" s="332"/>
      <c r="H1107" s="332"/>
    </row>
    <row r="1108" spans="3:8" x14ac:dyDescent="0.2">
      <c r="C1108" s="360"/>
      <c r="D1108" s="332"/>
      <c r="E1108" s="332"/>
      <c r="F1108" s="332"/>
      <c r="G1108" s="332"/>
      <c r="H1108" s="332"/>
    </row>
    <row r="1109" spans="3:8" x14ac:dyDescent="0.2">
      <c r="C1109" s="360"/>
      <c r="D1109" s="332"/>
      <c r="E1109" s="332"/>
      <c r="F1109" s="332"/>
      <c r="G1109" s="332"/>
      <c r="H1109" s="332"/>
    </row>
    <row r="1110" spans="3:8" x14ac:dyDescent="0.2">
      <c r="C1110" s="360"/>
      <c r="D1110" s="332"/>
      <c r="E1110" s="332"/>
      <c r="F1110" s="332"/>
      <c r="G1110" s="332"/>
      <c r="H1110" s="332"/>
    </row>
    <row r="1111" spans="3:8" x14ac:dyDescent="0.2">
      <c r="C1111" s="360"/>
      <c r="D1111" s="332"/>
      <c r="E1111" s="332"/>
      <c r="F1111" s="332"/>
      <c r="G1111" s="332"/>
      <c r="H1111" s="332"/>
    </row>
    <row r="1112" spans="3:8" x14ac:dyDescent="0.2">
      <c r="C1112" s="360"/>
      <c r="D1112" s="332"/>
      <c r="E1112" s="332"/>
      <c r="F1112" s="332"/>
      <c r="G1112" s="332"/>
      <c r="H1112" s="332"/>
    </row>
    <row r="1113" spans="3:8" x14ac:dyDescent="0.2">
      <c r="C1113" s="360"/>
      <c r="D1113" s="332"/>
      <c r="E1113" s="332"/>
      <c r="F1113" s="332"/>
      <c r="G1113" s="332"/>
      <c r="H1113" s="332"/>
    </row>
    <row r="1114" spans="3:8" x14ac:dyDescent="0.2">
      <c r="C1114" s="360"/>
      <c r="D1114" s="332"/>
      <c r="E1114" s="332"/>
      <c r="F1114" s="332"/>
      <c r="G1114" s="332"/>
      <c r="H1114" s="332"/>
    </row>
    <row r="1115" spans="3:8" x14ac:dyDescent="0.2">
      <c r="C1115" s="360"/>
      <c r="D1115" s="332"/>
      <c r="E1115" s="332"/>
      <c r="F1115" s="332"/>
      <c r="G1115" s="332"/>
      <c r="H1115" s="332"/>
    </row>
    <row r="1116" spans="3:8" x14ac:dyDescent="0.2">
      <c r="C1116" s="360"/>
      <c r="D1116" s="332"/>
      <c r="E1116" s="332"/>
      <c r="F1116" s="332"/>
      <c r="G1116" s="332"/>
      <c r="H1116" s="332"/>
    </row>
    <row r="1117" spans="3:8" x14ac:dyDescent="0.2">
      <c r="C1117" s="360"/>
      <c r="D1117" s="332"/>
      <c r="E1117" s="332"/>
      <c r="F1117" s="332"/>
      <c r="G1117" s="332"/>
      <c r="H1117" s="332"/>
    </row>
    <row r="1118" spans="3:8" x14ac:dyDescent="0.2">
      <c r="C1118" s="360"/>
      <c r="D1118" s="332"/>
      <c r="E1118" s="332"/>
      <c r="F1118" s="332"/>
      <c r="G1118" s="332"/>
      <c r="H1118" s="332"/>
    </row>
    <row r="1119" spans="3:8" x14ac:dyDescent="0.2">
      <c r="C1119" s="360"/>
      <c r="D1119" s="332"/>
      <c r="E1119" s="332"/>
      <c r="F1119" s="332"/>
      <c r="G1119" s="332"/>
      <c r="H1119" s="332"/>
    </row>
    <row r="1120" spans="3:8" x14ac:dyDescent="0.2">
      <c r="C1120" s="360"/>
      <c r="D1120" s="332"/>
      <c r="E1120" s="332"/>
      <c r="F1120" s="332"/>
      <c r="G1120" s="332"/>
      <c r="H1120" s="332"/>
    </row>
    <row r="1121" spans="3:8" x14ac:dyDescent="0.2">
      <c r="C1121" s="360"/>
      <c r="D1121" s="332"/>
      <c r="E1121" s="332"/>
      <c r="F1121" s="332"/>
      <c r="G1121" s="332"/>
      <c r="H1121" s="332"/>
    </row>
    <row r="1122" spans="3:8" x14ac:dyDescent="0.2">
      <c r="C1122" s="360"/>
      <c r="D1122" s="332"/>
      <c r="E1122" s="332"/>
      <c r="F1122" s="332"/>
      <c r="G1122" s="332"/>
      <c r="H1122" s="332"/>
    </row>
    <row r="1123" spans="3:8" x14ac:dyDescent="0.2">
      <c r="C1123" s="360"/>
      <c r="D1123" s="332"/>
      <c r="E1123" s="332"/>
      <c r="F1123" s="332"/>
      <c r="G1123" s="332"/>
      <c r="H1123" s="332"/>
    </row>
    <row r="1124" spans="3:8" x14ac:dyDescent="0.2">
      <c r="C1124" s="360"/>
      <c r="D1124" s="332"/>
      <c r="E1124" s="332"/>
      <c r="F1124" s="332"/>
      <c r="G1124" s="332"/>
      <c r="H1124" s="332"/>
    </row>
    <row r="1125" spans="3:8" x14ac:dyDescent="0.2">
      <c r="C1125" s="360"/>
      <c r="D1125" s="332"/>
      <c r="E1125" s="332"/>
      <c r="F1125" s="332"/>
      <c r="G1125" s="332"/>
      <c r="H1125" s="332"/>
    </row>
    <row r="1126" spans="3:8" x14ac:dyDescent="0.2">
      <c r="C1126" s="360"/>
      <c r="D1126" s="332"/>
      <c r="E1126" s="332"/>
      <c r="F1126" s="332"/>
      <c r="G1126" s="332"/>
      <c r="H1126" s="332"/>
    </row>
    <row r="1127" spans="3:8" x14ac:dyDescent="0.2">
      <c r="C1127" s="360"/>
      <c r="D1127" s="332"/>
      <c r="E1127" s="332"/>
      <c r="F1127" s="332"/>
      <c r="G1127" s="332"/>
      <c r="H1127" s="332"/>
    </row>
    <row r="1128" spans="3:8" x14ac:dyDescent="0.2">
      <c r="C1128" s="360"/>
      <c r="D1128" s="332"/>
      <c r="E1128" s="332"/>
      <c r="F1128" s="332"/>
      <c r="G1128" s="332"/>
      <c r="H1128" s="332"/>
    </row>
    <row r="1129" spans="3:8" x14ac:dyDescent="0.2">
      <c r="C1129" s="360"/>
      <c r="D1129" s="332"/>
      <c r="E1129" s="332"/>
      <c r="F1129" s="332"/>
      <c r="G1129" s="332"/>
      <c r="H1129" s="332"/>
    </row>
    <row r="1130" spans="3:8" x14ac:dyDescent="0.2">
      <c r="C1130" s="360"/>
      <c r="D1130" s="332"/>
      <c r="E1130" s="332"/>
      <c r="F1130" s="332"/>
      <c r="G1130" s="332"/>
      <c r="H1130" s="332"/>
    </row>
    <row r="1131" spans="3:8" x14ac:dyDescent="0.2">
      <c r="C1131" s="360"/>
      <c r="D1131" s="332"/>
      <c r="E1131" s="332"/>
      <c r="F1131" s="332"/>
      <c r="G1131" s="332"/>
      <c r="H1131" s="332"/>
    </row>
    <row r="1132" spans="3:8" x14ac:dyDescent="0.2">
      <c r="C1132" s="360"/>
      <c r="D1132" s="332"/>
      <c r="E1132" s="332"/>
      <c r="F1132" s="332"/>
      <c r="G1132" s="332"/>
      <c r="H1132" s="332"/>
    </row>
    <row r="1133" spans="3:8" x14ac:dyDescent="0.2">
      <c r="C1133" s="360"/>
      <c r="D1133" s="332"/>
      <c r="E1133" s="332"/>
      <c r="F1133" s="332"/>
      <c r="G1133" s="332"/>
      <c r="H1133" s="332"/>
    </row>
    <row r="1134" spans="3:8" x14ac:dyDescent="0.2">
      <c r="C1134" s="360"/>
      <c r="D1134" s="332"/>
      <c r="E1134" s="332"/>
      <c r="F1134" s="332"/>
      <c r="G1134" s="332"/>
      <c r="H1134" s="332"/>
    </row>
    <row r="1135" spans="3:8" x14ac:dyDescent="0.2">
      <c r="C1135" s="360"/>
      <c r="D1135" s="332"/>
      <c r="E1135" s="332"/>
      <c r="F1135" s="332"/>
      <c r="G1135" s="332"/>
      <c r="H1135" s="332"/>
    </row>
    <row r="1136" spans="3:8" x14ac:dyDescent="0.2">
      <c r="C1136" s="360"/>
      <c r="D1136" s="332"/>
      <c r="E1136" s="332"/>
      <c r="F1136" s="332"/>
      <c r="G1136" s="332"/>
      <c r="H1136" s="332"/>
    </row>
    <row r="1137" spans="3:8" x14ac:dyDescent="0.2">
      <c r="C1137" s="360"/>
      <c r="D1137" s="332"/>
      <c r="E1137" s="332"/>
      <c r="F1137" s="332"/>
      <c r="G1137" s="332"/>
      <c r="H1137" s="332"/>
    </row>
    <row r="1138" spans="3:8" x14ac:dyDescent="0.2">
      <c r="C1138" s="360"/>
      <c r="D1138" s="332"/>
      <c r="E1138" s="332"/>
      <c r="F1138" s="332"/>
      <c r="G1138" s="332"/>
      <c r="H1138" s="332"/>
    </row>
    <row r="1139" spans="3:8" x14ac:dyDescent="0.2">
      <c r="C1139" s="360"/>
      <c r="D1139" s="332"/>
      <c r="E1139" s="332"/>
      <c r="F1139" s="332"/>
      <c r="G1139" s="332"/>
      <c r="H1139" s="332"/>
    </row>
    <row r="1140" spans="3:8" x14ac:dyDescent="0.2">
      <c r="C1140" s="360"/>
      <c r="D1140" s="332"/>
      <c r="E1140" s="332"/>
      <c r="F1140" s="332"/>
      <c r="G1140" s="332"/>
      <c r="H1140" s="332"/>
    </row>
    <row r="1141" spans="3:8" x14ac:dyDescent="0.2">
      <c r="C1141" s="360"/>
      <c r="D1141" s="332"/>
      <c r="E1141" s="332"/>
      <c r="F1141" s="332"/>
      <c r="G1141" s="332"/>
      <c r="H1141" s="332"/>
    </row>
    <row r="1142" spans="3:8" x14ac:dyDescent="0.2">
      <c r="C1142" s="360"/>
      <c r="D1142" s="332"/>
      <c r="E1142" s="332"/>
      <c r="F1142" s="332"/>
      <c r="G1142" s="332"/>
      <c r="H1142" s="332"/>
    </row>
    <row r="1143" spans="3:8" x14ac:dyDescent="0.2">
      <c r="C1143" s="360"/>
      <c r="D1143" s="332"/>
      <c r="E1143" s="332"/>
      <c r="F1143" s="332"/>
      <c r="G1143" s="332"/>
      <c r="H1143" s="332"/>
    </row>
    <row r="1144" spans="3:8" x14ac:dyDescent="0.2">
      <c r="C1144" s="360"/>
      <c r="D1144" s="332"/>
      <c r="E1144" s="332"/>
      <c r="F1144" s="332"/>
      <c r="G1144" s="332"/>
      <c r="H1144" s="332"/>
    </row>
    <row r="1145" spans="3:8" x14ac:dyDescent="0.2">
      <c r="C1145" s="360"/>
      <c r="D1145" s="332"/>
      <c r="E1145" s="332"/>
      <c r="F1145" s="332"/>
      <c r="G1145" s="332"/>
      <c r="H1145" s="332"/>
    </row>
    <row r="1146" spans="3:8" x14ac:dyDescent="0.2">
      <c r="C1146" s="360"/>
      <c r="D1146" s="332"/>
      <c r="E1146" s="332"/>
      <c r="F1146" s="332"/>
      <c r="G1146" s="332"/>
      <c r="H1146" s="332"/>
    </row>
    <row r="1147" spans="3:8" x14ac:dyDescent="0.2">
      <c r="C1147" s="360"/>
      <c r="D1147" s="332"/>
      <c r="E1147" s="332"/>
      <c r="F1147" s="332"/>
      <c r="G1147" s="332"/>
      <c r="H1147" s="332"/>
    </row>
    <row r="1148" spans="3:8" x14ac:dyDescent="0.2">
      <c r="C1148" s="360"/>
      <c r="D1148" s="332"/>
      <c r="E1148" s="332"/>
      <c r="F1148" s="332"/>
      <c r="G1148" s="332"/>
      <c r="H1148" s="332"/>
    </row>
    <row r="1149" spans="3:8" x14ac:dyDescent="0.2">
      <c r="C1149" s="360"/>
      <c r="D1149" s="332"/>
      <c r="E1149" s="332"/>
      <c r="F1149" s="332"/>
      <c r="G1149" s="332"/>
      <c r="H1149" s="332"/>
    </row>
    <row r="1150" spans="3:8" x14ac:dyDescent="0.2">
      <c r="C1150" s="360"/>
      <c r="D1150" s="332"/>
      <c r="E1150" s="332"/>
      <c r="F1150" s="332"/>
      <c r="G1150" s="332"/>
      <c r="H1150" s="332"/>
    </row>
    <row r="1151" spans="3:8" x14ac:dyDescent="0.2">
      <c r="C1151" s="360"/>
      <c r="D1151" s="332"/>
      <c r="E1151" s="332"/>
      <c r="F1151" s="332"/>
      <c r="G1151" s="332"/>
      <c r="H1151" s="332"/>
    </row>
    <row r="1152" spans="3:8" x14ac:dyDescent="0.2">
      <c r="C1152" s="360"/>
      <c r="D1152" s="332"/>
      <c r="E1152" s="332"/>
      <c r="F1152" s="332"/>
      <c r="G1152" s="332"/>
      <c r="H1152" s="332"/>
    </row>
    <row r="1153" spans="3:8" x14ac:dyDescent="0.2">
      <c r="C1153" s="360"/>
      <c r="D1153" s="332"/>
      <c r="E1153" s="332"/>
      <c r="F1153" s="332"/>
      <c r="G1153" s="332"/>
      <c r="H1153" s="332"/>
    </row>
    <row r="1154" spans="3:8" x14ac:dyDescent="0.2">
      <c r="C1154" s="360"/>
      <c r="D1154" s="332"/>
      <c r="E1154" s="332"/>
      <c r="F1154" s="332"/>
      <c r="G1154" s="332"/>
      <c r="H1154" s="332"/>
    </row>
    <row r="1155" spans="3:8" x14ac:dyDescent="0.2">
      <c r="C1155" s="360"/>
      <c r="D1155" s="332"/>
      <c r="E1155" s="332"/>
      <c r="F1155" s="332"/>
      <c r="G1155" s="332"/>
      <c r="H1155" s="332"/>
    </row>
    <row r="1156" spans="3:8" x14ac:dyDescent="0.2">
      <c r="C1156" s="360"/>
      <c r="D1156" s="332"/>
      <c r="E1156" s="332"/>
      <c r="F1156" s="332"/>
      <c r="G1156" s="332"/>
      <c r="H1156" s="332"/>
    </row>
    <row r="1157" spans="3:8" x14ac:dyDescent="0.2">
      <c r="C1157" s="360"/>
      <c r="D1157" s="332"/>
      <c r="E1157" s="332"/>
      <c r="F1157" s="332"/>
      <c r="G1157" s="332"/>
      <c r="H1157" s="332"/>
    </row>
    <row r="1158" spans="3:8" x14ac:dyDescent="0.2">
      <c r="C1158" s="360"/>
      <c r="D1158" s="332"/>
      <c r="E1158" s="332"/>
      <c r="F1158" s="332"/>
      <c r="G1158" s="332"/>
      <c r="H1158" s="332"/>
    </row>
    <row r="1159" spans="3:8" x14ac:dyDescent="0.2">
      <c r="C1159" s="360"/>
      <c r="D1159" s="332"/>
      <c r="E1159" s="332"/>
      <c r="F1159" s="332"/>
      <c r="G1159" s="332"/>
      <c r="H1159" s="332"/>
    </row>
    <row r="1160" spans="3:8" x14ac:dyDescent="0.2">
      <c r="C1160" s="360"/>
      <c r="D1160" s="332"/>
      <c r="E1160" s="332"/>
      <c r="F1160" s="332"/>
      <c r="G1160" s="332"/>
      <c r="H1160" s="332"/>
    </row>
    <row r="1161" spans="3:8" x14ac:dyDescent="0.2">
      <c r="C1161" s="360"/>
      <c r="D1161" s="332"/>
      <c r="E1161" s="332"/>
      <c r="F1161" s="332"/>
      <c r="G1161" s="332"/>
      <c r="H1161" s="332"/>
    </row>
    <row r="1162" spans="3:8" x14ac:dyDescent="0.2">
      <c r="C1162" s="360"/>
      <c r="D1162" s="332"/>
      <c r="E1162" s="332"/>
      <c r="F1162" s="332"/>
      <c r="G1162" s="332"/>
      <c r="H1162" s="332"/>
    </row>
    <row r="1163" spans="3:8" x14ac:dyDescent="0.2">
      <c r="C1163" s="360"/>
      <c r="D1163" s="332"/>
      <c r="E1163" s="332"/>
      <c r="F1163" s="332"/>
      <c r="G1163" s="332"/>
      <c r="H1163" s="332"/>
    </row>
    <row r="1164" spans="3:8" x14ac:dyDescent="0.2">
      <c r="C1164" s="360"/>
      <c r="D1164" s="332"/>
      <c r="E1164" s="332"/>
      <c r="F1164" s="332"/>
      <c r="G1164" s="332"/>
      <c r="H1164" s="332"/>
    </row>
    <row r="1165" spans="3:8" x14ac:dyDescent="0.2">
      <c r="C1165" s="360"/>
      <c r="D1165" s="332"/>
      <c r="E1165" s="332"/>
      <c r="F1165" s="332"/>
      <c r="G1165" s="332"/>
      <c r="H1165" s="332"/>
    </row>
    <row r="1166" spans="3:8" x14ac:dyDescent="0.2">
      <c r="C1166" s="360"/>
      <c r="D1166" s="332"/>
      <c r="E1166" s="332"/>
      <c r="F1166" s="332"/>
      <c r="G1166" s="332"/>
      <c r="H1166" s="332"/>
    </row>
    <row r="1167" spans="3:8" x14ac:dyDescent="0.2">
      <c r="C1167" s="360"/>
      <c r="D1167" s="332"/>
      <c r="E1167" s="332"/>
      <c r="F1167" s="332"/>
      <c r="G1167" s="332"/>
      <c r="H1167" s="332"/>
    </row>
    <row r="1168" spans="3:8" x14ac:dyDescent="0.2">
      <c r="C1168" s="360"/>
      <c r="D1168" s="332"/>
      <c r="E1168" s="332"/>
      <c r="F1168" s="332"/>
      <c r="G1168" s="332"/>
      <c r="H1168" s="332"/>
    </row>
    <row r="1169" spans="3:8" x14ac:dyDescent="0.2">
      <c r="C1169" s="360"/>
      <c r="D1169" s="332"/>
      <c r="E1169" s="332"/>
      <c r="F1169" s="332"/>
      <c r="G1169" s="332"/>
      <c r="H1169" s="332"/>
    </row>
    <row r="1170" spans="3:8" x14ac:dyDescent="0.2">
      <c r="C1170" s="360"/>
      <c r="D1170" s="332"/>
      <c r="E1170" s="332"/>
      <c r="F1170" s="332"/>
      <c r="G1170" s="332"/>
      <c r="H1170" s="332"/>
    </row>
    <row r="1171" spans="3:8" x14ac:dyDescent="0.2">
      <c r="C1171" s="360"/>
      <c r="D1171" s="332"/>
      <c r="E1171" s="332"/>
      <c r="F1171" s="332"/>
      <c r="G1171" s="332"/>
      <c r="H1171" s="332"/>
    </row>
    <row r="1172" spans="3:8" x14ac:dyDescent="0.2">
      <c r="C1172" s="360"/>
      <c r="D1172" s="332"/>
      <c r="E1172" s="332"/>
      <c r="F1172" s="332"/>
      <c r="G1172" s="332"/>
      <c r="H1172" s="332"/>
    </row>
    <row r="1173" spans="3:8" x14ac:dyDescent="0.2">
      <c r="C1173" s="360"/>
      <c r="D1173" s="332"/>
      <c r="E1173" s="332"/>
      <c r="F1173" s="332"/>
      <c r="G1173" s="332"/>
      <c r="H1173" s="332"/>
    </row>
    <row r="1174" spans="3:8" x14ac:dyDescent="0.2">
      <c r="C1174" s="360"/>
      <c r="D1174" s="332"/>
      <c r="E1174" s="332"/>
      <c r="F1174" s="332"/>
      <c r="G1174" s="332"/>
      <c r="H1174" s="332"/>
    </row>
    <row r="1175" spans="3:8" x14ac:dyDescent="0.2">
      <c r="C1175" s="360"/>
      <c r="D1175" s="332"/>
      <c r="E1175" s="332"/>
      <c r="F1175" s="332"/>
      <c r="G1175" s="332"/>
      <c r="H1175" s="332"/>
    </row>
    <row r="1176" spans="3:8" x14ac:dyDescent="0.2">
      <c r="C1176" s="360"/>
      <c r="D1176" s="332"/>
      <c r="E1176" s="332"/>
      <c r="F1176" s="332"/>
      <c r="G1176" s="332"/>
      <c r="H1176" s="332"/>
    </row>
    <row r="1177" spans="3:8" x14ac:dyDescent="0.2">
      <c r="C1177" s="360"/>
      <c r="D1177" s="332"/>
      <c r="E1177" s="332"/>
      <c r="F1177" s="332"/>
      <c r="G1177" s="332"/>
      <c r="H1177" s="332"/>
    </row>
    <row r="1178" spans="3:8" x14ac:dyDescent="0.2">
      <c r="C1178" s="360"/>
      <c r="D1178" s="332"/>
      <c r="E1178" s="332"/>
      <c r="F1178" s="332"/>
      <c r="G1178" s="332"/>
      <c r="H1178" s="332"/>
    </row>
    <row r="1179" spans="3:8" x14ac:dyDescent="0.2">
      <c r="C1179" s="360"/>
      <c r="D1179" s="332"/>
      <c r="E1179" s="332"/>
      <c r="F1179" s="332"/>
      <c r="G1179" s="332"/>
      <c r="H1179" s="332"/>
    </row>
    <row r="1180" spans="3:8" x14ac:dyDescent="0.2">
      <c r="C1180" s="360"/>
      <c r="D1180" s="332"/>
      <c r="E1180" s="332"/>
      <c r="F1180" s="332"/>
      <c r="G1180" s="332"/>
      <c r="H1180" s="332"/>
    </row>
    <row r="1181" spans="3:8" x14ac:dyDescent="0.2">
      <c r="C1181" s="360"/>
      <c r="D1181" s="332"/>
      <c r="E1181" s="332"/>
      <c r="F1181" s="332"/>
      <c r="G1181" s="332"/>
      <c r="H1181" s="332"/>
    </row>
    <row r="1182" spans="3:8" x14ac:dyDescent="0.2">
      <c r="C1182" s="360"/>
      <c r="D1182" s="332"/>
      <c r="E1182" s="332"/>
      <c r="F1182" s="332"/>
      <c r="G1182" s="332"/>
      <c r="H1182" s="332"/>
    </row>
    <row r="1183" spans="3:8" x14ac:dyDescent="0.2">
      <c r="C1183" s="360"/>
      <c r="D1183" s="332"/>
      <c r="E1183" s="332"/>
      <c r="F1183" s="332"/>
      <c r="G1183" s="332"/>
      <c r="H1183" s="332"/>
    </row>
    <row r="1184" spans="3:8" x14ac:dyDescent="0.2">
      <c r="C1184" s="360"/>
      <c r="D1184" s="332"/>
      <c r="E1184" s="332"/>
      <c r="F1184" s="332"/>
      <c r="G1184" s="332"/>
      <c r="H1184" s="332"/>
    </row>
    <row r="1185" spans="3:8" x14ac:dyDescent="0.2">
      <c r="C1185" s="360"/>
      <c r="D1185" s="332"/>
      <c r="E1185" s="332"/>
      <c r="F1185" s="332"/>
      <c r="G1185" s="332"/>
      <c r="H1185" s="332"/>
    </row>
    <row r="1186" spans="3:8" x14ac:dyDescent="0.2">
      <c r="C1186" s="360"/>
      <c r="D1186" s="332"/>
      <c r="E1186" s="332"/>
      <c r="F1186" s="332"/>
      <c r="G1186" s="332"/>
      <c r="H1186" s="332"/>
    </row>
    <row r="1187" spans="3:8" x14ac:dyDescent="0.2">
      <c r="C1187" s="360"/>
      <c r="D1187" s="332"/>
      <c r="E1187" s="332"/>
      <c r="F1187" s="332"/>
      <c r="G1187" s="332"/>
      <c r="H1187" s="332"/>
    </row>
    <row r="1188" spans="3:8" x14ac:dyDescent="0.2">
      <c r="C1188" s="360"/>
      <c r="D1188" s="332"/>
      <c r="E1188" s="332"/>
      <c r="F1188" s="332"/>
      <c r="G1188" s="332"/>
      <c r="H1188" s="332"/>
    </row>
    <row r="1189" spans="3:8" x14ac:dyDescent="0.2">
      <c r="C1189" s="360"/>
      <c r="D1189" s="332"/>
      <c r="E1189" s="332"/>
      <c r="F1189" s="332"/>
      <c r="G1189" s="332"/>
      <c r="H1189" s="332"/>
    </row>
    <row r="1190" spans="3:8" x14ac:dyDescent="0.2">
      <c r="C1190" s="360"/>
      <c r="D1190" s="332"/>
      <c r="E1190" s="332"/>
      <c r="F1190" s="332"/>
      <c r="G1190" s="332"/>
      <c r="H1190" s="332"/>
    </row>
    <row r="1191" spans="3:8" x14ac:dyDescent="0.2">
      <c r="C1191" s="360"/>
      <c r="D1191" s="332"/>
      <c r="E1191" s="332"/>
      <c r="F1191" s="332"/>
      <c r="G1191" s="332"/>
      <c r="H1191" s="332"/>
    </row>
    <row r="1192" spans="3:8" x14ac:dyDescent="0.2">
      <c r="C1192" s="360"/>
      <c r="D1192" s="332"/>
      <c r="E1192" s="332"/>
      <c r="F1192" s="332"/>
      <c r="G1192" s="332"/>
      <c r="H1192" s="332"/>
    </row>
    <row r="1193" spans="3:8" x14ac:dyDescent="0.2">
      <c r="C1193" s="360"/>
      <c r="D1193" s="332"/>
      <c r="E1193" s="332"/>
      <c r="F1193" s="332"/>
      <c r="G1193" s="332"/>
      <c r="H1193" s="332"/>
    </row>
    <row r="1194" spans="3:8" x14ac:dyDescent="0.2">
      <c r="C1194" s="360"/>
      <c r="D1194" s="332"/>
      <c r="E1194" s="332"/>
      <c r="F1194" s="332"/>
      <c r="G1194" s="332"/>
      <c r="H1194" s="332"/>
    </row>
    <row r="1195" spans="3:8" x14ac:dyDescent="0.2">
      <c r="C1195" s="360"/>
      <c r="D1195" s="332"/>
      <c r="E1195" s="332"/>
      <c r="F1195" s="332"/>
      <c r="G1195" s="332"/>
      <c r="H1195" s="332"/>
    </row>
    <row r="1196" spans="3:8" x14ac:dyDescent="0.2">
      <c r="C1196" s="360"/>
      <c r="D1196" s="332"/>
      <c r="E1196" s="332"/>
      <c r="F1196" s="332"/>
      <c r="G1196" s="332"/>
      <c r="H1196" s="332"/>
    </row>
    <row r="1197" spans="3:8" x14ac:dyDescent="0.2">
      <c r="C1197" s="360"/>
      <c r="D1197" s="332"/>
      <c r="E1197" s="332"/>
      <c r="F1197" s="332"/>
      <c r="G1197" s="332"/>
      <c r="H1197" s="332"/>
    </row>
    <row r="1198" spans="3:8" x14ac:dyDescent="0.2">
      <c r="C1198" s="360"/>
      <c r="D1198" s="332"/>
      <c r="E1198" s="332"/>
      <c r="F1198" s="332"/>
      <c r="G1198" s="332"/>
      <c r="H1198" s="332"/>
    </row>
    <row r="1199" spans="3:8" x14ac:dyDescent="0.2">
      <c r="C1199" s="360"/>
      <c r="D1199" s="332"/>
      <c r="E1199" s="332"/>
      <c r="F1199" s="332"/>
      <c r="G1199" s="332"/>
      <c r="H1199" s="332"/>
    </row>
    <row r="1200" spans="3:8" x14ac:dyDescent="0.2">
      <c r="C1200" s="360"/>
      <c r="D1200" s="332"/>
      <c r="E1200" s="332"/>
      <c r="F1200" s="332"/>
      <c r="G1200" s="332"/>
      <c r="H1200" s="332"/>
    </row>
    <row r="1201" spans="3:8" x14ac:dyDescent="0.2">
      <c r="C1201" s="360"/>
      <c r="D1201" s="332"/>
      <c r="E1201" s="332"/>
      <c r="F1201" s="332"/>
      <c r="G1201" s="332"/>
      <c r="H1201" s="332"/>
    </row>
    <row r="1202" spans="3:8" x14ac:dyDescent="0.2">
      <c r="C1202" s="360"/>
      <c r="D1202" s="332"/>
      <c r="E1202" s="332"/>
      <c r="F1202" s="332"/>
      <c r="G1202" s="332"/>
      <c r="H1202" s="332"/>
    </row>
    <row r="1203" spans="3:8" x14ac:dyDescent="0.2">
      <c r="C1203" s="360"/>
      <c r="D1203" s="332"/>
      <c r="E1203" s="332"/>
      <c r="F1203" s="332"/>
      <c r="G1203" s="332"/>
      <c r="H1203" s="332"/>
    </row>
    <row r="1204" spans="3:8" x14ac:dyDescent="0.2">
      <c r="C1204" s="360"/>
      <c r="D1204" s="332"/>
      <c r="E1204" s="332"/>
      <c r="F1204" s="332"/>
      <c r="G1204" s="332"/>
      <c r="H1204" s="332"/>
    </row>
    <row r="1205" spans="3:8" x14ac:dyDescent="0.2">
      <c r="C1205" s="360"/>
      <c r="D1205" s="332"/>
      <c r="E1205" s="332"/>
      <c r="F1205" s="332"/>
      <c r="G1205" s="332"/>
      <c r="H1205" s="332"/>
    </row>
    <row r="1206" spans="3:8" x14ac:dyDescent="0.2">
      <c r="C1206" s="360"/>
      <c r="D1206" s="332"/>
      <c r="E1206" s="332"/>
      <c r="F1206" s="332"/>
      <c r="G1206" s="332"/>
      <c r="H1206" s="332"/>
    </row>
    <row r="1207" spans="3:8" x14ac:dyDescent="0.2">
      <c r="C1207" s="360"/>
      <c r="D1207" s="332"/>
      <c r="E1207" s="332"/>
      <c r="F1207" s="332"/>
      <c r="G1207" s="332"/>
      <c r="H1207" s="332"/>
    </row>
    <row r="1208" spans="3:8" x14ac:dyDescent="0.2">
      <c r="C1208" s="360"/>
      <c r="D1208" s="332"/>
      <c r="E1208" s="332"/>
      <c r="F1208" s="332"/>
      <c r="G1208" s="332"/>
      <c r="H1208" s="332"/>
    </row>
    <row r="1209" spans="3:8" x14ac:dyDescent="0.2">
      <c r="C1209" s="360"/>
      <c r="D1209" s="332"/>
      <c r="E1209" s="332"/>
      <c r="F1209" s="332"/>
      <c r="G1209" s="332"/>
      <c r="H1209" s="332"/>
    </row>
    <row r="1210" spans="3:8" x14ac:dyDescent="0.2">
      <c r="C1210" s="360"/>
      <c r="D1210" s="332"/>
      <c r="E1210" s="332"/>
      <c r="F1210" s="332"/>
      <c r="G1210" s="332"/>
      <c r="H1210" s="332"/>
    </row>
    <row r="1211" spans="3:8" x14ac:dyDescent="0.2">
      <c r="C1211" s="360"/>
      <c r="D1211" s="332"/>
      <c r="E1211" s="332"/>
      <c r="F1211" s="332"/>
      <c r="G1211" s="332"/>
      <c r="H1211" s="332"/>
    </row>
    <row r="1212" spans="3:8" x14ac:dyDescent="0.2">
      <c r="C1212" s="360"/>
      <c r="D1212" s="332"/>
      <c r="E1212" s="332"/>
      <c r="F1212" s="332"/>
      <c r="G1212" s="332"/>
      <c r="H1212" s="332"/>
    </row>
    <row r="1213" spans="3:8" x14ac:dyDescent="0.2">
      <c r="C1213" s="360"/>
      <c r="D1213" s="332"/>
      <c r="E1213" s="332"/>
      <c r="F1213" s="332"/>
      <c r="G1213" s="332"/>
      <c r="H1213" s="332"/>
    </row>
    <row r="1214" spans="3:8" x14ac:dyDescent="0.2">
      <c r="C1214" s="360"/>
      <c r="D1214" s="332"/>
      <c r="E1214" s="332"/>
      <c r="F1214" s="332"/>
      <c r="G1214" s="332"/>
      <c r="H1214" s="332"/>
    </row>
    <row r="1215" spans="3:8" x14ac:dyDescent="0.2">
      <c r="C1215" s="360"/>
      <c r="D1215" s="332"/>
      <c r="E1215" s="332"/>
      <c r="F1215" s="332"/>
      <c r="G1215" s="332"/>
      <c r="H1215" s="332"/>
    </row>
    <row r="1216" spans="3:8" x14ac:dyDescent="0.2">
      <c r="C1216" s="360"/>
      <c r="D1216" s="332"/>
      <c r="E1216" s="332"/>
      <c r="F1216" s="332"/>
      <c r="G1216" s="332"/>
      <c r="H1216" s="332"/>
    </row>
    <row r="1217" spans="3:8" x14ac:dyDescent="0.2">
      <c r="C1217" s="360"/>
      <c r="D1217" s="332"/>
      <c r="E1217" s="332"/>
      <c r="F1217" s="332"/>
      <c r="G1217" s="332"/>
      <c r="H1217" s="332"/>
    </row>
    <row r="1218" spans="3:8" x14ac:dyDescent="0.2">
      <c r="C1218" s="360"/>
      <c r="D1218" s="332"/>
      <c r="E1218" s="332"/>
      <c r="F1218" s="332"/>
      <c r="G1218" s="332"/>
      <c r="H1218" s="332"/>
    </row>
    <row r="1219" spans="3:8" x14ac:dyDescent="0.2">
      <c r="C1219" s="360"/>
      <c r="D1219" s="332"/>
      <c r="E1219" s="332"/>
      <c r="F1219" s="332"/>
      <c r="G1219" s="332"/>
      <c r="H1219" s="332"/>
    </row>
    <row r="1220" spans="3:8" x14ac:dyDescent="0.2">
      <c r="C1220" s="360"/>
      <c r="D1220" s="332"/>
      <c r="E1220" s="332"/>
      <c r="F1220" s="332"/>
      <c r="G1220" s="332"/>
      <c r="H1220" s="332"/>
    </row>
    <row r="1221" spans="3:8" x14ac:dyDescent="0.2">
      <c r="C1221" s="360"/>
      <c r="D1221" s="332"/>
      <c r="E1221" s="332"/>
      <c r="F1221" s="332"/>
      <c r="G1221" s="332"/>
      <c r="H1221" s="332"/>
    </row>
    <row r="1222" spans="3:8" x14ac:dyDescent="0.2">
      <c r="C1222" s="360"/>
      <c r="D1222" s="332"/>
      <c r="E1222" s="332"/>
      <c r="F1222" s="332"/>
      <c r="G1222" s="332"/>
      <c r="H1222" s="332"/>
    </row>
    <row r="1223" spans="3:8" x14ac:dyDescent="0.2">
      <c r="C1223" s="360"/>
      <c r="D1223" s="332"/>
      <c r="E1223" s="332"/>
      <c r="F1223" s="332"/>
      <c r="G1223" s="332"/>
      <c r="H1223" s="332"/>
    </row>
    <row r="1224" spans="3:8" x14ac:dyDescent="0.2">
      <c r="C1224" s="360"/>
      <c r="D1224" s="332"/>
      <c r="E1224" s="332"/>
      <c r="F1224" s="332"/>
      <c r="G1224" s="332"/>
      <c r="H1224" s="332"/>
    </row>
    <row r="1225" spans="3:8" x14ac:dyDescent="0.2">
      <c r="C1225" s="360"/>
      <c r="D1225" s="332"/>
      <c r="E1225" s="332"/>
      <c r="F1225" s="332"/>
      <c r="G1225" s="332"/>
      <c r="H1225" s="332"/>
    </row>
    <row r="1226" spans="3:8" x14ac:dyDescent="0.2">
      <c r="C1226" s="360"/>
      <c r="D1226" s="332"/>
      <c r="E1226" s="332"/>
      <c r="F1226" s="332"/>
      <c r="G1226" s="332"/>
      <c r="H1226" s="332"/>
    </row>
    <row r="1227" spans="3:8" x14ac:dyDescent="0.2">
      <c r="C1227" s="360"/>
      <c r="D1227" s="332"/>
      <c r="E1227" s="332"/>
      <c r="F1227" s="332"/>
      <c r="G1227" s="332"/>
      <c r="H1227" s="332"/>
    </row>
    <row r="1228" spans="3:8" x14ac:dyDescent="0.2">
      <c r="C1228" s="360"/>
      <c r="D1228" s="332"/>
      <c r="E1228" s="332"/>
      <c r="F1228" s="332"/>
      <c r="G1228" s="332"/>
      <c r="H1228" s="332"/>
    </row>
    <row r="1229" spans="3:8" x14ac:dyDescent="0.2">
      <c r="C1229" s="360"/>
      <c r="D1229" s="332"/>
      <c r="E1229" s="332"/>
      <c r="F1229" s="332"/>
      <c r="G1229" s="332"/>
      <c r="H1229" s="332"/>
    </row>
    <row r="1230" spans="3:8" x14ac:dyDescent="0.2">
      <c r="C1230" s="360"/>
      <c r="D1230" s="332"/>
      <c r="E1230" s="332"/>
      <c r="F1230" s="332"/>
      <c r="G1230" s="332"/>
      <c r="H1230" s="332"/>
    </row>
    <row r="1231" spans="3:8" x14ac:dyDescent="0.2">
      <c r="C1231" s="360"/>
      <c r="D1231" s="332"/>
      <c r="E1231" s="332"/>
      <c r="F1231" s="332"/>
      <c r="G1231" s="332"/>
      <c r="H1231" s="332"/>
    </row>
    <row r="1232" spans="3:8" x14ac:dyDescent="0.2">
      <c r="C1232" s="360"/>
      <c r="D1232" s="332"/>
      <c r="E1232" s="332"/>
      <c r="F1232" s="332"/>
      <c r="G1232" s="332"/>
      <c r="H1232" s="332"/>
    </row>
    <row r="1233" spans="3:8" x14ac:dyDescent="0.2">
      <c r="C1233" s="360"/>
      <c r="D1233" s="332"/>
      <c r="E1233" s="332"/>
      <c r="F1233" s="332"/>
      <c r="G1233" s="332"/>
      <c r="H1233" s="332"/>
    </row>
    <row r="1234" spans="3:8" x14ac:dyDescent="0.2">
      <c r="C1234" s="360"/>
      <c r="D1234" s="332"/>
      <c r="E1234" s="332"/>
      <c r="F1234" s="332"/>
      <c r="G1234" s="332"/>
      <c r="H1234" s="332"/>
    </row>
    <row r="1235" spans="3:8" x14ac:dyDescent="0.2">
      <c r="C1235" s="360"/>
      <c r="D1235" s="332"/>
      <c r="E1235" s="332"/>
      <c r="F1235" s="332"/>
      <c r="G1235" s="332"/>
      <c r="H1235" s="332"/>
    </row>
    <row r="1236" spans="3:8" x14ac:dyDescent="0.2">
      <c r="C1236" s="360"/>
      <c r="D1236" s="332"/>
      <c r="E1236" s="332"/>
      <c r="F1236" s="332"/>
      <c r="G1236" s="332"/>
      <c r="H1236" s="332"/>
    </row>
    <row r="1237" spans="3:8" x14ac:dyDescent="0.2">
      <c r="C1237" s="360"/>
      <c r="D1237" s="332"/>
      <c r="E1237" s="332"/>
      <c r="F1237" s="332"/>
      <c r="G1237" s="332"/>
      <c r="H1237" s="332"/>
    </row>
    <row r="1238" spans="3:8" x14ac:dyDescent="0.2">
      <c r="C1238" s="360"/>
      <c r="D1238" s="332"/>
      <c r="E1238" s="332"/>
      <c r="F1238" s="332"/>
      <c r="G1238" s="332"/>
      <c r="H1238" s="332"/>
    </row>
    <row r="1239" spans="3:8" x14ac:dyDescent="0.2">
      <c r="C1239" s="360"/>
      <c r="D1239" s="332"/>
      <c r="E1239" s="332"/>
      <c r="F1239" s="332"/>
      <c r="G1239" s="332"/>
      <c r="H1239" s="332"/>
    </row>
    <row r="1240" spans="3:8" x14ac:dyDescent="0.2">
      <c r="C1240" s="360"/>
      <c r="D1240" s="332"/>
      <c r="E1240" s="332"/>
      <c r="F1240" s="332"/>
      <c r="G1240" s="332"/>
      <c r="H1240" s="332"/>
    </row>
    <row r="1241" spans="3:8" x14ac:dyDescent="0.2">
      <c r="C1241" s="360"/>
      <c r="D1241" s="332"/>
      <c r="E1241" s="332"/>
      <c r="F1241" s="332"/>
      <c r="G1241" s="332"/>
      <c r="H1241" s="332"/>
    </row>
    <row r="1242" spans="3:8" x14ac:dyDescent="0.2">
      <c r="C1242" s="360"/>
      <c r="D1242" s="332"/>
      <c r="E1242" s="332"/>
      <c r="F1242" s="332"/>
      <c r="G1242" s="332"/>
      <c r="H1242" s="332"/>
    </row>
    <row r="1243" spans="3:8" x14ac:dyDescent="0.2">
      <c r="C1243" s="360"/>
      <c r="D1243" s="332"/>
      <c r="E1243" s="332"/>
      <c r="F1243" s="332"/>
      <c r="G1243" s="332"/>
      <c r="H1243" s="332"/>
    </row>
    <row r="1244" spans="3:8" x14ac:dyDescent="0.2">
      <c r="C1244" s="360"/>
      <c r="D1244" s="332"/>
      <c r="E1244" s="332"/>
      <c r="F1244" s="332"/>
      <c r="G1244" s="332"/>
      <c r="H1244" s="332"/>
    </row>
    <row r="1245" spans="3:8" x14ac:dyDescent="0.2">
      <c r="C1245" s="360"/>
      <c r="D1245" s="332"/>
      <c r="E1245" s="332"/>
      <c r="F1245" s="332"/>
      <c r="G1245" s="332"/>
      <c r="H1245" s="332"/>
    </row>
    <row r="1246" spans="3:8" x14ac:dyDescent="0.2">
      <c r="C1246" s="360"/>
      <c r="D1246" s="332"/>
      <c r="E1246" s="332"/>
      <c r="F1246" s="332"/>
      <c r="G1246" s="332"/>
      <c r="H1246" s="332"/>
    </row>
    <row r="1247" spans="3:8" x14ac:dyDescent="0.2">
      <c r="C1247" s="360"/>
      <c r="D1247" s="332"/>
      <c r="E1247" s="332"/>
      <c r="F1247" s="332"/>
      <c r="G1247" s="332"/>
      <c r="H1247" s="332"/>
    </row>
    <row r="1248" spans="3:8" x14ac:dyDescent="0.2">
      <c r="C1248" s="360"/>
      <c r="D1248" s="332"/>
      <c r="E1248" s="332"/>
      <c r="F1248" s="332"/>
      <c r="G1248" s="332"/>
      <c r="H1248" s="332"/>
    </row>
    <row r="1249" spans="3:8" x14ac:dyDescent="0.2">
      <c r="C1249" s="360"/>
      <c r="D1249" s="332"/>
      <c r="E1249" s="332"/>
      <c r="F1249" s="332"/>
      <c r="G1249" s="332"/>
      <c r="H1249" s="332"/>
    </row>
    <row r="1250" spans="3:8" x14ac:dyDescent="0.2">
      <c r="C1250" s="360"/>
      <c r="D1250" s="332"/>
      <c r="E1250" s="332"/>
      <c r="F1250" s="332"/>
      <c r="G1250" s="332"/>
      <c r="H1250" s="332"/>
    </row>
    <row r="1251" spans="3:8" x14ac:dyDescent="0.2">
      <c r="C1251" s="360"/>
      <c r="D1251" s="332"/>
      <c r="E1251" s="332"/>
      <c r="F1251" s="332"/>
      <c r="G1251" s="332"/>
      <c r="H1251" s="332"/>
    </row>
    <row r="1252" spans="3:8" x14ac:dyDescent="0.2">
      <c r="C1252" s="360"/>
      <c r="D1252" s="332"/>
      <c r="E1252" s="332"/>
      <c r="F1252" s="332"/>
      <c r="G1252" s="332"/>
      <c r="H1252" s="332"/>
    </row>
    <row r="1253" spans="3:8" x14ac:dyDescent="0.2">
      <c r="C1253" s="360"/>
      <c r="D1253" s="332"/>
      <c r="E1253" s="332"/>
      <c r="F1253" s="332"/>
      <c r="G1253" s="332"/>
      <c r="H1253" s="332"/>
    </row>
    <row r="1254" spans="3:8" x14ac:dyDescent="0.2">
      <c r="C1254" s="360"/>
      <c r="D1254" s="332"/>
      <c r="E1254" s="332"/>
      <c r="F1254" s="332"/>
      <c r="G1254" s="332"/>
      <c r="H1254" s="332"/>
    </row>
    <row r="1255" spans="3:8" x14ac:dyDescent="0.2">
      <c r="C1255" s="360"/>
      <c r="D1255" s="332"/>
      <c r="E1255" s="332"/>
      <c r="F1255" s="332"/>
      <c r="G1255" s="332"/>
      <c r="H1255" s="332"/>
    </row>
    <row r="1256" spans="3:8" x14ac:dyDescent="0.2">
      <c r="C1256" s="360"/>
      <c r="D1256" s="332"/>
      <c r="E1256" s="332"/>
      <c r="F1256" s="332"/>
      <c r="G1256" s="332"/>
      <c r="H1256" s="332"/>
    </row>
    <row r="1257" spans="3:8" x14ac:dyDescent="0.2">
      <c r="C1257" s="360"/>
      <c r="D1257" s="332"/>
      <c r="E1257" s="332"/>
      <c r="F1257" s="332"/>
      <c r="G1257" s="332"/>
      <c r="H1257" s="332"/>
    </row>
    <row r="1258" spans="3:8" x14ac:dyDescent="0.2">
      <c r="C1258" s="360"/>
      <c r="D1258" s="332"/>
      <c r="E1258" s="332"/>
      <c r="F1258" s="332"/>
      <c r="G1258" s="332"/>
      <c r="H1258" s="332"/>
    </row>
    <row r="1259" spans="3:8" x14ac:dyDescent="0.2">
      <c r="C1259" s="360"/>
      <c r="D1259" s="332"/>
      <c r="E1259" s="332"/>
      <c r="F1259" s="332"/>
      <c r="G1259" s="332"/>
      <c r="H1259" s="332"/>
    </row>
    <row r="1260" spans="3:8" x14ac:dyDescent="0.2">
      <c r="C1260" s="360"/>
      <c r="D1260" s="332"/>
      <c r="E1260" s="332"/>
      <c r="F1260" s="332"/>
      <c r="G1260" s="332"/>
      <c r="H1260" s="332"/>
    </row>
    <row r="1261" spans="3:8" x14ac:dyDescent="0.2">
      <c r="C1261" s="360"/>
      <c r="D1261" s="332"/>
      <c r="E1261" s="332"/>
      <c r="F1261" s="332"/>
      <c r="G1261" s="332"/>
      <c r="H1261" s="332"/>
    </row>
    <row r="1262" spans="3:8" x14ac:dyDescent="0.2">
      <c r="C1262" s="360"/>
      <c r="D1262" s="332"/>
      <c r="E1262" s="332"/>
      <c r="F1262" s="332"/>
      <c r="G1262" s="332"/>
      <c r="H1262" s="332"/>
    </row>
    <row r="1263" spans="3:8" x14ac:dyDescent="0.2">
      <c r="C1263" s="360"/>
      <c r="D1263" s="332"/>
      <c r="E1263" s="332"/>
      <c r="F1263" s="332"/>
      <c r="G1263" s="332"/>
      <c r="H1263" s="332"/>
    </row>
    <row r="1264" spans="3:8" x14ac:dyDescent="0.2">
      <c r="C1264" s="360"/>
      <c r="D1264" s="332"/>
      <c r="E1264" s="332"/>
      <c r="F1264" s="332"/>
      <c r="G1264" s="332"/>
      <c r="H1264" s="332"/>
    </row>
    <row r="1265" spans="3:8" x14ac:dyDescent="0.2">
      <c r="C1265" s="360"/>
      <c r="D1265" s="332"/>
      <c r="E1265" s="332"/>
      <c r="F1265" s="332"/>
      <c r="G1265" s="332"/>
      <c r="H1265" s="332"/>
    </row>
    <row r="1266" spans="3:8" x14ac:dyDescent="0.2">
      <c r="C1266" s="360"/>
      <c r="D1266" s="332"/>
      <c r="E1266" s="332"/>
      <c r="F1266" s="332"/>
      <c r="G1266" s="332"/>
      <c r="H1266" s="332"/>
    </row>
    <row r="1267" spans="3:8" x14ac:dyDescent="0.2">
      <c r="C1267" s="360"/>
      <c r="D1267" s="332"/>
      <c r="E1267" s="332"/>
      <c r="F1267" s="332"/>
      <c r="G1267" s="332"/>
      <c r="H1267" s="332"/>
    </row>
    <row r="1268" spans="3:8" x14ac:dyDescent="0.2">
      <c r="C1268" s="360"/>
      <c r="D1268" s="332"/>
      <c r="E1268" s="332"/>
      <c r="F1268" s="332"/>
      <c r="G1268" s="332"/>
      <c r="H1268" s="332"/>
    </row>
    <row r="1269" spans="3:8" x14ac:dyDescent="0.2">
      <c r="C1269" s="360"/>
      <c r="D1269" s="332"/>
      <c r="E1269" s="332"/>
      <c r="F1269" s="332"/>
      <c r="G1269" s="332"/>
      <c r="H1269" s="332"/>
    </row>
    <row r="1270" spans="3:8" x14ac:dyDescent="0.2">
      <c r="C1270" s="360"/>
      <c r="D1270" s="332"/>
      <c r="E1270" s="332"/>
      <c r="F1270" s="332"/>
      <c r="G1270" s="332"/>
      <c r="H1270" s="332"/>
    </row>
    <row r="1271" spans="3:8" x14ac:dyDescent="0.2">
      <c r="C1271" s="360"/>
      <c r="D1271" s="332"/>
      <c r="E1271" s="332"/>
      <c r="F1271" s="332"/>
      <c r="G1271" s="332"/>
      <c r="H1271" s="332"/>
    </row>
    <row r="1272" spans="3:8" x14ac:dyDescent="0.2">
      <c r="C1272" s="360"/>
      <c r="D1272" s="332"/>
      <c r="E1272" s="332"/>
      <c r="F1272" s="332"/>
      <c r="G1272" s="332"/>
      <c r="H1272" s="332"/>
    </row>
    <row r="1273" spans="3:8" x14ac:dyDescent="0.2">
      <c r="C1273" s="360"/>
      <c r="D1273" s="332"/>
      <c r="E1273" s="332"/>
      <c r="F1273" s="332"/>
      <c r="G1273" s="332"/>
      <c r="H1273" s="332"/>
    </row>
    <row r="1274" spans="3:8" x14ac:dyDescent="0.2">
      <c r="C1274" s="360"/>
      <c r="D1274" s="332"/>
      <c r="E1274" s="332"/>
      <c r="F1274" s="332"/>
      <c r="G1274" s="332"/>
      <c r="H1274" s="332"/>
    </row>
    <row r="1275" spans="3:8" x14ac:dyDescent="0.2">
      <c r="C1275" s="360"/>
      <c r="D1275" s="332"/>
      <c r="E1275" s="332"/>
      <c r="F1275" s="332"/>
      <c r="G1275" s="332"/>
      <c r="H1275" s="332"/>
    </row>
    <row r="1276" spans="3:8" x14ac:dyDescent="0.2">
      <c r="C1276" s="360"/>
      <c r="D1276" s="332"/>
      <c r="E1276" s="332"/>
      <c r="F1276" s="332"/>
      <c r="G1276" s="332"/>
      <c r="H1276" s="332"/>
    </row>
    <row r="1277" spans="3:8" x14ac:dyDescent="0.2">
      <c r="C1277" s="360"/>
      <c r="D1277" s="332"/>
      <c r="E1277" s="332"/>
      <c r="F1277" s="332"/>
      <c r="G1277" s="332"/>
      <c r="H1277" s="332"/>
    </row>
    <row r="1278" spans="3:8" x14ac:dyDescent="0.2">
      <c r="C1278" s="360"/>
      <c r="D1278" s="332"/>
      <c r="E1278" s="332"/>
      <c r="F1278" s="332"/>
      <c r="G1278" s="332"/>
      <c r="H1278" s="332"/>
    </row>
    <row r="1279" spans="3:8" x14ac:dyDescent="0.2">
      <c r="C1279" s="360"/>
      <c r="D1279" s="332"/>
      <c r="E1279" s="332"/>
      <c r="F1279" s="332"/>
      <c r="G1279" s="332"/>
      <c r="H1279" s="332"/>
    </row>
    <row r="1280" spans="3:8" x14ac:dyDescent="0.2">
      <c r="C1280" s="360"/>
      <c r="D1280" s="332"/>
      <c r="E1280" s="332"/>
      <c r="F1280" s="332"/>
      <c r="G1280" s="332"/>
      <c r="H1280" s="332"/>
    </row>
    <row r="1281" spans="3:8" x14ac:dyDescent="0.2">
      <c r="C1281" s="360"/>
      <c r="D1281" s="332"/>
      <c r="E1281" s="332"/>
      <c r="F1281" s="332"/>
      <c r="G1281" s="332"/>
      <c r="H1281" s="332"/>
    </row>
    <row r="1282" spans="3:8" x14ac:dyDescent="0.2">
      <c r="C1282" s="360"/>
      <c r="D1282" s="332"/>
      <c r="E1282" s="332"/>
      <c r="F1282" s="332"/>
      <c r="G1282" s="332"/>
      <c r="H1282" s="332"/>
    </row>
    <row r="1283" spans="3:8" x14ac:dyDescent="0.2">
      <c r="C1283" s="360"/>
      <c r="D1283" s="332"/>
      <c r="E1283" s="332"/>
      <c r="F1283" s="332"/>
      <c r="G1283" s="332"/>
      <c r="H1283" s="332"/>
    </row>
    <row r="1284" spans="3:8" x14ac:dyDescent="0.2">
      <c r="C1284" s="360"/>
      <c r="D1284" s="332"/>
      <c r="E1284" s="332"/>
      <c r="F1284" s="332"/>
      <c r="G1284" s="332"/>
      <c r="H1284" s="332"/>
    </row>
    <row r="1285" spans="3:8" x14ac:dyDescent="0.2">
      <c r="C1285" s="360"/>
      <c r="D1285" s="332"/>
      <c r="E1285" s="332"/>
      <c r="F1285" s="332"/>
      <c r="G1285" s="332"/>
      <c r="H1285" s="332"/>
    </row>
    <row r="1286" spans="3:8" x14ac:dyDescent="0.2">
      <c r="C1286" s="360"/>
      <c r="D1286" s="332"/>
      <c r="E1286" s="332"/>
      <c r="F1286" s="332"/>
      <c r="G1286" s="332"/>
      <c r="H1286" s="332"/>
    </row>
    <row r="1287" spans="3:8" x14ac:dyDescent="0.2">
      <c r="C1287" s="360"/>
      <c r="D1287" s="332"/>
      <c r="E1287" s="332"/>
      <c r="F1287" s="332"/>
      <c r="G1287" s="332"/>
      <c r="H1287" s="332"/>
    </row>
    <row r="1288" spans="3:8" x14ac:dyDescent="0.2">
      <c r="C1288" s="360"/>
      <c r="D1288" s="332"/>
      <c r="E1288" s="332"/>
      <c r="F1288" s="332"/>
      <c r="G1288" s="332"/>
      <c r="H1288" s="332"/>
    </row>
    <row r="1289" spans="3:8" x14ac:dyDescent="0.2">
      <c r="C1289" s="360"/>
      <c r="D1289" s="332"/>
      <c r="E1289" s="332"/>
      <c r="F1289" s="332"/>
      <c r="G1289" s="332"/>
      <c r="H1289" s="332"/>
    </row>
    <row r="1290" spans="3:8" x14ac:dyDescent="0.2">
      <c r="C1290" s="360"/>
      <c r="D1290" s="332"/>
      <c r="E1290" s="332"/>
      <c r="F1290" s="332"/>
      <c r="G1290" s="332"/>
      <c r="H1290" s="332"/>
    </row>
    <row r="1291" spans="3:8" x14ac:dyDescent="0.2">
      <c r="C1291" s="360"/>
      <c r="D1291" s="332"/>
      <c r="E1291" s="332"/>
      <c r="F1291" s="332"/>
      <c r="G1291" s="332"/>
      <c r="H1291" s="332"/>
    </row>
    <row r="1292" spans="3:8" x14ac:dyDescent="0.2">
      <c r="C1292" s="360"/>
      <c r="D1292" s="332"/>
      <c r="E1292" s="332"/>
      <c r="F1292" s="332"/>
      <c r="G1292" s="332"/>
      <c r="H1292" s="332"/>
    </row>
    <row r="1293" spans="3:8" x14ac:dyDescent="0.2">
      <c r="C1293" s="360"/>
      <c r="D1293" s="332"/>
      <c r="E1293" s="332"/>
      <c r="F1293" s="332"/>
      <c r="G1293" s="332"/>
      <c r="H1293" s="332"/>
    </row>
    <row r="1294" spans="3:8" x14ac:dyDescent="0.2">
      <c r="C1294" s="360"/>
      <c r="D1294" s="332"/>
      <c r="E1294" s="332"/>
      <c r="F1294" s="332"/>
      <c r="G1294" s="332"/>
      <c r="H1294" s="332"/>
    </row>
    <row r="1295" spans="3:8" x14ac:dyDescent="0.2">
      <c r="C1295" s="360"/>
      <c r="D1295" s="332"/>
      <c r="E1295" s="332"/>
      <c r="F1295" s="332"/>
      <c r="G1295" s="332"/>
      <c r="H1295" s="332"/>
    </row>
    <row r="1296" spans="3:8" x14ac:dyDescent="0.2">
      <c r="C1296" s="360"/>
      <c r="D1296" s="332"/>
      <c r="E1296" s="332"/>
      <c r="F1296" s="332"/>
      <c r="G1296" s="332"/>
      <c r="H1296" s="332"/>
    </row>
    <row r="1297" spans="3:8" x14ac:dyDescent="0.2">
      <c r="C1297" s="360"/>
      <c r="D1297" s="332"/>
      <c r="E1297" s="332"/>
      <c r="F1297" s="332"/>
      <c r="G1297" s="332"/>
      <c r="H1297" s="332"/>
    </row>
    <row r="1298" spans="3:8" x14ac:dyDescent="0.2">
      <c r="C1298" s="360"/>
      <c r="D1298" s="332"/>
      <c r="E1298" s="332"/>
      <c r="F1298" s="332"/>
      <c r="G1298" s="332"/>
      <c r="H1298" s="332"/>
    </row>
    <row r="1299" spans="3:8" x14ac:dyDescent="0.2">
      <c r="C1299" s="360"/>
      <c r="D1299" s="332"/>
      <c r="E1299" s="332"/>
      <c r="F1299" s="332"/>
      <c r="G1299" s="332"/>
      <c r="H1299" s="332"/>
    </row>
    <row r="1300" spans="3:8" x14ac:dyDescent="0.2">
      <c r="C1300" s="360"/>
      <c r="D1300" s="332"/>
      <c r="E1300" s="332"/>
      <c r="F1300" s="332"/>
      <c r="G1300" s="332"/>
      <c r="H1300" s="332"/>
    </row>
    <row r="1301" spans="3:8" x14ac:dyDescent="0.2">
      <c r="C1301" s="360"/>
      <c r="D1301" s="332"/>
      <c r="E1301" s="332"/>
      <c r="F1301" s="332"/>
      <c r="G1301" s="332"/>
      <c r="H1301" s="332"/>
    </row>
    <row r="1302" spans="3:8" x14ac:dyDescent="0.2">
      <c r="C1302" s="360"/>
      <c r="D1302" s="332"/>
      <c r="E1302" s="332"/>
      <c r="F1302" s="332"/>
      <c r="G1302" s="332"/>
      <c r="H1302" s="332"/>
    </row>
    <row r="1303" spans="3:8" x14ac:dyDescent="0.2">
      <c r="C1303" s="360"/>
      <c r="D1303" s="332"/>
      <c r="E1303" s="332"/>
      <c r="F1303" s="332"/>
      <c r="G1303" s="332"/>
      <c r="H1303" s="332"/>
    </row>
    <row r="1304" spans="3:8" x14ac:dyDescent="0.2">
      <c r="C1304" s="360"/>
      <c r="D1304" s="332"/>
      <c r="E1304" s="332"/>
      <c r="F1304" s="332"/>
      <c r="G1304" s="332"/>
      <c r="H1304" s="332"/>
    </row>
    <row r="1305" spans="3:8" x14ac:dyDescent="0.2">
      <c r="C1305" s="360"/>
      <c r="D1305" s="332"/>
      <c r="E1305" s="332"/>
      <c r="F1305" s="332"/>
      <c r="G1305" s="332"/>
      <c r="H1305" s="332"/>
    </row>
    <row r="1306" spans="3:8" x14ac:dyDescent="0.2">
      <c r="C1306" s="360"/>
      <c r="D1306" s="332"/>
      <c r="E1306" s="332"/>
      <c r="F1306" s="332"/>
      <c r="G1306" s="332"/>
      <c r="H1306" s="332"/>
    </row>
    <row r="1307" spans="3:8" x14ac:dyDescent="0.2">
      <c r="C1307" s="360"/>
      <c r="D1307" s="332"/>
      <c r="E1307" s="332"/>
      <c r="F1307" s="332"/>
      <c r="G1307" s="332"/>
      <c r="H1307" s="332"/>
    </row>
    <row r="1308" spans="3:8" x14ac:dyDescent="0.2">
      <c r="C1308" s="360"/>
      <c r="D1308" s="332"/>
      <c r="E1308" s="332"/>
      <c r="F1308" s="332"/>
      <c r="G1308" s="332"/>
      <c r="H1308" s="332"/>
    </row>
    <row r="1309" spans="3:8" x14ac:dyDescent="0.2">
      <c r="C1309" s="360"/>
      <c r="D1309" s="332"/>
      <c r="E1309" s="332"/>
      <c r="F1309" s="332"/>
      <c r="G1309" s="332"/>
      <c r="H1309" s="332"/>
    </row>
    <row r="1310" spans="3:8" x14ac:dyDescent="0.2">
      <c r="C1310" s="360"/>
      <c r="D1310" s="332"/>
      <c r="E1310" s="332"/>
      <c r="F1310" s="332"/>
      <c r="G1310" s="332"/>
      <c r="H1310" s="332"/>
    </row>
    <row r="1311" spans="3:8" x14ac:dyDescent="0.2">
      <c r="C1311" s="360"/>
      <c r="D1311" s="332"/>
      <c r="E1311" s="332"/>
      <c r="F1311" s="332"/>
      <c r="G1311" s="332"/>
      <c r="H1311" s="332"/>
    </row>
    <row r="1312" spans="3:8" x14ac:dyDescent="0.2">
      <c r="C1312" s="360"/>
      <c r="D1312" s="332"/>
      <c r="E1312" s="332"/>
      <c r="F1312" s="332"/>
      <c r="G1312" s="332"/>
      <c r="H1312" s="332"/>
    </row>
    <row r="1313" spans="3:8" x14ac:dyDescent="0.2">
      <c r="C1313" s="360"/>
      <c r="D1313" s="332"/>
      <c r="E1313" s="332"/>
      <c r="F1313" s="332"/>
      <c r="G1313" s="332"/>
      <c r="H1313" s="332"/>
    </row>
    <row r="1314" spans="3:8" x14ac:dyDescent="0.2">
      <c r="C1314" s="360"/>
      <c r="D1314" s="332"/>
      <c r="E1314" s="332"/>
      <c r="F1314" s="332"/>
      <c r="G1314" s="332"/>
      <c r="H1314" s="332"/>
    </row>
    <row r="1315" spans="3:8" x14ac:dyDescent="0.2">
      <c r="C1315" s="360"/>
      <c r="D1315" s="332"/>
      <c r="E1315" s="332"/>
      <c r="F1315" s="332"/>
      <c r="G1315" s="332"/>
      <c r="H1315" s="332"/>
    </row>
    <row r="1316" spans="3:8" x14ac:dyDescent="0.2">
      <c r="C1316" s="360"/>
      <c r="D1316" s="332"/>
      <c r="E1316" s="332"/>
      <c r="F1316" s="332"/>
      <c r="G1316" s="332"/>
      <c r="H1316" s="332"/>
    </row>
    <row r="1317" spans="3:8" x14ac:dyDescent="0.2">
      <c r="C1317" s="360"/>
      <c r="D1317" s="332"/>
      <c r="E1317" s="332"/>
      <c r="F1317" s="332"/>
      <c r="G1317" s="332"/>
      <c r="H1317" s="332"/>
    </row>
    <row r="1318" spans="3:8" x14ac:dyDescent="0.2">
      <c r="C1318" s="360"/>
      <c r="D1318" s="332"/>
      <c r="E1318" s="332"/>
      <c r="F1318" s="332"/>
      <c r="G1318" s="332"/>
      <c r="H1318" s="332"/>
    </row>
    <row r="1319" spans="3:8" x14ac:dyDescent="0.2">
      <c r="C1319" s="360"/>
      <c r="D1319" s="332"/>
      <c r="E1319" s="332"/>
      <c r="F1319" s="332"/>
      <c r="G1319" s="332"/>
      <c r="H1319" s="332"/>
    </row>
    <row r="1320" spans="3:8" x14ac:dyDescent="0.2">
      <c r="C1320" s="360"/>
      <c r="D1320" s="332"/>
      <c r="E1320" s="332"/>
      <c r="F1320" s="332"/>
      <c r="G1320" s="332"/>
      <c r="H1320" s="332"/>
    </row>
    <row r="1321" spans="3:8" x14ac:dyDescent="0.2">
      <c r="C1321" s="360"/>
      <c r="D1321" s="332"/>
      <c r="E1321" s="332"/>
      <c r="F1321" s="332"/>
      <c r="G1321" s="332"/>
      <c r="H1321" s="332"/>
    </row>
    <row r="1322" spans="3:8" x14ac:dyDescent="0.2">
      <c r="C1322" s="360"/>
      <c r="D1322" s="332"/>
      <c r="E1322" s="332"/>
      <c r="F1322" s="332"/>
      <c r="G1322" s="332"/>
      <c r="H1322" s="332"/>
    </row>
    <row r="1323" spans="3:8" x14ac:dyDescent="0.2">
      <c r="C1323" s="360"/>
      <c r="D1323" s="332"/>
      <c r="E1323" s="332"/>
      <c r="F1323" s="332"/>
      <c r="G1323" s="332"/>
      <c r="H1323" s="332"/>
    </row>
    <row r="1324" spans="3:8" x14ac:dyDescent="0.2">
      <c r="C1324" s="360"/>
      <c r="D1324" s="332"/>
      <c r="E1324" s="332"/>
      <c r="F1324" s="332"/>
      <c r="G1324" s="332"/>
      <c r="H1324" s="332"/>
    </row>
    <row r="1325" spans="3:8" x14ac:dyDescent="0.2">
      <c r="C1325" s="360"/>
      <c r="D1325" s="332"/>
      <c r="E1325" s="332"/>
      <c r="F1325" s="332"/>
      <c r="G1325" s="332"/>
      <c r="H1325" s="332"/>
    </row>
    <row r="1326" spans="3:8" x14ac:dyDescent="0.2">
      <c r="C1326" s="360"/>
      <c r="D1326" s="332"/>
      <c r="E1326" s="332"/>
      <c r="F1326" s="332"/>
      <c r="G1326" s="332"/>
      <c r="H1326" s="332"/>
    </row>
    <row r="1327" spans="3:8" x14ac:dyDescent="0.2">
      <c r="C1327" s="360"/>
      <c r="D1327" s="332"/>
      <c r="E1327" s="332"/>
      <c r="F1327" s="332"/>
      <c r="G1327" s="332"/>
      <c r="H1327" s="332"/>
    </row>
    <row r="1328" spans="3:8" x14ac:dyDescent="0.2">
      <c r="C1328" s="360"/>
      <c r="D1328" s="332"/>
      <c r="E1328" s="332"/>
      <c r="F1328" s="332"/>
      <c r="G1328" s="332"/>
      <c r="H1328" s="332"/>
    </row>
    <row r="1329" spans="3:8" x14ac:dyDescent="0.2">
      <c r="C1329" s="360"/>
      <c r="D1329" s="332"/>
      <c r="E1329" s="332"/>
      <c r="F1329" s="332"/>
      <c r="G1329" s="332"/>
      <c r="H1329" s="332"/>
    </row>
    <row r="1330" spans="3:8" x14ac:dyDescent="0.2">
      <c r="C1330" s="360"/>
      <c r="D1330" s="332"/>
      <c r="E1330" s="332"/>
      <c r="F1330" s="332"/>
      <c r="G1330" s="332"/>
      <c r="H1330" s="332"/>
    </row>
    <row r="1331" spans="3:8" x14ac:dyDescent="0.2">
      <c r="C1331" s="360"/>
      <c r="D1331" s="332"/>
      <c r="E1331" s="332"/>
      <c r="F1331" s="332"/>
      <c r="G1331" s="332"/>
      <c r="H1331" s="332"/>
    </row>
    <row r="1332" spans="3:8" x14ac:dyDescent="0.2">
      <c r="C1332" s="360"/>
      <c r="D1332" s="332"/>
      <c r="E1332" s="332"/>
      <c r="F1332" s="332"/>
      <c r="G1332" s="332"/>
      <c r="H1332" s="332"/>
    </row>
    <row r="1333" spans="3:8" x14ac:dyDescent="0.2">
      <c r="C1333" s="360"/>
      <c r="D1333" s="332"/>
      <c r="E1333" s="332"/>
      <c r="F1333" s="332"/>
      <c r="G1333" s="332"/>
      <c r="H1333" s="332"/>
    </row>
    <row r="1334" spans="3:8" x14ac:dyDescent="0.2">
      <c r="C1334" s="360"/>
      <c r="D1334" s="332"/>
      <c r="E1334" s="332"/>
      <c r="F1334" s="332"/>
      <c r="G1334" s="332"/>
      <c r="H1334" s="332"/>
    </row>
    <row r="1335" spans="3:8" x14ac:dyDescent="0.2">
      <c r="C1335" s="360"/>
      <c r="D1335" s="332"/>
      <c r="E1335" s="332"/>
      <c r="F1335" s="332"/>
      <c r="G1335" s="332"/>
      <c r="H1335" s="332"/>
    </row>
    <row r="1336" spans="3:8" x14ac:dyDescent="0.2">
      <c r="C1336" s="360"/>
      <c r="D1336" s="332"/>
      <c r="E1336" s="332"/>
      <c r="F1336" s="332"/>
      <c r="G1336" s="332"/>
      <c r="H1336" s="332"/>
    </row>
    <row r="1337" spans="3:8" x14ac:dyDescent="0.2">
      <c r="C1337" s="360"/>
      <c r="D1337" s="332"/>
      <c r="E1337" s="332"/>
      <c r="F1337" s="332"/>
      <c r="G1337" s="332"/>
      <c r="H1337" s="332"/>
    </row>
    <row r="1338" spans="3:8" x14ac:dyDescent="0.2">
      <c r="C1338" s="360"/>
      <c r="D1338" s="332"/>
      <c r="E1338" s="332"/>
      <c r="F1338" s="332"/>
      <c r="G1338" s="332"/>
      <c r="H1338" s="332"/>
    </row>
    <row r="1339" spans="3:8" x14ac:dyDescent="0.2">
      <c r="C1339" s="360"/>
      <c r="D1339" s="332"/>
      <c r="E1339" s="332"/>
      <c r="F1339" s="332"/>
      <c r="G1339" s="332"/>
      <c r="H1339" s="332"/>
    </row>
    <row r="1340" spans="3:8" x14ac:dyDescent="0.2">
      <c r="C1340" s="360"/>
      <c r="D1340" s="332"/>
      <c r="E1340" s="332"/>
      <c r="F1340" s="332"/>
      <c r="G1340" s="332"/>
      <c r="H1340" s="332"/>
    </row>
    <row r="1341" spans="3:8" x14ac:dyDescent="0.2">
      <c r="C1341" s="360"/>
      <c r="D1341" s="332"/>
      <c r="E1341" s="332"/>
      <c r="F1341" s="332"/>
      <c r="G1341" s="332"/>
      <c r="H1341" s="332"/>
    </row>
    <row r="1342" spans="3:8" x14ac:dyDescent="0.2">
      <c r="C1342" s="360"/>
      <c r="D1342" s="332"/>
      <c r="E1342" s="332"/>
      <c r="F1342" s="332"/>
      <c r="G1342" s="332"/>
      <c r="H1342" s="332"/>
    </row>
    <row r="1343" spans="3:8" x14ac:dyDescent="0.2">
      <c r="C1343" s="360"/>
      <c r="D1343" s="332"/>
      <c r="E1343" s="332"/>
      <c r="F1343" s="332"/>
      <c r="G1343" s="332"/>
      <c r="H1343" s="332"/>
    </row>
    <row r="1344" spans="3:8" x14ac:dyDescent="0.2">
      <c r="C1344" s="360"/>
      <c r="D1344" s="332"/>
      <c r="E1344" s="332"/>
      <c r="F1344" s="332"/>
      <c r="G1344" s="332"/>
      <c r="H1344" s="332"/>
    </row>
    <row r="1345" spans="3:8" x14ac:dyDescent="0.2">
      <c r="C1345" s="360"/>
      <c r="D1345" s="332"/>
      <c r="E1345" s="332"/>
      <c r="F1345" s="332"/>
      <c r="G1345" s="332"/>
      <c r="H1345" s="332"/>
    </row>
    <row r="1346" spans="3:8" x14ac:dyDescent="0.2">
      <c r="C1346" s="360"/>
      <c r="D1346" s="332"/>
      <c r="E1346" s="332"/>
      <c r="F1346" s="332"/>
      <c r="G1346" s="332"/>
      <c r="H1346" s="332"/>
    </row>
    <row r="1347" spans="3:8" x14ac:dyDescent="0.2">
      <c r="C1347" s="360"/>
      <c r="D1347" s="332"/>
      <c r="E1347" s="332"/>
      <c r="F1347" s="332"/>
      <c r="G1347" s="332"/>
      <c r="H1347" s="332"/>
    </row>
    <row r="1348" spans="3:8" x14ac:dyDescent="0.2">
      <c r="C1348" s="360"/>
      <c r="D1348" s="332"/>
      <c r="E1348" s="332"/>
      <c r="F1348" s="332"/>
      <c r="G1348" s="332"/>
      <c r="H1348" s="332"/>
    </row>
    <row r="1349" spans="3:8" x14ac:dyDescent="0.2">
      <c r="C1349" s="360"/>
      <c r="D1349" s="332"/>
      <c r="E1349" s="332"/>
      <c r="F1349" s="332"/>
      <c r="G1349" s="332"/>
      <c r="H1349" s="332"/>
    </row>
    <row r="1350" spans="3:8" x14ac:dyDescent="0.2">
      <c r="C1350" s="360"/>
      <c r="D1350" s="332"/>
      <c r="E1350" s="332"/>
      <c r="F1350" s="332"/>
      <c r="G1350" s="332"/>
      <c r="H1350" s="332"/>
    </row>
    <row r="1351" spans="3:8" x14ac:dyDescent="0.2">
      <c r="C1351" s="360"/>
      <c r="D1351" s="332"/>
      <c r="E1351" s="332"/>
      <c r="F1351" s="332"/>
      <c r="G1351" s="332"/>
      <c r="H1351" s="332"/>
    </row>
    <row r="1352" spans="3:8" x14ac:dyDescent="0.2">
      <c r="C1352" s="360"/>
      <c r="D1352" s="332"/>
      <c r="E1352" s="332"/>
      <c r="F1352" s="332"/>
      <c r="G1352" s="332"/>
      <c r="H1352" s="332"/>
    </row>
    <row r="1353" spans="3:8" x14ac:dyDescent="0.2">
      <c r="C1353" s="360"/>
      <c r="D1353" s="332"/>
      <c r="E1353" s="332"/>
      <c r="F1353" s="332"/>
      <c r="G1353" s="332"/>
      <c r="H1353" s="332"/>
    </row>
    <row r="1354" spans="3:8" x14ac:dyDescent="0.2">
      <c r="C1354" s="360"/>
      <c r="D1354" s="332"/>
      <c r="E1354" s="332"/>
      <c r="F1354" s="332"/>
      <c r="G1354" s="332"/>
      <c r="H1354" s="332"/>
    </row>
    <row r="1355" spans="3:8" x14ac:dyDescent="0.2">
      <c r="C1355" s="360"/>
      <c r="D1355" s="332"/>
      <c r="E1355" s="332"/>
      <c r="F1355" s="332"/>
      <c r="G1355" s="332"/>
      <c r="H1355" s="332"/>
    </row>
    <row r="1356" spans="3:8" x14ac:dyDescent="0.2">
      <c r="C1356" s="360"/>
      <c r="D1356" s="332"/>
      <c r="E1356" s="332"/>
      <c r="F1356" s="332"/>
      <c r="G1356" s="332"/>
      <c r="H1356" s="332"/>
    </row>
    <row r="1357" spans="3:8" x14ac:dyDescent="0.2">
      <c r="C1357" s="360"/>
      <c r="D1357" s="332"/>
      <c r="E1357" s="332"/>
      <c r="F1357" s="332"/>
      <c r="G1357" s="332"/>
      <c r="H1357" s="332"/>
    </row>
    <row r="1358" spans="3:8" x14ac:dyDescent="0.2">
      <c r="C1358" s="360"/>
      <c r="D1358" s="332"/>
      <c r="E1358" s="332"/>
      <c r="F1358" s="332"/>
      <c r="G1358" s="332"/>
      <c r="H1358" s="332"/>
    </row>
    <row r="1359" spans="3:8" x14ac:dyDescent="0.2">
      <c r="C1359" s="360"/>
      <c r="D1359" s="332"/>
      <c r="E1359" s="332"/>
      <c r="F1359" s="332"/>
      <c r="G1359" s="332"/>
      <c r="H1359" s="332"/>
    </row>
    <row r="1360" spans="3:8" x14ac:dyDescent="0.2">
      <c r="C1360" s="360"/>
      <c r="D1360" s="332"/>
      <c r="E1360" s="332"/>
      <c r="F1360" s="332"/>
      <c r="G1360" s="332"/>
      <c r="H1360" s="332"/>
    </row>
    <row r="1361" spans="3:8" x14ac:dyDescent="0.2">
      <c r="C1361" s="360"/>
      <c r="D1361" s="332"/>
      <c r="E1361" s="332"/>
      <c r="F1361" s="332"/>
      <c r="G1361" s="332"/>
      <c r="H1361" s="332"/>
    </row>
    <row r="1362" spans="3:8" x14ac:dyDescent="0.2">
      <c r="C1362" s="360"/>
      <c r="D1362" s="332"/>
      <c r="E1362" s="332"/>
      <c r="F1362" s="332"/>
      <c r="G1362" s="332"/>
      <c r="H1362" s="332"/>
    </row>
    <row r="1363" spans="3:8" x14ac:dyDescent="0.2">
      <c r="C1363" s="360"/>
      <c r="D1363" s="332"/>
      <c r="E1363" s="332"/>
      <c r="F1363" s="332"/>
      <c r="G1363" s="332"/>
      <c r="H1363" s="332"/>
    </row>
    <row r="1364" spans="3:8" x14ac:dyDescent="0.2">
      <c r="C1364" s="360"/>
      <c r="D1364" s="332"/>
      <c r="E1364" s="332"/>
      <c r="F1364" s="332"/>
      <c r="G1364" s="332"/>
      <c r="H1364" s="332"/>
    </row>
    <row r="1365" spans="3:8" x14ac:dyDescent="0.2">
      <c r="C1365" s="360"/>
      <c r="D1365" s="332"/>
      <c r="E1365" s="332"/>
      <c r="F1365" s="332"/>
      <c r="G1365" s="332"/>
      <c r="H1365" s="332"/>
    </row>
    <row r="1366" spans="3:8" x14ac:dyDescent="0.2">
      <c r="C1366" s="360"/>
      <c r="D1366" s="332"/>
      <c r="E1366" s="332"/>
      <c r="F1366" s="332"/>
      <c r="G1366" s="332"/>
      <c r="H1366" s="332"/>
    </row>
    <row r="1367" spans="3:8" x14ac:dyDescent="0.2">
      <c r="C1367" s="360"/>
      <c r="D1367" s="332"/>
      <c r="E1367" s="332"/>
      <c r="F1367" s="332"/>
      <c r="G1367" s="332"/>
      <c r="H1367" s="332"/>
    </row>
    <row r="1368" spans="3:8" x14ac:dyDescent="0.2">
      <c r="C1368" s="360"/>
      <c r="D1368" s="332"/>
      <c r="E1368" s="332"/>
      <c r="F1368" s="332"/>
      <c r="G1368" s="332"/>
      <c r="H1368" s="332"/>
    </row>
    <row r="1369" spans="3:8" x14ac:dyDescent="0.2">
      <c r="C1369" s="360"/>
      <c r="D1369" s="332"/>
      <c r="E1369" s="332"/>
      <c r="F1369" s="332"/>
      <c r="G1369" s="332"/>
      <c r="H1369" s="332"/>
    </row>
    <row r="1370" spans="3:8" x14ac:dyDescent="0.2">
      <c r="C1370" s="360"/>
      <c r="D1370" s="332"/>
      <c r="E1370" s="332"/>
      <c r="F1370" s="332"/>
      <c r="G1370" s="332"/>
      <c r="H1370" s="332"/>
    </row>
    <row r="1371" spans="3:8" x14ac:dyDescent="0.2">
      <c r="C1371" s="360"/>
      <c r="D1371" s="332"/>
      <c r="E1371" s="332"/>
      <c r="F1371" s="332"/>
      <c r="G1371" s="332"/>
      <c r="H1371" s="332"/>
    </row>
    <row r="1372" spans="3:8" x14ac:dyDescent="0.2">
      <c r="C1372" s="360"/>
      <c r="D1372" s="332"/>
      <c r="E1372" s="332"/>
      <c r="F1372" s="332"/>
      <c r="G1372" s="332"/>
      <c r="H1372" s="332"/>
    </row>
    <row r="1373" spans="3:8" x14ac:dyDescent="0.2">
      <c r="C1373" s="360"/>
      <c r="D1373" s="332"/>
      <c r="E1373" s="332"/>
      <c r="F1373" s="332"/>
      <c r="G1373" s="332"/>
      <c r="H1373" s="332"/>
    </row>
    <row r="1374" spans="3:8" x14ac:dyDescent="0.2">
      <c r="C1374" s="360"/>
      <c r="D1374" s="332"/>
      <c r="E1374" s="332"/>
      <c r="F1374" s="332"/>
      <c r="G1374" s="332"/>
      <c r="H1374" s="332"/>
    </row>
    <row r="1375" spans="3:8" x14ac:dyDescent="0.2">
      <c r="C1375" s="360"/>
      <c r="D1375" s="332"/>
      <c r="E1375" s="332"/>
      <c r="F1375" s="332"/>
      <c r="G1375" s="332"/>
      <c r="H1375" s="332"/>
    </row>
    <row r="1376" spans="3:8" x14ac:dyDescent="0.2">
      <c r="C1376" s="360"/>
      <c r="D1376" s="332"/>
      <c r="E1376" s="332"/>
      <c r="F1376" s="332"/>
      <c r="G1376" s="332"/>
      <c r="H1376" s="332"/>
    </row>
    <row r="1377" spans="3:8" x14ac:dyDescent="0.2">
      <c r="C1377" s="360"/>
      <c r="D1377" s="332"/>
      <c r="E1377" s="332"/>
      <c r="F1377" s="332"/>
      <c r="G1377" s="332"/>
      <c r="H1377" s="332"/>
    </row>
    <row r="1378" spans="3:8" x14ac:dyDescent="0.2">
      <c r="C1378" s="360"/>
      <c r="D1378" s="332"/>
      <c r="E1378" s="332"/>
      <c r="F1378" s="332"/>
      <c r="G1378" s="332"/>
      <c r="H1378" s="332"/>
    </row>
    <row r="1379" spans="3:8" x14ac:dyDescent="0.2">
      <c r="C1379" s="360"/>
      <c r="D1379" s="332"/>
      <c r="E1379" s="332"/>
      <c r="F1379" s="332"/>
      <c r="G1379" s="332"/>
      <c r="H1379" s="332"/>
    </row>
    <row r="1380" spans="3:8" x14ac:dyDescent="0.2">
      <c r="C1380" s="360"/>
      <c r="D1380" s="332"/>
      <c r="E1380" s="332"/>
      <c r="F1380" s="332"/>
      <c r="G1380" s="332"/>
      <c r="H1380" s="332"/>
    </row>
    <row r="1381" spans="3:8" x14ac:dyDescent="0.2">
      <c r="C1381" s="360"/>
      <c r="D1381" s="332"/>
      <c r="E1381" s="332"/>
      <c r="F1381" s="332"/>
      <c r="G1381" s="332"/>
      <c r="H1381" s="332"/>
    </row>
    <row r="1382" spans="3:8" x14ac:dyDescent="0.2">
      <c r="C1382" s="360"/>
      <c r="D1382" s="332"/>
      <c r="E1382" s="332"/>
      <c r="F1382" s="332"/>
      <c r="G1382" s="332"/>
      <c r="H1382" s="332"/>
    </row>
    <row r="1383" spans="3:8" x14ac:dyDescent="0.2">
      <c r="C1383" s="360"/>
      <c r="D1383" s="332"/>
      <c r="E1383" s="332"/>
      <c r="F1383" s="332"/>
      <c r="G1383" s="332"/>
      <c r="H1383" s="332"/>
    </row>
    <row r="1384" spans="3:8" x14ac:dyDescent="0.2">
      <c r="C1384" s="360"/>
      <c r="D1384" s="332"/>
      <c r="E1384" s="332"/>
      <c r="F1384" s="332"/>
      <c r="G1384" s="332"/>
      <c r="H1384" s="332"/>
    </row>
    <row r="1385" spans="3:8" x14ac:dyDescent="0.2">
      <c r="C1385" s="360"/>
      <c r="D1385" s="332"/>
      <c r="E1385" s="332"/>
      <c r="F1385" s="332"/>
      <c r="G1385" s="332"/>
      <c r="H1385" s="332"/>
    </row>
    <row r="1386" spans="3:8" x14ac:dyDescent="0.2">
      <c r="C1386" s="360"/>
      <c r="D1386" s="332"/>
      <c r="E1386" s="332"/>
      <c r="F1386" s="332"/>
      <c r="G1386" s="332"/>
      <c r="H1386" s="332"/>
    </row>
    <row r="1387" spans="3:8" x14ac:dyDescent="0.2">
      <c r="C1387" s="360"/>
      <c r="D1387" s="332"/>
      <c r="E1387" s="332"/>
      <c r="F1387" s="332"/>
      <c r="G1387" s="332"/>
      <c r="H1387" s="332"/>
    </row>
    <row r="1388" spans="3:8" x14ac:dyDescent="0.2">
      <c r="C1388" s="360"/>
      <c r="D1388" s="332"/>
      <c r="E1388" s="332"/>
      <c r="F1388" s="332"/>
      <c r="G1388" s="332"/>
      <c r="H1388" s="332"/>
    </row>
    <row r="1389" spans="3:8" x14ac:dyDescent="0.2">
      <c r="C1389" s="360"/>
      <c r="D1389" s="332"/>
      <c r="E1389" s="332"/>
      <c r="F1389" s="332"/>
      <c r="G1389" s="332"/>
      <c r="H1389" s="332"/>
    </row>
    <row r="1390" spans="3:8" x14ac:dyDescent="0.2">
      <c r="C1390" s="360"/>
      <c r="D1390" s="332"/>
      <c r="E1390" s="332"/>
      <c r="F1390" s="332"/>
      <c r="G1390" s="332"/>
      <c r="H1390" s="332"/>
    </row>
    <row r="1391" spans="3:8" x14ac:dyDescent="0.2">
      <c r="C1391" s="360"/>
      <c r="D1391" s="332"/>
      <c r="E1391" s="332"/>
      <c r="F1391" s="332"/>
      <c r="G1391" s="332"/>
      <c r="H1391" s="332"/>
    </row>
    <row r="1392" spans="3:8" x14ac:dyDescent="0.2">
      <c r="C1392" s="360"/>
      <c r="D1392" s="332"/>
      <c r="E1392" s="332"/>
      <c r="F1392" s="332"/>
      <c r="G1392" s="332"/>
      <c r="H1392" s="332"/>
    </row>
    <row r="1393" spans="3:8" x14ac:dyDescent="0.2">
      <c r="C1393" s="360"/>
      <c r="D1393" s="332"/>
      <c r="E1393" s="332"/>
      <c r="F1393" s="332"/>
      <c r="G1393" s="332"/>
      <c r="H1393" s="332"/>
    </row>
    <row r="1394" spans="3:8" x14ac:dyDescent="0.2">
      <c r="C1394" s="360"/>
      <c r="D1394" s="332"/>
      <c r="E1394" s="332"/>
      <c r="F1394" s="332"/>
      <c r="G1394" s="332"/>
      <c r="H1394" s="332"/>
    </row>
    <row r="1395" spans="3:8" x14ac:dyDescent="0.2">
      <c r="C1395" s="360"/>
      <c r="D1395" s="332"/>
      <c r="E1395" s="332"/>
      <c r="F1395" s="332"/>
      <c r="G1395" s="332"/>
      <c r="H1395" s="332"/>
    </row>
    <row r="1396" spans="3:8" x14ac:dyDescent="0.2">
      <c r="C1396" s="360"/>
      <c r="D1396" s="332"/>
      <c r="E1396" s="332"/>
      <c r="F1396" s="332"/>
      <c r="G1396" s="332"/>
      <c r="H1396" s="332"/>
    </row>
    <row r="1397" spans="3:8" x14ac:dyDescent="0.2">
      <c r="C1397" s="360"/>
      <c r="D1397" s="332"/>
      <c r="E1397" s="332"/>
      <c r="F1397" s="332"/>
      <c r="G1397" s="332"/>
      <c r="H1397" s="332"/>
    </row>
    <row r="1398" spans="3:8" x14ac:dyDescent="0.2">
      <c r="C1398" s="360"/>
      <c r="D1398" s="332"/>
      <c r="E1398" s="332"/>
      <c r="F1398" s="332"/>
      <c r="G1398" s="332"/>
      <c r="H1398" s="332"/>
    </row>
    <row r="1399" spans="3:8" x14ac:dyDescent="0.2">
      <c r="C1399" s="360"/>
      <c r="D1399" s="332"/>
      <c r="E1399" s="332"/>
      <c r="F1399" s="332"/>
      <c r="G1399" s="332"/>
      <c r="H1399" s="332"/>
    </row>
    <row r="1400" spans="3:8" x14ac:dyDescent="0.2">
      <c r="C1400" s="360"/>
      <c r="D1400" s="332"/>
      <c r="E1400" s="332"/>
      <c r="F1400" s="332"/>
      <c r="G1400" s="332"/>
      <c r="H1400" s="332"/>
    </row>
    <row r="1401" spans="3:8" x14ac:dyDescent="0.2">
      <c r="C1401" s="360"/>
      <c r="D1401" s="332"/>
      <c r="E1401" s="332"/>
      <c r="F1401" s="332"/>
      <c r="G1401" s="332"/>
      <c r="H1401" s="332"/>
    </row>
    <row r="1402" spans="3:8" x14ac:dyDescent="0.2">
      <c r="C1402" s="360"/>
      <c r="D1402" s="332"/>
      <c r="E1402" s="332"/>
      <c r="F1402" s="332"/>
      <c r="G1402" s="332"/>
      <c r="H1402" s="332"/>
    </row>
    <row r="1403" spans="3:8" x14ac:dyDescent="0.2">
      <c r="C1403" s="360"/>
      <c r="D1403" s="332"/>
      <c r="E1403" s="332"/>
      <c r="F1403" s="332"/>
      <c r="G1403" s="332"/>
      <c r="H1403" s="332"/>
    </row>
  </sheetData>
  <mergeCells count="120">
    <mergeCell ref="AN1:BI1"/>
    <mergeCell ref="B6:BI6"/>
    <mergeCell ref="A8:A10"/>
    <mergeCell ref="B8:D10"/>
    <mergeCell ref="E8:E10"/>
    <mergeCell ref="F8:AZ8"/>
    <mergeCell ref="BH8:BH10"/>
    <mergeCell ref="BI8:BI10"/>
    <mergeCell ref="F9:F10"/>
    <mergeCell ref="G9:G10"/>
    <mergeCell ref="C14:D14"/>
    <mergeCell ref="C21:D21"/>
    <mergeCell ref="C27:D27"/>
    <mergeCell ref="B28:C28"/>
    <mergeCell ref="C29:D29"/>
    <mergeCell ref="C32:D32"/>
    <mergeCell ref="AY9:AY10"/>
    <mergeCell ref="AZ9:AZ10"/>
    <mergeCell ref="BA9:BA10"/>
    <mergeCell ref="B11:D11"/>
    <mergeCell ref="B12:D12"/>
    <mergeCell ref="B13:C13"/>
    <mergeCell ref="AE9:AE10"/>
    <mergeCell ref="AF9:AF10"/>
    <mergeCell ref="AM9:AM10"/>
    <mergeCell ref="AN9:AN10"/>
    <mergeCell ref="AO9:AO10"/>
    <mergeCell ref="AX9:AX10"/>
    <mergeCell ref="H9:H10"/>
    <mergeCell ref="I9:I10"/>
    <mergeCell ref="J9:J10"/>
    <mergeCell ref="O9:P9"/>
    <mergeCell ref="Q9:R9"/>
    <mergeCell ref="AD9:AD10"/>
    <mergeCell ref="C57:D57"/>
    <mergeCell ref="C63:D63"/>
    <mergeCell ref="B64:C64"/>
    <mergeCell ref="C65:D65"/>
    <mergeCell ref="C70:D70"/>
    <mergeCell ref="C76:D76"/>
    <mergeCell ref="C33:D33"/>
    <mergeCell ref="C34:D34"/>
    <mergeCell ref="C35:D35"/>
    <mergeCell ref="B36:C36"/>
    <mergeCell ref="C37:D37"/>
    <mergeCell ref="C56:D56"/>
    <mergeCell ref="C89:D89"/>
    <mergeCell ref="C91:D91"/>
    <mergeCell ref="B92:C92"/>
    <mergeCell ref="C93:D93"/>
    <mergeCell ref="C96:D96"/>
    <mergeCell ref="C98:D98"/>
    <mergeCell ref="C77:D77"/>
    <mergeCell ref="B78:C78"/>
    <mergeCell ref="C79:D79"/>
    <mergeCell ref="C85:D85"/>
    <mergeCell ref="C86:D86"/>
    <mergeCell ref="C88:D88"/>
    <mergeCell ref="C123:D123"/>
    <mergeCell ref="C124:D124"/>
    <mergeCell ref="C128:D128"/>
    <mergeCell ref="C132:D132"/>
    <mergeCell ref="C136:D136"/>
    <mergeCell ref="C140:D140"/>
    <mergeCell ref="C100:D100"/>
    <mergeCell ref="B101:C101"/>
    <mergeCell ref="C102:D102"/>
    <mergeCell ref="C113:D113"/>
    <mergeCell ref="C120:D120"/>
    <mergeCell ref="C121:D121"/>
    <mergeCell ref="C167:D167"/>
    <mergeCell ref="C169:D169"/>
    <mergeCell ref="C171:D171"/>
    <mergeCell ref="C173:D173"/>
    <mergeCell ref="C176:D176"/>
    <mergeCell ref="C177:D177"/>
    <mergeCell ref="B141:C141"/>
    <mergeCell ref="C142:D142"/>
    <mergeCell ref="C154:D154"/>
    <mergeCell ref="C156:D156"/>
    <mergeCell ref="C159:D159"/>
    <mergeCell ref="C163:D163"/>
    <mergeCell ref="C191:D191"/>
    <mergeCell ref="C193:D193"/>
    <mergeCell ref="C195:D195"/>
    <mergeCell ref="C197:D197"/>
    <mergeCell ref="C198:D198"/>
    <mergeCell ref="C200:D200"/>
    <mergeCell ref="C179:D179"/>
    <mergeCell ref="C180:D180"/>
    <mergeCell ref="C183:D183"/>
    <mergeCell ref="C185:D185"/>
    <mergeCell ref="C187:D187"/>
    <mergeCell ref="C189:D189"/>
    <mergeCell ref="C216:D216"/>
    <mergeCell ref="C218:D218"/>
    <mergeCell ref="C221:D221"/>
    <mergeCell ref="C223:D223"/>
    <mergeCell ref="C224:D224"/>
    <mergeCell ref="C228:D228"/>
    <mergeCell ref="C202:D202"/>
    <mergeCell ref="C206:D206"/>
    <mergeCell ref="C208:D208"/>
    <mergeCell ref="C211:D211"/>
    <mergeCell ref="C213:D213"/>
    <mergeCell ref="C215:D215"/>
    <mergeCell ref="B265:D265"/>
    <mergeCell ref="B266:D266"/>
    <mergeCell ref="C258:D258"/>
    <mergeCell ref="C259:D259"/>
    <mergeCell ref="C260:D260"/>
    <mergeCell ref="C262:D262"/>
    <mergeCell ref="B263:D263"/>
    <mergeCell ref="C264:D264"/>
    <mergeCell ref="C233:D233"/>
    <mergeCell ref="B234:C234"/>
    <mergeCell ref="C235:D235"/>
    <mergeCell ref="C237:D237"/>
    <mergeCell ref="C246:D246"/>
    <mergeCell ref="C256:D256"/>
  </mergeCells>
  <printOptions horizontalCentered="1"/>
  <pageMargins left="0.19685039370078741" right="0.11811023622047245" top="0.39370078740157483" bottom="0.35433070866141736" header="0.11811023622047245" footer="0.15748031496062992"/>
  <pageSetup paperSize="9" scale="55" orientation="portrait" horizontalDpi="300" verticalDpi="300" r:id="rId1"/>
  <headerFooter differentFirst="1">
    <oddFooter>&amp;R&amp;P (&amp;N)</oddFooter>
    <firstHeader>&amp;R1.pielikums Jūrmalas pilsētas domes  2015.gada 27.augusta saistošajiem noteikumiem  Nr.34
(protokols Nr.15,  2.punkts)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C1:U192"/>
  <sheetViews>
    <sheetView view="pageLayout" zoomScaleNormal="100" workbookViewId="0">
      <selection activeCell="R8" sqref="R8"/>
    </sheetView>
  </sheetViews>
  <sheetFormatPr defaultRowHeight="12" outlineLevelRow="1" outlineLevelCol="1" x14ac:dyDescent="0.2"/>
  <cols>
    <col min="1" max="3" width="9.140625" style="1"/>
    <col min="4" max="4" width="1.42578125" style="58" customWidth="1"/>
    <col min="5" max="5" width="3" style="58" customWidth="1"/>
    <col min="6" max="6" width="9.140625" style="58" customWidth="1"/>
    <col min="7" max="7" width="40.7109375" style="58" customWidth="1"/>
    <col min="8" max="8" width="10.5703125" style="58" hidden="1" customWidth="1" outlineLevel="1"/>
    <col min="9" max="9" width="10" style="58" customWidth="1" collapsed="1"/>
    <col min="10" max="10" width="10" style="161" hidden="1" customWidth="1" outlineLevel="1"/>
    <col min="11" max="11" width="7.42578125" style="161" hidden="1" customWidth="1" outlineLevel="1"/>
    <col min="12" max="20" width="9.140625" style="162" hidden="1" customWidth="1" outlineLevel="1"/>
    <col min="21" max="21" width="9.140625" style="1" collapsed="1"/>
    <col min="22" max="16384" width="9.140625" style="1"/>
  </cols>
  <sheetData>
    <row r="1" spans="3:21" ht="16.5" customHeight="1" x14ac:dyDescent="0.25">
      <c r="D1" s="449" t="s">
        <v>714</v>
      </c>
      <c r="E1" s="449"/>
      <c r="F1" s="449"/>
      <c r="G1" s="449"/>
      <c r="H1" s="449"/>
      <c r="I1" s="449"/>
    </row>
    <row r="2" spans="3:21" ht="16.5" x14ac:dyDescent="0.25">
      <c r="D2" s="400"/>
      <c r="E2" s="400"/>
      <c r="F2" s="400"/>
      <c r="G2" s="400"/>
      <c r="H2" s="400"/>
      <c r="I2" s="401" t="s">
        <v>783</v>
      </c>
    </row>
    <row r="3" spans="3:21" ht="16.5" x14ac:dyDescent="0.25">
      <c r="D3" s="400"/>
      <c r="E3" s="400"/>
      <c r="F3" s="400"/>
      <c r="G3" s="400"/>
      <c r="H3" s="400"/>
      <c r="I3" s="403" t="s">
        <v>784</v>
      </c>
    </row>
    <row r="6" spans="3:21" ht="18" customHeight="1" x14ac:dyDescent="0.35">
      <c r="C6" s="515" t="s">
        <v>522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</row>
    <row r="7" spans="3:21" ht="12.75" thickBot="1" x14ac:dyDescent="0.25">
      <c r="D7" s="1"/>
      <c r="E7" s="1"/>
      <c r="F7" s="1"/>
      <c r="G7" s="1"/>
      <c r="H7" s="1"/>
      <c r="I7" s="1"/>
      <c r="J7" s="162"/>
      <c r="K7" s="162"/>
    </row>
    <row r="8" spans="3:21" ht="36.75" thickBot="1" x14ac:dyDescent="0.25">
      <c r="D8" s="521" t="s">
        <v>28</v>
      </c>
      <c r="E8" s="522"/>
      <c r="F8" s="522"/>
      <c r="G8" s="89" t="s">
        <v>29</v>
      </c>
      <c r="H8" s="206" t="s">
        <v>748</v>
      </c>
      <c r="I8" s="113" t="s">
        <v>703</v>
      </c>
      <c r="J8" s="163" t="s">
        <v>726</v>
      </c>
      <c r="K8" s="205" t="s">
        <v>730</v>
      </c>
      <c r="L8" s="205" t="s">
        <v>741</v>
      </c>
      <c r="M8" s="205" t="s">
        <v>765</v>
      </c>
      <c r="N8" s="205" t="s">
        <v>782</v>
      </c>
      <c r="O8" s="382" t="s">
        <v>790</v>
      </c>
      <c r="P8" s="382" t="s">
        <v>801</v>
      </c>
      <c r="Q8" s="410" t="s">
        <v>806</v>
      </c>
      <c r="R8" s="164"/>
      <c r="S8" s="164"/>
      <c r="T8" s="164"/>
    </row>
    <row r="9" spans="3:21" ht="10.5" customHeight="1" thickTop="1" thickBot="1" x14ac:dyDescent="0.25">
      <c r="D9" s="523">
        <v>1</v>
      </c>
      <c r="E9" s="524"/>
      <c r="F9" s="525"/>
      <c r="G9" s="60">
        <v>2</v>
      </c>
      <c r="H9" s="176">
        <v>7</v>
      </c>
      <c r="I9" s="156">
        <v>7</v>
      </c>
      <c r="J9" s="165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3:21" s="90" customFormat="1" ht="12.75" customHeight="1" thickTop="1" x14ac:dyDescent="0.2">
      <c r="D10" s="516" t="s">
        <v>133</v>
      </c>
      <c r="E10" s="517"/>
      <c r="F10" s="517"/>
      <c r="G10" s="518"/>
      <c r="H10" s="177">
        <f>SUM(H121,H123,H149)</f>
        <v>109320788</v>
      </c>
      <c r="I10" s="157">
        <f>SUM(I121,I123,I149)</f>
        <v>111870031</v>
      </c>
      <c r="J10" s="158">
        <f t="shared" ref="J10:T10" si="0">SUM(J121,J123,J149)</f>
        <v>2549243</v>
      </c>
      <c r="K10" s="159">
        <f t="shared" si="0"/>
        <v>42815</v>
      </c>
      <c r="L10" s="159">
        <f t="shared" si="0"/>
        <v>1686405</v>
      </c>
      <c r="M10" s="159">
        <f t="shared" si="0"/>
        <v>451346</v>
      </c>
      <c r="N10" s="159">
        <f t="shared" si="0"/>
        <v>77678</v>
      </c>
      <c r="O10" s="159">
        <f t="shared" si="0"/>
        <v>0</v>
      </c>
      <c r="P10" s="159">
        <f t="shared" si="0"/>
        <v>283499</v>
      </c>
      <c r="Q10" s="159">
        <f t="shared" si="0"/>
        <v>7500</v>
      </c>
      <c r="R10" s="159">
        <f t="shared" si="0"/>
        <v>0</v>
      </c>
      <c r="S10" s="159">
        <f t="shared" si="0"/>
        <v>0</v>
      </c>
      <c r="T10" s="160">
        <f t="shared" si="0"/>
        <v>0</v>
      </c>
    </row>
    <row r="11" spans="3:21" s="90" customFormat="1" x14ac:dyDescent="0.2">
      <c r="D11" s="2"/>
      <c r="E11" s="3"/>
      <c r="F11" s="4"/>
      <c r="G11" s="5"/>
      <c r="H11" s="6"/>
      <c r="I11" s="6"/>
      <c r="J11" s="167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3:21" s="91" customFormat="1" x14ac:dyDescent="0.2">
      <c r="D12" s="503" t="s">
        <v>30</v>
      </c>
      <c r="E12" s="504"/>
      <c r="F12" s="504"/>
      <c r="G12" s="7" t="s">
        <v>31</v>
      </c>
      <c r="H12" s="8">
        <f t="shared" ref="H12:T13" si="1">H13</f>
        <v>42254761</v>
      </c>
      <c r="I12" s="8">
        <f t="shared" si="1"/>
        <v>42437336</v>
      </c>
      <c r="J12" s="117">
        <f t="shared" si="1"/>
        <v>182575</v>
      </c>
      <c r="K12" s="118">
        <f t="shared" si="1"/>
        <v>0</v>
      </c>
      <c r="L12" s="118">
        <f t="shared" si="1"/>
        <v>0</v>
      </c>
      <c r="M12" s="118">
        <f t="shared" si="1"/>
        <v>0</v>
      </c>
      <c r="N12" s="118">
        <f t="shared" si="1"/>
        <v>0</v>
      </c>
      <c r="O12" s="118">
        <f t="shared" si="1"/>
        <v>0</v>
      </c>
      <c r="P12" s="118">
        <f t="shared" si="1"/>
        <v>182575</v>
      </c>
      <c r="Q12" s="118">
        <f t="shared" si="1"/>
        <v>0</v>
      </c>
      <c r="R12" s="118">
        <f t="shared" si="1"/>
        <v>0</v>
      </c>
      <c r="S12" s="118">
        <f t="shared" si="1"/>
        <v>0</v>
      </c>
      <c r="T12" s="119">
        <f t="shared" si="1"/>
        <v>0</v>
      </c>
    </row>
    <row r="13" spans="3:21" s="90" customFormat="1" x14ac:dyDescent="0.2">
      <c r="D13" s="9"/>
      <c r="E13" s="495" t="s">
        <v>32</v>
      </c>
      <c r="F13" s="495"/>
      <c r="G13" s="10" t="s">
        <v>33</v>
      </c>
      <c r="H13" s="11">
        <f t="shared" si="1"/>
        <v>42254761</v>
      </c>
      <c r="I13" s="11">
        <f t="shared" si="1"/>
        <v>42437336</v>
      </c>
      <c r="J13" s="120">
        <f t="shared" si="1"/>
        <v>182575</v>
      </c>
      <c r="K13" s="121">
        <f t="shared" si="1"/>
        <v>0</v>
      </c>
      <c r="L13" s="121">
        <f t="shared" si="1"/>
        <v>0</v>
      </c>
      <c r="M13" s="121">
        <f t="shared" si="1"/>
        <v>0</v>
      </c>
      <c r="N13" s="121">
        <f t="shared" si="1"/>
        <v>0</v>
      </c>
      <c r="O13" s="121">
        <f t="shared" si="1"/>
        <v>0</v>
      </c>
      <c r="P13" s="121">
        <f t="shared" si="1"/>
        <v>182575</v>
      </c>
      <c r="Q13" s="121">
        <f t="shared" si="1"/>
        <v>0</v>
      </c>
      <c r="R13" s="121">
        <f t="shared" si="1"/>
        <v>0</v>
      </c>
      <c r="S13" s="121">
        <f t="shared" si="1"/>
        <v>0</v>
      </c>
      <c r="T13" s="122">
        <f t="shared" si="1"/>
        <v>0</v>
      </c>
    </row>
    <row r="14" spans="3:21" x14ac:dyDescent="0.2">
      <c r="D14" s="12"/>
      <c r="E14" s="502" t="s">
        <v>34</v>
      </c>
      <c r="F14" s="502"/>
      <c r="G14" s="13" t="s">
        <v>35</v>
      </c>
      <c r="H14" s="178">
        <f t="shared" ref="H14" si="2">SUM(H15:H16)</f>
        <v>42254761</v>
      </c>
      <c r="I14" s="14">
        <f t="shared" ref="I14:T14" si="3">SUM(I15:I16)</f>
        <v>42437336</v>
      </c>
      <c r="J14" s="123">
        <f t="shared" ref="J14" si="4">SUM(J15:J16)</f>
        <v>182575</v>
      </c>
      <c r="K14" s="124">
        <f t="shared" si="3"/>
        <v>0</v>
      </c>
      <c r="L14" s="124">
        <f t="shared" si="3"/>
        <v>0</v>
      </c>
      <c r="M14" s="124">
        <f t="shared" si="3"/>
        <v>0</v>
      </c>
      <c r="N14" s="124">
        <f t="shared" si="3"/>
        <v>0</v>
      </c>
      <c r="O14" s="124">
        <f t="shared" si="3"/>
        <v>0</v>
      </c>
      <c r="P14" s="124">
        <f t="shared" si="3"/>
        <v>182575</v>
      </c>
      <c r="Q14" s="124">
        <f t="shared" si="3"/>
        <v>0</v>
      </c>
      <c r="R14" s="124">
        <f t="shared" si="3"/>
        <v>0</v>
      </c>
      <c r="S14" s="124">
        <f t="shared" si="3"/>
        <v>0</v>
      </c>
      <c r="T14" s="125">
        <f t="shared" si="3"/>
        <v>0</v>
      </c>
    </row>
    <row r="15" spans="3:21" ht="24" x14ac:dyDescent="0.2">
      <c r="D15" s="15"/>
      <c r="E15" s="519" t="s">
        <v>36</v>
      </c>
      <c r="F15" s="519"/>
      <c r="G15" s="16" t="s">
        <v>175</v>
      </c>
      <c r="H15" s="179">
        <f>205965</f>
        <v>205965</v>
      </c>
      <c r="I15" s="17">
        <f>H15+J15</f>
        <v>388540</v>
      </c>
      <c r="J15" s="135">
        <f>SUM(K15:T15)</f>
        <v>182575</v>
      </c>
      <c r="K15" s="114"/>
      <c r="L15" s="114"/>
      <c r="M15" s="114"/>
      <c r="N15" s="114"/>
      <c r="O15" s="114"/>
      <c r="P15" s="114">
        <v>182575</v>
      </c>
      <c r="Q15" s="114"/>
      <c r="R15" s="114"/>
      <c r="S15" s="114"/>
      <c r="T15" s="114"/>
    </row>
    <row r="16" spans="3:21" ht="24" x14ac:dyDescent="0.2">
      <c r="D16" s="18"/>
      <c r="E16" s="520" t="s">
        <v>37</v>
      </c>
      <c r="F16" s="520"/>
      <c r="G16" s="19" t="s">
        <v>509</v>
      </c>
      <c r="H16" s="180">
        <f>42048796</f>
        <v>42048796</v>
      </c>
      <c r="I16" s="20">
        <f>H16+J16</f>
        <v>42048796</v>
      </c>
      <c r="J16" s="135">
        <f>SUM(K16:T16)</f>
        <v>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4:20" s="91" customFormat="1" x14ac:dyDescent="0.2">
      <c r="D17" s="503" t="s">
        <v>38</v>
      </c>
      <c r="E17" s="504"/>
      <c r="F17" s="504"/>
      <c r="G17" s="7" t="s">
        <v>39</v>
      </c>
      <c r="H17" s="8">
        <f>SUM(H18)</f>
        <v>8371815</v>
      </c>
      <c r="I17" s="21">
        <f>SUM(I18)</f>
        <v>8592315</v>
      </c>
      <c r="J17" s="126">
        <f>SUM(J18)</f>
        <v>220500</v>
      </c>
      <c r="K17" s="127">
        <f t="shared" ref="K17:T17" si="5">SUM(K18)</f>
        <v>0</v>
      </c>
      <c r="L17" s="127">
        <f t="shared" si="5"/>
        <v>0</v>
      </c>
      <c r="M17" s="127">
        <f t="shared" si="5"/>
        <v>0</v>
      </c>
      <c r="N17" s="127">
        <f t="shared" si="5"/>
        <v>0</v>
      </c>
      <c r="O17" s="127">
        <f t="shared" si="5"/>
        <v>0</v>
      </c>
      <c r="P17" s="127">
        <f t="shared" si="5"/>
        <v>220500</v>
      </c>
      <c r="Q17" s="127">
        <f t="shared" si="5"/>
        <v>0</v>
      </c>
      <c r="R17" s="127">
        <f t="shared" si="5"/>
        <v>0</v>
      </c>
      <c r="S17" s="127">
        <f t="shared" si="5"/>
        <v>0</v>
      </c>
      <c r="T17" s="128">
        <f t="shared" si="5"/>
        <v>0</v>
      </c>
    </row>
    <row r="18" spans="4:20" s="90" customFormat="1" x14ac:dyDescent="0.2">
      <c r="D18" s="9"/>
      <c r="E18" s="495" t="s">
        <v>40</v>
      </c>
      <c r="F18" s="495"/>
      <c r="G18" s="10" t="s">
        <v>41</v>
      </c>
      <c r="H18" s="11">
        <f>SUM(H19,H22,H25)</f>
        <v>8371815</v>
      </c>
      <c r="I18" s="22">
        <f>SUM(I19,I22,I25)</f>
        <v>8592315</v>
      </c>
      <c r="J18" s="129">
        <f>SUM(J19,J22,J25)</f>
        <v>220500</v>
      </c>
      <c r="K18" s="130">
        <f t="shared" ref="K18:T18" si="6">SUM(K19,K22,K25)</f>
        <v>0</v>
      </c>
      <c r="L18" s="130">
        <f t="shared" si="6"/>
        <v>0</v>
      </c>
      <c r="M18" s="130">
        <f>SUM(M19,M22,M25)</f>
        <v>0</v>
      </c>
      <c r="N18" s="130">
        <f t="shared" si="6"/>
        <v>0</v>
      </c>
      <c r="O18" s="130">
        <f t="shared" si="6"/>
        <v>0</v>
      </c>
      <c r="P18" s="130">
        <f>SUM(P19,P22,P25)</f>
        <v>220500</v>
      </c>
      <c r="Q18" s="130">
        <f t="shared" si="6"/>
        <v>0</v>
      </c>
      <c r="R18" s="130">
        <f t="shared" si="6"/>
        <v>0</v>
      </c>
      <c r="S18" s="130">
        <f t="shared" si="6"/>
        <v>0</v>
      </c>
      <c r="T18" s="131">
        <f t="shared" si="6"/>
        <v>0</v>
      </c>
    </row>
    <row r="19" spans="4:20" x14ac:dyDescent="0.2">
      <c r="D19" s="23"/>
      <c r="E19" s="467" t="s">
        <v>226</v>
      </c>
      <c r="F19" s="467"/>
      <c r="G19" s="24" t="s">
        <v>225</v>
      </c>
      <c r="H19" s="181">
        <f t="shared" ref="H19" si="7">SUM(H20:H21)</f>
        <v>4643309</v>
      </c>
      <c r="I19" s="25">
        <f t="shared" ref="I19:T19" si="8">SUM(I20:I21)</f>
        <v>4793309</v>
      </c>
      <c r="J19" s="132">
        <f t="shared" ref="J19" si="9">SUM(J20:J21)</f>
        <v>150000</v>
      </c>
      <c r="K19" s="133">
        <f t="shared" si="8"/>
        <v>0</v>
      </c>
      <c r="L19" s="133">
        <f t="shared" si="8"/>
        <v>0</v>
      </c>
      <c r="M19" s="133">
        <f t="shared" si="8"/>
        <v>0</v>
      </c>
      <c r="N19" s="133">
        <f t="shared" si="8"/>
        <v>0</v>
      </c>
      <c r="O19" s="133">
        <f t="shared" si="8"/>
        <v>0</v>
      </c>
      <c r="P19" s="133">
        <f t="shared" si="8"/>
        <v>150000</v>
      </c>
      <c r="Q19" s="133">
        <f t="shared" si="8"/>
        <v>0</v>
      </c>
      <c r="R19" s="133">
        <f t="shared" si="8"/>
        <v>0</v>
      </c>
      <c r="S19" s="133">
        <f t="shared" si="8"/>
        <v>0</v>
      </c>
      <c r="T19" s="134">
        <f t="shared" si="8"/>
        <v>0</v>
      </c>
    </row>
    <row r="20" spans="4:20" ht="24" x14ac:dyDescent="0.2">
      <c r="D20" s="15"/>
      <c r="E20" s="519" t="s">
        <v>42</v>
      </c>
      <c r="F20" s="519"/>
      <c r="G20" s="16" t="s">
        <v>43</v>
      </c>
      <c r="H20" s="179">
        <f>4143309</f>
        <v>4143309</v>
      </c>
      <c r="I20" s="17">
        <f t="shared" ref="I20:I21" si="10">H20+J20</f>
        <v>4143309</v>
      </c>
      <c r="J20" s="135">
        <f>SUM(K20:T20)</f>
        <v>0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4:20" ht="24" x14ac:dyDescent="0.2">
      <c r="D21" s="18"/>
      <c r="E21" s="469" t="s">
        <v>44</v>
      </c>
      <c r="F21" s="469"/>
      <c r="G21" s="19" t="s">
        <v>45</v>
      </c>
      <c r="H21" s="180">
        <f>500000</f>
        <v>500000</v>
      </c>
      <c r="I21" s="20">
        <f t="shared" si="10"/>
        <v>650000</v>
      </c>
      <c r="J21" s="135">
        <f>SUM(K21:T21)</f>
        <v>150000</v>
      </c>
      <c r="K21" s="114"/>
      <c r="L21" s="114"/>
      <c r="M21" s="114"/>
      <c r="N21" s="114"/>
      <c r="O21" s="114"/>
      <c r="P21" s="114">
        <v>150000</v>
      </c>
      <c r="Q21" s="114"/>
      <c r="R21" s="114"/>
      <c r="S21" s="114"/>
      <c r="T21" s="114"/>
    </row>
    <row r="22" spans="4:20" x14ac:dyDescent="0.2">
      <c r="D22" s="23"/>
      <c r="E22" s="467" t="s">
        <v>46</v>
      </c>
      <c r="F22" s="467"/>
      <c r="G22" s="24" t="s">
        <v>176</v>
      </c>
      <c r="H22" s="181">
        <f>SUM(H23:H24)</f>
        <v>3728506</v>
      </c>
      <c r="I22" s="25">
        <f t="shared" ref="I22:T22" si="11">SUM(I23:I24)</f>
        <v>3386039</v>
      </c>
      <c r="J22" s="132">
        <f>SUM(J23:J24)</f>
        <v>-342467</v>
      </c>
      <c r="K22" s="133">
        <f t="shared" si="11"/>
        <v>0</v>
      </c>
      <c r="L22" s="133">
        <f t="shared" si="11"/>
        <v>0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-342467</v>
      </c>
      <c r="Q22" s="133">
        <f t="shared" si="11"/>
        <v>0</v>
      </c>
      <c r="R22" s="133">
        <f t="shared" si="11"/>
        <v>0</v>
      </c>
      <c r="S22" s="133">
        <f t="shared" si="11"/>
        <v>0</v>
      </c>
      <c r="T22" s="134">
        <f t="shared" si="11"/>
        <v>0</v>
      </c>
    </row>
    <row r="23" spans="4:20" ht="24" x14ac:dyDescent="0.2">
      <c r="D23" s="15"/>
      <c r="E23" s="468" t="s">
        <v>47</v>
      </c>
      <c r="F23" s="468"/>
      <c r="G23" s="16" t="s">
        <v>187</v>
      </c>
      <c r="H23" s="179">
        <f>3428506</f>
        <v>3428506</v>
      </c>
      <c r="I23" s="17">
        <f t="shared" ref="I23:I24" si="12">H23+J23</f>
        <v>3086039</v>
      </c>
      <c r="J23" s="136">
        <f>SUM(K23:T23)</f>
        <v>-342467</v>
      </c>
      <c r="K23" s="116"/>
      <c r="L23" s="114"/>
      <c r="M23" s="114"/>
      <c r="N23" s="114"/>
      <c r="O23" s="114"/>
      <c r="P23" s="114">
        <v>-342467</v>
      </c>
      <c r="Q23" s="114"/>
      <c r="R23" s="114"/>
      <c r="S23" s="114"/>
      <c r="T23" s="114"/>
    </row>
    <row r="24" spans="4:20" ht="24" x14ac:dyDescent="0.2">
      <c r="D24" s="18"/>
      <c r="E24" s="469" t="s">
        <v>48</v>
      </c>
      <c r="F24" s="469"/>
      <c r="G24" s="19" t="s">
        <v>188</v>
      </c>
      <c r="H24" s="180">
        <f>300000</f>
        <v>300000</v>
      </c>
      <c r="I24" s="20">
        <f t="shared" si="12"/>
        <v>300000</v>
      </c>
      <c r="J24" s="209">
        <f>SUM(K24:T24)</f>
        <v>0</v>
      </c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4:20" x14ac:dyDescent="0.2">
      <c r="D25" s="27"/>
      <c r="E25" s="467" t="s">
        <v>795</v>
      </c>
      <c r="F25" s="467"/>
      <c r="G25" s="24" t="s">
        <v>796</v>
      </c>
      <c r="H25" s="181">
        <f>SUM(H26:H27)</f>
        <v>0</v>
      </c>
      <c r="I25" s="25">
        <f t="shared" ref="I25" si="13">SUM(I26:I27)</f>
        <v>412967</v>
      </c>
      <c r="J25" s="390">
        <f>SUM(J26:J27)</f>
        <v>412967</v>
      </c>
      <c r="K25" s="391">
        <f t="shared" ref="K25:T25" si="14">SUM(K26:K27)</f>
        <v>0</v>
      </c>
      <c r="L25" s="391">
        <f t="shared" si="14"/>
        <v>0</v>
      </c>
      <c r="M25" s="391">
        <f t="shared" si="14"/>
        <v>0</v>
      </c>
      <c r="N25" s="391">
        <f t="shared" si="14"/>
        <v>0</v>
      </c>
      <c r="O25" s="391">
        <f t="shared" si="14"/>
        <v>0</v>
      </c>
      <c r="P25" s="391">
        <f t="shared" si="14"/>
        <v>412967</v>
      </c>
      <c r="Q25" s="391">
        <f t="shared" si="14"/>
        <v>0</v>
      </c>
      <c r="R25" s="391">
        <f t="shared" si="14"/>
        <v>0</v>
      </c>
      <c r="S25" s="391">
        <f t="shared" si="14"/>
        <v>0</v>
      </c>
      <c r="T25" s="392">
        <f t="shared" si="14"/>
        <v>0</v>
      </c>
    </row>
    <row r="26" spans="4:20" ht="24" x14ac:dyDescent="0.2">
      <c r="D26" s="27"/>
      <c r="E26" s="468" t="s">
        <v>797</v>
      </c>
      <c r="F26" s="468"/>
      <c r="G26" s="16" t="s">
        <v>799</v>
      </c>
      <c r="H26" s="179"/>
      <c r="I26" s="17">
        <f>H26+J26</f>
        <v>342467</v>
      </c>
      <c r="J26" s="393">
        <f>SUM(K26:T26)</f>
        <v>342467</v>
      </c>
      <c r="K26" s="394"/>
      <c r="L26" s="394"/>
      <c r="M26" s="394"/>
      <c r="N26" s="394"/>
      <c r="O26" s="394"/>
      <c r="P26" s="394">
        <v>342467</v>
      </c>
      <c r="Q26" s="394"/>
      <c r="R26" s="394"/>
      <c r="S26" s="394"/>
      <c r="T26" s="394"/>
    </row>
    <row r="27" spans="4:20" ht="24" x14ac:dyDescent="0.2">
      <c r="D27" s="27"/>
      <c r="E27" s="469" t="s">
        <v>798</v>
      </c>
      <c r="F27" s="469"/>
      <c r="G27" s="19" t="s">
        <v>800</v>
      </c>
      <c r="H27" s="180"/>
      <c r="I27" s="20">
        <f t="shared" ref="I27" si="15">H27+J27</f>
        <v>70500</v>
      </c>
      <c r="J27" s="395">
        <f>SUM(K27:T27)</f>
        <v>70500</v>
      </c>
      <c r="K27" s="396"/>
      <c r="L27" s="396"/>
      <c r="M27" s="396"/>
      <c r="N27" s="396"/>
      <c r="O27" s="396"/>
      <c r="P27" s="396">
        <v>70500</v>
      </c>
      <c r="Q27" s="396"/>
      <c r="R27" s="396"/>
      <c r="S27" s="396"/>
      <c r="T27" s="396"/>
    </row>
    <row r="28" spans="4:20" s="91" customFormat="1" x14ac:dyDescent="0.2">
      <c r="D28" s="503" t="s">
        <v>49</v>
      </c>
      <c r="E28" s="504"/>
      <c r="F28" s="504"/>
      <c r="G28" s="7" t="s">
        <v>50</v>
      </c>
      <c r="H28" s="8">
        <f t="shared" ref="H28" si="16">SUM(H29,H31)</f>
        <v>272473</v>
      </c>
      <c r="I28" s="21">
        <f t="shared" ref="I28:T28" si="17">SUM(I29,I31)</f>
        <v>272473</v>
      </c>
      <c r="J28" s="126">
        <f t="shared" ref="J28" si="18">SUM(J29,J31)</f>
        <v>0</v>
      </c>
      <c r="K28" s="127">
        <f t="shared" si="17"/>
        <v>0</v>
      </c>
      <c r="L28" s="127">
        <f t="shared" si="17"/>
        <v>0</v>
      </c>
      <c r="M28" s="127">
        <f t="shared" si="17"/>
        <v>0</v>
      </c>
      <c r="N28" s="127">
        <f t="shared" si="17"/>
        <v>0</v>
      </c>
      <c r="O28" s="127">
        <f t="shared" si="17"/>
        <v>0</v>
      </c>
      <c r="P28" s="127">
        <f t="shared" si="17"/>
        <v>0</v>
      </c>
      <c r="Q28" s="127">
        <f t="shared" si="17"/>
        <v>0</v>
      </c>
      <c r="R28" s="127">
        <f t="shared" si="17"/>
        <v>0</v>
      </c>
      <c r="S28" s="127">
        <f t="shared" si="17"/>
        <v>0</v>
      </c>
      <c r="T28" s="128">
        <f t="shared" si="17"/>
        <v>0</v>
      </c>
    </row>
    <row r="29" spans="4:20" s="90" customFormat="1" ht="24" x14ac:dyDescent="0.2">
      <c r="D29" s="9"/>
      <c r="E29" s="495" t="s">
        <v>51</v>
      </c>
      <c r="F29" s="495"/>
      <c r="G29" s="26" t="s">
        <v>52</v>
      </c>
      <c r="H29" s="11">
        <f t="shared" ref="H29:T29" si="19">H30</f>
        <v>200200</v>
      </c>
      <c r="I29" s="22">
        <f t="shared" si="19"/>
        <v>200200</v>
      </c>
      <c r="J29" s="129">
        <f t="shared" si="19"/>
        <v>0</v>
      </c>
      <c r="K29" s="130">
        <f t="shared" si="19"/>
        <v>0</v>
      </c>
      <c r="L29" s="130">
        <f t="shared" si="19"/>
        <v>0</v>
      </c>
      <c r="M29" s="130">
        <f t="shared" si="19"/>
        <v>0</v>
      </c>
      <c r="N29" s="130">
        <f t="shared" si="19"/>
        <v>0</v>
      </c>
      <c r="O29" s="130">
        <f t="shared" si="19"/>
        <v>0</v>
      </c>
      <c r="P29" s="130">
        <f t="shared" si="19"/>
        <v>0</v>
      </c>
      <c r="Q29" s="130">
        <f t="shared" si="19"/>
        <v>0</v>
      </c>
      <c r="R29" s="130">
        <f t="shared" si="19"/>
        <v>0</v>
      </c>
      <c r="S29" s="130">
        <f t="shared" si="19"/>
        <v>0</v>
      </c>
      <c r="T29" s="131">
        <f t="shared" si="19"/>
        <v>0</v>
      </c>
    </row>
    <row r="30" spans="4:20" x14ac:dyDescent="0.2">
      <c r="D30" s="27"/>
      <c r="E30" s="513" t="s">
        <v>53</v>
      </c>
      <c r="F30" s="513"/>
      <c r="G30" s="28" t="s">
        <v>54</v>
      </c>
      <c r="H30" s="182">
        <f>200200</f>
        <v>200200</v>
      </c>
      <c r="I30" s="29">
        <f>H30+J30</f>
        <v>200200</v>
      </c>
      <c r="J30" s="135">
        <f>SUM(K30:T30)</f>
        <v>0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  <row r="31" spans="4:20" s="90" customFormat="1" ht="24" x14ac:dyDescent="0.2">
      <c r="D31" s="9"/>
      <c r="E31" s="526" t="s">
        <v>55</v>
      </c>
      <c r="F31" s="527"/>
      <c r="G31" s="30" t="s">
        <v>56</v>
      </c>
      <c r="H31" s="183">
        <f t="shared" ref="H31:T32" si="20">SUM(H32)</f>
        <v>72273</v>
      </c>
      <c r="I31" s="22">
        <f t="shared" si="20"/>
        <v>72273</v>
      </c>
      <c r="J31" s="129">
        <f t="shared" si="20"/>
        <v>0</v>
      </c>
      <c r="K31" s="130">
        <f t="shared" si="20"/>
        <v>0</v>
      </c>
      <c r="L31" s="130">
        <f t="shared" si="20"/>
        <v>0</v>
      </c>
      <c r="M31" s="130">
        <f t="shared" si="20"/>
        <v>0</v>
      </c>
      <c r="N31" s="130">
        <f t="shared" si="20"/>
        <v>0</v>
      </c>
      <c r="O31" s="130">
        <f t="shared" si="20"/>
        <v>0</v>
      </c>
      <c r="P31" s="130">
        <f t="shared" si="20"/>
        <v>0</v>
      </c>
      <c r="Q31" s="130">
        <f t="shared" si="20"/>
        <v>0</v>
      </c>
      <c r="R31" s="130">
        <f t="shared" si="20"/>
        <v>0</v>
      </c>
      <c r="S31" s="130">
        <f t="shared" si="20"/>
        <v>0</v>
      </c>
      <c r="T31" s="131">
        <f t="shared" si="20"/>
        <v>0</v>
      </c>
    </row>
    <row r="32" spans="4:20" x14ac:dyDescent="0.2">
      <c r="D32" s="27"/>
      <c r="E32" s="474" t="s">
        <v>57</v>
      </c>
      <c r="F32" s="475"/>
      <c r="G32" s="32" t="s">
        <v>58</v>
      </c>
      <c r="H32" s="184">
        <f>SUM(H33)</f>
        <v>72273</v>
      </c>
      <c r="I32" s="25">
        <f>SUM(I33)</f>
        <v>72273</v>
      </c>
      <c r="J32" s="132">
        <f>SUM(J33)</f>
        <v>0</v>
      </c>
      <c r="K32" s="133">
        <f t="shared" si="20"/>
        <v>0</v>
      </c>
      <c r="L32" s="133">
        <f t="shared" si="20"/>
        <v>0</v>
      </c>
      <c r="M32" s="133">
        <f t="shared" si="20"/>
        <v>0</v>
      </c>
      <c r="N32" s="133">
        <f t="shared" si="20"/>
        <v>0</v>
      </c>
      <c r="O32" s="133">
        <f t="shared" si="20"/>
        <v>0</v>
      </c>
      <c r="P32" s="133">
        <f t="shared" si="20"/>
        <v>0</v>
      </c>
      <c r="Q32" s="133">
        <f t="shared" si="20"/>
        <v>0</v>
      </c>
      <c r="R32" s="133">
        <f t="shared" si="20"/>
        <v>0</v>
      </c>
      <c r="S32" s="133">
        <f t="shared" si="20"/>
        <v>0</v>
      </c>
      <c r="T32" s="134">
        <f t="shared" si="20"/>
        <v>0</v>
      </c>
    </row>
    <row r="33" spans="4:20" ht="24" x14ac:dyDescent="0.2">
      <c r="D33" s="27"/>
      <c r="E33" s="107"/>
      <c r="F33" s="109" t="s">
        <v>538</v>
      </c>
      <c r="G33" s="82" t="s">
        <v>539</v>
      </c>
      <c r="H33" s="185">
        <f>72273</f>
        <v>72273</v>
      </c>
      <c r="I33" s="29">
        <f>H33+J33</f>
        <v>72273</v>
      </c>
      <c r="J33" s="135">
        <f>SUM(K33:T33)</f>
        <v>0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</row>
    <row r="34" spans="4:20" s="91" customFormat="1" ht="24" x14ac:dyDescent="0.2">
      <c r="D34" s="503" t="s">
        <v>59</v>
      </c>
      <c r="E34" s="504"/>
      <c r="F34" s="504"/>
      <c r="G34" s="33" t="s">
        <v>143</v>
      </c>
      <c r="H34" s="8">
        <f>SUM(H35,H37,H40)</f>
        <v>4116</v>
      </c>
      <c r="I34" s="21">
        <f>SUM(I35,I37,I40)</f>
        <v>0</v>
      </c>
      <c r="J34" s="126">
        <f>SUM(J35,J37,J40)</f>
        <v>-4116</v>
      </c>
      <c r="K34" s="127">
        <f t="shared" ref="K34:T34" si="21">SUM(K35,K37,K40)</f>
        <v>0</v>
      </c>
      <c r="L34" s="127">
        <f t="shared" si="21"/>
        <v>0</v>
      </c>
      <c r="M34" s="127">
        <f t="shared" si="21"/>
        <v>0</v>
      </c>
      <c r="N34" s="127">
        <f t="shared" si="21"/>
        <v>0</v>
      </c>
      <c r="O34" s="127">
        <f t="shared" si="21"/>
        <v>0</v>
      </c>
      <c r="P34" s="127">
        <f t="shared" si="21"/>
        <v>-4116</v>
      </c>
      <c r="Q34" s="127">
        <f t="shared" si="21"/>
        <v>0</v>
      </c>
      <c r="R34" s="127">
        <f t="shared" si="21"/>
        <v>0</v>
      </c>
      <c r="S34" s="127">
        <f t="shared" si="21"/>
        <v>0</v>
      </c>
      <c r="T34" s="128">
        <f t="shared" si="21"/>
        <v>0</v>
      </c>
    </row>
    <row r="35" spans="4:20" s="91" customFormat="1" ht="24" x14ac:dyDescent="0.2">
      <c r="D35" s="77"/>
      <c r="E35" s="495" t="s">
        <v>325</v>
      </c>
      <c r="F35" s="496"/>
      <c r="G35" s="10" t="s">
        <v>327</v>
      </c>
      <c r="H35" s="11">
        <f>H36</f>
        <v>0</v>
      </c>
      <c r="I35" s="22">
        <f>I36</f>
        <v>0</v>
      </c>
      <c r="J35" s="129">
        <f>J36</f>
        <v>0</v>
      </c>
      <c r="K35" s="130">
        <f t="shared" ref="K35:T35" si="22">K36</f>
        <v>0</v>
      </c>
      <c r="L35" s="130">
        <f t="shared" si="22"/>
        <v>0</v>
      </c>
      <c r="M35" s="130">
        <f t="shared" si="22"/>
        <v>0</v>
      </c>
      <c r="N35" s="130">
        <f t="shared" si="22"/>
        <v>0</v>
      </c>
      <c r="O35" s="130">
        <f t="shared" si="22"/>
        <v>0</v>
      </c>
      <c r="P35" s="130">
        <f t="shared" si="22"/>
        <v>0</v>
      </c>
      <c r="Q35" s="130">
        <f t="shared" si="22"/>
        <v>0</v>
      </c>
      <c r="R35" s="130">
        <f t="shared" si="22"/>
        <v>0</v>
      </c>
      <c r="S35" s="130">
        <f t="shared" si="22"/>
        <v>0</v>
      </c>
      <c r="T35" s="131">
        <f t="shared" si="22"/>
        <v>0</v>
      </c>
    </row>
    <row r="36" spans="4:20" s="91" customFormat="1" ht="24" x14ac:dyDescent="0.2">
      <c r="D36" s="77"/>
      <c r="E36" s="467" t="s">
        <v>326</v>
      </c>
      <c r="F36" s="497"/>
      <c r="G36" s="24" t="s">
        <v>328</v>
      </c>
      <c r="H36" s="181">
        <v>0</v>
      </c>
      <c r="I36" s="25">
        <f>H36+J36</f>
        <v>0</v>
      </c>
      <c r="J36" s="169">
        <f>SUM(K36:T36)</f>
        <v>0</v>
      </c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4:20" s="90" customFormat="1" ht="24" x14ac:dyDescent="0.2">
      <c r="D37" s="9"/>
      <c r="E37" s="495" t="s">
        <v>60</v>
      </c>
      <c r="F37" s="495"/>
      <c r="G37" s="10" t="s">
        <v>61</v>
      </c>
      <c r="H37" s="11">
        <f t="shared" ref="H37:T38" si="23">H38</f>
        <v>0</v>
      </c>
      <c r="I37" s="22">
        <f t="shared" si="23"/>
        <v>0</v>
      </c>
      <c r="J37" s="129">
        <f t="shared" si="23"/>
        <v>0</v>
      </c>
      <c r="K37" s="130">
        <f t="shared" si="23"/>
        <v>0</v>
      </c>
      <c r="L37" s="130">
        <f t="shared" si="23"/>
        <v>0</v>
      </c>
      <c r="M37" s="130">
        <f t="shared" si="23"/>
        <v>0</v>
      </c>
      <c r="N37" s="130">
        <f t="shared" si="23"/>
        <v>0</v>
      </c>
      <c r="O37" s="130">
        <f t="shared" si="23"/>
        <v>0</v>
      </c>
      <c r="P37" s="130">
        <f t="shared" si="23"/>
        <v>0</v>
      </c>
      <c r="Q37" s="130">
        <f t="shared" si="23"/>
        <v>0</v>
      </c>
      <c r="R37" s="130">
        <f t="shared" si="23"/>
        <v>0</v>
      </c>
      <c r="S37" s="130">
        <f t="shared" si="23"/>
        <v>0</v>
      </c>
      <c r="T37" s="131">
        <f t="shared" si="23"/>
        <v>0</v>
      </c>
    </row>
    <row r="38" spans="4:20" ht="24" x14ac:dyDescent="0.2">
      <c r="D38" s="12"/>
      <c r="E38" s="502" t="s">
        <v>62</v>
      </c>
      <c r="F38" s="502"/>
      <c r="G38" s="13" t="s">
        <v>63</v>
      </c>
      <c r="H38" s="178">
        <f>H39</f>
        <v>0</v>
      </c>
      <c r="I38" s="14">
        <f t="shared" si="23"/>
        <v>0</v>
      </c>
      <c r="J38" s="123">
        <f t="shared" si="23"/>
        <v>0</v>
      </c>
      <c r="K38" s="124">
        <f t="shared" si="23"/>
        <v>0</v>
      </c>
      <c r="L38" s="124">
        <f t="shared" si="23"/>
        <v>0</v>
      </c>
      <c r="M38" s="124">
        <f t="shared" si="23"/>
        <v>0</v>
      </c>
      <c r="N38" s="124">
        <f t="shared" si="23"/>
        <v>0</v>
      </c>
      <c r="O38" s="124">
        <f t="shared" si="23"/>
        <v>0</v>
      </c>
      <c r="P38" s="124">
        <f t="shared" si="23"/>
        <v>0</v>
      </c>
      <c r="Q38" s="124">
        <f t="shared" si="23"/>
        <v>0</v>
      </c>
      <c r="R38" s="124">
        <f t="shared" si="23"/>
        <v>0</v>
      </c>
      <c r="S38" s="124">
        <f t="shared" si="23"/>
        <v>0</v>
      </c>
      <c r="T38" s="125">
        <f t="shared" si="23"/>
        <v>0</v>
      </c>
    </row>
    <row r="39" spans="4:20" ht="24" x14ac:dyDescent="0.2">
      <c r="D39" s="27"/>
      <c r="E39" s="514" t="s">
        <v>64</v>
      </c>
      <c r="F39" s="514"/>
      <c r="G39" s="28" t="s">
        <v>65</v>
      </c>
      <c r="H39" s="182">
        <v>0</v>
      </c>
      <c r="I39" s="29">
        <f>H39+J39</f>
        <v>0</v>
      </c>
      <c r="J39" s="135">
        <f>SUM(K39:T39)</f>
        <v>0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4:20" s="90" customFormat="1" ht="36" x14ac:dyDescent="0.2">
      <c r="D40" s="9"/>
      <c r="E40" s="495" t="s">
        <v>66</v>
      </c>
      <c r="F40" s="495"/>
      <c r="G40" s="10" t="s">
        <v>704</v>
      </c>
      <c r="H40" s="11">
        <f t="shared" ref="H40" si="24">SUM(H41,H43)</f>
        <v>4116</v>
      </c>
      <c r="I40" s="22">
        <f t="shared" ref="I40:T40" si="25">SUM(I41,I43)</f>
        <v>0</v>
      </c>
      <c r="J40" s="129">
        <f t="shared" ref="J40" si="26">SUM(J41,J43)</f>
        <v>-4116</v>
      </c>
      <c r="K40" s="130">
        <f t="shared" si="25"/>
        <v>0</v>
      </c>
      <c r="L40" s="130">
        <f t="shared" si="25"/>
        <v>0</v>
      </c>
      <c r="M40" s="130">
        <f t="shared" si="25"/>
        <v>0</v>
      </c>
      <c r="N40" s="130">
        <f t="shared" si="25"/>
        <v>0</v>
      </c>
      <c r="O40" s="130">
        <f t="shared" si="25"/>
        <v>0</v>
      </c>
      <c r="P40" s="130">
        <f t="shared" si="25"/>
        <v>-4116</v>
      </c>
      <c r="Q40" s="130">
        <f t="shared" si="25"/>
        <v>0</v>
      </c>
      <c r="R40" s="130">
        <f t="shared" si="25"/>
        <v>0</v>
      </c>
      <c r="S40" s="130">
        <f t="shared" si="25"/>
        <v>0</v>
      </c>
      <c r="T40" s="131">
        <f t="shared" si="25"/>
        <v>0</v>
      </c>
    </row>
    <row r="41" spans="4:20" x14ac:dyDescent="0.2">
      <c r="D41" s="12"/>
      <c r="E41" s="502" t="s">
        <v>67</v>
      </c>
      <c r="F41" s="502"/>
      <c r="G41" s="13" t="s">
        <v>189</v>
      </c>
      <c r="H41" s="178">
        <f t="shared" ref="H41:T43" si="27">H42</f>
        <v>118</v>
      </c>
      <c r="I41" s="14">
        <f t="shared" si="27"/>
        <v>0</v>
      </c>
      <c r="J41" s="123">
        <f t="shared" si="27"/>
        <v>-118</v>
      </c>
      <c r="K41" s="124">
        <f t="shared" si="27"/>
        <v>0</v>
      </c>
      <c r="L41" s="124">
        <f t="shared" si="27"/>
        <v>0</v>
      </c>
      <c r="M41" s="124">
        <f t="shared" si="27"/>
        <v>0</v>
      </c>
      <c r="N41" s="124">
        <f t="shared" si="27"/>
        <v>0</v>
      </c>
      <c r="O41" s="124">
        <f t="shared" si="27"/>
        <v>0</v>
      </c>
      <c r="P41" s="124">
        <f t="shared" si="27"/>
        <v>-118</v>
      </c>
      <c r="Q41" s="124">
        <f t="shared" si="27"/>
        <v>0</v>
      </c>
      <c r="R41" s="124">
        <f t="shared" si="27"/>
        <v>0</v>
      </c>
      <c r="S41" s="124">
        <f t="shared" si="27"/>
        <v>0</v>
      </c>
      <c r="T41" s="125">
        <f t="shared" si="27"/>
        <v>0</v>
      </c>
    </row>
    <row r="42" spans="4:20" ht="36" x14ac:dyDescent="0.2">
      <c r="D42" s="27"/>
      <c r="E42" s="514" t="s">
        <v>68</v>
      </c>
      <c r="F42" s="514"/>
      <c r="G42" s="28" t="s">
        <v>190</v>
      </c>
      <c r="H42" s="182">
        <f>118</f>
        <v>118</v>
      </c>
      <c r="I42" s="29">
        <f>H42+J42</f>
        <v>0</v>
      </c>
      <c r="J42" s="135">
        <f>SUM(K42:T42)</f>
        <v>-118</v>
      </c>
      <c r="K42" s="114"/>
      <c r="L42" s="114"/>
      <c r="M42" s="114"/>
      <c r="N42" s="114"/>
      <c r="O42" s="114"/>
      <c r="P42" s="114">
        <v>-118</v>
      </c>
      <c r="Q42" s="114"/>
      <c r="R42" s="114"/>
      <c r="S42" s="114"/>
      <c r="T42" s="114"/>
    </row>
    <row r="43" spans="4:20" ht="14.25" customHeight="1" x14ac:dyDescent="0.2">
      <c r="D43" s="23"/>
      <c r="E43" s="467" t="s">
        <v>541</v>
      </c>
      <c r="F43" s="467"/>
      <c r="G43" s="24" t="s">
        <v>540</v>
      </c>
      <c r="H43" s="181">
        <f t="shared" si="27"/>
        <v>3998</v>
      </c>
      <c r="I43" s="25">
        <f t="shared" si="27"/>
        <v>0</v>
      </c>
      <c r="J43" s="132">
        <f t="shared" si="27"/>
        <v>-3998</v>
      </c>
      <c r="K43" s="133">
        <f t="shared" si="27"/>
        <v>0</v>
      </c>
      <c r="L43" s="133">
        <f t="shared" si="27"/>
        <v>0</v>
      </c>
      <c r="M43" s="133">
        <f t="shared" si="27"/>
        <v>0</v>
      </c>
      <c r="N43" s="133">
        <f t="shared" si="27"/>
        <v>0</v>
      </c>
      <c r="O43" s="133">
        <f t="shared" si="27"/>
        <v>0</v>
      </c>
      <c r="P43" s="133">
        <f t="shared" si="27"/>
        <v>-3998</v>
      </c>
      <c r="Q43" s="133">
        <f t="shared" si="27"/>
        <v>0</v>
      </c>
      <c r="R43" s="133">
        <f t="shared" si="27"/>
        <v>0</v>
      </c>
      <c r="S43" s="133">
        <f t="shared" si="27"/>
        <v>0</v>
      </c>
      <c r="T43" s="134">
        <f t="shared" si="27"/>
        <v>0</v>
      </c>
    </row>
    <row r="44" spans="4:20" ht="26.25" customHeight="1" x14ac:dyDescent="0.2">
      <c r="D44" s="27"/>
      <c r="E44" s="108"/>
      <c r="F44" s="108" t="s">
        <v>542</v>
      </c>
      <c r="G44" s="28" t="s">
        <v>543</v>
      </c>
      <c r="H44" s="182">
        <f>3998</f>
        <v>3998</v>
      </c>
      <c r="I44" s="29">
        <f>H44+J44</f>
        <v>0</v>
      </c>
      <c r="J44" s="135">
        <f>SUM(K44:T44)</f>
        <v>-3998</v>
      </c>
      <c r="K44" s="114"/>
      <c r="L44" s="114"/>
      <c r="M44" s="114"/>
      <c r="N44" s="114"/>
      <c r="O44" s="114"/>
      <c r="P44" s="114">
        <v>-3998</v>
      </c>
      <c r="Q44" s="114"/>
      <c r="R44" s="114"/>
      <c r="S44" s="114"/>
      <c r="T44" s="114"/>
    </row>
    <row r="45" spans="4:20" s="91" customFormat="1" ht="24" x14ac:dyDescent="0.2">
      <c r="D45" s="503" t="s">
        <v>69</v>
      </c>
      <c r="E45" s="504"/>
      <c r="F45" s="504"/>
      <c r="G45" s="33" t="s">
        <v>70</v>
      </c>
      <c r="H45" s="8">
        <f t="shared" ref="H45" si="28">SUM(H46,H49)</f>
        <v>2299019</v>
      </c>
      <c r="I45" s="21">
        <f t="shared" ref="I45:T45" si="29">SUM(I46,I49)</f>
        <v>2299019</v>
      </c>
      <c r="J45" s="126">
        <f t="shared" ref="J45" si="30">SUM(J46,J49)</f>
        <v>0</v>
      </c>
      <c r="K45" s="127">
        <f t="shared" si="29"/>
        <v>0</v>
      </c>
      <c r="L45" s="127">
        <f t="shared" si="29"/>
        <v>0</v>
      </c>
      <c r="M45" s="127">
        <f t="shared" si="29"/>
        <v>0</v>
      </c>
      <c r="N45" s="127">
        <f t="shared" si="29"/>
        <v>0</v>
      </c>
      <c r="O45" s="127">
        <f t="shared" si="29"/>
        <v>0</v>
      </c>
      <c r="P45" s="127">
        <f t="shared" si="29"/>
        <v>0</v>
      </c>
      <c r="Q45" s="127">
        <f t="shared" si="29"/>
        <v>0</v>
      </c>
      <c r="R45" s="127">
        <f t="shared" si="29"/>
        <v>0</v>
      </c>
      <c r="S45" s="127">
        <f t="shared" si="29"/>
        <v>0</v>
      </c>
      <c r="T45" s="128">
        <f t="shared" si="29"/>
        <v>0</v>
      </c>
    </row>
    <row r="46" spans="4:20" s="90" customFormat="1" x14ac:dyDescent="0.2">
      <c r="D46" s="9"/>
      <c r="E46" s="495" t="s">
        <v>71</v>
      </c>
      <c r="F46" s="495"/>
      <c r="G46" s="10" t="s">
        <v>72</v>
      </c>
      <c r="H46" s="11">
        <f t="shared" ref="H46" si="31">SUM(H47:H48)</f>
        <v>17837</v>
      </c>
      <c r="I46" s="22">
        <f t="shared" ref="I46:T46" si="32">SUM(I47:I48)</f>
        <v>17837</v>
      </c>
      <c r="J46" s="129">
        <f t="shared" ref="J46" si="33">SUM(J47:J48)</f>
        <v>0</v>
      </c>
      <c r="K46" s="130">
        <f t="shared" si="32"/>
        <v>0</v>
      </c>
      <c r="L46" s="130">
        <f t="shared" si="32"/>
        <v>0</v>
      </c>
      <c r="M46" s="130">
        <f t="shared" si="32"/>
        <v>0</v>
      </c>
      <c r="N46" s="130">
        <f t="shared" si="32"/>
        <v>0</v>
      </c>
      <c r="O46" s="130">
        <f t="shared" si="32"/>
        <v>0</v>
      </c>
      <c r="P46" s="130">
        <f t="shared" si="32"/>
        <v>0</v>
      </c>
      <c r="Q46" s="130">
        <f t="shared" si="32"/>
        <v>0</v>
      </c>
      <c r="R46" s="130">
        <f t="shared" si="32"/>
        <v>0</v>
      </c>
      <c r="S46" s="130">
        <f t="shared" si="32"/>
        <v>0</v>
      </c>
      <c r="T46" s="131">
        <f t="shared" si="32"/>
        <v>0</v>
      </c>
    </row>
    <row r="47" spans="4:20" ht="48" x14ac:dyDescent="0.2">
      <c r="D47" s="23"/>
      <c r="E47" s="467" t="s">
        <v>73</v>
      </c>
      <c r="F47" s="467"/>
      <c r="G47" s="24" t="s">
        <v>705</v>
      </c>
      <c r="H47" s="181">
        <f>9300</f>
        <v>9300</v>
      </c>
      <c r="I47" s="25">
        <f t="shared" ref="I47:I48" si="34">H47+J47</f>
        <v>9300</v>
      </c>
      <c r="J47" s="135">
        <f>SUM(K47:T47)</f>
        <v>0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4:20" ht="24" x14ac:dyDescent="0.2">
      <c r="D48" s="34"/>
      <c r="E48" s="506" t="s">
        <v>74</v>
      </c>
      <c r="F48" s="506"/>
      <c r="G48" s="35" t="s">
        <v>253</v>
      </c>
      <c r="H48" s="186">
        <f>8537</f>
        <v>8537</v>
      </c>
      <c r="I48" s="36">
        <f t="shared" si="34"/>
        <v>8537</v>
      </c>
      <c r="J48" s="135">
        <f>SUM(K48:T48)</f>
        <v>0</v>
      </c>
      <c r="K48" s="114"/>
      <c r="L48" s="114"/>
      <c r="M48" s="114"/>
      <c r="N48" s="114"/>
      <c r="O48" s="114"/>
      <c r="P48" s="114"/>
      <c r="Q48" s="114"/>
      <c r="R48" s="114"/>
      <c r="S48" s="114"/>
      <c r="T48" s="114"/>
    </row>
    <row r="49" spans="4:20" s="90" customFormat="1" x14ac:dyDescent="0.2">
      <c r="D49" s="9"/>
      <c r="E49" s="495" t="s">
        <v>75</v>
      </c>
      <c r="F49" s="495"/>
      <c r="G49" s="10" t="s">
        <v>76</v>
      </c>
      <c r="H49" s="11">
        <f t="shared" ref="H49" si="35">SUM(H50:H55)</f>
        <v>2281182</v>
      </c>
      <c r="I49" s="22">
        <f t="shared" ref="I49:T49" si="36">SUM(I50:I55)</f>
        <v>2281182</v>
      </c>
      <c r="J49" s="129">
        <f t="shared" ref="J49" si="37">SUM(J50:J55)</f>
        <v>0</v>
      </c>
      <c r="K49" s="130">
        <f t="shared" si="36"/>
        <v>0</v>
      </c>
      <c r="L49" s="130">
        <f t="shared" si="36"/>
        <v>0</v>
      </c>
      <c r="M49" s="130">
        <f t="shared" si="36"/>
        <v>0</v>
      </c>
      <c r="N49" s="130">
        <f t="shared" si="36"/>
        <v>0</v>
      </c>
      <c r="O49" s="130">
        <f t="shared" si="36"/>
        <v>0</v>
      </c>
      <c r="P49" s="130">
        <f t="shared" si="36"/>
        <v>0</v>
      </c>
      <c r="Q49" s="130">
        <f t="shared" si="36"/>
        <v>0</v>
      </c>
      <c r="R49" s="130">
        <f t="shared" si="36"/>
        <v>0</v>
      </c>
      <c r="S49" s="130">
        <f t="shared" si="36"/>
        <v>0</v>
      </c>
      <c r="T49" s="131">
        <f t="shared" si="36"/>
        <v>0</v>
      </c>
    </row>
    <row r="50" spans="4:20" ht="24" x14ac:dyDescent="0.2">
      <c r="D50" s="37"/>
      <c r="E50" s="482" t="s">
        <v>77</v>
      </c>
      <c r="F50" s="482"/>
      <c r="G50" s="38" t="s">
        <v>177</v>
      </c>
      <c r="H50" s="187">
        <v>0</v>
      </c>
      <c r="I50" s="39">
        <f t="shared" ref="I50:I55" si="38">H50+J50</f>
        <v>0</v>
      </c>
      <c r="J50" s="135">
        <f t="shared" ref="J50:J55" si="39">SUM(K50:T50)</f>
        <v>0</v>
      </c>
      <c r="K50" s="114"/>
      <c r="L50" s="114"/>
      <c r="M50" s="114"/>
      <c r="N50" s="114"/>
      <c r="O50" s="114"/>
      <c r="P50" s="114"/>
      <c r="Q50" s="114"/>
      <c r="R50" s="114"/>
      <c r="S50" s="114"/>
      <c r="T50" s="114"/>
    </row>
    <row r="51" spans="4:20" x14ac:dyDescent="0.2">
      <c r="D51" s="37"/>
      <c r="E51" s="482" t="s">
        <v>78</v>
      </c>
      <c r="F51" s="482"/>
      <c r="G51" s="38" t="s">
        <v>178</v>
      </c>
      <c r="H51" s="187">
        <f>55000</f>
        <v>55000</v>
      </c>
      <c r="I51" s="39">
        <f t="shared" si="38"/>
        <v>55000</v>
      </c>
      <c r="J51" s="135">
        <f t="shared" si="39"/>
        <v>0</v>
      </c>
      <c r="K51" s="114"/>
      <c r="L51" s="114"/>
      <c r="M51" s="114"/>
      <c r="N51" s="114"/>
      <c r="O51" s="114"/>
      <c r="P51" s="114"/>
      <c r="Q51" s="114"/>
      <c r="R51" s="114"/>
      <c r="S51" s="114"/>
      <c r="T51" s="114"/>
    </row>
    <row r="52" spans="4:20" ht="24" x14ac:dyDescent="0.2">
      <c r="D52" s="37"/>
      <c r="E52" s="482" t="s">
        <v>79</v>
      </c>
      <c r="F52" s="482"/>
      <c r="G52" s="38" t="s">
        <v>179</v>
      </c>
      <c r="H52" s="187">
        <f>2082182</f>
        <v>2082182</v>
      </c>
      <c r="I52" s="39">
        <f t="shared" si="38"/>
        <v>2082182</v>
      </c>
      <c r="J52" s="135">
        <f t="shared" si="39"/>
        <v>0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4:20" ht="24" x14ac:dyDescent="0.2">
      <c r="D53" s="37"/>
      <c r="E53" s="482" t="s">
        <v>80</v>
      </c>
      <c r="F53" s="482"/>
      <c r="G53" s="38" t="s">
        <v>180</v>
      </c>
      <c r="H53" s="187">
        <f>67600</f>
        <v>67600</v>
      </c>
      <c r="I53" s="39">
        <f t="shared" si="38"/>
        <v>67600</v>
      </c>
      <c r="J53" s="135">
        <f t="shared" si="39"/>
        <v>0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4"/>
    </row>
    <row r="54" spans="4:20" ht="26.25" customHeight="1" x14ac:dyDescent="0.2">
      <c r="D54" s="18"/>
      <c r="E54" s="482" t="s">
        <v>600</v>
      </c>
      <c r="F54" s="483"/>
      <c r="G54" s="19" t="s">
        <v>601</v>
      </c>
      <c r="H54" s="180">
        <v>0</v>
      </c>
      <c r="I54" s="20">
        <f t="shared" si="38"/>
        <v>0</v>
      </c>
      <c r="J54" s="135">
        <f t="shared" si="39"/>
        <v>0</v>
      </c>
      <c r="K54" s="114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4:20" x14ac:dyDescent="0.2">
      <c r="D55" s="18"/>
      <c r="E55" s="469" t="s">
        <v>159</v>
      </c>
      <c r="F55" s="469"/>
      <c r="G55" s="19" t="s">
        <v>181</v>
      </c>
      <c r="H55" s="180">
        <f>76400</f>
        <v>76400</v>
      </c>
      <c r="I55" s="20">
        <f t="shared" si="38"/>
        <v>76400</v>
      </c>
      <c r="J55" s="135">
        <f t="shared" si="39"/>
        <v>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4:20" s="91" customFormat="1" x14ac:dyDescent="0.2">
      <c r="D56" s="503" t="s">
        <v>81</v>
      </c>
      <c r="E56" s="504"/>
      <c r="F56" s="504"/>
      <c r="G56" s="33" t="s">
        <v>82</v>
      </c>
      <c r="H56" s="8">
        <f t="shared" ref="H56" si="40">SUM(H60,H57)</f>
        <v>359300</v>
      </c>
      <c r="I56" s="21">
        <f t="shared" ref="I56:T56" si="41">SUM(I60,I57)</f>
        <v>138800</v>
      </c>
      <c r="J56" s="126">
        <f t="shared" ref="J56" si="42">SUM(J60,J57)</f>
        <v>-220500</v>
      </c>
      <c r="K56" s="127">
        <f t="shared" si="41"/>
        <v>0</v>
      </c>
      <c r="L56" s="127">
        <f t="shared" si="41"/>
        <v>0</v>
      </c>
      <c r="M56" s="127">
        <f t="shared" si="41"/>
        <v>0</v>
      </c>
      <c r="N56" s="127">
        <f t="shared" si="41"/>
        <v>0</v>
      </c>
      <c r="O56" s="127">
        <f t="shared" si="41"/>
        <v>0</v>
      </c>
      <c r="P56" s="127">
        <f t="shared" si="41"/>
        <v>-220500</v>
      </c>
      <c r="Q56" s="127">
        <f t="shared" si="41"/>
        <v>0</v>
      </c>
      <c r="R56" s="127">
        <f t="shared" si="41"/>
        <v>0</v>
      </c>
      <c r="S56" s="127">
        <f t="shared" si="41"/>
        <v>0</v>
      </c>
      <c r="T56" s="128">
        <f t="shared" si="41"/>
        <v>0</v>
      </c>
    </row>
    <row r="57" spans="4:20" s="90" customFormat="1" x14ac:dyDescent="0.2">
      <c r="D57" s="9"/>
      <c r="E57" s="495" t="s">
        <v>83</v>
      </c>
      <c r="F57" s="495"/>
      <c r="G57" s="10" t="s">
        <v>84</v>
      </c>
      <c r="H57" s="11">
        <f t="shared" ref="H57" si="43">H58+H59</f>
        <v>138800</v>
      </c>
      <c r="I57" s="22">
        <f t="shared" ref="I57:T57" si="44">I58+I59</f>
        <v>138800</v>
      </c>
      <c r="J57" s="129">
        <f t="shared" ref="J57" si="45">J58+J59</f>
        <v>0</v>
      </c>
      <c r="K57" s="130">
        <f t="shared" si="44"/>
        <v>0</v>
      </c>
      <c r="L57" s="130">
        <f t="shared" si="44"/>
        <v>0</v>
      </c>
      <c r="M57" s="130">
        <f t="shared" si="44"/>
        <v>0</v>
      </c>
      <c r="N57" s="130">
        <f t="shared" si="44"/>
        <v>0</v>
      </c>
      <c r="O57" s="130">
        <f t="shared" si="44"/>
        <v>0</v>
      </c>
      <c r="P57" s="130">
        <f t="shared" si="44"/>
        <v>0</v>
      </c>
      <c r="Q57" s="130">
        <f t="shared" si="44"/>
        <v>0</v>
      </c>
      <c r="R57" s="130">
        <f t="shared" si="44"/>
        <v>0</v>
      </c>
      <c r="S57" s="130">
        <f t="shared" si="44"/>
        <v>0</v>
      </c>
      <c r="T57" s="131">
        <f t="shared" si="44"/>
        <v>0</v>
      </c>
    </row>
    <row r="58" spans="4:20" x14ac:dyDescent="0.2">
      <c r="D58" s="93"/>
      <c r="E58" s="512" t="s">
        <v>85</v>
      </c>
      <c r="F58" s="512"/>
      <c r="G58" s="65" t="s">
        <v>86</v>
      </c>
      <c r="H58" s="189">
        <f>138800</f>
        <v>138800</v>
      </c>
      <c r="I58" s="66">
        <f t="shared" ref="I58:I60" si="46">H58+J58</f>
        <v>138800</v>
      </c>
      <c r="J58" s="209">
        <f t="shared" ref="J58:J60" si="47">SUM(K58:T58)</f>
        <v>0</v>
      </c>
      <c r="K58" s="210"/>
      <c r="L58" s="210"/>
      <c r="M58" s="210"/>
      <c r="N58" s="210"/>
      <c r="O58" s="210"/>
      <c r="P58" s="210"/>
      <c r="Q58" s="210"/>
      <c r="R58" s="210"/>
      <c r="S58" s="210"/>
      <c r="T58" s="210"/>
    </row>
    <row r="59" spans="4:20" x14ac:dyDescent="0.2">
      <c r="D59" s="12"/>
      <c r="E59" s="513" t="s">
        <v>510</v>
      </c>
      <c r="F59" s="513"/>
      <c r="G59" s="28" t="s">
        <v>511</v>
      </c>
      <c r="H59" s="182">
        <v>0</v>
      </c>
      <c r="I59" s="29">
        <f t="shared" si="46"/>
        <v>0</v>
      </c>
      <c r="J59" s="207">
        <f t="shared" si="47"/>
        <v>0</v>
      </c>
      <c r="K59" s="208"/>
      <c r="L59" s="208"/>
      <c r="M59" s="208"/>
      <c r="N59" s="208"/>
      <c r="O59" s="208"/>
      <c r="P59" s="208"/>
      <c r="Q59" s="208"/>
      <c r="R59" s="208"/>
      <c r="S59" s="208"/>
      <c r="T59" s="208"/>
    </row>
    <row r="60" spans="4:20" ht="24" x14ac:dyDescent="0.2">
      <c r="D60" s="27"/>
      <c r="E60" s="495" t="s">
        <v>544</v>
      </c>
      <c r="F60" s="495"/>
      <c r="G60" s="10" t="s">
        <v>545</v>
      </c>
      <c r="H60" s="11">
        <f>220500</f>
        <v>220500</v>
      </c>
      <c r="I60" s="22">
        <f t="shared" si="46"/>
        <v>0</v>
      </c>
      <c r="J60" s="135">
        <f t="shared" si="47"/>
        <v>-220500</v>
      </c>
      <c r="K60" s="114"/>
      <c r="L60" s="114"/>
      <c r="M60" s="114"/>
      <c r="N60" s="114"/>
      <c r="O60" s="114"/>
      <c r="P60" s="114">
        <v>-220500</v>
      </c>
      <c r="Q60" s="114"/>
      <c r="R60" s="114"/>
      <c r="S60" s="114"/>
      <c r="T60" s="114"/>
    </row>
    <row r="61" spans="4:20" s="91" customFormat="1" x14ac:dyDescent="0.2">
      <c r="D61" s="503" t="s">
        <v>87</v>
      </c>
      <c r="E61" s="504"/>
      <c r="F61" s="504"/>
      <c r="G61" s="33" t="s">
        <v>88</v>
      </c>
      <c r="H61" s="8">
        <f t="shared" ref="H61" si="48">SUM(H62,H64)</f>
        <v>108880</v>
      </c>
      <c r="I61" s="21">
        <f t="shared" ref="I61:T61" si="49">SUM(I62,I64)</f>
        <v>152921</v>
      </c>
      <c r="J61" s="126">
        <f t="shared" ref="J61" si="50">SUM(J62,J64)</f>
        <v>44041</v>
      </c>
      <c r="K61" s="127">
        <f t="shared" si="49"/>
        <v>0</v>
      </c>
      <c r="L61" s="127">
        <f t="shared" si="49"/>
        <v>44041</v>
      </c>
      <c r="M61" s="127">
        <f t="shared" si="49"/>
        <v>0</v>
      </c>
      <c r="N61" s="127">
        <f t="shared" si="49"/>
        <v>0</v>
      </c>
      <c r="O61" s="127">
        <f t="shared" si="49"/>
        <v>0</v>
      </c>
      <c r="P61" s="127">
        <f t="shared" si="49"/>
        <v>0</v>
      </c>
      <c r="Q61" s="127">
        <f t="shared" si="49"/>
        <v>0</v>
      </c>
      <c r="R61" s="127">
        <f t="shared" si="49"/>
        <v>0</v>
      </c>
      <c r="S61" s="127">
        <f t="shared" si="49"/>
        <v>0</v>
      </c>
      <c r="T61" s="128">
        <f t="shared" si="49"/>
        <v>0</v>
      </c>
    </row>
    <row r="62" spans="4:20" s="90" customFormat="1" ht="24" x14ac:dyDescent="0.2">
      <c r="D62" s="9"/>
      <c r="E62" s="508" t="s">
        <v>89</v>
      </c>
      <c r="F62" s="509"/>
      <c r="G62" s="40" t="s">
        <v>90</v>
      </c>
      <c r="H62" s="204">
        <f t="shared" ref="H62:T62" si="51">SUM(H63)</f>
        <v>28380</v>
      </c>
      <c r="I62" s="22">
        <f t="shared" si="51"/>
        <v>28380</v>
      </c>
      <c r="J62" s="129">
        <f t="shared" si="51"/>
        <v>0</v>
      </c>
      <c r="K62" s="130">
        <f t="shared" si="51"/>
        <v>0</v>
      </c>
      <c r="L62" s="130">
        <f t="shared" si="51"/>
        <v>0</v>
      </c>
      <c r="M62" s="130">
        <f t="shared" si="51"/>
        <v>0</v>
      </c>
      <c r="N62" s="130">
        <f t="shared" si="51"/>
        <v>0</v>
      </c>
      <c r="O62" s="130">
        <f t="shared" si="51"/>
        <v>0</v>
      </c>
      <c r="P62" s="130">
        <f t="shared" si="51"/>
        <v>0</v>
      </c>
      <c r="Q62" s="130">
        <f t="shared" si="51"/>
        <v>0</v>
      </c>
      <c r="R62" s="130">
        <f t="shared" si="51"/>
        <v>0</v>
      </c>
      <c r="S62" s="130">
        <f t="shared" si="51"/>
        <v>0</v>
      </c>
      <c r="T62" s="131">
        <f t="shared" si="51"/>
        <v>0</v>
      </c>
    </row>
    <row r="63" spans="4:20" ht="24" x14ac:dyDescent="0.2">
      <c r="D63" s="12"/>
      <c r="E63" s="510" t="s">
        <v>91</v>
      </c>
      <c r="F63" s="511"/>
      <c r="G63" s="41" t="s">
        <v>92</v>
      </c>
      <c r="H63" s="188">
        <f>28380</f>
        <v>28380</v>
      </c>
      <c r="I63" s="68">
        <f>H63+J63</f>
        <v>28380</v>
      </c>
      <c r="J63" s="135">
        <f>SUM(K63:T63)</f>
        <v>0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4:20" s="90" customFormat="1" x14ac:dyDescent="0.2">
      <c r="D64" s="9"/>
      <c r="E64" s="495" t="s">
        <v>93</v>
      </c>
      <c r="F64" s="495"/>
      <c r="G64" s="10" t="s">
        <v>135</v>
      </c>
      <c r="H64" s="11">
        <f t="shared" ref="H64" si="52">SUM(H65+H68)</f>
        <v>80500</v>
      </c>
      <c r="I64" s="22">
        <f t="shared" ref="I64:T64" si="53">SUM(I65+I68)</f>
        <v>124541</v>
      </c>
      <c r="J64" s="129">
        <f t="shared" ref="J64" si="54">SUM(J65+J68)</f>
        <v>44041</v>
      </c>
      <c r="K64" s="130">
        <f t="shared" si="53"/>
        <v>0</v>
      </c>
      <c r="L64" s="130">
        <f>SUM(L65+L68)</f>
        <v>44041</v>
      </c>
      <c r="M64" s="130">
        <f t="shared" si="53"/>
        <v>0</v>
      </c>
      <c r="N64" s="130">
        <f t="shared" si="53"/>
        <v>0</v>
      </c>
      <c r="O64" s="130">
        <f t="shared" si="53"/>
        <v>0</v>
      </c>
      <c r="P64" s="130">
        <f t="shared" si="53"/>
        <v>0</v>
      </c>
      <c r="Q64" s="130">
        <f t="shared" si="53"/>
        <v>0</v>
      </c>
      <c r="R64" s="130">
        <f t="shared" si="53"/>
        <v>0</v>
      </c>
      <c r="S64" s="130">
        <f t="shared" si="53"/>
        <v>0</v>
      </c>
      <c r="T64" s="131">
        <f t="shared" si="53"/>
        <v>0</v>
      </c>
    </row>
    <row r="65" spans="4:20" s="90" customFormat="1" x14ac:dyDescent="0.2">
      <c r="D65" s="110"/>
      <c r="E65" s="467" t="s">
        <v>602</v>
      </c>
      <c r="F65" s="497"/>
      <c r="G65" s="13" t="s">
        <v>605</v>
      </c>
      <c r="H65" s="178">
        <f t="shared" ref="H65" si="55">SUM(H66:H67)</f>
        <v>0</v>
      </c>
      <c r="I65" s="14">
        <f t="shared" ref="I65:T65" si="56">SUM(I66:I67)</f>
        <v>7310</v>
      </c>
      <c r="J65" s="123">
        <f t="shared" ref="J65:J67" si="57">SUM(K65:T65)</f>
        <v>7310</v>
      </c>
      <c r="K65" s="124">
        <f t="shared" si="56"/>
        <v>0</v>
      </c>
      <c r="L65" s="124">
        <f t="shared" si="56"/>
        <v>7310</v>
      </c>
      <c r="M65" s="124">
        <f t="shared" si="56"/>
        <v>0</v>
      </c>
      <c r="N65" s="124">
        <f t="shared" si="56"/>
        <v>0</v>
      </c>
      <c r="O65" s="124">
        <f t="shared" si="56"/>
        <v>0</v>
      </c>
      <c r="P65" s="124">
        <f t="shared" si="56"/>
        <v>0</v>
      </c>
      <c r="Q65" s="124">
        <f t="shared" si="56"/>
        <v>0</v>
      </c>
      <c r="R65" s="124">
        <f t="shared" si="56"/>
        <v>0</v>
      </c>
      <c r="S65" s="124">
        <f t="shared" si="56"/>
        <v>0</v>
      </c>
      <c r="T65" s="125">
        <f t="shared" si="56"/>
        <v>0</v>
      </c>
    </row>
    <row r="66" spans="4:20" s="90" customFormat="1" x14ac:dyDescent="0.2">
      <c r="D66" s="110"/>
      <c r="E66" s="500" t="s">
        <v>603</v>
      </c>
      <c r="F66" s="501"/>
      <c r="G66" s="13" t="s">
        <v>606</v>
      </c>
      <c r="H66" s="178">
        <v>0</v>
      </c>
      <c r="I66" s="14">
        <f>H66+J66</f>
        <v>7310</v>
      </c>
      <c r="J66" s="135">
        <f t="shared" si="57"/>
        <v>7310</v>
      </c>
      <c r="K66" s="168"/>
      <c r="L66" s="114">
        <f>7310</f>
        <v>7310</v>
      </c>
      <c r="M66" s="168"/>
      <c r="N66" s="168"/>
      <c r="O66" s="168"/>
      <c r="P66" s="168"/>
      <c r="Q66" s="168"/>
      <c r="R66" s="168"/>
      <c r="S66" s="168"/>
      <c r="T66" s="168"/>
    </row>
    <row r="67" spans="4:20" s="90" customFormat="1" x14ac:dyDescent="0.2">
      <c r="D67" s="110"/>
      <c r="E67" s="500" t="s">
        <v>604</v>
      </c>
      <c r="F67" s="501"/>
      <c r="G67" s="13" t="s">
        <v>607</v>
      </c>
      <c r="H67" s="178">
        <v>0</v>
      </c>
      <c r="I67" s="14">
        <f>H67+J67</f>
        <v>0</v>
      </c>
      <c r="J67" s="135">
        <f t="shared" si="57"/>
        <v>0</v>
      </c>
      <c r="K67" s="168"/>
      <c r="L67" s="168"/>
      <c r="M67" s="168"/>
      <c r="N67" s="168"/>
      <c r="O67" s="168"/>
      <c r="P67" s="168"/>
      <c r="Q67" s="168"/>
      <c r="R67" s="168"/>
      <c r="S67" s="168"/>
      <c r="T67" s="168"/>
    </row>
    <row r="68" spans="4:20" x14ac:dyDescent="0.2">
      <c r="D68" s="12"/>
      <c r="E68" s="502" t="s">
        <v>136</v>
      </c>
      <c r="F68" s="502"/>
      <c r="G68" s="13" t="s">
        <v>94</v>
      </c>
      <c r="H68" s="178">
        <f t="shared" ref="H68" si="58">SUM(H69:H70)</f>
        <v>80500</v>
      </c>
      <c r="I68" s="14">
        <f t="shared" ref="I68:T68" si="59">SUM(I69:I70)</f>
        <v>117231</v>
      </c>
      <c r="J68" s="123">
        <f t="shared" ref="J68" si="60">SUM(J69:J70)</f>
        <v>36731</v>
      </c>
      <c r="K68" s="124">
        <f t="shared" si="59"/>
        <v>0</v>
      </c>
      <c r="L68" s="124">
        <f t="shared" si="59"/>
        <v>36731</v>
      </c>
      <c r="M68" s="124">
        <f t="shared" si="59"/>
        <v>0</v>
      </c>
      <c r="N68" s="124">
        <f t="shared" si="59"/>
        <v>0</v>
      </c>
      <c r="O68" s="124">
        <f t="shared" si="59"/>
        <v>0</v>
      </c>
      <c r="P68" s="124">
        <f t="shared" si="59"/>
        <v>0</v>
      </c>
      <c r="Q68" s="124">
        <f t="shared" si="59"/>
        <v>0</v>
      </c>
      <c r="R68" s="124">
        <f t="shared" si="59"/>
        <v>0</v>
      </c>
      <c r="S68" s="124">
        <f t="shared" si="59"/>
        <v>0</v>
      </c>
      <c r="T68" s="125">
        <f t="shared" si="59"/>
        <v>0</v>
      </c>
    </row>
    <row r="69" spans="4:20" x14ac:dyDescent="0.2">
      <c r="D69" s="93"/>
      <c r="E69" s="498" t="s">
        <v>160</v>
      </c>
      <c r="F69" s="499"/>
      <c r="G69" s="65" t="s">
        <v>161</v>
      </c>
      <c r="H69" s="189">
        <f>500</f>
        <v>500</v>
      </c>
      <c r="I69" s="66">
        <f>H69+J69</f>
        <v>500</v>
      </c>
      <c r="J69" s="135">
        <f t="shared" ref="J69:J70" si="61">SUM(K69:T69)</f>
        <v>0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4:20" ht="24" x14ac:dyDescent="0.2">
      <c r="D70" s="92"/>
      <c r="E70" s="493" t="s">
        <v>137</v>
      </c>
      <c r="F70" s="494"/>
      <c r="G70" s="76" t="s">
        <v>138</v>
      </c>
      <c r="H70" s="190">
        <f>80000</f>
        <v>80000</v>
      </c>
      <c r="I70" s="75">
        <f>H70+J70</f>
        <v>116731</v>
      </c>
      <c r="J70" s="135">
        <f t="shared" si="61"/>
        <v>36731</v>
      </c>
      <c r="K70" s="114"/>
      <c r="L70" s="114">
        <f>18500+51+797+2272+1692+4618+7267+1534</f>
        <v>36731</v>
      </c>
      <c r="M70" s="114"/>
      <c r="N70" s="114"/>
      <c r="O70" s="114"/>
      <c r="P70" s="114"/>
      <c r="Q70" s="114"/>
      <c r="R70" s="114"/>
      <c r="S70" s="114"/>
      <c r="T70" s="114"/>
    </row>
    <row r="71" spans="4:20" s="91" customFormat="1" ht="48" x14ac:dyDescent="0.2">
      <c r="D71" s="503" t="s">
        <v>95</v>
      </c>
      <c r="E71" s="504"/>
      <c r="F71" s="504"/>
      <c r="G71" s="33" t="s">
        <v>191</v>
      </c>
      <c r="H71" s="8">
        <f>SUM(H78,H76,H73,H72,H77)</f>
        <v>2169387</v>
      </c>
      <c r="I71" s="21">
        <f>SUM(I78,I76,I73,I72,I77)</f>
        <v>2241051</v>
      </c>
      <c r="J71" s="126">
        <f t="shared" ref="J71:T71" si="62">SUM(J78,J76,J73,J72,J77)</f>
        <v>71664</v>
      </c>
      <c r="K71" s="127">
        <f t="shared" si="62"/>
        <v>0</v>
      </c>
      <c r="L71" s="127">
        <f t="shared" si="62"/>
        <v>0</v>
      </c>
      <c r="M71" s="127">
        <f t="shared" si="62"/>
        <v>0</v>
      </c>
      <c r="N71" s="127">
        <f t="shared" si="62"/>
        <v>0</v>
      </c>
      <c r="O71" s="127">
        <f t="shared" si="62"/>
        <v>0</v>
      </c>
      <c r="P71" s="127">
        <f t="shared" si="62"/>
        <v>71664</v>
      </c>
      <c r="Q71" s="127">
        <f t="shared" si="62"/>
        <v>0</v>
      </c>
      <c r="R71" s="127">
        <f t="shared" si="62"/>
        <v>0</v>
      </c>
      <c r="S71" s="127">
        <f t="shared" si="62"/>
        <v>0</v>
      </c>
      <c r="T71" s="128">
        <f t="shared" si="62"/>
        <v>0</v>
      </c>
    </row>
    <row r="72" spans="4:20" s="90" customFormat="1" ht="12.75" x14ac:dyDescent="0.2">
      <c r="D72" s="72"/>
      <c r="E72" s="73" t="s">
        <v>269</v>
      </c>
      <c r="F72" s="73"/>
      <c r="G72" s="74" t="s">
        <v>268</v>
      </c>
      <c r="H72" s="191">
        <v>0</v>
      </c>
      <c r="I72" s="22">
        <f>H72+J72</f>
        <v>0</v>
      </c>
      <c r="J72" s="167">
        <f>SUM(K72:T72)</f>
        <v>0</v>
      </c>
      <c r="K72" s="168"/>
      <c r="L72" s="168"/>
      <c r="M72" s="168"/>
      <c r="N72" s="168"/>
      <c r="O72" s="168"/>
      <c r="P72" s="168"/>
      <c r="Q72" s="168"/>
      <c r="R72" s="168"/>
      <c r="S72" s="168"/>
      <c r="T72" s="168"/>
    </row>
    <row r="73" spans="4:20" s="90" customFormat="1" x14ac:dyDescent="0.2">
      <c r="D73" s="9"/>
      <c r="E73" s="495" t="s">
        <v>282</v>
      </c>
      <c r="F73" s="495"/>
      <c r="G73" s="10" t="s">
        <v>285</v>
      </c>
      <c r="H73" s="11">
        <f>SUM(H74:H75)</f>
        <v>1918828</v>
      </c>
      <c r="I73" s="22">
        <f>SUM(I74:I75)</f>
        <v>1918828</v>
      </c>
      <c r="J73" s="129">
        <f t="shared" ref="J73:T73" si="63">SUM(J74:J75)</f>
        <v>0</v>
      </c>
      <c r="K73" s="130">
        <f t="shared" si="63"/>
        <v>0</v>
      </c>
      <c r="L73" s="130">
        <f t="shared" si="63"/>
        <v>0</v>
      </c>
      <c r="M73" s="130">
        <f t="shared" si="63"/>
        <v>0</v>
      </c>
      <c r="N73" s="130">
        <f t="shared" si="63"/>
        <v>0</v>
      </c>
      <c r="O73" s="130">
        <f t="shared" si="63"/>
        <v>0</v>
      </c>
      <c r="P73" s="130">
        <f t="shared" si="63"/>
        <v>0</v>
      </c>
      <c r="Q73" s="130">
        <f t="shared" si="63"/>
        <v>0</v>
      </c>
      <c r="R73" s="130">
        <f t="shared" si="63"/>
        <v>0</v>
      </c>
      <c r="S73" s="130">
        <f t="shared" si="63"/>
        <v>0</v>
      </c>
      <c r="T73" s="131">
        <f t="shared" si="63"/>
        <v>0</v>
      </c>
    </row>
    <row r="74" spans="4:20" s="90" customFormat="1" x14ac:dyDescent="0.2">
      <c r="D74" s="9"/>
      <c r="E74" s="502" t="s">
        <v>162</v>
      </c>
      <c r="F74" s="502"/>
      <c r="G74" s="24" t="s">
        <v>163</v>
      </c>
      <c r="H74" s="181">
        <f>1918828</f>
        <v>1918828</v>
      </c>
      <c r="I74" s="25">
        <f t="shared" ref="I74:I77" si="64">H74+J74</f>
        <v>1918828</v>
      </c>
      <c r="J74" s="167">
        <f t="shared" ref="J74:J77" si="65">SUM(K74:T74)</f>
        <v>0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</row>
    <row r="75" spans="4:20" s="90" customFormat="1" x14ac:dyDescent="0.2">
      <c r="D75" s="9"/>
      <c r="E75" s="467" t="s">
        <v>283</v>
      </c>
      <c r="F75" s="467"/>
      <c r="G75" s="24" t="s">
        <v>284</v>
      </c>
      <c r="H75" s="181">
        <v>0</v>
      </c>
      <c r="I75" s="25">
        <f t="shared" si="64"/>
        <v>0</v>
      </c>
      <c r="J75" s="167">
        <f t="shared" si="65"/>
        <v>0</v>
      </c>
      <c r="K75" s="168"/>
      <c r="L75" s="168"/>
      <c r="M75" s="168"/>
      <c r="N75" s="168"/>
      <c r="O75" s="168"/>
      <c r="P75" s="168"/>
      <c r="Q75" s="168"/>
      <c r="R75" s="168"/>
      <c r="S75" s="168"/>
      <c r="T75" s="168"/>
    </row>
    <row r="76" spans="4:20" s="90" customFormat="1" ht="24" x14ac:dyDescent="0.2">
      <c r="D76" s="9"/>
      <c r="E76" s="507" t="s">
        <v>164</v>
      </c>
      <c r="F76" s="507"/>
      <c r="G76" s="24" t="s">
        <v>165</v>
      </c>
      <c r="H76" s="181">
        <v>0</v>
      </c>
      <c r="I76" s="25">
        <f t="shared" si="64"/>
        <v>0</v>
      </c>
      <c r="J76" s="167">
        <f t="shared" si="65"/>
        <v>0</v>
      </c>
      <c r="K76" s="168"/>
      <c r="L76" s="168"/>
      <c r="M76" s="168"/>
      <c r="N76" s="168"/>
      <c r="O76" s="168"/>
      <c r="P76" s="168"/>
      <c r="Q76" s="168"/>
      <c r="R76" s="168"/>
      <c r="S76" s="168"/>
      <c r="T76" s="168"/>
    </row>
    <row r="77" spans="4:20" s="90" customFormat="1" ht="24" x14ac:dyDescent="0.2">
      <c r="D77" s="9"/>
      <c r="E77" s="87" t="s">
        <v>286</v>
      </c>
      <c r="F77" s="87"/>
      <c r="G77" s="10" t="s">
        <v>512</v>
      </c>
      <c r="H77" s="11">
        <v>0</v>
      </c>
      <c r="I77" s="22">
        <f t="shared" si="64"/>
        <v>0</v>
      </c>
      <c r="J77" s="167">
        <f t="shared" si="65"/>
        <v>0</v>
      </c>
      <c r="K77" s="168"/>
      <c r="L77" s="168"/>
      <c r="M77" s="168"/>
      <c r="N77" s="168"/>
      <c r="O77" s="168"/>
      <c r="P77" s="168"/>
      <c r="Q77" s="168"/>
      <c r="R77" s="168"/>
      <c r="S77" s="168"/>
      <c r="T77" s="168"/>
    </row>
    <row r="78" spans="4:20" s="90" customFormat="1" ht="24" x14ac:dyDescent="0.2">
      <c r="D78" s="9"/>
      <c r="E78" s="495" t="s">
        <v>167</v>
      </c>
      <c r="F78" s="495"/>
      <c r="G78" s="10" t="s">
        <v>129</v>
      </c>
      <c r="H78" s="11">
        <f>SUM(H79:H81)</f>
        <v>250559</v>
      </c>
      <c r="I78" s="22">
        <f>SUM(I79:I81)</f>
        <v>322223</v>
      </c>
      <c r="J78" s="129">
        <f t="shared" ref="J78:T78" si="66">SUM(J79:J81)</f>
        <v>71664</v>
      </c>
      <c r="K78" s="130">
        <f t="shared" si="66"/>
        <v>0</v>
      </c>
      <c r="L78" s="130">
        <f t="shared" si="66"/>
        <v>0</v>
      </c>
      <c r="M78" s="130">
        <f t="shared" si="66"/>
        <v>0</v>
      </c>
      <c r="N78" s="130">
        <f t="shared" si="66"/>
        <v>0</v>
      </c>
      <c r="O78" s="130">
        <f t="shared" si="66"/>
        <v>0</v>
      </c>
      <c r="P78" s="130">
        <f t="shared" si="66"/>
        <v>71664</v>
      </c>
      <c r="Q78" s="130">
        <f t="shared" si="66"/>
        <v>0</v>
      </c>
      <c r="R78" s="130">
        <f t="shared" si="66"/>
        <v>0</v>
      </c>
      <c r="S78" s="130">
        <f t="shared" si="66"/>
        <v>0</v>
      </c>
      <c r="T78" s="131">
        <f t="shared" si="66"/>
        <v>0</v>
      </c>
    </row>
    <row r="79" spans="4:20" x14ac:dyDescent="0.2">
      <c r="D79" s="12"/>
      <c r="E79" s="502" t="s">
        <v>168</v>
      </c>
      <c r="F79" s="502"/>
      <c r="G79" s="13" t="s">
        <v>130</v>
      </c>
      <c r="H79" s="178">
        <f>130000</f>
        <v>130000</v>
      </c>
      <c r="I79" s="14">
        <f t="shared" ref="I79:I81" si="67">H79+J79</f>
        <v>130000</v>
      </c>
      <c r="J79" s="135">
        <f t="shared" ref="J79:J81" si="68">SUM(K79:T79)</f>
        <v>0</v>
      </c>
      <c r="K79" s="114"/>
      <c r="L79" s="114"/>
      <c r="M79" s="114"/>
      <c r="N79" s="114"/>
      <c r="O79" s="114"/>
      <c r="P79" s="114"/>
      <c r="Q79" s="114"/>
      <c r="R79" s="114"/>
      <c r="S79" s="114"/>
      <c r="T79" s="114"/>
    </row>
    <row r="80" spans="4:20" x14ac:dyDescent="0.2">
      <c r="D80" s="23"/>
      <c r="E80" s="467" t="s">
        <v>169</v>
      </c>
      <c r="F80" s="467"/>
      <c r="G80" s="24" t="s">
        <v>131</v>
      </c>
      <c r="H80" s="181">
        <f>57000</f>
        <v>57000</v>
      </c>
      <c r="I80" s="25">
        <f t="shared" si="67"/>
        <v>57000</v>
      </c>
      <c r="J80" s="135">
        <f t="shared" si="68"/>
        <v>0</v>
      </c>
      <c r="K80" s="114"/>
      <c r="L80" s="114"/>
      <c r="M80" s="114"/>
      <c r="N80" s="114"/>
      <c r="O80" s="114"/>
      <c r="P80" s="114"/>
      <c r="Q80" s="114"/>
      <c r="R80" s="114"/>
      <c r="S80" s="114"/>
      <c r="T80" s="114"/>
    </row>
    <row r="81" spans="4:20" x14ac:dyDescent="0.2">
      <c r="D81" s="34"/>
      <c r="E81" s="506" t="s">
        <v>170</v>
      </c>
      <c r="F81" s="506"/>
      <c r="G81" s="35" t="s">
        <v>132</v>
      </c>
      <c r="H81" s="186">
        <f>63559</f>
        <v>63559</v>
      </c>
      <c r="I81" s="36">
        <f t="shared" si="67"/>
        <v>135223</v>
      </c>
      <c r="J81" s="135">
        <f t="shared" si="68"/>
        <v>71664</v>
      </c>
      <c r="K81" s="114"/>
      <c r="L81" s="114"/>
      <c r="M81" s="114"/>
      <c r="N81" s="114"/>
      <c r="O81" s="114"/>
      <c r="P81" s="114">
        <f>55000+16664</f>
        <v>71664</v>
      </c>
      <c r="Q81" s="114"/>
      <c r="R81" s="114"/>
      <c r="S81" s="114"/>
      <c r="T81" s="114"/>
    </row>
    <row r="82" spans="4:20" s="91" customFormat="1" x14ac:dyDescent="0.2">
      <c r="D82" s="503" t="s">
        <v>96</v>
      </c>
      <c r="E82" s="504"/>
      <c r="F82" s="504"/>
      <c r="G82" s="33" t="s">
        <v>97</v>
      </c>
      <c r="H82" s="8">
        <f t="shared" ref="H82:T82" si="69">SUM(H83)</f>
        <v>12778218</v>
      </c>
      <c r="I82" s="21">
        <f t="shared" si="69"/>
        <v>11751269</v>
      </c>
      <c r="J82" s="126">
        <f t="shared" si="69"/>
        <v>-1026949</v>
      </c>
      <c r="K82" s="127">
        <f t="shared" si="69"/>
        <v>7491</v>
      </c>
      <c r="L82" s="127">
        <f t="shared" si="69"/>
        <v>-1102988</v>
      </c>
      <c r="M82" s="127">
        <f t="shared" si="69"/>
        <v>0</v>
      </c>
      <c r="N82" s="127">
        <f t="shared" si="69"/>
        <v>39230</v>
      </c>
      <c r="O82" s="127">
        <f t="shared" si="69"/>
        <v>0</v>
      </c>
      <c r="P82" s="127">
        <f t="shared" si="69"/>
        <v>29318</v>
      </c>
      <c r="Q82" s="127">
        <f t="shared" si="69"/>
        <v>0</v>
      </c>
      <c r="R82" s="127">
        <f t="shared" si="69"/>
        <v>0</v>
      </c>
      <c r="S82" s="127">
        <f t="shared" si="69"/>
        <v>0</v>
      </c>
      <c r="T82" s="128">
        <f t="shared" si="69"/>
        <v>0</v>
      </c>
    </row>
    <row r="83" spans="4:20" s="90" customFormat="1" x14ac:dyDescent="0.2">
      <c r="D83" s="9"/>
      <c r="E83" s="495" t="s">
        <v>98</v>
      </c>
      <c r="F83" s="495"/>
      <c r="G83" s="10" t="s">
        <v>315</v>
      </c>
      <c r="H83" s="11">
        <f t="shared" ref="H83" si="70">SUM(,H84,H85,H86)</f>
        <v>12778218</v>
      </c>
      <c r="I83" s="22">
        <f t="shared" ref="I83:T83" si="71">SUM(,I84,I85,I86)</f>
        <v>11751269</v>
      </c>
      <c r="J83" s="129">
        <f t="shared" ref="J83" si="72">SUM(,J84,J85,J86)</f>
        <v>-1026949</v>
      </c>
      <c r="K83" s="130">
        <f t="shared" si="71"/>
        <v>7491</v>
      </c>
      <c r="L83" s="130">
        <f t="shared" si="71"/>
        <v>-1102988</v>
      </c>
      <c r="M83" s="130">
        <f t="shared" si="71"/>
        <v>0</v>
      </c>
      <c r="N83" s="130">
        <f>SUM(,N84,N85,N86)</f>
        <v>39230</v>
      </c>
      <c r="O83" s="130">
        <f t="shared" si="71"/>
        <v>0</v>
      </c>
      <c r="P83" s="130">
        <f t="shared" si="71"/>
        <v>29318</v>
      </c>
      <c r="Q83" s="130">
        <f t="shared" si="71"/>
        <v>0</v>
      </c>
      <c r="R83" s="130">
        <f t="shared" si="71"/>
        <v>0</v>
      </c>
      <c r="S83" s="130">
        <f t="shared" si="71"/>
        <v>0</v>
      </c>
      <c r="T83" s="131">
        <f t="shared" si="71"/>
        <v>0</v>
      </c>
    </row>
    <row r="84" spans="4:20" ht="24" x14ac:dyDescent="0.2">
      <c r="D84" s="23"/>
      <c r="E84" s="467" t="s">
        <v>99</v>
      </c>
      <c r="F84" s="467"/>
      <c r="G84" s="24" t="s">
        <v>311</v>
      </c>
      <c r="H84" s="181">
        <f>8935871+7000+227558</f>
        <v>9170429</v>
      </c>
      <c r="I84" s="25">
        <f t="shared" ref="I84:I86" si="73">H84+J84</f>
        <v>9289098</v>
      </c>
      <c r="J84" s="135">
        <f t="shared" ref="J84:J86" si="74">SUM(K84:T84)</f>
        <v>118669</v>
      </c>
      <c r="K84" s="114"/>
      <c r="L84" s="114">
        <f>-18500+2660+2710-2182-36480+100932+8399+29795</f>
        <v>87334</v>
      </c>
      <c r="M84" s="114"/>
      <c r="N84" s="114">
        <v>4000</v>
      </c>
      <c r="O84" s="114"/>
      <c r="P84" s="114">
        <f>24632+2703</f>
        <v>27335</v>
      </c>
      <c r="Q84" s="114"/>
      <c r="R84" s="114"/>
      <c r="S84" s="114"/>
      <c r="T84" s="114"/>
    </row>
    <row r="85" spans="4:20" ht="48" x14ac:dyDescent="0.2">
      <c r="D85" s="23"/>
      <c r="E85" s="467" t="s">
        <v>139</v>
      </c>
      <c r="F85" s="467"/>
      <c r="G85" s="24" t="s">
        <v>312</v>
      </c>
      <c r="H85" s="181">
        <f>3569359</f>
        <v>3569359</v>
      </c>
      <c r="I85" s="25">
        <f t="shared" si="73"/>
        <v>2403741</v>
      </c>
      <c r="J85" s="135">
        <f t="shared" si="74"/>
        <v>-1165618</v>
      </c>
      <c r="K85" s="114">
        <v>7491</v>
      </c>
      <c r="L85" s="114">
        <f>-1199113+8791</f>
        <v>-1190322</v>
      </c>
      <c r="M85" s="114"/>
      <c r="N85" s="114">
        <v>15230</v>
      </c>
      <c r="O85" s="114"/>
      <c r="P85" s="114">
        <v>1983</v>
      </c>
      <c r="Q85" s="114"/>
      <c r="R85" s="114"/>
      <c r="S85" s="114"/>
      <c r="T85" s="114"/>
    </row>
    <row r="86" spans="4:20" ht="24" x14ac:dyDescent="0.2">
      <c r="D86" s="34"/>
      <c r="E86" s="506" t="s">
        <v>140</v>
      </c>
      <c r="F86" s="506"/>
      <c r="G86" s="35" t="s">
        <v>313</v>
      </c>
      <c r="H86" s="186">
        <f>38430</f>
        <v>38430</v>
      </c>
      <c r="I86" s="36">
        <f t="shared" si="73"/>
        <v>58430</v>
      </c>
      <c r="J86" s="135">
        <f t="shared" si="74"/>
        <v>20000</v>
      </c>
      <c r="K86" s="114"/>
      <c r="L86" s="114"/>
      <c r="M86" s="114"/>
      <c r="N86" s="114">
        <v>20000</v>
      </c>
      <c r="O86" s="114"/>
      <c r="P86" s="114"/>
      <c r="Q86" s="114"/>
      <c r="R86" s="114"/>
      <c r="S86" s="114"/>
      <c r="T86" s="114"/>
    </row>
    <row r="87" spans="4:20" s="91" customFormat="1" x14ac:dyDescent="0.2">
      <c r="D87" s="503" t="s">
        <v>100</v>
      </c>
      <c r="E87" s="504"/>
      <c r="F87" s="504"/>
      <c r="G87" s="33" t="s">
        <v>101</v>
      </c>
      <c r="H87" s="8">
        <f>SUM(H88,H89)</f>
        <v>420700</v>
      </c>
      <c r="I87" s="21">
        <f>SUM(I88,I89)</f>
        <v>420700</v>
      </c>
      <c r="J87" s="126">
        <f>SUM(J88,J89)</f>
        <v>0</v>
      </c>
      <c r="K87" s="127">
        <f t="shared" ref="K87:T87" si="75">SUM(K88,K89)</f>
        <v>0</v>
      </c>
      <c r="L87" s="127">
        <f t="shared" si="75"/>
        <v>0</v>
      </c>
      <c r="M87" s="127">
        <f t="shared" si="75"/>
        <v>0</v>
      </c>
      <c r="N87" s="127">
        <f t="shared" si="75"/>
        <v>0</v>
      </c>
      <c r="O87" s="127">
        <f t="shared" si="75"/>
        <v>0</v>
      </c>
      <c r="P87" s="127">
        <f t="shared" si="75"/>
        <v>0</v>
      </c>
      <c r="Q87" s="127">
        <f t="shared" si="75"/>
        <v>0</v>
      </c>
      <c r="R87" s="127">
        <f t="shared" si="75"/>
        <v>0</v>
      </c>
      <c r="S87" s="127">
        <f t="shared" si="75"/>
        <v>0</v>
      </c>
      <c r="T87" s="128">
        <f t="shared" si="75"/>
        <v>0</v>
      </c>
    </row>
    <row r="88" spans="4:20" s="91" customFormat="1" ht="24" x14ac:dyDescent="0.2">
      <c r="D88" s="77"/>
      <c r="E88" s="495" t="s">
        <v>608</v>
      </c>
      <c r="F88" s="496"/>
      <c r="G88" s="10" t="s">
        <v>609</v>
      </c>
      <c r="H88" s="11">
        <v>0</v>
      </c>
      <c r="I88" s="22">
        <f>H88+J88</f>
        <v>0</v>
      </c>
      <c r="J88" s="169">
        <f>SUM(K88:T88)</f>
        <v>0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</row>
    <row r="89" spans="4:20" s="90" customFormat="1" ht="24" x14ac:dyDescent="0.2">
      <c r="D89" s="9"/>
      <c r="E89" s="495" t="s">
        <v>102</v>
      </c>
      <c r="F89" s="495"/>
      <c r="G89" s="10" t="s">
        <v>314</v>
      </c>
      <c r="H89" s="11">
        <f t="shared" ref="H89" si="76">SUM(H91,H90)</f>
        <v>420700</v>
      </c>
      <c r="I89" s="22">
        <f t="shared" ref="I89:T89" si="77">SUM(I91,I90)</f>
        <v>420700</v>
      </c>
      <c r="J89" s="129">
        <f t="shared" ref="J89" si="78">SUM(J91,J90)</f>
        <v>0</v>
      </c>
      <c r="K89" s="130">
        <f t="shared" si="77"/>
        <v>0</v>
      </c>
      <c r="L89" s="130">
        <f t="shared" si="77"/>
        <v>0</v>
      </c>
      <c r="M89" s="130">
        <f t="shared" si="77"/>
        <v>0</v>
      </c>
      <c r="N89" s="130">
        <f t="shared" si="77"/>
        <v>0</v>
      </c>
      <c r="O89" s="130">
        <f t="shared" si="77"/>
        <v>0</v>
      </c>
      <c r="P89" s="130">
        <f t="shared" si="77"/>
        <v>0</v>
      </c>
      <c r="Q89" s="130">
        <f t="shared" si="77"/>
        <v>0</v>
      </c>
      <c r="R89" s="130">
        <f t="shared" si="77"/>
        <v>0</v>
      </c>
      <c r="S89" s="130">
        <f t="shared" si="77"/>
        <v>0</v>
      </c>
      <c r="T89" s="131">
        <f t="shared" si="77"/>
        <v>0</v>
      </c>
    </row>
    <row r="90" spans="4:20" x14ac:dyDescent="0.2">
      <c r="D90" s="12"/>
      <c r="E90" s="502" t="s">
        <v>103</v>
      </c>
      <c r="F90" s="502"/>
      <c r="G90" s="13" t="s">
        <v>104</v>
      </c>
      <c r="H90" s="178">
        <f>420000</f>
        <v>420000</v>
      </c>
      <c r="I90" s="14">
        <f t="shared" ref="I90:I91" si="79">H90+J90</f>
        <v>420000</v>
      </c>
      <c r="J90" s="135">
        <f t="shared" ref="J90:J91" si="80">SUM(K90:T90)</f>
        <v>0</v>
      </c>
      <c r="K90" s="114"/>
      <c r="L90" s="114"/>
      <c r="M90" s="114"/>
      <c r="N90" s="114"/>
      <c r="O90" s="114"/>
      <c r="P90" s="114"/>
      <c r="Q90" s="114"/>
      <c r="R90" s="114"/>
      <c r="S90" s="114"/>
      <c r="T90" s="114"/>
    </row>
    <row r="91" spans="4:20" x14ac:dyDescent="0.2">
      <c r="D91" s="34"/>
      <c r="E91" s="502" t="s">
        <v>105</v>
      </c>
      <c r="F91" s="502"/>
      <c r="G91" s="35" t="s">
        <v>265</v>
      </c>
      <c r="H91" s="186">
        <f>700</f>
        <v>700</v>
      </c>
      <c r="I91" s="36">
        <f t="shared" si="79"/>
        <v>700</v>
      </c>
      <c r="J91" s="135">
        <f t="shared" si="80"/>
        <v>0</v>
      </c>
      <c r="K91" s="114"/>
      <c r="L91" s="114"/>
      <c r="M91" s="114"/>
      <c r="N91" s="114"/>
      <c r="O91" s="114"/>
      <c r="P91" s="114"/>
      <c r="Q91" s="114"/>
      <c r="R91" s="114"/>
      <c r="S91" s="114"/>
      <c r="T91" s="114"/>
    </row>
    <row r="92" spans="4:20" s="91" customFormat="1" x14ac:dyDescent="0.2">
      <c r="D92" s="503" t="s">
        <v>106</v>
      </c>
      <c r="E92" s="504"/>
      <c r="F92" s="505"/>
      <c r="G92" s="33" t="s">
        <v>706</v>
      </c>
      <c r="H92" s="8">
        <f>SUM(H93,H96,H113)</f>
        <v>1498743</v>
      </c>
      <c r="I92" s="21">
        <f t="shared" ref="I92:T92" si="81">SUM(I93,I96,I113)</f>
        <v>1615468</v>
      </c>
      <c r="J92" s="126">
        <f>SUM(J93,J96,J113)</f>
        <v>116725</v>
      </c>
      <c r="K92" s="127">
        <f t="shared" si="81"/>
        <v>0</v>
      </c>
      <c r="L92" s="127">
        <f t="shared" si="81"/>
        <v>20158</v>
      </c>
      <c r="M92" s="127">
        <f t="shared" si="81"/>
        <v>46703</v>
      </c>
      <c r="N92" s="127">
        <f t="shared" si="81"/>
        <v>38306</v>
      </c>
      <c r="O92" s="127">
        <f>SUM(O93,O96,O113)</f>
        <v>0</v>
      </c>
      <c r="P92" s="127">
        <f t="shared" si="81"/>
        <v>4058</v>
      </c>
      <c r="Q92" s="127">
        <f t="shared" si="81"/>
        <v>7500</v>
      </c>
      <c r="R92" s="127">
        <f t="shared" si="81"/>
        <v>0</v>
      </c>
      <c r="S92" s="127">
        <f t="shared" si="81"/>
        <v>0</v>
      </c>
      <c r="T92" s="128">
        <f t="shared" si="81"/>
        <v>0</v>
      </c>
    </row>
    <row r="93" spans="4:20" s="90" customFormat="1" x14ac:dyDescent="0.2">
      <c r="D93" s="42"/>
      <c r="E93" s="495" t="s">
        <v>107</v>
      </c>
      <c r="F93" s="496"/>
      <c r="G93" s="70" t="s">
        <v>707</v>
      </c>
      <c r="H93" s="192">
        <f>SUM(H94:H95)</f>
        <v>0</v>
      </c>
      <c r="I93" s="22">
        <f>SUM(I94:I95)</f>
        <v>7500</v>
      </c>
      <c r="J93" s="129">
        <f t="shared" ref="J93:T93" si="82">SUM(J94:J95)</f>
        <v>7500</v>
      </c>
      <c r="K93" s="130">
        <f t="shared" si="82"/>
        <v>0</v>
      </c>
      <c r="L93" s="130">
        <f t="shared" si="82"/>
        <v>0</v>
      </c>
      <c r="M93" s="130">
        <f t="shared" si="82"/>
        <v>0</v>
      </c>
      <c r="N93" s="130">
        <f t="shared" si="82"/>
        <v>0</v>
      </c>
      <c r="O93" s="130">
        <f t="shared" si="82"/>
        <v>0</v>
      </c>
      <c r="P93" s="130">
        <f t="shared" si="82"/>
        <v>0</v>
      </c>
      <c r="Q93" s="130">
        <f t="shared" si="82"/>
        <v>7500</v>
      </c>
      <c r="R93" s="130">
        <f t="shared" si="82"/>
        <v>0</v>
      </c>
      <c r="S93" s="130">
        <f t="shared" si="82"/>
        <v>0</v>
      </c>
      <c r="T93" s="131">
        <f t="shared" si="82"/>
        <v>0</v>
      </c>
    </row>
    <row r="94" spans="4:20" ht="48" x14ac:dyDescent="0.2">
      <c r="D94" s="94"/>
      <c r="E94" s="498" t="s">
        <v>166</v>
      </c>
      <c r="F94" s="499"/>
      <c r="G94" s="65" t="s">
        <v>708</v>
      </c>
      <c r="H94" s="189">
        <v>0</v>
      </c>
      <c r="I94" s="66">
        <f t="shared" ref="I94:I95" si="83">H94+J94</f>
        <v>0</v>
      </c>
      <c r="J94" s="135">
        <f t="shared" ref="J94:J95" si="84">SUM(K94:T94)</f>
        <v>0</v>
      </c>
      <c r="K94" s="114"/>
      <c r="L94" s="114"/>
      <c r="M94" s="114"/>
      <c r="N94" s="114"/>
      <c r="O94" s="114"/>
      <c r="P94" s="114"/>
      <c r="Q94" s="114"/>
      <c r="R94" s="114"/>
      <c r="S94" s="114"/>
      <c r="T94" s="114"/>
    </row>
    <row r="95" spans="4:20" ht="24" x14ac:dyDescent="0.2">
      <c r="D95" s="95"/>
      <c r="E95" s="493" t="s">
        <v>295</v>
      </c>
      <c r="F95" s="494"/>
      <c r="G95" s="76" t="s">
        <v>296</v>
      </c>
      <c r="H95" s="190">
        <v>0</v>
      </c>
      <c r="I95" s="75">
        <f t="shared" si="83"/>
        <v>7500</v>
      </c>
      <c r="J95" s="135">
        <f t="shared" si="84"/>
        <v>7500</v>
      </c>
      <c r="K95" s="114"/>
      <c r="L95" s="114"/>
      <c r="M95" s="114"/>
      <c r="N95" s="114"/>
      <c r="O95" s="114"/>
      <c r="P95" s="114"/>
      <c r="Q95" s="114">
        <v>7500</v>
      </c>
      <c r="R95" s="114"/>
      <c r="S95" s="114"/>
      <c r="T95" s="114"/>
    </row>
    <row r="96" spans="4:20" s="90" customFormat="1" ht="24" x14ac:dyDescent="0.2">
      <c r="D96" s="9"/>
      <c r="E96" s="495" t="s">
        <v>108</v>
      </c>
      <c r="F96" s="496"/>
      <c r="G96" s="10" t="s">
        <v>709</v>
      </c>
      <c r="H96" s="11">
        <f>SUM(H97,H101,H103,H107)</f>
        <v>1450173</v>
      </c>
      <c r="I96" s="22">
        <f t="shared" ref="I96:T96" si="85">SUM(I97,I101,I103,I107)</f>
        <v>1522421</v>
      </c>
      <c r="J96" s="129">
        <f t="shared" ref="J96" si="86">SUM(J97,J101,J103,J107)</f>
        <v>72248</v>
      </c>
      <c r="K96" s="130">
        <f t="shared" si="85"/>
        <v>0</v>
      </c>
      <c r="L96" s="130">
        <f t="shared" si="85"/>
        <v>19452</v>
      </c>
      <c r="M96" s="130">
        <f t="shared" si="85"/>
        <v>46703</v>
      </c>
      <c r="N96" s="130">
        <f t="shared" si="85"/>
        <v>3575</v>
      </c>
      <c r="O96" s="130">
        <f t="shared" si="85"/>
        <v>0</v>
      </c>
      <c r="P96" s="130">
        <f t="shared" si="85"/>
        <v>2518</v>
      </c>
      <c r="Q96" s="130">
        <f t="shared" si="85"/>
        <v>0</v>
      </c>
      <c r="R96" s="130">
        <f t="shared" si="85"/>
        <v>0</v>
      </c>
      <c r="S96" s="130">
        <f t="shared" si="85"/>
        <v>0</v>
      </c>
      <c r="T96" s="131">
        <f t="shared" si="85"/>
        <v>0</v>
      </c>
    </row>
    <row r="97" spans="4:20" x14ac:dyDescent="0.2">
      <c r="D97" s="12"/>
      <c r="E97" s="467" t="s">
        <v>109</v>
      </c>
      <c r="F97" s="497"/>
      <c r="G97" s="13" t="s">
        <v>110</v>
      </c>
      <c r="H97" s="178">
        <f t="shared" ref="H97" si="87">SUM(H98:H100)</f>
        <v>161519</v>
      </c>
      <c r="I97" s="14">
        <f t="shared" ref="I97:T97" si="88">SUM(I98:I100)</f>
        <v>179821</v>
      </c>
      <c r="J97" s="123">
        <f t="shared" ref="J97" si="89">SUM(J98:J100)</f>
        <v>18302</v>
      </c>
      <c r="K97" s="124">
        <f t="shared" si="88"/>
        <v>0</v>
      </c>
      <c r="L97" s="124">
        <f t="shared" si="88"/>
        <v>14727</v>
      </c>
      <c r="M97" s="124">
        <f t="shared" si="88"/>
        <v>0</v>
      </c>
      <c r="N97" s="124">
        <f t="shared" si="88"/>
        <v>3575</v>
      </c>
      <c r="O97" s="124">
        <f t="shared" si="88"/>
        <v>0</v>
      </c>
      <c r="P97" s="124">
        <f t="shared" si="88"/>
        <v>0</v>
      </c>
      <c r="Q97" s="124">
        <f t="shared" si="88"/>
        <v>0</v>
      </c>
      <c r="R97" s="124">
        <f t="shared" si="88"/>
        <v>0</v>
      </c>
      <c r="S97" s="124">
        <f t="shared" si="88"/>
        <v>0</v>
      </c>
      <c r="T97" s="125">
        <f t="shared" si="88"/>
        <v>0</v>
      </c>
    </row>
    <row r="98" spans="4:20" x14ac:dyDescent="0.2">
      <c r="D98" s="15"/>
      <c r="E98" s="498" t="s">
        <v>111</v>
      </c>
      <c r="F98" s="499"/>
      <c r="G98" s="19" t="s">
        <v>227</v>
      </c>
      <c r="H98" s="182">
        <f>107393</f>
        <v>107393</v>
      </c>
      <c r="I98" s="17">
        <f t="shared" ref="I98:I100" si="90">H98+J98</f>
        <v>107393</v>
      </c>
      <c r="J98" s="135">
        <f t="shared" ref="J98:J100" si="91">SUM(K98:T98)</f>
        <v>0</v>
      </c>
      <c r="K98" s="114"/>
      <c r="L98" s="114"/>
      <c r="M98" s="114"/>
      <c r="N98" s="114"/>
      <c r="O98" s="114"/>
      <c r="P98" s="114"/>
      <c r="Q98" s="114"/>
      <c r="R98" s="114"/>
      <c r="S98" s="114"/>
      <c r="T98" s="114"/>
    </row>
    <row r="99" spans="4:20" x14ac:dyDescent="0.2">
      <c r="D99" s="37"/>
      <c r="E99" s="482" t="s">
        <v>112</v>
      </c>
      <c r="F99" s="483"/>
      <c r="G99" s="38" t="s">
        <v>113</v>
      </c>
      <c r="H99" s="179">
        <f>36196</f>
        <v>36196</v>
      </c>
      <c r="I99" s="17">
        <f t="shared" si="90"/>
        <v>54498</v>
      </c>
      <c r="J99" s="135">
        <f t="shared" si="91"/>
        <v>18302</v>
      </c>
      <c r="K99" s="114"/>
      <c r="L99" s="114">
        <f>14727</f>
        <v>14727</v>
      </c>
      <c r="M99" s="114"/>
      <c r="N99" s="114">
        <v>3575</v>
      </c>
      <c r="O99" s="114"/>
      <c r="P99" s="114"/>
      <c r="Q99" s="114"/>
      <c r="R99" s="114"/>
      <c r="S99" s="114"/>
      <c r="T99" s="114"/>
    </row>
    <row r="100" spans="4:20" x14ac:dyDescent="0.2">
      <c r="D100" s="18"/>
      <c r="E100" s="493" t="s">
        <v>114</v>
      </c>
      <c r="F100" s="494"/>
      <c r="G100" s="19" t="s">
        <v>228</v>
      </c>
      <c r="H100" s="182">
        <f>17930</f>
        <v>17930</v>
      </c>
      <c r="I100" s="17">
        <f t="shared" si="90"/>
        <v>17930</v>
      </c>
      <c r="J100" s="135">
        <f t="shared" si="91"/>
        <v>0</v>
      </c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</row>
    <row r="101" spans="4:20" ht="24" x14ac:dyDescent="0.2">
      <c r="D101" s="23"/>
      <c r="E101" s="467" t="s">
        <v>115</v>
      </c>
      <c r="F101" s="497"/>
      <c r="G101" s="24" t="s">
        <v>116</v>
      </c>
      <c r="H101" s="181">
        <f>SUM(H102:H102)</f>
        <v>44210</v>
      </c>
      <c r="I101" s="25">
        <f>SUM(I102:I102)</f>
        <v>44210</v>
      </c>
      <c r="J101" s="132">
        <f t="shared" ref="J101:T101" si="92">SUM(J102:J102)</f>
        <v>0</v>
      </c>
      <c r="K101" s="133">
        <f t="shared" si="92"/>
        <v>0</v>
      </c>
      <c r="L101" s="133">
        <f t="shared" si="92"/>
        <v>0</v>
      </c>
      <c r="M101" s="133">
        <f t="shared" si="92"/>
        <v>0</v>
      </c>
      <c r="N101" s="133">
        <f t="shared" si="92"/>
        <v>0</v>
      </c>
      <c r="O101" s="133">
        <f t="shared" si="92"/>
        <v>0</v>
      </c>
      <c r="P101" s="133">
        <f t="shared" si="92"/>
        <v>0</v>
      </c>
      <c r="Q101" s="133">
        <f t="shared" si="92"/>
        <v>0</v>
      </c>
      <c r="R101" s="133">
        <f t="shared" si="92"/>
        <v>0</v>
      </c>
      <c r="S101" s="133">
        <f t="shared" si="92"/>
        <v>0</v>
      </c>
      <c r="T101" s="134">
        <f t="shared" si="92"/>
        <v>0</v>
      </c>
    </row>
    <row r="102" spans="4:20" ht="24" x14ac:dyDescent="0.2">
      <c r="D102" s="27"/>
      <c r="E102" s="500" t="s">
        <v>117</v>
      </c>
      <c r="F102" s="501"/>
      <c r="G102" s="38" t="s">
        <v>229</v>
      </c>
      <c r="H102" s="179">
        <f>44210</f>
        <v>44210</v>
      </c>
      <c r="I102" s="17">
        <f>H102+J102</f>
        <v>44210</v>
      </c>
      <c r="J102" s="135">
        <f>SUM(K102:T102)</f>
        <v>0</v>
      </c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</row>
    <row r="103" spans="4:20" x14ac:dyDescent="0.2">
      <c r="D103" s="23"/>
      <c r="E103" s="467" t="s">
        <v>118</v>
      </c>
      <c r="F103" s="497"/>
      <c r="G103" s="24" t="s">
        <v>231</v>
      </c>
      <c r="H103" s="181">
        <f t="shared" ref="H103" si="93">SUM(H104:H106)</f>
        <v>236313</v>
      </c>
      <c r="I103" s="25">
        <f t="shared" ref="I103:T103" si="94">SUM(I104:I106)</f>
        <v>231338</v>
      </c>
      <c r="J103" s="132">
        <f t="shared" ref="J103" si="95">SUM(J104:J106)</f>
        <v>-4975</v>
      </c>
      <c r="K103" s="133">
        <f t="shared" si="94"/>
        <v>0</v>
      </c>
      <c r="L103" s="133">
        <f t="shared" si="94"/>
        <v>525</v>
      </c>
      <c r="M103" s="133">
        <f t="shared" si="94"/>
        <v>0</v>
      </c>
      <c r="N103" s="133">
        <f t="shared" si="94"/>
        <v>0</v>
      </c>
      <c r="O103" s="133">
        <f t="shared" si="94"/>
        <v>-5500</v>
      </c>
      <c r="P103" s="133">
        <f t="shared" si="94"/>
        <v>0</v>
      </c>
      <c r="Q103" s="133">
        <f t="shared" si="94"/>
        <v>0</v>
      </c>
      <c r="R103" s="133">
        <f t="shared" si="94"/>
        <v>0</v>
      </c>
      <c r="S103" s="133">
        <f t="shared" si="94"/>
        <v>0</v>
      </c>
      <c r="T103" s="134">
        <f t="shared" si="94"/>
        <v>0</v>
      </c>
    </row>
    <row r="104" spans="4:20" x14ac:dyDescent="0.2">
      <c r="D104" s="15"/>
      <c r="E104" s="498" t="s">
        <v>119</v>
      </c>
      <c r="F104" s="499"/>
      <c r="G104" s="16" t="s">
        <v>183</v>
      </c>
      <c r="H104" s="179">
        <f>232715</f>
        <v>232715</v>
      </c>
      <c r="I104" s="17">
        <f t="shared" ref="I104:I106" si="96">H104+J104</f>
        <v>227740</v>
      </c>
      <c r="J104" s="135">
        <f t="shared" ref="J104:J106" si="97">SUM(K104:T104)</f>
        <v>-4975</v>
      </c>
      <c r="K104" s="114"/>
      <c r="L104" s="114">
        <f>525</f>
        <v>525</v>
      </c>
      <c r="M104" s="114"/>
      <c r="N104" s="114"/>
      <c r="O104" s="114">
        <v>-5500</v>
      </c>
      <c r="P104" s="114"/>
      <c r="Q104" s="114"/>
      <c r="R104" s="114"/>
      <c r="S104" s="114"/>
      <c r="T104" s="114"/>
    </row>
    <row r="105" spans="4:20" x14ac:dyDescent="0.2">
      <c r="D105" s="37"/>
      <c r="E105" s="482" t="s">
        <v>120</v>
      </c>
      <c r="F105" s="483"/>
      <c r="G105" s="38" t="s">
        <v>230</v>
      </c>
      <c r="H105" s="179">
        <f>3598</f>
        <v>3598</v>
      </c>
      <c r="I105" s="17">
        <f t="shared" si="96"/>
        <v>3598</v>
      </c>
      <c r="J105" s="135">
        <f t="shared" si="97"/>
        <v>0</v>
      </c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</row>
    <row r="106" spans="4:20" x14ac:dyDescent="0.2">
      <c r="D106" s="27"/>
      <c r="E106" s="88"/>
      <c r="F106" s="78" t="s">
        <v>329</v>
      </c>
      <c r="G106" s="28" t="s">
        <v>330</v>
      </c>
      <c r="H106" s="182">
        <v>0</v>
      </c>
      <c r="I106" s="17">
        <f t="shared" si="96"/>
        <v>0</v>
      </c>
      <c r="J106" s="135">
        <f t="shared" si="97"/>
        <v>0</v>
      </c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</row>
    <row r="107" spans="4:20" ht="24" x14ac:dyDescent="0.2">
      <c r="D107" s="23"/>
      <c r="E107" s="467" t="s">
        <v>121</v>
      </c>
      <c r="F107" s="497"/>
      <c r="G107" s="24" t="s">
        <v>710</v>
      </c>
      <c r="H107" s="181">
        <f t="shared" ref="H107" si="98">SUM(H108:H112)</f>
        <v>1008131</v>
      </c>
      <c r="I107" s="25">
        <f t="shared" ref="I107:T107" si="99">SUM(I108:I112)</f>
        <v>1067052</v>
      </c>
      <c r="J107" s="132">
        <f t="shared" ref="J107" si="100">SUM(J108:J112)</f>
        <v>58921</v>
      </c>
      <c r="K107" s="133">
        <f t="shared" si="99"/>
        <v>0</v>
      </c>
      <c r="L107" s="133">
        <f t="shared" si="99"/>
        <v>4200</v>
      </c>
      <c r="M107" s="133">
        <f t="shared" si="99"/>
        <v>46703</v>
      </c>
      <c r="N107" s="133">
        <f t="shared" si="99"/>
        <v>0</v>
      </c>
      <c r="O107" s="133">
        <f t="shared" si="99"/>
        <v>5500</v>
      </c>
      <c r="P107" s="133">
        <f t="shared" si="99"/>
        <v>2518</v>
      </c>
      <c r="Q107" s="133">
        <f t="shared" si="99"/>
        <v>0</v>
      </c>
      <c r="R107" s="133">
        <f t="shared" si="99"/>
        <v>0</v>
      </c>
      <c r="S107" s="133">
        <f t="shared" si="99"/>
        <v>0</v>
      </c>
      <c r="T107" s="134">
        <f t="shared" si="99"/>
        <v>0</v>
      </c>
    </row>
    <row r="108" spans="4:20" ht="24" x14ac:dyDescent="0.2">
      <c r="D108" s="15"/>
      <c r="E108" s="498" t="s">
        <v>122</v>
      </c>
      <c r="F108" s="499"/>
      <c r="G108" s="19" t="s">
        <v>232</v>
      </c>
      <c r="H108" s="182">
        <f>477470</f>
        <v>477470</v>
      </c>
      <c r="I108" s="17">
        <f t="shared" ref="I108:I111" si="101">H108+J108</f>
        <v>477470</v>
      </c>
      <c r="J108" s="135">
        <f t="shared" ref="J108:J112" si="102">SUM(K108:T108)</f>
        <v>0</v>
      </c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</row>
    <row r="109" spans="4:20" x14ac:dyDescent="0.2">
      <c r="D109" s="37"/>
      <c r="E109" s="482" t="s">
        <v>123</v>
      </c>
      <c r="F109" s="483"/>
      <c r="G109" s="19" t="s">
        <v>254</v>
      </c>
      <c r="H109" s="182">
        <f>19817</f>
        <v>19817</v>
      </c>
      <c r="I109" s="17">
        <f t="shared" si="101"/>
        <v>19817</v>
      </c>
      <c r="J109" s="135">
        <f t="shared" si="102"/>
        <v>0</v>
      </c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</row>
    <row r="110" spans="4:20" x14ac:dyDescent="0.2">
      <c r="D110" s="37"/>
      <c r="E110" s="482" t="s">
        <v>124</v>
      </c>
      <c r="F110" s="483"/>
      <c r="G110" s="19" t="s">
        <v>233</v>
      </c>
      <c r="H110" s="182">
        <v>0</v>
      </c>
      <c r="I110" s="17">
        <f t="shared" si="101"/>
        <v>0</v>
      </c>
      <c r="J110" s="135">
        <f t="shared" si="102"/>
        <v>0</v>
      </c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</row>
    <row r="111" spans="4:20" ht="36" x14ac:dyDescent="0.2">
      <c r="D111" s="18"/>
      <c r="E111" s="482" t="s">
        <v>513</v>
      </c>
      <c r="F111" s="483"/>
      <c r="G111" s="19" t="s">
        <v>711</v>
      </c>
      <c r="H111" s="182">
        <v>0</v>
      </c>
      <c r="I111" s="17">
        <f t="shared" si="101"/>
        <v>0</v>
      </c>
      <c r="J111" s="135">
        <f t="shared" si="102"/>
        <v>0</v>
      </c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4:20" x14ac:dyDescent="0.2">
      <c r="D112" s="18"/>
      <c r="E112" s="493" t="s">
        <v>125</v>
      </c>
      <c r="F112" s="494"/>
      <c r="G112" s="19" t="s">
        <v>234</v>
      </c>
      <c r="H112" s="182">
        <f>510844</f>
        <v>510844</v>
      </c>
      <c r="I112" s="17">
        <f>H112+J112</f>
        <v>569765</v>
      </c>
      <c r="J112" s="135">
        <f t="shared" si="102"/>
        <v>58921</v>
      </c>
      <c r="K112" s="114"/>
      <c r="L112" s="114">
        <f>4200</f>
        <v>4200</v>
      </c>
      <c r="M112" s="114">
        <f>740+45963</f>
        <v>46703</v>
      </c>
      <c r="N112" s="114"/>
      <c r="O112" s="114">
        <v>5500</v>
      </c>
      <c r="P112" s="114">
        <f>2500+18</f>
        <v>2518</v>
      </c>
      <c r="Q112" s="114"/>
      <c r="R112" s="114"/>
      <c r="S112" s="114"/>
      <c r="T112" s="114"/>
    </row>
    <row r="113" spans="4:20" ht="36" x14ac:dyDescent="0.2">
      <c r="D113" s="23"/>
      <c r="E113" s="495" t="s">
        <v>324</v>
      </c>
      <c r="F113" s="496"/>
      <c r="G113" s="83" t="s">
        <v>712</v>
      </c>
      <c r="H113" s="193">
        <f>SUM(H114,H117)</f>
        <v>48570</v>
      </c>
      <c r="I113" s="25">
        <f>SUM(I114,I117)</f>
        <v>85547</v>
      </c>
      <c r="J113" s="132">
        <f t="shared" ref="J113:T113" si="103">SUM(J114,J117)</f>
        <v>36977</v>
      </c>
      <c r="K113" s="133">
        <f t="shared" si="103"/>
        <v>0</v>
      </c>
      <c r="L113" s="133">
        <f t="shared" si="103"/>
        <v>706</v>
      </c>
      <c r="M113" s="133">
        <f t="shared" si="103"/>
        <v>0</v>
      </c>
      <c r="N113" s="133">
        <f t="shared" si="103"/>
        <v>34731</v>
      </c>
      <c r="O113" s="133">
        <f t="shared" si="103"/>
        <v>0</v>
      </c>
      <c r="P113" s="133">
        <f t="shared" si="103"/>
        <v>1540</v>
      </c>
      <c r="Q113" s="133">
        <f t="shared" si="103"/>
        <v>0</v>
      </c>
      <c r="R113" s="133">
        <f t="shared" si="103"/>
        <v>0</v>
      </c>
      <c r="S113" s="133">
        <f t="shared" si="103"/>
        <v>0</v>
      </c>
      <c r="T113" s="134">
        <f t="shared" si="103"/>
        <v>0</v>
      </c>
    </row>
    <row r="114" spans="4:20" s="90" customFormat="1" x14ac:dyDescent="0.2">
      <c r="D114" s="9"/>
      <c r="E114" s="467" t="s">
        <v>126</v>
      </c>
      <c r="F114" s="497"/>
      <c r="G114" s="24" t="s">
        <v>316</v>
      </c>
      <c r="H114" s="181">
        <f>SUM(H115:H116)</f>
        <v>15300</v>
      </c>
      <c r="I114" s="71">
        <f>SUM(I115:I116)</f>
        <v>4315</v>
      </c>
      <c r="J114" s="137">
        <f>SUM(K114:T114)</f>
        <v>-10985</v>
      </c>
      <c r="K114" s="138">
        <f t="shared" ref="K114:T114" si="104">SUM(K115:K116)</f>
        <v>0</v>
      </c>
      <c r="L114" s="138">
        <f t="shared" si="104"/>
        <v>-15300</v>
      </c>
      <c r="M114" s="138">
        <f t="shared" si="104"/>
        <v>0</v>
      </c>
      <c r="N114" s="138">
        <f t="shared" si="104"/>
        <v>4315</v>
      </c>
      <c r="O114" s="138">
        <f t="shared" si="104"/>
        <v>0</v>
      </c>
      <c r="P114" s="138">
        <f t="shared" si="104"/>
        <v>0</v>
      </c>
      <c r="Q114" s="138">
        <f t="shared" si="104"/>
        <v>0</v>
      </c>
      <c r="R114" s="138">
        <f t="shared" si="104"/>
        <v>0</v>
      </c>
      <c r="S114" s="138">
        <f t="shared" si="104"/>
        <v>0</v>
      </c>
      <c r="T114" s="139">
        <f t="shared" si="104"/>
        <v>0</v>
      </c>
    </row>
    <row r="115" spans="4:20" x14ac:dyDescent="0.2">
      <c r="D115" s="37"/>
      <c r="E115" s="482"/>
      <c r="F115" s="483"/>
      <c r="G115" s="19"/>
      <c r="H115" s="180"/>
      <c r="I115" s="39"/>
      <c r="J115" s="135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</row>
    <row r="116" spans="4:20" ht="24" x14ac:dyDescent="0.2">
      <c r="D116" s="18"/>
      <c r="E116" s="469" t="s">
        <v>266</v>
      </c>
      <c r="F116" s="492"/>
      <c r="G116" s="19" t="s">
        <v>267</v>
      </c>
      <c r="H116" s="180">
        <f>15300</f>
        <v>15300</v>
      </c>
      <c r="I116" s="20">
        <f t="shared" ref="I116:I117" si="105">H116+J116</f>
        <v>4315</v>
      </c>
      <c r="J116" s="135">
        <f t="shared" ref="J116" si="106">SUM(K116:T116)</f>
        <v>-10985</v>
      </c>
      <c r="K116" s="114"/>
      <c r="L116" s="114">
        <v>-15300</v>
      </c>
      <c r="M116" s="114"/>
      <c r="N116" s="114">
        <v>4315</v>
      </c>
      <c r="O116" s="114"/>
      <c r="P116" s="114"/>
      <c r="Q116" s="114"/>
      <c r="R116" s="114"/>
      <c r="S116" s="114"/>
      <c r="T116" s="114"/>
    </row>
    <row r="117" spans="4:20" s="90" customFormat="1" x14ac:dyDescent="0.2">
      <c r="D117" s="43"/>
      <c r="E117" s="474" t="s">
        <v>322</v>
      </c>
      <c r="F117" s="475"/>
      <c r="G117" s="24" t="s">
        <v>323</v>
      </c>
      <c r="H117" s="181">
        <f>33270</f>
        <v>33270</v>
      </c>
      <c r="I117" s="71">
        <f t="shared" si="105"/>
        <v>81232</v>
      </c>
      <c r="J117" s="135">
        <f>SUM(K117:T117)</f>
        <v>47962</v>
      </c>
      <c r="K117" s="168"/>
      <c r="L117" s="114">
        <f>706+15300</f>
        <v>16006</v>
      </c>
      <c r="M117" s="168"/>
      <c r="N117" s="114">
        <f>1509+3739+5025+20143</f>
        <v>30416</v>
      </c>
      <c r="O117" s="114"/>
      <c r="P117" s="114">
        <v>1540</v>
      </c>
      <c r="Q117" s="114"/>
      <c r="R117" s="114"/>
      <c r="S117" s="114"/>
      <c r="T117" s="114"/>
    </row>
    <row r="118" spans="4:20" s="90" customFormat="1" x14ac:dyDescent="0.2">
      <c r="D118" s="96"/>
      <c r="E118" s="97"/>
      <c r="F118" s="98"/>
      <c r="G118" s="28"/>
      <c r="H118" s="182"/>
      <c r="I118" s="99"/>
      <c r="J118" s="167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</row>
    <row r="119" spans="4:20" s="90" customFormat="1" ht="27.75" customHeight="1" x14ac:dyDescent="0.2">
      <c r="D119" s="100"/>
      <c r="E119" s="101" t="s">
        <v>514</v>
      </c>
      <c r="F119" s="102"/>
      <c r="G119" s="103" t="s">
        <v>515</v>
      </c>
      <c r="H119" s="194">
        <v>0</v>
      </c>
      <c r="I119" s="104">
        <v>0</v>
      </c>
      <c r="J119" s="173">
        <v>0</v>
      </c>
      <c r="K119" s="174"/>
      <c r="L119" s="174"/>
      <c r="M119" s="174"/>
      <c r="N119" s="174"/>
      <c r="O119" s="174"/>
      <c r="P119" s="174"/>
      <c r="Q119" s="174"/>
      <c r="R119" s="174"/>
      <c r="S119" s="174"/>
      <c r="T119" s="175"/>
    </row>
    <row r="120" spans="4:20" x14ac:dyDescent="0.2">
      <c r="D120" s="12"/>
      <c r="E120" s="45"/>
      <c r="F120" s="46"/>
      <c r="G120" s="28"/>
      <c r="H120" s="182"/>
      <c r="I120" s="14"/>
      <c r="J120" s="135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</row>
    <row r="121" spans="4:20" s="106" customFormat="1" ht="12.75" x14ac:dyDescent="0.2">
      <c r="D121" s="487" t="s">
        <v>142</v>
      </c>
      <c r="E121" s="488"/>
      <c r="F121" s="488"/>
      <c r="G121" s="489"/>
      <c r="H121" s="195">
        <f>SUM(H12,H17,H28,H34,H45,H56,H71,H61,H82,H87,H92,H119)</f>
        <v>70537412</v>
      </c>
      <c r="I121" s="105">
        <f>SUM(I12,I17,I28,I34,I45,I56,I71,I61,I82,I87,I92,I119)</f>
        <v>69921352</v>
      </c>
      <c r="J121" s="171">
        <f>SUM(J12,J17,J28,J34,J45,J56,J71,J61,J82,J87,J92,J119)</f>
        <v>-616060</v>
      </c>
      <c r="K121" s="172">
        <f t="shared" ref="K121:T121" si="107">SUM(K12,K17,K28,K34,K45,K56,K71,K61,K82,K87,K92,K119)</f>
        <v>7491</v>
      </c>
      <c r="L121" s="172">
        <f t="shared" si="107"/>
        <v>-1038789</v>
      </c>
      <c r="M121" s="172">
        <f t="shared" si="107"/>
        <v>46703</v>
      </c>
      <c r="N121" s="172">
        <f t="shared" si="107"/>
        <v>77536</v>
      </c>
      <c r="O121" s="172">
        <f t="shared" si="107"/>
        <v>0</v>
      </c>
      <c r="P121" s="172">
        <f t="shared" si="107"/>
        <v>283499</v>
      </c>
      <c r="Q121" s="172">
        <f t="shared" si="107"/>
        <v>7500</v>
      </c>
      <c r="R121" s="172">
        <f t="shared" si="107"/>
        <v>0</v>
      </c>
      <c r="S121" s="172">
        <f t="shared" si="107"/>
        <v>0</v>
      </c>
      <c r="T121" s="172">
        <f t="shared" si="107"/>
        <v>0</v>
      </c>
    </row>
    <row r="122" spans="4:20" x14ac:dyDescent="0.2">
      <c r="D122" s="23"/>
      <c r="E122" s="47"/>
      <c r="F122" s="48"/>
      <c r="G122" s="19"/>
      <c r="H122" s="182"/>
      <c r="I122" s="25"/>
      <c r="J122" s="135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</row>
    <row r="123" spans="4:20" s="90" customFormat="1" x14ac:dyDescent="0.2">
      <c r="D123" s="9"/>
      <c r="E123" s="490" t="s">
        <v>695</v>
      </c>
      <c r="F123" s="491"/>
      <c r="G123" s="10" t="s">
        <v>156</v>
      </c>
      <c r="H123" s="11">
        <f t="shared" ref="H123:T123" si="108">SUM(,H124)</f>
        <v>27776740</v>
      </c>
      <c r="I123" s="22">
        <f t="shared" si="108"/>
        <v>28116263</v>
      </c>
      <c r="J123" s="129">
        <f t="shared" si="108"/>
        <v>339523</v>
      </c>
      <c r="K123" s="130">
        <f t="shared" si="108"/>
        <v>0</v>
      </c>
      <c r="L123" s="130">
        <f t="shared" si="108"/>
        <v>0</v>
      </c>
      <c r="M123" s="130">
        <f t="shared" si="108"/>
        <v>339523</v>
      </c>
      <c r="N123" s="130">
        <f t="shared" si="108"/>
        <v>0</v>
      </c>
      <c r="O123" s="130">
        <f t="shared" si="108"/>
        <v>0</v>
      </c>
      <c r="P123" s="130">
        <f t="shared" si="108"/>
        <v>0</v>
      </c>
      <c r="Q123" s="130">
        <f t="shared" si="108"/>
        <v>0</v>
      </c>
      <c r="R123" s="130">
        <f t="shared" si="108"/>
        <v>0</v>
      </c>
      <c r="S123" s="130">
        <f t="shared" si="108"/>
        <v>0</v>
      </c>
      <c r="T123" s="131">
        <f t="shared" si="108"/>
        <v>0</v>
      </c>
    </row>
    <row r="124" spans="4:20" s="90" customFormat="1" x14ac:dyDescent="0.2">
      <c r="D124" s="9"/>
      <c r="E124" s="86"/>
      <c r="F124" s="86"/>
      <c r="G124" s="69" t="s">
        <v>317</v>
      </c>
      <c r="H124" s="196">
        <f t="shared" ref="H124" si="109">SUM(H131,H125)</f>
        <v>27776740</v>
      </c>
      <c r="I124" s="22">
        <f t="shared" ref="I124:T124" si="110">SUM(I131,I125)</f>
        <v>28116263</v>
      </c>
      <c r="J124" s="129">
        <f t="shared" ref="J124" si="111">SUM(J131,J125)</f>
        <v>339523</v>
      </c>
      <c r="K124" s="130">
        <f t="shared" si="110"/>
        <v>0</v>
      </c>
      <c r="L124" s="130">
        <f t="shared" si="110"/>
        <v>0</v>
      </c>
      <c r="M124" s="130">
        <f t="shared" si="110"/>
        <v>339523</v>
      </c>
      <c r="N124" s="130">
        <f t="shared" si="110"/>
        <v>0</v>
      </c>
      <c r="O124" s="130">
        <f t="shared" si="110"/>
        <v>0</v>
      </c>
      <c r="P124" s="130">
        <f t="shared" si="110"/>
        <v>0</v>
      </c>
      <c r="Q124" s="130">
        <f t="shared" si="110"/>
        <v>0</v>
      </c>
      <c r="R124" s="130">
        <f t="shared" si="110"/>
        <v>0</v>
      </c>
      <c r="S124" s="130">
        <f t="shared" si="110"/>
        <v>0</v>
      </c>
      <c r="T124" s="131">
        <f t="shared" si="110"/>
        <v>0</v>
      </c>
    </row>
    <row r="125" spans="4:20" s="90" customFormat="1" x14ac:dyDescent="0.2">
      <c r="D125" s="43"/>
      <c r="E125" s="51"/>
      <c r="F125" s="86" t="s">
        <v>158</v>
      </c>
      <c r="G125" s="44" t="s">
        <v>333</v>
      </c>
      <c r="H125" s="197">
        <f t="shared" ref="H125" si="112">SUM(H126:H130)</f>
        <v>173175</v>
      </c>
      <c r="I125" s="22">
        <f t="shared" ref="I125:T125" si="113">SUM(I126:I130)</f>
        <v>173175</v>
      </c>
      <c r="J125" s="129">
        <f t="shared" ref="J125" si="114">SUM(J126:J130)</f>
        <v>0</v>
      </c>
      <c r="K125" s="130">
        <f t="shared" si="113"/>
        <v>0</v>
      </c>
      <c r="L125" s="130">
        <f t="shared" si="113"/>
        <v>0</v>
      </c>
      <c r="M125" s="130">
        <f t="shared" si="113"/>
        <v>0</v>
      </c>
      <c r="N125" s="130">
        <f t="shared" si="113"/>
        <v>0</v>
      </c>
      <c r="O125" s="130">
        <f t="shared" si="113"/>
        <v>0</v>
      </c>
      <c r="P125" s="130">
        <f t="shared" si="113"/>
        <v>0</v>
      </c>
      <c r="Q125" s="130">
        <f t="shared" si="113"/>
        <v>0</v>
      </c>
      <c r="R125" s="130">
        <f t="shared" si="113"/>
        <v>0</v>
      </c>
      <c r="S125" s="130">
        <f t="shared" si="113"/>
        <v>0</v>
      </c>
      <c r="T125" s="131">
        <f t="shared" si="113"/>
        <v>0</v>
      </c>
    </row>
    <row r="126" spans="4:20" x14ac:dyDescent="0.2">
      <c r="D126" s="37"/>
      <c r="E126" s="482"/>
      <c r="F126" s="483"/>
      <c r="G126" s="19"/>
      <c r="H126" s="180"/>
      <c r="I126" s="39"/>
      <c r="J126" s="135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</row>
    <row r="127" spans="4:20" x14ac:dyDescent="0.2">
      <c r="D127" s="37"/>
      <c r="E127" s="84"/>
      <c r="F127" s="85"/>
      <c r="G127" s="19" t="s">
        <v>516</v>
      </c>
      <c r="H127" s="180">
        <v>0</v>
      </c>
      <c r="I127" s="39">
        <f t="shared" ref="I127:I129" si="115">H127+J127</f>
        <v>0</v>
      </c>
      <c r="J127" s="135">
        <f t="shared" ref="J127:J129" si="116">SUM(K127:T127)</f>
        <v>0</v>
      </c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</row>
    <row r="128" spans="4:20" ht="36" x14ac:dyDescent="0.2">
      <c r="D128" s="37"/>
      <c r="E128" s="482"/>
      <c r="F128" s="483"/>
      <c r="G128" s="19" t="s">
        <v>694</v>
      </c>
      <c r="H128" s="180">
        <f>173175</f>
        <v>173175</v>
      </c>
      <c r="I128" s="39">
        <f t="shared" si="115"/>
        <v>173175</v>
      </c>
      <c r="J128" s="135">
        <f t="shared" si="116"/>
        <v>0</v>
      </c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</row>
    <row r="129" spans="4:20" ht="24" x14ac:dyDescent="0.2">
      <c r="D129" s="18"/>
      <c r="E129" s="469"/>
      <c r="F129" s="492"/>
      <c r="G129" s="38" t="s">
        <v>517</v>
      </c>
      <c r="H129" s="187">
        <v>0</v>
      </c>
      <c r="I129" s="39">
        <f t="shared" si="115"/>
        <v>0</v>
      </c>
      <c r="J129" s="135">
        <f t="shared" si="116"/>
        <v>0</v>
      </c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</row>
    <row r="130" spans="4:20" x14ac:dyDescent="0.2">
      <c r="D130" s="79"/>
      <c r="E130" s="80"/>
      <c r="F130" s="81"/>
      <c r="G130" s="82"/>
      <c r="H130" s="198"/>
      <c r="I130" s="14"/>
      <c r="J130" s="135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</row>
    <row r="131" spans="4:20" s="90" customFormat="1" x14ac:dyDescent="0.2">
      <c r="D131" s="43"/>
      <c r="E131" s="51"/>
      <c r="F131" s="86" t="s">
        <v>692</v>
      </c>
      <c r="G131" s="44" t="s">
        <v>334</v>
      </c>
      <c r="H131" s="197">
        <f t="shared" ref="H131:T131" si="117">SUM(H132:H148)</f>
        <v>27603565</v>
      </c>
      <c r="I131" s="22">
        <f t="shared" si="117"/>
        <v>27943088</v>
      </c>
      <c r="J131" s="129">
        <f t="shared" si="117"/>
        <v>339523</v>
      </c>
      <c r="K131" s="130">
        <f t="shared" si="117"/>
        <v>0</v>
      </c>
      <c r="L131" s="130">
        <f t="shared" si="117"/>
        <v>0</v>
      </c>
      <c r="M131" s="130">
        <f t="shared" si="117"/>
        <v>339523</v>
      </c>
      <c r="N131" s="130">
        <f t="shared" si="117"/>
        <v>0</v>
      </c>
      <c r="O131" s="130">
        <f t="shared" si="117"/>
        <v>0</v>
      </c>
      <c r="P131" s="130">
        <f t="shared" si="117"/>
        <v>0</v>
      </c>
      <c r="Q131" s="130">
        <f t="shared" si="117"/>
        <v>0</v>
      </c>
      <c r="R131" s="130">
        <f t="shared" si="117"/>
        <v>0</v>
      </c>
      <c r="S131" s="130">
        <f t="shared" si="117"/>
        <v>0</v>
      </c>
      <c r="T131" s="131">
        <f t="shared" si="117"/>
        <v>0</v>
      </c>
    </row>
    <row r="132" spans="4:20" ht="36" x14ac:dyDescent="0.2">
      <c r="D132" s="37"/>
      <c r="E132" s="482"/>
      <c r="F132" s="483"/>
      <c r="G132" s="19" t="s">
        <v>297</v>
      </c>
      <c r="H132" s="180">
        <v>0</v>
      </c>
      <c r="I132" s="39">
        <f t="shared" ref="I132:I145" si="118">H132+J132</f>
        <v>0</v>
      </c>
      <c r="J132" s="135">
        <f t="shared" ref="J132:J145" si="119">SUM(K132:T132)</f>
        <v>0</v>
      </c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</row>
    <row r="133" spans="4:20" ht="36" x14ac:dyDescent="0.2">
      <c r="D133" s="37"/>
      <c r="E133" s="482"/>
      <c r="F133" s="483"/>
      <c r="G133" s="19" t="s">
        <v>321</v>
      </c>
      <c r="H133" s="180">
        <f>121668</f>
        <v>121668</v>
      </c>
      <c r="I133" s="39">
        <f t="shared" si="118"/>
        <v>121668</v>
      </c>
      <c r="J133" s="135">
        <f t="shared" si="119"/>
        <v>0</v>
      </c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</row>
    <row r="134" spans="4:20" x14ac:dyDescent="0.2">
      <c r="D134" s="37"/>
      <c r="E134" s="111"/>
      <c r="F134" s="112"/>
      <c r="G134" s="19" t="s">
        <v>516</v>
      </c>
      <c r="H134" s="180">
        <f>2430000</f>
        <v>2430000</v>
      </c>
      <c r="I134" s="39">
        <f t="shared" si="118"/>
        <v>2430000</v>
      </c>
      <c r="J134" s="135">
        <f t="shared" si="119"/>
        <v>0</v>
      </c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</row>
    <row r="135" spans="4:20" x14ac:dyDescent="0.2">
      <c r="D135" s="37"/>
      <c r="E135" s="111"/>
      <c r="F135" s="112"/>
      <c r="G135" s="19" t="s">
        <v>679</v>
      </c>
      <c r="H135" s="180">
        <f>4049754</f>
        <v>4049754</v>
      </c>
      <c r="I135" s="39">
        <f t="shared" si="118"/>
        <v>4049754</v>
      </c>
      <c r="J135" s="135">
        <f t="shared" si="119"/>
        <v>0</v>
      </c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</row>
    <row r="136" spans="4:20" ht="50.25" customHeight="1" x14ac:dyDescent="0.2">
      <c r="D136" s="37"/>
      <c r="E136" s="111"/>
      <c r="F136" s="112"/>
      <c r="G136" s="19" t="s">
        <v>680</v>
      </c>
      <c r="H136" s="180">
        <f>1000000</f>
        <v>1000000</v>
      </c>
      <c r="I136" s="39">
        <f t="shared" si="118"/>
        <v>1000000</v>
      </c>
      <c r="J136" s="135">
        <f t="shared" si="119"/>
        <v>0</v>
      </c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</row>
    <row r="137" spans="4:20" ht="24" x14ac:dyDescent="0.2">
      <c r="D137" s="37"/>
      <c r="E137" s="482"/>
      <c r="F137" s="483"/>
      <c r="G137" s="19" t="s">
        <v>320</v>
      </c>
      <c r="H137" s="180">
        <f>3859785+708855</f>
        <v>4568640</v>
      </c>
      <c r="I137" s="39">
        <f t="shared" si="118"/>
        <v>4568640</v>
      </c>
      <c r="J137" s="135">
        <f t="shared" si="119"/>
        <v>0</v>
      </c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</row>
    <row r="138" spans="4:20" ht="13.5" customHeight="1" x14ac:dyDescent="0.2">
      <c r="D138" s="37"/>
      <c r="E138" s="482"/>
      <c r="F138" s="483"/>
      <c r="G138" s="19" t="s">
        <v>336</v>
      </c>
      <c r="H138" s="180">
        <v>0</v>
      </c>
      <c r="I138" s="39">
        <f t="shared" si="118"/>
        <v>0</v>
      </c>
      <c r="J138" s="135">
        <f t="shared" si="119"/>
        <v>0</v>
      </c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</row>
    <row r="139" spans="4:20" ht="24" x14ac:dyDescent="0.2">
      <c r="D139" s="37"/>
      <c r="E139" s="482"/>
      <c r="F139" s="483"/>
      <c r="G139" s="19" t="s">
        <v>335</v>
      </c>
      <c r="H139" s="180">
        <f>2765015</f>
        <v>2765015</v>
      </c>
      <c r="I139" s="39">
        <f t="shared" si="118"/>
        <v>3159004</v>
      </c>
      <c r="J139" s="135">
        <f t="shared" si="119"/>
        <v>393989</v>
      </c>
      <c r="K139" s="114"/>
      <c r="L139" s="114"/>
      <c r="M139" s="114">
        <v>393989</v>
      </c>
      <c r="N139" s="114"/>
      <c r="O139" s="114"/>
      <c r="P139" s="114"/>
      <c r="Q139" s="114"/>
      <c r="R139" s="114"/>
      <c r="S139" s="114"/>
      <c r="T139" s="114"/>
    </row>
    <row r="140" spans="4:20" ht="36" x14ac:dyDescent="0.2">
      <c r="D140" s="37"/>
      <c r="E140" s="84"/>
      <c r="F140" s="85"/>
      <c r="G140" s="19" t="s">
        <v>518</v>
      </c>
      <c r="H140" s="180">
        <f>14274+484000</f>
        <v>498274</v>
      </c>
      <c r="I140" s="39">
        <f>H140+J140</f>
        <v>491156</v>
      </c>
      <c r="J140" s="135">
        <f t="shared" si="119"/>
        <v>-7118</v>
      </c>
      <c r="K140" s="114"/>
      <c r="L140" s="114"/>
      <c r="M140" s="114">
        <f>7156-14274</f>
        <v>-7118</v>
      </c>
      <c r="N140" s="114"/>
      <c r="O140" s="114"/>
      <c r="P140" s="114"/>
      <c r="Q140" s="114"/>
      <c r="R140" s="114"/>
      <c r="S140" s="114"/>
      <c r="T140" s="114"/>
    </row>
    <row r="141" spans="4:20" ht="36" x14ac:dyDescent="0.2">
      <c r="D141" s="37"/>
      <c r="E141" s="482"/>
      <c r="F141" s="483"/>
      <c r="G141" s="19" t="s">
        <v>337</v>
      </c>
      <c r="H141" s="180">
        <f>3439446</f>
        <v>3439446</v>
      </c>
      <c r="I141" s="39">
        <f t="shared" si="118"/>
        <v>3392098</v>
      </c>
      <c r="J141" s="135">
        <f t="shared" si="119"/>
        <v>-47348</v>
      </c>
      <c r="K141" s="114"/>
      <c r="L141" s="114"/>
      <c r="M141" s="114">
        <v>-47348</v>
      </c>
      <c r="N141" s="114"/>
      <c r="O141" s="114"/>
      <c r="P141" s="114"/>
      <c r="Q141" s="114"/>
      <c r="R141" s="114"/>
      <c r="S141" s="114"/>
      <c r="T141" s="114"/>
    </row>
    <row r="142" spans="4:20" x14ac:dyDescent="0.2">
      <c r="D142" s="37"/>
      <c r="E142" s="482"/>
      <c r="F142" s="483"/>
      <c r="G142" s="19" t="s">
        <v>338</v>
      </c>
      <c r="H142" s="180">
        <v>0</v>
      </c>
      <c r="I142" s="39">
        <f t="shared" si="118"/>
        <v>0</v>
      </c>
      <c r="J142" s="135">
        <f t="shared" si="119"/>
        <v>0</v>
      </c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4:20" ht="24" x14ac:dyDescent="0.2">
      <c r="D143" s="37"/>
      <c r="E143" s="84"/>
      <c r="F143" s="85"/>
      <c r="G143" s="19" t="s">
        <v>519</v>
      </c>
      <c r="H143" s="180">
        <v>0</v>
      </c>
      <c r="I143" s="39">
        <f t="shared" si="118"/>
        <v>0</v>
      </c>
      <c r="J143" s="135">
        <f t="shared" si="119"/>
        <v>0</v>
      </c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</row>
    <row r="144" spans="4:20" ht="15.75" customHeight="1" x14ac:dyDescent="0.2">
      <c r="D144" s="37"/>
      <c r="E144" s="84"/>
      <c r="F144" s="85"/>
      <c r="G144" s="19" t="s">
        <v>537</v>
      </c>
      <c r="H144" s="180">
        <f>2320876</f>
        <v>2320876</v>
      </c>
      <c r="I144" s="39">
        <f t="shared" si="118"/>
        <v>2320876</v>
      </c>
      <c r="J144" s="135">
        <f t="shared" si="119"/>
        <v>0</v>
      </c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</row>
    <row r="145" spans="4:20" x14ac:dyDescent="0.2">
      <c r="D145" s="37"/>
      <c r="E145" s="482"/>
      <c r="F145" s="483"/>
      <c r="G145" s="19" t="s">
        <v>536</v>
      </c>
      <c r="H145" s="180">
        <f>6409892</f>
        <v>6409892</v>
      </c>
      <c r="I145" s="39">
        <f t="shared" si="118"/>
        <v>6409892</v>
      </c>
      <c r="J145" s="135">
        <f t="shared" si="119"/>
        <v>0</v>
      </c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</row>
    <row r="146" spans="4:20" x14ac:dyDescent="0.2">
      <c r="D146" s="37"/>
      <c r="E146" s="482"/>
      <c r="F146" s="483"/>
      <c r="G146" s="19"/>
      <c r="H146" s="180"/>
      <c r="I146" s="39"/>
      <c r="J146" s="135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</row>
    <row r="147" spans="4:20" x14ac:dyDescent="0.2">
      <c r="D147" s="37"/>
      <c r="E147" s="482"/>
      <c r="F147" s="483"/>
      <c r="G147" s="19"/>
      <c r="H147" s="180"/>
      <c r="I147" s="39"/>
      <c r="J147" s="135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4:20" x14ac:dyDescent="0.2">
      <c r="D148" s="37"/>
      <c r="E148" s="482"/>
      <c r="F148" s="483"/>
      <c r="G148" s="19"/>
      <c r="H148" s="180"/>
      <c r="I148" s="39"/>
      <c r="J148" s="135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</row>
    <row r="149" spans="4:20" s="90" customFormat="1" x14ac:dyDescent="0.2">
      <c r="D149" s="43"/>
      <c r="E149" s="51"/>
      <c r="F149" s="52"/>
      <c r="G149" s="10" t="s">
        <v>235</v>
      </c>
      <c r="H149" s="11">
        <f>SUM(H150:H171)</f>
        <v>11006636</v>
      </c>
      <c r="I149" s="22">
        <f>SUM(I150:I171)</f>
        <v>13832416</v>
      </c>
      <c r="J149" s="129">
        <f>SUM(J150:J171)</f>
        <v>2825780</v>
      </c>
      <c r="K149" s="130">
        <f t="shared" ref="K149:T149" si="120">SUM(K150:K171)</f>
        <v>35324</v>
      </c>
      <c r="L149" s="130">
        <f t="shared" si="120"/>
        <v>2725194</v>
      </c>
      <c r="M149" s="130">
        <f t="shared" si="120"/>
        <v>65120</v>
      </c>
      <c r="N149" s="130">
        <f t="shared" si="120"/>
        <v>142</v>
      </c>
      <c r="O149" s="130">
        <f t="shared" si="120"/>
        <v>0</v>
      </c>
      <c r="P149" s="130">
        <f t="shared" si="120"/>
        <v>0</v>
      </c>
      <c r="Q149" s="130">
        <f t="shared" si="120"/>
        <v>0</v>
      </c>
      <c r="R149" s="130">
        <f t="shared" si="120"/>
        <v>0</v>
      </c>
      <c r="S149" s="130">
        <f t="shared" si="120"/>
        <v>0</v>
      </c>
      <c r="T149" s="131">
        <f t="shared" si="120"/>
        <v>0</v>
      </c>
    </row>
    <row r="150" spans="4:20" ht="12" hidden="1" customHeight="1" outlineLevel="1" x14ac:dyDescent="0.2">
      <c r="D150" s="31"/>
      <c r="E150" s="49"/>
      <c r="F150" s="50"/>
      <c r="G150" s="53" t="s">
        <v>236</v>
      </c>
      <c r="H150" s="184">
        <f>10465797</f>
        <v>10465797</v>
      </c>
      <c r="I150" s="25">
        <f t="shared" ref="I150:I171" si="121">H150+J150</f>
        <v>11175309</v>
      </c>
      <c r="J150" s="135">
        <f t="shared" ref="J150:J171" si="122">SUM(K150:T150)</f>
        <v>709512</v>
      </c>
      <c r="K150" s="114"/>
      <c r="L150" s="114">
        <f>857335-147823</f>
        <v>709512</v>
      </c>
      <c r="M150" s="114"/>
      <c r="N150" s="114"/>
      <c r="O150" s="114"/>
      <c r="P150" s="114"/>
      <c r="Q150" s="114"/>
      <c r="R150" s="114"/>
      <c r="S150" s="114"/>
      <c r="T150" s="114"/>
    </row>
    <row r="151" spans="4:20" ht="12" hidden="1" customHeight="1" outlineLevel="1" x14ac:dyDescent="0.2">
      <c r="D151" s="31"/>
      <c r="E151" s="49"/>
      <c r="F151" s="50"/>
      <c r="G151" s="19" t="s">
        <v>237</v>
      </c>
      <c r="H151" s="182">
        <f>292723</f>
        <v>292723</v>
      </c>
      <c r="I151" s="25">
        <f t="shared" si="121"/>
        <v>478816</v>
      </c>
      <c r="J151" s="140">
        <f>SUM(K151:T151)</f>
        <v>186093</v>
      </c>
      <c r="K151" s="115">
        <v>35324</v>
      </c>
      <c r="L151" s="114">
        <v>85507</v>
      </c>
      <c r="M151" s="114">
        <f>65120</f>
        <v>65120</v>
      </c>
      <c r="N151" s="114">
        <f>142</f>
        <v>142</v>
      </c>
      <c r="O151" s="114"/>
      <c r="P151" s="114"/>
      <c r="Q151" s="114"/>
      <c r="R151" s="114"/>
      <c r="S151" s="114"/>
      <c r="T151" s="114"/>
    </row>
    <row r="152" spans="4:20" ht="12" hidden="1" customHeight="1" outlineLevel="1" x14ac:dyDescent="0.2">
      <c r="D152" s="31"/>
      <c r="E152" s="49"/>
      <c r="F152" s="50"/>
      <c r="G152" s="53" t="s">
        <v>151</v>
      </c>
      <c r="H152" s="184">
        <f>135094</f>
        <v>135094</v>
      </c>
      <c r="I152" s="25">
        <f t="shared" si="121"/>
        <v>1365277</v>
      </c>
      <c r="J152" s="135">
        <f t="shared" si="122"/>
        <v>1230183</v>
      </c>
      <c r="K152" s="114"/>
      <c r="L152" s="114">
        <f>1199113-11+3096+18500+56+797+805+1107+5585+991+144</f>
        <v>1230183</v>
      </c>
      <c r="M152" s="114"/>
      <c r="N152" s="114"/>
      <c r="O152" s="114"/>
      <c r="P152" s="114"/>
      <c r="Q152" s="114"/>
      <c r="R152" s="114"/>
      <c r="S152" s="114"/>
      <c r="T152" s="114"/>
    </row>
    <row r="153" spans="4:20" ht="12" hidden="1" customHeight="1" outlineLevel="1" x14ac:dyDescent="0.2">
      <c r="D153" s="31"/>
      <c r="E153" s="49"/>
      <c r="F153" s="50"/>
      <c r="G153" s="19" t="s">
        <v>94</v>
      </c>
      <c r="H153" s="182">
        <v>0</v>
      </c>
      <c r="I153" s="25">
        <f t="shared" si="121"/>
        <v>5150</v>
      </c>
      <c r="J153" s="135">
        <f t="shared" si="122"/>
        <v>5150</v>
      </c>
      <c r="K153" s="114"/>
      <c r="L153" s="114">
        <v>5150</v>
      </c>
      <c r="M153" s="114"/>
      <c r="N153" s="114"/>
      <c r="O153" s="114"/>
      <c r="P153" s="114"/>
      <c r="Q153" s="114"/>
      <c r="R153" s="114"/>
      <c r="S153" s="114"/>
      <c r="T153" s="114"/>
    </row>
    <row r="154" spans="4:20" ht="12" hidden="1" customHeight="1" outlineLevel="1" x14ac:dyDescent="0.2">
      <c r="D154" s="31"/>
      <c r="E154" s="49"/>
      <c r="F154" s="50"/>
      <c r="G154" s="53" t="s">
        <v>153</v>
      </c>
      <c r="H154" s="184">
        <f>1248</f>
        <v>1248</v>
      </c>
      <c r="I154" s="25">
        <f t="shared" si="121"/>
        <v>34694</v>
      </c>
      <c r="J154" s="135">
        <f t="shared" si="122"/>
        <v>33446</v>
      </c>
      <c r="K154" s="114"/>
      <c r="L154" s="114">
        <f>33446</f>
        <v>33446</v>
      </c>
      <c r="M154" s="114"/>
      <c r="N154" s="114"/>
      <c r="O154" s="114"/>
      <c r="P154" s="114"/>
      <c r="Q154" s="114"/>
      <c r="R154" s="114"/>
      <c r="S154" s="114"/>
      <c r="T154" s="114"/>
    </row>
    <row r="155" spans="4:20" ht="24" hidden="1" customHeight="1" outlineLevel="1" x14ac:dyDescent="0.2">
      <c r="D155" s="31"/>
      <c r="E155" s="49"/>
      <c r="F155" s="50"/>
      <c r="G155" s="53" t="s">
        <v>520</v>
      </c>
      <c r="H155" s="184">
        <v>0</v>
      </c>
      <c r="I155" s="25">
        <f t="shared" si="121"/>
        <v>0</v>
      </c>
      <c r="J155" s="135">
        <f t="shared" si="122"/>
        <v>0</v>
      </c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</row>
    <row r="156" spans="4:20" ht="24" hidden="1" customHeight="1" outlineLevel="1" x14ac:dyDescent="0.2">
      <c r="D156" s="31"/>
      <c r="E156" s="49"/>
      <c r="F156" s="50"/>
      <c r="G156" s="53" t="s">
        <v>521</v>
      </c>
      <c r="H156" s="184">
        <v>0</v>
      </c>
      <c r="I156" s="25">
        <f t="shared" si="121"/>
        <v>5736</v>
      </c>
      <c r="J156" s="135">
        <f t="shared" si="122"/>
        <v>5736</v>
      </c>
      <c r="K156" s="114"/>
      <c r="L156" s="114">
        <f>5736</f>
        <v>5736</v>
      </c>
      <c r="M156" s="114"/>
      <c r="N156" s="114"/>
      <c r="O156" s="114"/>
      <c r="P156" s="114"/>
      <c r="Q156" s="114"/>
      <c r="R156" s="114"/>
      <c r="S156" s="114"/>
      <c r="T156" s="114"/>
    </row>
    <row r="157" spans="4:20" ht="12" hidden="1" customHeight="1" outlineLevel="1" x14ac:dyDescent="0.2">
      <c r="D157" s="31"/>
      <c r="E157" s="49"/>
      <c r="F157" s="50"/>
      <c r="G157" s="53" t="s">
        <v>310</v>
      </c>
      <c r="H157" s="184">
        <v>0</v>
      </c>
      <c r="I157" s="25">
        <f t="shared" si="121"/>
        <v>134</v>
      </c>
      <c r="J157" s="135">
        <f t="shared" si="122"/>
        <v>134</v>
      </c>
      <c r="K157" s="114"/>
      <c r="L157" s="114">
        <v>134</v>
      </c>
      <c r="M157" s="114"/>
      <c r="N157" s="114"/>
      <c r="O157" s="114"/>
      <c r="P157" s="114"/>
      <c r="Q157" s="114"/>
      <c r="R157" s="114"/>
      <c r="S157" s="114"/>
      <c r="T157" s="114"/>
    </row>
    <row r="158" spans="4:20" ht="12" hidden="1" customHeight="1" outlineLevel="1" x14ac:dyDescent="0.2">
      <c r="D158" s="31"/>
      <c r="E158" s="49"/>
      <c r="F158" s="50"/>
      <c r="G158" s="53" t="s">
        <v>186</v>
      </c>
      <c r="H158" s="184">
        <f>39959</f>
        <v>39959</v>
      </c>
      <c r="I158" s="25">
        <f t="shared" si="121"/>
        <v>141862</v>
      </c>
      <c r="J158" s="135">
        <f t="shared" si="122"/>
        <v>101903</v>
      </c>
      <c r="K158" s="114"/>
      <c r="L158" s="114">
        <f>101903</f>
        <v>101903</v>
      </c>
      <c r="M158" s="114"/>
      <c r="N158" s="114"/>
      <c r="O158" s="114"/>
      <c r="P158" s="114"/>
      <c r="Q158" s="114"/>
      <c r="R158" s="114"/>
      <c r="S158" s="114"/>
      <c r="T158" s="114"/>
    </row>
    <row r="159" spans="4:20" ht="24" hidden="1" customHeight="1" outlineLevel="1" x14ac:dyDescent="0.2">
      <c r="D159" s="31"/>
      <c r="E159" s="49"/>
      <c r="F159" s="50"/>
      <c r="G159" s="53" t="s">
        <v>676</v>
      </c>
      <c r="H159" s="184">
        <f>531</f>
        <v>531</v>
      </c>
      <c r="I159" s="25">
        <f t="shared" si="121"/>
        <v>546</v>
      </c>
      <c r="J159" s="135">
        <f t="shared" si="122"/>
        <v>15</v>
      </c>
      <c r="K159" s="114"/>
      <c r="L159" s="114">
        <v>15</v>
      </c>
      <c r="M159" s="114"/>
      <c r="N159" s="114"/>
      <c r="O159" s="114"/>
      <c r="P159" s="114"/>
      <c r="Q159" s="114"/>
      <c r="R159" s="114"/>
      <c r="S159" s="114"/>
      <c r="T159" s="114"/>
    </row>
    <row r="160" spans="4:20" ht="24" hidden="1" customHeight="1" outlineLevel="1" x14ac:dyDescent="0.2">
      <c r="D160" s="31"/>
      <c r="E160" s="49"/>
      <c r="F160" s="50"/>
      <c r="G160" s="53" t="s">
        <v>693</v>
      </c>
      <c r="H160" s="184">
        <f>1163</f>
        <v>1163</v>
      </c>
      <c r="I160" s="25">
        <f t="shared" si="121"/>
        <v>2161</v>
      </c>
      <c r="J160" s="135">
        <f t="shared" si="122"/>
        <v>998</v>
      </c>
      <c r="K160" s="114"/>
      <c r="L160" s="114">
        <f>998</f>
        <v>998</v>
      </c>
      <c r="M160" s="114"/>
      <c r="N160" s="114"/>
      <c r="O160" s="114"/>
      <c r="P160" s="114"/>
      <c r="Q160" s="114"/>
      <c r="R160" s="114"/>
      <c r="S160" s="114"/>
      <c r="T160" s="114"/>
    </row>
    <row r="161" spans="4:20" ht="12" hidden="1" customHeight="1" outlineLevel="1" x14ac:dyDescent="0.2">
      <c r="D161" s="31"/>
      <c r="E161" s="49"/>
      <c r="F161" s="50"/>
      <c r="G161" s="53" t="s">
        <v>300</v>
      </c>
      <c r="H161" s="184">
        <v>0</v>
      </c>
      <c r="I161" s="25">
        <f t="shared" si="121"/>
        <v>20680</v>
      </c>
      <c r="J161" s="135">
        <f t="shared" si="122"/>
        <v>20680</v>
      </c>
      <c r="K161" s="114"/>
      <c r="L161" s="114">
        <f>20680</f>
        <v>20680</v>
      </c>
      <c r="M161" s="114"/>
      <c r="N161" s="114"/>
      <c r="O161" s="114"/>
      <c r="P161" s="114"/>
      <c r="Q161" s="114"/>
      <c r="R161" s="114"/>
      <c r="S161" s="114"/>
      <c r="T161" s="114"/>
    </row>
    <row r="162" spans="4:20" ht="24" hidden="1" customHeight="1" outlineLevel="1" x14ac:dyDescent="0.2">
      <c r="D162" s="31"/>
      <c r="E162" s="49"/>
      <c r="F162" s="50"/>
      <c r="G162" s="53" t="s">
        <v>172</v>
      </c>
      <c r="H162" s="184">
        <v>0</v>
      </c>
      <c r="I162" s="25">
        <f t="shared" si="121"/>
        <v>0</v>
      </c>
      <c r="J162" s="135">
        <f t="shared" si="122"/>
        <v>0</v>
      </c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</row>
    <row r="163" spans="4:20" ht="12" hidden="1" customHeight="1" outlineLevel="1" x14ac:dyDescent="0.2">
      <c r="D163" s="31"/>
      <c r="E163" s="49"/>
      <c r="F163" s="50"/>
      <c r="G163" s="53" t="s">
        <v>171</v>
      </c>
      <c r="H163" s="184">
        <v>0</v>
      </c>
      <c r="I163" s="25">
        <f t="shared" si="121"/>
        <v>0</v>
      </c>
      <c r="J163" s="135">
        <f t="shared" si="122"/>
        <v>0</v>
      </c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</row>
    <row r="164" spans="4:20" ht="12" hidden="1" customHeight="1" outlineLevel="1" x14ac:dyDescent="0.2">
      <c r="D164" s="31"/>
      <c r="E164" s="49"/>
      <c r="F164" s="50"/>
      <c r="G164" s="53" t="s">
        <v>299</v>
      </c>
      <c r="H164" s="184">
        <v>0</v>
      </c>
      <c r="I164" s="25">
        <f t="shared" si="121"/>
        <v>0</v>
      </c>
      <c r="J164" s="135">
        <f t="shared" si="122"/>
        <v>0</v>
      </c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</row>
    <row r="165" spans="4:20" ht="12" hidden="1" customHeight="1" outlineLevel="1" x14ac:dyDescent="0.2">
      <c r="D165" s="31"/>
      <c r="E165" s="49"/>
      <c r="F165" s="50"/>
      <c r="G165" s="53" t="s">
        <v>157</v>
      </c>
      <c r="H165" s="184">
        <f>33500</f>
        <v>33500</v>
      </c>
      <c r="I165" s="25">
        <f t="shared" si="121"/>
        <v>147823</v>
      </c>
      <c r="J165" s="135">
        <f t="shared" si="122"/>
        <v>114323</v>
      </c>
      <c r="K165" s="114"/>
      <c r="L165" s="114">
        <v>114323</v>
      </c>
      <c r="M165" s="114"/>
      <c r="N165" s="114"/>
      <c r="O165" s="114"/>
      <c r="P165" s="114"/>
      <c r="Q165" s="114"/>
      <c r="R165" s="114"/>
      <c r="S165" s="114"/>
      <c r="T165" s="114"/>
    </row>
    <row r="166" spans="4:20" ht="12" hidden="1" customHeight="1" outlineLevel="1" x14ac:dyDescent="0.2">
      <c r="D166" s="31"/>
      <c r="E166" s="49"/>
      <c r="F166" s="50"/>
      <c r="G166" s="32" t="s">
        <v>58</v>
      </c>
      <c r="H166" s="184">
        <v>0</v>
      </c>
      <c r="I166" s="25">
        <f t="shared" si="121"/>
        <v>126</v>
      </c>
      <c r="J166" s="135">
        <f t="shared" si="122"/>
        <v>126</v>
      </c>
      <c r="K166" s="114"/>
      <c r="L166" s="114">
        <v>126</v>
      </c>
      <c r="M166" s="114"/>
      <c r="N166" s="114"/>
      <c r="O166" s="114"/>
      <c r="P166" s="114"/>
      <c r="Q166" s="114"/>
      <c r="R166" s="114"/>
      <c r="S166" s="114"/>
      <c r="T166" s="114"/>
    </row>
    <row r="167" spans="4:20" ht="24" hidden="1" customHeight="1" outlineLevel="1" x14ac:dyDescent="0.2">
      <c r="D167" s="31"/>
      <c r="E167" s="49"/>
      <c r="F167" s="50"/>
      <c r="G167" s="32" t="s">
        <v>92</v>
      </c>
      <c r="H167" s="184">
        <f>5355+20473</f>
        <v>25828</v>
      </c>
      <c r="I167" s="25">
        <f t="shared" si="121"/>
        <v>26192</v>
      </c>
      <c r="J167" s="135">
        <f t="shared" si="122"/>
        <v>364</v>
      </c>
      <c r="K167" s="114"/>
      <c r="L167" s="114">
        <v>364</v>
      </c>
      <c r="M167" s="114"/>
      <c r="N167" s="114"/>
      <c r="O167" s="114"/>
      <c r="P167" s="114"/>
      <c r="Q167" s="114"/>
      <c r="R167" s="114"/>
      <c r="S167" s="114"/>
      <c r="T167" s="114"/>
    </row>
    <row r="168" spans="4:20" ht="12" hidden="1" customHeight="1" outlineLevel="1" x14ac:dyDescent="0.2">
      <c r="D168" s="31"/>
      <c r="E168" s="49"/>
      <c r="F168" s="50"/>
      <c r="G168" s="32" t="s">
        <v>216</v>
      </c>
      <c r="H168" s="184">
        <v>0</v>
      </c>
      <c r="I168" s="25">
        <f t="shared" si="121"/>
        <v>6802</v>
      </c>
      <c r="J168" s="135">
        <f t="shared" si="122"/>
        <v>6802</v>
      </c>
      <c r="K168" s="114"/>
      <c r="L168" s="114">
        <v>6802</v>
      </c>
      <c r="M168" s="114"/>
      <c r="N168" s="114"/>
      <c r="O168" s="114"/>
      <c r="P168" s="114"/>
      <c r="Q168" s="114"/>
      <c r="R168" s="114"/>
      <c r="S168" s="114"/>
      <c r="T168" s="114"/>
    </row>
    <row r="169" spans="4:20" ht="12" hidden="1" customHeight="1" outlineLevel="1" x14ac:dyDescent="0.2">
      <c r="D169" s="31"/>
      <c r="E169" s="49"/>
      <c r="F169" s="50"/>
      <c r="G169" s="32" t="s">
        <v>141</v>
      </c>
      <c r="H169" s="184">
        <f>10793</f>
        <v>10793</v>
      </c>
      <c r="I169" s="25">
        <f t="shared" si="121"/>
        <v>273285</v>
      </c>
      <c r="J169" s="135">
        <f t="shared" si="122"/>
        <v>262492</v>
      </c>
      <c r="K169" s="114"/>
      <c r="L169" s="114">
        <f>262492</f>
        <v>262492</v>
      </c>
      <c r="M169" s="114"/>
      <c r="N169" s="114"/>
      <c r="O169" s="114"/>
      <c r="P169" s="114"/>
      <c r="Q169" s="114"/>
      <c r="R169" s="114"/>
      <c r="S169" s="114"/>
      <c r="T169" s="114"/>
    </row>
    <row r="170" spans="4:20" ht="24" hidden="1" customHeight="1" outlineLevel="1" x14ac:dyDescent="0.2">
      <c r="D170" s="31"/>
      <c r="E170" s="49"/>
      <c r="F170" s="50"/>
      <c r="G170" s="32" t="s">
        <v>182</v>
      </c>
      <c r="H170" s="184">
        <v>0</v>
      </c>
      <c r="I170" s="25">
        <f t="shared" si="121"/>
        <v>0</v>
      </c>
      <c r="J170" s="135">
        <f t="shared" si="122"/>
        <v>0</v>
      </c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</row>
    <row r="171" spans="4:20" ht="12" hidden="1" customHeight="1" outlineLevel="1" x14ac:dyDescent="0.2">
      <c r="D171" s="31"/>
      <c r="E171" s="49"/>
      <c r="F171" s="50"/>
      <c r="G171" s="32" t="s">
        <v>735</v>
      </c>
      <c r="H171" s="184">
        <v>0</v>
      </c>
      <c r="I171" s="25">
        <f t="shared" si="121"/>
        <v>147823</v>
      </c>
      <c r="J171" s="135">
        <f t="shared" si="122"/>
        <v>147823</v>
      </c>
      <c r="K171" s="114"/>
      <c r="L171" s="114">
        <v>147823</v>
      </c>
      <c r="M171" s="114"/>
      <c r="N171" s="114"/>
      <c r="O171" s="114"/>
      <c r="P171" s="114"/>
      <c r="Q171" s="114"/>
      <c r="R171" s="114"/>
      <c r="S171" s="114"/>
      <c r="T171" s="114"/>
    </row>
    <row r="172" spans="4:20" ht="12" hidden="1" customHeight="1" outlineLevel="1" x14ac:dyDescent="0.2">
      <c r="D172" s="31"/>
      <c r="E172" s="49"/>
      <c r="F172" s="50"/>
      <c r="G172" s="32"/>
      <c r="H172" s="184"/>
      <c r="I172" s="25"/>
      <c r="J172" s="135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</row>
    <row r="173" spans="4:20" collapsed="1" x14ac:dyDescent="0.2">
      <c r="D173" s="54"/>
      <c r="E173" s="55"/>
      <c r="F173" s="56"/>
      <c r="G173" s="32"/>
      <c r="H173" s="199"/>
      <c r="I173" s="36"/>
      <c r="J173" s="135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</row>
    <row r="174" spans="4:20" x14ac:dyDescent="0.2">
      <c r="D174" s="484" t="s">
        <v>204</v>
      </c>
      <c r="E174" s="485"/>
      <c r="F174" s="485"/>
      <c r="G174" s="486"/>
      <c r="H174" s="200">
        <f>SUM(H176,H181)</f>
        <v>26666</v>
      </c>
      <c r="I174" s="62">
        <f>SUM(I176,I181)</f>
        <v>30860</v>
      </c>
      <c r="J174" s="141">
        <f t="shared" ref="J174:T174" si="123">SUM(J176,J181)</f>
        <v>4194</v>
      </c>
      <c r="K174" s="142">
        <f t="shared" si="123"/>
        <v>0</v>
      </c>
      <c r="L174" s="142">
        <f t="shared" si="123"/>
        <v>4403</v>
      </c>
      <c r="M174" s="142">
        <f t="shared" si="123"/>
        <v>-209</v>
      </c>
      <c r="N174" s="142">
        <f t="shared" si="123"/>
        <v>0</v>
      </c>
      <c r="O174" s="142">
        <f t="shared" si="123"/>
        <v>0</v>
      </c>
      <c r="P174" s="142">
        <f t="shared" si="123"/>
        <v>0</v>
      </c>
      <c r="Q174" s="142">
        <f t="shared" si="123"/>
        <v>0</v>
      </c>
      <c r="R174" s="142">
        <f t="shared" si="123"/>
        <v>0</v>
      </c>
      <c r="S174" s="142">
        <f t="shared" si="123"/>
        <v>0</v>
      </c>
      <c r="T174" s="143">
        <f t="shared" si="123"/>
        <v>0</v>
      </c>
    </row>
    <row r="175" spans="4:20" x14ac:dyDescent="0.2">
      <c r="D175" s="54"/>
      <c r="E175" s="55"/>
      <c r="F175" s="56"/>
      <c r="G175" s="32"/>
      <c r="H175" s="199"/>
      <c r="I175" s="59"/>
      <c r="J175" s="135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</row>
    <row r="176" spans="4:20" x14ac:dyDescent="0.2">
      <c r="D176" s="471" t="s">
        <v>127</v>
      </c>
      <c r="E176" s="472"/>
      <c r="F176" s="473"/>
      <c r="G176" s="61" t="s">
        <v>205</v>
      </c>
      <c r="H176" s="201">
        <f>SUM(H177:H178)</f>
        <v>3530</v>
      </c>
      <c r="I176" s="63">
        <f>SUM(I177:I178)</f>
        <v>3530</v>
      </c>
      <c r="J176" s="144">
        <f t="shared" ref="J176:T176" si="124">SUM(J177:J178)</f>
        <v>0</v>
      </c>
      <c r="K176" s="145">
        <f t="shared" si="124"/>
        <v>0</v>
      </c>
      <c r="L176" s="145">
        <f t="shared" si="124"/>
        <v>0</v>
      </c>
      <c r="M176" s="145">
        <f t="shared" si="124"/>
        <v>0</v>
      </c>
      <c r="N176" s="145">
        <f t="shared" si="124"/>
        <v>0</v>
      </c>
      <c r="O176" s="145">
        <f t="shared" si="124"/>
        <v>0</v>
      </c>
      <c r="P176" s="145">
        <f t="shared" si="124"/>
        <v>0</v>
      </c>
      <c r="Q176" s="145">
        <f t="shared" si="124"/>
        <v>0</v>
      </c>
      <c r="R176" s="145">
        <f t="shared" si="124"/>
        <v>0</v>
      </c>
      <c r="S176" s="145">
        <f t="shared" si="124"/>
        <v>0</v>
      </c>
      <c r="T176" s="146">
        <f t="shared" si="124"/>
        <v>0</v>
      </c>
    </row>
    <row r="177" spans="4:20" s="90" customFormat="1" x14ac:dyDescent="0.2">
      <c r="D177" s="43"/>
      <c r="E177" s="474" t="s">
        <v>184</v>
      </c>
      <c r="F177" s="475"/>
      <c r="G177" s="32" t="s">
        <v>185</v>
      </c>
      <c r="H177" s="184">
        <v>0</v>
      </c>
      <c r="I177" s="25">
        <f t="shared" ref="I177:I178" si="125">H177+J177</f>
        <v>0</v>
      </c>
      <c r="J177" s="167">
        <f t="shared" ref="J177:J178" si="126">SUM(K177:T177)</f>
        <v>0</v>
      </c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</row>
    <row r="178" spans="4:20" s="90" customFormat="1" ht="24" x14ac:dyDescent="0.2">
      <c r="D178" s="43"/>
      <c r="E178" s="474" t="s">
        <v>128</v>
      </c>
      <c r="F178" s="475"/>
      <c r="G178" s="32" t="s">
        <v>210</v>
      </c>
      <c r="H178" s="184">
        <f>3530</f>
        <v>3530</v>
      </c>
      <c r="I178" s="25">
        <f t="shared" si="125"/>
        <v>3530</v>
      </c>
      <c r="J178" s="167">
        <f t="shared" si="126"/>
        <v>0</v>
      </c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</row>
    <row r="179" spans="4:20" x14ac:dyDescent="0.2">
      <c r="D179" s="54"/>
      <c r="E179" s="55"/>
      <c r="F179" s="56"/>
      <c r="G179" s="32"/>
      <c r="H179" s="199"/>
      <c r="I179" s="59"/>
      <c r="J179" s="135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</row>
    <row r="180" spans="4:20" x14ac:dyDescent="0.2">
      <c r="D180" s="54"/>
      <c r="E180" s="55"/>
      <c r="F180" s="56"/>
      <c r="G180" s="32"/>
      <c r="H180" s="199"/>
      <c r="I180" s="59"/>
      <c r="J180" s="135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</row>
    <row r="181" spans="4:20" x14ac:dyDescent="0.2">
      <c r="D181" s="54"/>
      <c r="E181" s="55"/>
      <c r="F181" s="56"/>
      <c r="G181" s="44" t="s">
        <v>206</v>
      </c>
      <c r="H181" s="183">
        <f>SUM(H182)</f>
        <v>23136</v>
      </c>
      <c r="I181" s="67">
        <f>SUM(I182)</f>
        <v>27330</v>
      </c>
      <c r="J181" s="147">
        <f t="shared" ref="J181:T181" si="127">SUM(J182)</f>
        <v>4194</v>
      </c>
      <c r="K181" s="148">
        <f t="shared" si="127"/>
        <v>0</v>
      </c>
      <c r="L181" s="148">
        <f t="shared" si="127"/>
        <v>4403</v>
      </c>
      <c r="M181" s="148">
        <f t="shared" si="127"/>
        <v>-209</v>
      </c>
      <c r="N181" s="148">
        <f t="shared" si="127"/>
        <v>0</v>
      </c>
      <c r="O181" s="148">
        <f t="shared" si="127"/>
        <v>0</v>
      </c>
      <c r="P181" s="148">
        <f t="shared" si="127"/>
        <v>0</v>
      </c>
      <c r="Q181" s="148">
        <f t="shared" si="127"/>
        <v>0</v>
      </c>
      <c r="R181" s="148">
        <f t="shared" si="127"/>
        <v>0</v>
      </c>
      <c r="S181" s="148">
        <f t="shared" si="127"/>
        <v>0</v>
      </c>
      <c r="T181" s="149">
        <f t="shared" si="127"/>
        <v>0</v>
      </c>
    </row>
    <row r="182" spans="4:20" x14ac:dyDescent="0.2">
      <c r="D182" s="54"/>
      <c r="E182" s="55"/>
      <c r="F182" s="56"/>
      <c r="G182" s="32" t="s">
        <v>207</v>
      </c>
      <c r="H182" s="199">
        <f>SUM(H183:H184)</f>
        <v>23136</v>
      </c>
      <c r="I182" s="36">
        <f>SUM(I183:I184)</f>
        <v>27330</v>
      </c>
      <c r="J182" s="150">
        <f t="shared" ref="J182:T182" si="128">SUM(J183:J184)</f>
        <v>4194</v>
      </c>
      <c r="K182" s="151">
        <f t="shared" si="128"/>
        <v>0</v>
      </c>
      <c r="L182" s="151">
        <f t="shared" si="128"/>
        <v>4403</v>
      </c>
      <c r="M182" s="151">
        <f t="shared" si="128"/>
        <v>-209</v>
      </c>
      <c r="N182" s="151">
        <f t="shared" si="128"/>
        <v>0</v>
      </c>
      <c r="O182" s="151">
        <f t="shared" si="128"/>
        <v>0</v>
      </c>
      <c r="P182" s="151">
        <f t="shared" si="128"/>
        <v>0</v>
      </c>
      <c r="Q182" s="151">
        <f t="shared" si="128"/>
        <v>0</v>
      </c>
      <c r="R182" s="151">
        <f t="shared" si="128"/>
        <v>0</v>
      </c>
      <c r="S182" s="151">
        <f t="shared" si="128"/>
        <v>0</v>
      </c>
      <c r="T182" s="152">
        <f t="shared" si="128"/>
        <v>0</v>
      </c>
    </row>
    <row r="183" spans="4:20" ht="24" x14ac:dyDescent="0.2">
      <c r="D183" s="54"/>
      <c r="E183" s="55"/>
      <c r="F183" s="56"/>
      <c r="G183" s="64" t="s">
        <v>208</v>
      </c>
      <c r="H183" s="199">
        <f>14931</f>
        <v>14931</v>
      </c>
      <c r="I183" s="36">
        <f t="shared" ref="I183:I184" si="129">H183+J183</f>
        <v>17905</v>
      </c>
      <c r="J183" s="135">
        <f t="shared" ref="J183:J184" si="130">SUM(K183:T183)</f>
        <v>2974</v>
      </c>
      <c r="K183" s="114"/>
      <c r="L183" s="114">
        <v>2974</v>
      </c>
      <c r="M183" s="114"/>
      <c r="N183" s="114"/>
      <c r="O183" s="114"/>
      <c r="P183" s="114"/>
      <c r="Q183" s="114"/>
      <c r="R183" s="114"/>
      <c r="S183" s="114"/>
      <c r="T183" s="114"/>
    </row>
    <row r="184" spans="4:20" ht="24" x14ac:dyDescent="0.2">
      <c r="D184" s="54"/>
      <c r="E184" s="55"/>
      <c r="F184" s="56"/>
      <c r="G184" s="64" t="s">
        <v>209</v>
      </c>
      <c r="H184" s="199">
        <f>8205</f>
        <v>8205</v>
      </c>
      <c r="I184" s="36">
        <f t="shared" si="129"/>
        <v>9425</v>
      </c>
      <c r="J184" s="135">
        <f t="shared" si="130"/>
        <v>1220</v>
      </c>
      <c r="K184" s="114"/>
      <c r="L184" s="114">
        <f>1220+209</f>
        <v>1429</v>
      </c>
      <c r="M184" s="114">
        <f>-209</f>
        <v>-209</v>
      </c>
      <c r="N184" s="114"/>
      <c r="O184" s="114"/>
      <c r="P184" s="114"/>
      <c r="Q184" s="114"/>
      <c r="R184" s="114"/>
      <c r="S184" s="114"/>
      <c r="T184" s="114"/>
    </row>
    <row r="185" spans="4:20" x14ac:dyDescent="0.2">
      <c r="D185" s="54"/>
      <c r="E185" s="55"/>
      <c r="F185" s="56"/>
      <c r="G185" s="32"/>
      <c r="H185" s="199"/>
      <c r="I185" s="36"/>
      <c r="J185" s="135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</row>
    <row r="186" spans="4:20" x14ac:dyDescent="0.2">
      <c r="D186" s="31"/>
      <c r="E186" s="49"/>
      <c r="F186" s="50"/>
      <c r="G186" s="32"/>
      <c r="H186" s="199"/>
      <c r="I186" s="36"/>
      <c r="J186" s="135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</row>
    <row r="187" spans="4:20" s="90" customFormat="1" ht="24.75" customHeight="1" thickBot="1" x14ac:dyDescent="0.25">
      <c r="D187" s="476" t="s">
        <v>148</v>
      </c>
      <c r="E187" s="477"/>
      <c r="F187" s="477"/>
      <c r="G187" s="478"/>
      <c r="H187" s="202">
        <f t="shared" ref="H187:T187" si="131">SUM(H176,H121)</f>
        <v>70540942</v>
      </c>
      <c r="I187" s="57">
        <f>SUM(I176,I121)</f>
        <v>69924882</v>
      </c>
      <c r="J187" s="153">
        <f t="shared" si="131"/>
        <v>-616060</v>
      </c>
      <c r="K187" s="154">
        <f t="shared" si="131"/>
        <v>7491</v>
      </c>
      <c r="L187" s="154">
        <f t="shared" si="131"/>
        <v>-1038789</v>
      </c>
      <c r="M187" s="154">
        <f t="shared" si="131"/>
        <v>46703</v>
      </c>
      <c r="N187" s="154">
        <f t="shared" si="131"/>
        <v>77536</v>
      </c>
      <c r="O187" s="154">
        <f t="shared" si="131"/>
        <v>0</v>
      </c>
      <c r="P187" s="154">
        <f t="shared" si="131"/>
        <v>283499</v>
      </c>
      <c r="Q187" s="154">
        <f t="shared" si="131"/>
        <v>7500</v>
      </c>
      <c r="R187" s="154">
        <f t="shared" si="131"/>
        <v>0</v>
      </c>
      <c r="S187" s="154">
        <f t="shared" si="131"/>
        <v>0</v>
      </c>
      <c r="T187" s="155">
        <f t="shared" si="131"/>
        <v>0</v>
      </c>
    </row>
    <row r="188" spans="4:20" s="90" customFormat="1" ht="12.75" thickBot="1" x14ac:dyDescent="0.25">
      <c r="D188" s="479" t="s">
        <v>134</v>
      </c>
      <c r="E188" s="480"/>
      <c r="F188" s="480"/>
      <c r="G188" s="481"/>
      <c r="H188" s="203">
        <f>SUM(H10,H174)</f>
        <v>109347454</v>
      </c>
      <c r="I188" s="57">
        <f>SUM(I10,I174)</f>
        <v>111900891</v>
      </c>
      <c r="J188" s="153">
        <f t="shared" ref="J188:T188" si="132">SUM(J10,J174)</f>
        <v>2553437</v>
      </c>
      <c r="K188" s="154">
        <f t="shared" si="132"/>
        <v>42815</v>
      </c>
      <c r="L188" s="154">
        <f t="shared" si="132"/>
        <v>1690808</v>
      </c>
      <c r="M188" s="154">
        <f t="shared" si="132"/>
        <v>451137</v>
      </c>
      <c r="N188" s="154">
        <f t="shared" si="132"/>
        <v>77678</v>
      </c>
      <c r="O188" s="154">
        <f t="shared" si="132"/>
        <v>0</v>
      </c>
      <c r="P188" s="154">
        <f t="shared" si="132"/>
        <v>283499</v>
      </c>
      <c r="Q188" s="154">
        <f t="shared" si="132"/>
        <v>7500</v>
      </c>
      <c r="R188" s="154">
        <f t="shared" si="132"/>
        <v>0</v>
      </c>
      <c r="S188" s="154">
        <f t="shared" si="132"/>
        <v>0</v>
      </c>
      <c r="T188" s="155">
        <f t="shared" si="132"/>
        <v>0</v>
      </c>
    </row>
    <row r="191" spans="4:20" x14ac:dyDescent="0.2">
      <c r="D191" s="470"/>
      <c r="E191" s="470"/>
      <c r="F191" s="470"/>
      <c r="G191" s="470"/>
      <c r="H191" s="470"/>
      <c r="I191" s="470"/>
      <c r="J191" s="470"/>
      <c r="K191" s="470"/>
    </row>
    <row r="192" spans="4:20" x14ac:dyDescent="0.2">
      <c r="D192" s="470"/>
      <c r="E192" s="470"/>
      <c r="F192" s="470"/>
      <c r="G192" s="470"/>
      <c r="H192" s="470"/>
      <c r="I192" s="470"/>
      <c r="J192" s="470"/>
      <c r="K192" s="470"/>
    </row>
  </sheetData>
  <mergeCells count="130">
    <mergeCell ref="C6:U6"/>
    <mergeCell ref="D1:I1"/>
    <mergeCell ref="E60:F60"/>
    <mergeCell ref="D10:G10"/>
    <mergeCell ref="D12:F12"/>
    <mergeCell ref="E13:F13"/>
    <mergeCell ref="E14:F14"/>
    <mergeCell ref="E15:F15"/>
    <mergeCell ref="E16:F16"/>
    <mergeCell ref="D8:F8"/>
    <mergeCell ref="D9:F9"/>
    <mergeCell ref="E23:F23"/>
    <mergeCell ref="E24:F24"/>
    <mergeCell ref="D28:F28"/>
    <mergeCell ref="E29:F29"/>
    <mergeCell ref="E30:F30"/>
    <mergeCell ref="E31:F31"/>
    <mergeCell ref="D17:F17"/>
    <mergeCell ref="E18:F18"/>
    <mergeCell ref="E19:F19"/>
    <mergeCell ref="E20:F20"/>
    <mergeCell ref="E21:F21"/>
    <mergeCell ref="E22:F22"/>
    <mergeCell ref="E39:F39"/>
    <mergeCell ref="E40:F40"/>
    <mergeCell ref="E41:F41"/>
    <mergeCell ref="E42:F42"/>
    <mergeCell ref="D45:F45"/>
    <mergeCell ref="E46:F46"/>
    <mergeCell ref="E32:F32"/>
    <mergeCell ref="D34:F34"/>
    <mergeCell ref="E35:F35"/>
    <mergeCell ref="E36:F36"/>
    <mergeCell ref="E37:F37"/>
    <mergeCell ref="E38:F38"/>
    <mergeCell ref="E43:F43"/>
    <mergeCell ref="E53:F53"/>
    <mergeCell ref="E55:F55"/>
    <mergeCell ref="D56:F56"/>
    <mergeCell ref="E57:F57"/>
    <mergeCell ref="E58:F58"/>
    <mergeCell ref="E59:F59"/>
    <mergeCell ref="E47:F47"/>
    <mergeCell ref="E48:F48"/>
    <mergeCell ref="E49:F49"/>
    <mergeCell ref="E50:F50"/>
    <mergeCell ref="E51:F51"/>
    <mergeCell ref="E52:F52"/>
    <mergeCell ref="E54:F54"/>
    <mergeCell ref="D61:F61"/>
    <mergeCell ref="E62:F62"/>
    <mergeCell ref="E63:F63"/>
    <mergeCell ref="E64:F64"/>
    <mergeCell ref="E68:F68"/>
    <mergeCell ref="E69:F69"/>
    <mergeCell ref="E65:F65"/>
    <mergeCell ref="E66:F66"/>
    <mergeCell ref="E67:F67"/>
    <mergeCell ref="E78:F78"/>
    <mergeCell ref="E79:F79"/>
    <mergeCell ref="E80:F80"/>
    <mergeCell ref="E81:F81"/>
    <mergeCell ref="D82:F82"/>
    <mergeCell ref="E83:F83"/>
    <mergeCell ref="E88:F88"/>
    <mergeCell ref="E70:F70"/>
    <mergeCell ref="D71:F71"/>
    <mergeCell ref="E73:F73"/>
    <mergeCell ref="E74:F74"/>
    <mergeCell ref="E75:F75"/>
    <mergeCell ref="E76:F76"/>
    <mergeCell ref="E91:F91"/>
    <mergeCell ref="D92:F92"/>
    <mergeCell ref="E93:F93"/>
    <mergeCell ref="E94:F94"/>
    <mergeCell ref="E96:F96"/>
    <mergeCell ref="E97:F97"/>
    <mergeCell ref="E95:F95"/>
    <mergeCell ref="E84:F84"/>
    <mergeCell ref="E85:F85"/>
    <mergeCell ref="E86:F86"/>
    <mergeCell ref="D87:F87"/>
    <mergeCell ref="E89:F89"/>
    <mergeCell ref="E90:F90"/>
    <mergeCell ref="E104:F104"/>
    <mergeCell ref="E105:F105"/>
    <mergeCell ref="E107:F107"/>
    <mergeCell ref="E108:F108"/>
    <mergeCell ref="E109:F109"/>
    <mergeCell ref="E110:F110"/>
    <mergeCell ref="E98:F98"/>
    <mergeCell ref="E99:F99"/>
    <mergeCell ref="E100:F100"/>
    <mergeCell ref="E101:F101"/>
    <mergeCell ref="E102:F102"/>
    <mergeCell ref="E103:F103"/>
    <mergeCell ref="E123:F123"/>
    <mergeCell ref="E126:F126"/>
    <mergeCell ref="E128:F128"/>
    <mergeCell ref="E129:F129"/>
    <mergeCell ref="E111:F111"/>
    <mergeCell ref="E112:F112"/>
    <mergeCell ref="E113:F113"/>
    <mergeCell ref="E114:F114"/>
    <mergeCell ref="E115:F115"/>
    <mergeCell ref="E116:F116"/>
    <mergeCell ref="E25:F25"/>
    <mergeCell ref="E26:F26"/>
    <mergeCell ref="E27:F27"/>
    <mergeCell ref="D192:K192"/>
    <mergeCell ref="D176:F176"/>
    <mergeCell ref="E177:F177"/>
    <mergeCell ref="E178:F178"/>
    <mergeCell ref="D187:G187"/>
    <mergeCell ref="D188:G188"/>
    <mergeCell ref="D191:K191"/>
    <mergeCell ref="E142:F142"/>
    <mergeCell ref="E145:F145"/>
    <mergeCell ref="E146:F146"/>
    <mergeCell ref="E147:F147"/>
    <mergeCell ref="E148:F148"/>
    <mergeCell ref="D174:G174"/>
    <mergeCell ref="E132:F132"/>
    <mergeCell ref="E133:F133"/>
    <mergeCell ref="E137:F137"/>
    <mergeCell ref="E138:F138"/>
    <mergeCell ref="E139:F139"/>
    <mergeCell ref="E141:F141"/>
    <mergeCell ref="E117:F117"/>
    <mergeCell ref="D121:G121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5" orientation="portrait" r:id="rId1"/>
  <headerFooter differentFirst="1">
    <oddFooter>&amp;R&amp;P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Izdevumi</vt:lpstr>
      <vt:lpstr>Ienemumi</vt:lpstr>
      <vt:lpstr>Ienemumi!Print_Area</vt:lpstr>
      <vt:lpstr>Izdevumi!Print_Area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Liepina</cp:lastModifiedBy>
  <cp:lastPrinted>2015-08-26T11:29:02Z</cp:lastPrinted>
  <dcterms:created xsi:type="dcterms:W3CDTF">2006-10-31T12:58:11Z</dcterms:created>
  <dcterms:modified xsi:type="dcterms:W3CDTF">2015-08-27T07:56:59Z</dcterms:modified>
</cp:coreProperties>
</file>