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435"/>
  </bookViews>
  <sheets>
    <sheet name="ITI" sheetId="1" r:id="rId1"/>
    <sheet name="ITI kopsavilkums" sheetId="3"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12" i="1"/>
  <c r="H11" i="1" l="1"/>
  <c r="K111" i="1" l="1"/>
  <c r="I111" i="1"/>
  <c r="H111" i="1"/>
  <c r="I113" i="1"/>
  <c r="H113" i="1"/>
  <c r="I112" i="1"/>
  <c r="H112" i="1"/>
  <c r="K112" i="1"/>
  <c r="K113" i="1"/>
  <c r="G111" i="1" l="1"/>
  <c r="G113" i="1"/>
  <c r="K114" i="1" l="1"/>
  <c r="H114" i="1"/>
  <c r="G114" i="1"/>
  <c r="I114" i="1"/>
  <c r="G112" i="1" l="1"/>
  <c r="K53" i="1" l="1"/>
  <c r="H53" i="1"/>
  <c r="G53" i="1"/>
  <c r="K43" i="1"/>
  <c r="H43" i="1"/>
  <c r="K58" i="1"/>
  <c r="H58" i="1"/>
  <c r="I130" i="1" l="1"/>
  <c r="H34" i="1" l="1"/>
  <c r="K119" i="1"/>
  <c r="H119" i="1"/>
  <c r="K124" i="1"/>
  <c r="J85" i="1" l="1"/>
  <c r="H64" i="1" l="1"/>
  <c r="K64" i="1"/>
  <c r="H59" i="1"/>
  <c r="K59" i="1"/>
  <c r="I58" i="1"/>
  <c r="H54" i="1"/>
  <c r="K54" i="1"/>
  <c r="I53" i="1"/>
  <c r="K49" i="1"/>
  <c r="H49" i="1"/>
  <c r="H44" i="1"/>
  <c r="K44" i="1"/>
  <c r="I43" i="1"/>
  <c r="H39" i="1"/>
  <c r="K39" i="1"/>
  <c r="K34" i="1"/>
  <c r="I33" i="1"/>
  <c r="K129" i="1" l="1"/>
  <c r="I129" i="1"/>
  <c r="G129" i="1"/>
  <c r="I100" i="1"/>
  <c r="G100" i="1"/>
  <c r="G24" i="3"/>
  <c r="F24" i="3"/>
  <c r="H135" i="1"/>
  <c r="K135" i="1"/>
  <c r="I135" i="1"/>
  <c r="K130" i="1"/>
  <c r="H130" i="1"/>
  <c r="H124" i="1"/>
  <c r="I124" i="1"/>
  <c r="I123" i="1"/>
  <c r="K85" i="1"/>
  <c r="H85" i="1"/>
  <c r="J84" i="1"/>
  <c r="I85" i="1"/>
  <c r="I84" i="1" s="1"/>
  <c r="K101" i="1"/>
  <c r="H101" i="1"/>
  <c r="J101" i="1"/>
  <c r="I101" i="1"/>
  <c r="K23" i="1"/>
  <c r="K22" i="1" s="1"/>
  <c r="H23" i="1"/>
  <c r="H22" i="1" s="1"/>
  <c r="J23" i="1"/>
  <c r="J22" i="1" s="1"/>
  <c r="I23" i="1"/>
  <c r="I22" i="1" s="1"/>
  <c r="K18" i="1"/>
  <c r="H18" i="1"/>
  <c r="K13" i="1"/>
  <c r="J18" i="1"/>
  <c r="I18" i="1"/>
  <c r="G124" i="1" l="1"/>
  <c r="G123" i="1" s="1"/>
  <c r="G23" i="1"/>
  <c r="G22" i="1"/>
  <c r="H48" i="1" l="1"/>
  <c r="K48" i="1"/>
  <c r="I14" i="3" s="1"/>
  <c r="I48" i="1"/>
  <c r="F14" i="3" s="1"/>
  <c r="D18" i="3"/>
  <c r="D12" i="3"/>
  <c r="D13" i="3"/>
  <c r="D16" i="3"/>
  <c r="D20" i="3"/>
  <c r="D19" i="3"/>
  <c r="H15" i="3"/>
  <c r="F15" i="3"/>
  <c r="I15" i="3"/>
  <c r="D15" i="3"/>
  <c r="D14" i="3"/>
  <c r="E15" i="3"/>
  <c r="G54" i="1"/>
  <c r="D21" i="3"/>
  <c r="H18" i="3"/>
  <c r="F18" i="3"/>
  <c r="F73" i="1"/>
  <c r="J38" i="1"/>
  <c r="I38" i="1"/>
  <c r="K68" i="1"/>
  <c r="I18" i="3"/>
  <c r="E18" i="3"/>
  <c r="K38" i="1"/>
  <c r="G39" i="1"/>
  <c r="H38" i="1"/>
  <c r="G44" i="1"/>
  <c r="F20" i="3"/>
  <c r="F19" i="3"/>
  <c r="F10" i="3"/>
  <c r="G10" i="3"/>
  <c r="F9" i="3"/>
  <c r="I134" i="1"/>
  <c r="K134" i="1"/>
  <c r="I32" i="3"/>
  <c r="H129" i="1"/>
  <c r="H123" i="1"/>
  <c r="K123" i="1"/>
  <c r="H118" i="1"/>
  <c r="K118" i="1"/>
  <c r="K106" i="1"/>
  <c r="K105" i="1"/>
  <c r="H106" i="1"/>
  <c r="H105" i="1"/>
  <c r="K100" i="1"/>
  <c r="H100" i="1"/>
  <c r="K96" i="1"/>
  <c r="H96" i="1"/>
  <c r="K95" i="1"/>
  <c r="H95" i="1"/>
  <c r="K90" i="1"/>
  <c r="H90" i="1"/>
  <c r="K84" i="1"/>
  <c r="H84" i="1"/>
  <c r="G84" i="1"/>
  <c r="K79" i="1"/>
  <c r="I20" i="3"/>
  <c r="H79" i="1"/>
  <c r="H20" i="3"/>
  <c r="H74" i="1"/>
  <c r="H19" i="3"/>
  <c r="K74" i="1"/>
  <c r="I19" i="3"/>
  <c r="K69" i="1"/>
  <c r="H69" i="1"/>
  <c r="I63" i="1"/>
  <c r="H63" i="1"/>
  <c r="H14" i="3"/>
  <c r="H33" i="1"/>
  <c r="G33" i="1" s="1"/>
  <c r="E11" i="3" s="1"/>
  <c r="K28" i="1"/>
  <c r="K27" i="1"/>
  <c r="I10" i="3"/>
  <c r="H28" i="1"/>
  <c r="H27" i="1"/>
  <c r="H10" i="3"/>
  <c r="I17" i="1"/>
  <c r="J17" i="1"/>
  <c r="G8" i="3" s="1"/>
  <c r="H17" i="1"/>
  <c r="H8" i="3" s="1"/>
  <c r="K12" i="1"/>
  <c r="G34" i="1"/>
  <c r="G18" i="1"/>
  <c r="H94" i="1"/>
  <c r="E20" i="3"/>
  <c r="K17" i="1"/>
  <c r="I8" i="3" s="1"/>
  <c r="K11" i="1"/>
  <c r="E19" i="3"/>
  <c r="K33" i="1"/>
  <c r="G64" i="1"/>
  <c r="G74" i="1"/>
  <c r="G130" i="1"/>
  <c r="G135" i="1"/>
  <c r="H134" i="1"/>
  <c r="K63" i="1"/>
  <c r="G69" i="1"/>
  <c r="G90" i="1"/>
  <c r="K89" i="1"/>
  <c r="H89" i="1"/>
  <c r="G89" i="1"/>
  <c r="D8" i="3"/>
  <c r="J100" i="1"/>
  <c r="J96" i="1"/>
  <c r="J95" i="1"/>
  <c r="I96" i="1"/>
  <c r="I95" i="1"/>
  <c r="G96" i="1"/>
  <c r="G95" i="1"/>
  <c r="I94" i="1"/>
  <c r="J94" i="1"/>
  <c r="K94" i="1"/>
  <c r="G28" i="1"/>
  <c r="J11" i="1"/>
  <c r="I11" i="1"/>
  <c r="G13" i="1"/>
  <c r="G12" i="1"/>
  <c r="G94" i="1"/>
  <c r="G27" i="1"/>
  <c r="I33" i="3"/>
  <c r="H33" i="3"/>
  <c r="E33" i="3" s="1"/>
  <c r="F33" i="3"/>
  <c r="H32" i="3"/>
  <c r="F32" i="3"/>
  <c r="I31" i="3"/>
  <c r="H31" i="3"/>
  <c r="E31" i="3" s="1"/>
  <c r="F31" i="3"/>
  <c r="I30" i="3"/>
  <c r="F30" i="3"/>
  <c r="I29" i="3"/>
  <c r="H29" i="3"/>
  <c r="F29" i="3"/>
  <c r="I28" i="3"/>
  <c r="H28" i="3"/>
  <c r="F28" i="3"/>
  <c r="I27" i="3"/>
  <c r="H27" i="3"/>
  <c r="F27" i="3"/>
  <c r="G26" i="3"/>
  <c r="D29" i="3"/>
  <c r="D28" i="3"/>
  <c r="D27" i="3"/>
  <c r="H24" i="3"/>
  <c r="I23" i="3"/>
  <c r="H23" i="3"/>
  <c r="F23" i="3"/>
  <c r="I22" i="3"/>
  <c r="H22" i="3"/>
  <c r="F22" i="3"/>
  <c r="I21" i="3"/>
  <c r="H21" i="3"/>
  <c r="F21" i="3"/>
  <c r="H9" i="3"/>
  <c r="I7" i="3"/>
  <c r="H7" i="3"/>
  <c r="F7" i="3"/>
  <c r="G9" i="3"/>
  <c r="G7" i="3"/>
  <c r="G25" i="3"/>
  <c r="G23" i="3"/>
  <c r="G22" i="3"/>
  <c r="G21" i="3"/>
  <c r="D7" i="3"/>
  <c r="G59" i="1"/>
  <c r="I119" i="1"/>
  <c r="G119" i="1"/>
  <c r="G49" i="1"/>
  <c r="G48" i="1" s="1"/>
  <c r="E14" i="3" s="1"/>
  <c r="G79" i="1"/>
  <c r="I9" i="3"/>
  <c r="G85" i="1"/>
  <c r="G105" i="1"/>
  <c r="G106" i="1"/>
  <c r="I11" i="3"/>
  <c r="F11" i="3"/>
  <c r="D11" i="3"/>
  <c r="I25" i="3"/>
  <c r="H25" i="3"/>
  <c r="F25" i="3"/>
  <c r="E25" i="3"/>
  <c r="D25" i="3"/>
  <c r="I13" i="3"/>
  <c r="F13" i="3"/>
  <c r="I12" i="3"/>
  <c r="H12" i="3"/>
  <c r="F12" i="3"/>
  <c r="I16" i="3"/>
  <c r="F16" i="3"/>
  <c r="I17" i="3"/>
  <c r="F17" i="3"/>
  <c r="H17" i="3"/>
  <c r="H16" i="3"/>
  <c r="H13" i="3"/>
  <c r="D33" i="3"/>
  <c r="D32" i="3"/>
  <c r="D31" i="3"/>
  <c r="D30" i="3"/>
  <c r="D26" i="3"/>
  <c r="D24" i="3"/>
  <c r="D23" i="3"/>
  <c r="D22" i="3"/>
  <c r="D17" i="3"/>
  <c r="D10" i="3"/>
  <c r="D9" i="3"/>
  <c r="G101" i="1"/>
  <c r="E23" i="3"/>
  <c r="E22" i="3"/>
  <c r="E10" i="3"/>
  <c r="G11" i="1" l="1"/>
  <c r="E27" i="3"/>
  <c r="I26" i="3"/>
  <c r="E28" i="3"/>
  <c r="H26" i="3"/>
  <c r="H11" i="3"/>
  <c r="G118" i="1"/>
  <c r="H30" i="3"/>
  <c r="E30" i="3" s="1"/>
  <c r="G63" i="1"/>
  <c r="E17" i="3" s="1"/>
  <c r="E16" i="3"/>
  <c r="E13" i="3"/>
  <c r="G38" i="1"/>
  <c r="E12" i="3"/>
  <c r="E29" i="3"/>
  <c r="F26" i="3"/>
  <c r="G134" i="1"/>
  <c r="E32" i="3"/>
  <c r="E21" i="3"/>
  <c r="I24" i="3"/>
  <c r="E24" i="3"/>
  <c r="E9" i="3"/>
  <c r="E7" i="3"/>
  <c r="G17" i="1"/>
  <c r="E8" i="3" s="1"/>
  <c r="F8" i="3"/>
  <c r="E26" i="3" l="1"/>
</calcChain>
</file>

<file path=xl/sharedStrings.xml><?xml version="1.0" encoding="utf-8"?>
<sst xmlns="http://schemas.openxmlformats.org/spreadsheetml/2006/main" count="509" uniqueCount="331">
  <si>
    <t>2.pielikums</t>
  </si>
  <si>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</si>
  <si>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</si>
  <si>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</si>
  <si>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</si>
  <si>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</si>
  <si>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</si>
  <si>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</si>
  <si>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</si>
  <si>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</si>
  <si>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</si>
  <si>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ES fondu finansējums (85%)</t>
  </si>
  <si>
    <t>Privātais sektors*</t>
  </si>
  <si>
    <t>Projekta uzsākšanas datums / aktivitāšu īstenošanas laika grafiks</t>
  </si>
  <si>
    <t>Projekta realizācijas ilgums</t>
  </si>
  <si>
    <t>1.1.</t>
  </si>
  <si>
    <t>Jūrmalas pilsētas dome</t>
  </si>
  <si>
    <t>2.1.</t>
  </si>
  <si>
    <t>3.1.</t>
  </si>
  <si>
    <t>4.1.</t>
  </si>
  <si>
    <t>5.1.</t>
  </si>
  <si>
    <t>*Piesaistītās nefinanšu investīcijas konkrētās aktivitātes ietvaros</t>
  </si>
  <si>
    <t>SAM</t>
  </si>
  <si>
    <t>Nr.</t>
  </si>
  <si>
    <t>Kopējās projekta izmaksas</t>
  </si>
  <si>
    <t>P</t>
  </si>
  <si>
    <t>Īstenošanas laiks</t>
  </si>
  <si>
    <t>3.3.1.</t>
  </si>
  <si>
    <t>Indikatīvā kopsumma (EUR)</t>
  </si>
  <si>
    <t>ES fondu finansējums (85%) (EUR)</t>
  </si>
  <si>
    <t>2017-2018</t>
  </si>
  <si>
    <t>A</t>
  </si>
  <si>
    <t>4.2.2.</t>
  </si>
  <si>
    <t>Apzīmējums*</t>
  </si>
  <si>
    <t>*P - prioritāra projekta ideja; A - alternatīva projekta ideja</t>
  </si>
  <si>
    <t>5.6.2.</t>
  </si>
  <si>
    <t>2018-2019</t>
  </si>
  <si>
    <t>2019-2020</t>
  </si>
  <si>
    <t>8.1.2.</t>
  </si>
  <si>
    <t>9.3.1.</t>
  </si>
  <si>
    <t>-</t>
  </si>
  <si>
    <t>IP - Jūrmalas pilsētas investīciju plāns 2016.-2018.gadam</t>
  </si>
  <si>
    <t>7.1.</t>
  </si>
  <si>
    <t>8.1.</t>
  </si>
  <si>
    <t>6.1.</t>
  </si>
  <si>
    <t>9.1.</t>
  </si>
  <si>
    <t>Nefinanšu investīcijas</t>
  </si>
  <si>
    <t>10.1.</t>
  </si>
  <si>
    <t>11.1.</t>
  </si>
  <si>
    <t>12.1.</t>
  </si>
  <si>
    <t>14.1.</t>
  </si>
  <si>
    <t>16.1.</t>
  </si>
  <si>
    <t>Pakalpojuma infrastruktrūras attīstība (t.sk. būvprojekts, būvuzraudzība, autoruzraudzība)</t>
  </si>
  <si>
    <t>P 2.1.                 P 3.7.</t>
  </si>
  <si>
    <t>P 2.1.                P 3.7.</t>
  </si>
  <si>
    <t>P 2.6.                        P 3.2.</t>
  </si>
  <si>
    <t>P 3.5.</t>
  </si>
  <si>
    <t>15.1.</t>
  </si>
  <si>
    <r>
      <rPr>
        <b/>
        <i/>
        <sz val="10"/>
        <rFont val="Times New Roman"/>
        <family val="1"/>
        <charset val="186"/>
      </rPr>
      <t xml:space="preserve">2019 </t>
    </r>
    <r>
      <rPr>
        <i/>
        <sz val="10"/>
        <rFont val="Times New Roman"/>
        <family val="1"/>
        <charset val="186"/>
      </rPr>
      <t xml:space="preserve">                 (12 mēneši)</t>
    </r>
  </si>
  <si>
    <r>
      <rPr>
        <b/>
        <i/>
        <sz val="10"/>
        <rFont val="Times New Roman"/>
        <family val="1"/>
        <charset val="186"/>
      </rPr>
      <t xml:space="preserve">2019  </t>
    </r>
    <r>
      <rPr>
        <i/>
        <sz val="10"/>
        <rFont val="Times New Roman"/>
        <family val="1"/>
        <charset val="186"/>
      </rPr>
      <t xml:space="preserve">              (12 mēneši)</t>
    </r>
  </si>
  <si>
    <t>P 3.2.</t>
  </si>
  <si>
    <t>P.3.2.</t>
  </si>
  <si>
    <t xml:space="preserve">P 1.2.                    P 3.7.            </t>
  </si>
  <si>
    <t xml:space="preserve">P 1.6.                        P 3.7.                         </t>
  </si>
  <si>
    <t>P 2.4.                    P 3.7.</t>
  </si>
  <si>
    <t>P 2.6.                      P 3.5.</t>
  </si>
  <si>
    <t>P 2.6.                      P 3.3.</t>
  </si>
  <si>
    <t>P 2.6.                    P 3.1.</t>
  </si>
  <si>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bez vecāku gādības palikušiem  bērniem un jauniešiem nav pilnībā  attīstīti  sociālie pakalpojumi ierobežotā finansējuma dēļ. </t>
    </r>
  </si>
  <si>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personām ar garīga rakstura traucējumiem nav pilnībā  attīstīti  sociālie pakalpojumi ierobežotā finansējuma dēļ.</t>
    </r>
  </si>
  <si>
    <r>
      <rPr>
        <u/>
        <sz val="10"/>
        <rFont val="Times New Roman"/>
        <family val="1"/>
        <charset val="186"/>
      </rPr>
      <t>Rezultāta rādītājs:</t>
    </r>
    <r>
      <rPr>
        <sz val="10"/>
        <rFont val="Times New Roman"/>
        <family val="1"/>
        <charset val="186"/>
      </rPr>
      <t xml:space="preserve">
Personas ar garīga rakstura traucējumiem, kas saņem pakalpojumu – 5 cilvēki
(rezultāta rādītāji un finansējuma apjoms tiks precizēts pēc Deinstitucionalizācijas plāna izstrādes)</t>
    </r>
  </si>
  <si>
    <t>Atbilstoši Deinstucionalizācijas plānam, veikts ieguldījums Grupu dzīvokļa pakalpojuma infrastruktūras attīstībā</t>
  </si>
  <si>
    <r>
      <rPr>
        <u/>
        <sz val="10"/>
        <rFont val="Times New Roman"/>
        <family val="1"/>
        <charset val="186"/>
      </rPr>
      <t>Rezultāta rādītājs:</t>
    </r>
    <r>
      <rPr>
        <sz val="10"/>
        <rFont val="Times New Roman"/>
        <family val="1"/>
        <charset val="186"/>
      </rPr>
      <t xml:space="preserve">
1) klientu skaits, veidojos SOS bērnu ciematam līdzīgu pakalpojumu - līdz 45 bērniem vecumā no 2 - 15 gadiem;
2) klientu skaits pakalpojumā “jauniešu māja” – 16 jaunieši vecumā no 15 -18 gadiem. (rezultāta rādītāji un finansējuma apjoms tiks precizēts pēc Deinstitucionalizācijas plāna izstrādes)</t>
    </r>
  </si>
  <si>
    <t>Atbilstoši Deinstucionalizācijas plānam, veikts ieguldījums pakalpojuma bērnu un jauniešu aprūpe ģimeniskā vidē infrastruktūras attīstībā.</t>
  </si>
  <si>
    <r>
      <t xml:space="preserve">2020                         </t>
    </r>
    <r>
      <rPr>
        <i/>
        <sz val="10"/>
        <rFont val="Times New Roman"/>
        <family val="1"/>
        <charset val="186"/>
      </rPr>
      <t xml:space="preserve"> (16mēneši)</t>
    </r>
  </si>
  <si>
    <t>Majoru muižas kompleksa pārbūve, restaurācija un labiekārtošana (t.sk.būvprojekts, autoruzraudzība,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</si>
  <si>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1.Majoru muižas kompleksa pārbūve, restaurācija un labiekārtošana (t.sk.būvprojekts, autoruzraudzība, būvuzraudzība)</t>
    </r>
    <r>
      <rPr>
        <i/>
        <sz val="12"/>
        <rFont val="Times New Roman"/>
        <family val="1"/>
        <charset val="186"/>
      </rPr>
      <t xml:space="preserve">
Muižas ēka netiek pienācīgi apsaimniekota jau kopš bērnu nama slēgšanas 2007.gadā. Šobrīd tā ir iekonservēta un tās stāvoklis ar katru gadu pasliktinās, jo tā netiek apkurināta. Pašvaldība 2011.gadā bija uzsākusi darbu pie muižas kompleksa attīstības ideju ģenerēšanas, kurā bija iesaistīta ar sabiedrība, tomēr pašvaldības budžeta ietvaros muižas kompleksa ilgstpējīga attīstība nebija iespējama. Projekta ietvaros plānotās aktivitātes SAM 5.6.2. mērķa ietvaros ir iespējams ne tikai glābt valsts nozīmes arhitektūras pieminekli un labiekārtot pilsētvidi, bet arī attīstīt pilsētai svarīgās kūrortoloģijas un tūrisma uzņēmējdarbības jomu, dažādojot uzņēmējdarbības vidi un sekmējot nodarbinātību. 
Projekta ietvaros ir nepieciešams veikt muižas ēkas restaurācijas un pārbūves darbus, inženiertīklu atjaunošanu, kā arī teritorijas labiekārtošanu.</t>
    </r>
  </si>
  <si>
    <r>
      <rPr>
        <b/>
        <sz val="12"/>
        <rFont val="Times New Roman"/>
        <family val="1"/>
        <charset val="186"/>
      </rPr>
      <t xml:space="preserve">Prioritārā projekta ideja Nr.2: </t>
    </r>
    <r>
      <rPr>
        <b/>
        <i/>
        <u/>
        <sz val="12"/>
        <rFont val="Times New Roman"/>
        <family val="1"/>
        <charset val="186"/>
      </rPr>
      <t xml:space="preserve">Grupu dzīvokļu pakalpojuma attīstība cilvēkiem ar garīga rakstura traucējumiem </t>
    </r>
  </si>
  <si>
    <r>
      <rPr>
        <b/>
        <u/>
        <sz val="12"/>
        <rFont val="Times New Roman"/>
        <family val="1"/>
        <charset val="186"/>
      </rPr>
      <t xml:space="preserve">Alternatīvā projekta ideja: </t>
    </r>
    <r>
      <rPr>
        <b/>
        <i/>
        <u/>
        <sz val="12"/>
        <rFont val="Times New Roman"/>
        <family val="1"/>
        <charset val="186"/>
      </rPr>
      <t>Majoru muižas kompleksa atjaunošana</t>
    </r>
  </si>
  <si>
    <r>
      <rPr>
        <b/>
        <sz val="12"/>
        <rFont val="Times New Roman"/>
        <family val="1"/>
        <charset val="186"/>
      </rPr>
      <t>Prioritārā projekta ideja Nr.2:</t>
    </r>
    <r>
      <rPr>
        <b/>
        <i/>
        <u/>
        <sz val="12"/>
        <rFont val="Times New Roman"/>
        <family val="1"/>
        <charset val="186"/>
      </rPr>
      <t xml:space="preserve"> Ceļu infrastruktūras atjaunošana un autostāvvietas izbūve Ķemeros </t>
    </r>
  </si>
  <si>
    <r>
      <t xml:space="preserve">Majoru muižas kompleksa atjaunošana                                   </t>
    </r>
    <r>
      <rPr>
        <i/>
        <sz val="10"/>
        <rFont val="Times New Roman"/>
        <family val="1"/>
        <charset val="186"/>
      </rPr>
      <t xml:space="preserve">  (IP 62.pozīcija) </t>
    </r>
  </si>
  <si>
    <t>Ķemeru parka pārbūve un restaurācija (t.sk.inženiertehnisko tīklu pārbūve, ielu un ceļa infrastruktūras atjaunošana, labiekārtošana, būvprojekts, autoruzraudzība un būvuzraudzība)</t>
  </si>
  <si>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 xml:space="preserve">2.Grupu dzīvokļu pakalpojuma attīstība cilvēkiem ar funkcionāliem traucējumiem  </t>
    </r>
    <r>
      <rPr>
        <i/>
        <sz val="12"/>
        <rFont val="Times New Roman"/>
        <family val="1"/>
        <charset val="186"/>
      </rPr>
      <t xml:space="preserve">                                                                                                                                                                                                                                                           2007.–2013.gada plānošanas periodā Jūrmalas pilsētas dome uzsāka Grupu dzīvokļa pakalpojumu attīstību. Tika īstenots projekts “Grupu dzīvokļa pakalpojuma izveide un nodrošināšana Jūrmalā”, kura mērķis bija attīstīt Jūrmalas pašvaldībā inovatīvu sociālās rehabilitācijas un institūcijām alternatīvu sociālās aprūpes pakalpojumu – grupu dzīvokļa pakalpojumu personām ar garīga rakstura traucējumiem, tādā veidā nodrošinot personām ar funkcionāliem traucējumiem iespēju integrēties sabiedrībā un iesaistīties darba tirgū. Projekta ietvaros tika pielāgotas un aprīkotas telpas jaunā pakalpojuma sniegšanai un uzsākta pakalpojuma sniegšana, kas pēc projekta tiek nodrošināta par pašvaldības līdzekļiem. Lai nodrošinātu projekta pēctecību un attīstītu jaunizveidoto pakalpojumu, jaunajā plānošanas periodā paredzēts stiprināt Grupu dzīvokļa atbalstošos pakalpojumus - dienas centru personām ar garīga rakstura traucējumiem, specializētās darbnīcas  pakalpojumu, kā arī pielāgot jaunas telpas, lai paplašinātu Grupu dzīvokļa pakalpojumu saņēmēju  skaitu personām ar dažādām garīga rakstura traucējumu smaguma pakāpēm. </t>
    </r>
  </si>
  <si>
    <r>
      <t xml:space="preserve">2020                    </t>
    </r>
    <r>
      <rPr>
        <i/>
        <sz val="10"/>
        <rFont val="Times New Roman"/>
        <family val="1"/>
        <charset val="186"/>
      </rPr>
      <t>(18 mēneši)</t>
    </r>
  </si>
  <si>
    <r>
      <t xml:space="preserve">2019              </t>
    </r>
    <r>
      <rPr>
        <i/>
        <sz val="10"/>
        <rFont val="Times New Roman"/>
        <family val="1"/>
        <charset val="186"/>
      </rPr>
      <t>(2018.gads būvprojekta izstrāde)</t>
    </r>
  </si>
  <si>
    <r>
      <t xml:space="preserve">2019           </t>
    </r>
    <r>
      <rPr>
        <i/>
        <sz val="10"/>
        <rFont val="Times New Roman"/>
        <family val="1"/>
        <charset val="186"/>
      </rPr>
      <t xml:space="preserve">   (2019.gads būvprojekta izstrāde)</t>
    </r>
  </si>
  <si>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</si>
  <si>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t xml:space="preserve">Projekta rezultatīvie un indikatīvie rādītāji tiks precizēti pēc tehniskās dokumentācijas izstrādes. </t>
  </si>
  <si>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</si>
  <si>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t>Veikta Ķemeru parka pārbūve un restaurācija revitalizējot degradēto teritoriju 25.9 ha apmērā, t.sk. veikta ielu un ceļa infrastruktūras atjaunošana, teritorijas labiekārtošana,  inženiertehnisko tīklu pārbūve saimnieciskās darbības veikšanai, u.c. Projekta rezultatīvie un indikatīvie rādītāji tiks precizēti pēc tehniskās dokumentācijas izstrādes.</t>
  </si>
  <si>
    <t xml:space="preserve">Veikta ceļu infrastruktūras E.Dārziņa, Tukuma ielā un Tūristu  sakārtošana un autostāvvietas izbūve 1.4 ha platībā.  </t>
  </si>
  <si>
    <t xml:space="preserve">
Veikta Majoru muižas kompleksa pārbūve, restaurācija un teritorijas labiekārtošana.</t>
  </si>
  <si>
    <t xml:space="preserve"> Jūrmalas teātra ēkas energoefektivitātes paaugstināšana (t.sk. autoruzraudziba, būvuzraudzība)</t>
  </si>
  <si>
    <t>Mācību vides infrastruktūras (IKT risinājumi, ergonomiska mācību vide) pilnveide.</t>
  </si>
  <si>
    <t xml:space="preserve">Mācību vides infrastruktūras (IKT risinājumi, ergonomiska mācību vide) pilnveide. </t>
  </si>
  <si>
    <t xml:space="preserve">Mācību vides infrastruktūras (ergonomiska mācību vide t.sk.darbmācību kabineti) pilnveide. </t>
  </si>
  <si>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1.Infrastruktūras izveide bērnu un jauniešu aprūpei ģimeniskā vidē saskaņa ar Quality4Children standartiem.</t>
    </r>
    <r>
      <rPr>
        <i/>
        <sz val="12"/>
        <rFont val="Times New Roman"/>
        <family val="1"/>
        <charset val="186"/>
      </rPr>
      <t xml:space="preserve">
Mērķa grupas – bez vecāku gādības palikuši  bērni un jaunieši ārpus ģimenes aprūpē pakalpojuma attīstītībā nepieciešams ieguldīt  ievērojamus finanšu līdzekļus, lai nodrošinātu pakalpojuma sniegšanu saskaņā ar mūsdienu prasībām atbilstošu pieeju - sabiedrībā balstīta pakalpojuma veidā, pakalpojumu maksimāli tuvinot ģimeniskai videi. Šādiem mērķiem ir nepieciešams radīt jaunu infrastruktūru. Projekta ietvaros paredzēts izveidot infrastruktūru bērnu aprūpei ģimeniskā vidē saskaņā ar Quality4Children standartiem, kas nozīmē ģimeniskas vides radīšanu sabiedrībā integrētā pakalpojuma veidā. Quality4Children-2.standartu grupa nosaka, kā jāorganizē aprūpes process, lai bērna ārpusģimenes aprūpes vieta atbilst bērna vajadzībām, dzīves situācijai un sākotnējai sociālajai videi, ņemot vērā fizisko attālumu starp bērna kopienu un aprūpes vietu. Videi ir jābūt pieejamai, iekļaujošai, atbalstošai, drošai un gādīgai. Kā arī, lai bērns nezaudē saikni ar savu izcelsmes ģimeni, lai attiecības ar bērna izcelsmes ģimeni tiktu veicinātas, saglabātas un atbalstītas, ja tas ir bērna labākajās interesēs. Kā arī, lai bērniem ar īpašām vajadzībām paredzētā ārpusģimenes aprūpes vieta tiktu sagatavota ar īpašu rūpību. Ārpusģimenes aprūpi  paredzēts nodrošināt vienā vietā nelielam bērnu skaitam -  grupās (8 bērni vienā grupā), izveidojot jaunu infrastruktūru atsevišķās ēkās, privātmāju  veidā  (pēc SOS ciematiņu principa).</t>
    </r>
  </si>
  <si>
    <r>
      <rPr>
        <b/>
        <u/>
        <sz val="12"/>
        <rFont val="Times New Roman"/>
        <family val="1"/>
        <charset val="186"/>
      </rPr>
      <t>Prioritārā projekta ideja Nr.1:</t>
    </r>
    <r>
      <rPr>
        <b/>
        <i/>
        <u/>
        <sz val="12"/>
        <rFont val="Times New Roman"/>
        <family val="1"/>
        <charset val="186"/>
      </rPr>
      <t xml:space="preserve"> Infrastruktūras izveide bērnu un jauniešu aprūpei ģimeniskā vidē saskaņa ar Quality4Children standartiem.</t>
    </r>
  </si>
  <si>
    <t>Jūrmalas pilsētas investīciju plānam 2016.-2018.gadam</t>
  </si>
  <si>
    <t>Integrēto teritoriju investīciju  projektu ideju kopsavilkums</t>
  </si>
  <si>
    <t>1.pielikums</t>
  </si>
  <si>
    <t>"Integrētās teritoriju investīcijas"</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</si>
  <si>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</si>
  <si>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t>1.2.</t>
  </si>
  <si>
    <t xml:space="preserve"> P 3.2.                          P 3.7.</t>
  </si>
  <si>
    <r>
      <t xml:space="preserve">Prioritārā projekta ideja Nr.3: </t>
    </r>
    <r>
      <rPr>
        <b/>
        <i/>
        <u/>
        <sz val="12"/>
        <rFont val="Times New Roman"/>
        <family val="1"/>
        <charset val="186"/>
      </rPr>
      <t>Lielupes kuģošanas infrastruktūras attīstība uzņēmējdarbības veicināšanai Jūrmalā</t>
    </r>
  </si>
  <si>
    <r>
      <t xml:space="preserve">Prioritārā projekta ideja Nr.2: </t>
    </r>
    <r>
      <rPr>
        <b/>
        <i/>
        <u/>
        <sz val="12"/>
        <rFont val="Times New Roman"/>
        <family val="1"/>
        <charset val="186"/>
      </rPr>
      <t>Jūrmalas ūdenstūrisma pakalpojuma infrastruktūras attīstība atbilstoši pilsētas ekonomiskajai specializācijai</t>
    </r>
  </si>
  <si>
    <t xml:space="preserve">
Projekta sadalījums aktivitāšu griezumā, darbības rezultāti un rezultatīvie rādītāji tiks precizēti pēc būvprojekta izstrādes. </t>
  </si>
  <si>
    <t>Daudzfunkcionāla, interaktīva dabas tūrisma objekta  būvniecība - ēkas un tās funkcionalitātes nodrošināšanai nepieciešamās infrastruktūras izbūve, piegulošās teritorijas labiekārtošana (t.sk.būvprojekts, autoruzraudzība, būvuzraudzība)</t>
  </si>
  <si>
    <t xml:space="preserve">Revitalizētā teritorija pēc tūrisma objekta izbūves un piegulošās teritorijas labiekārtošanas E.Dārziņa ielā 28 – 4.7 ha. </t>
  </si>
  <si>
    <t>Daudzfunkcionāla, interaktīva dabas tūrisma objekta papildinošās infrastruktūras būvniecība - teritorijas labiekārtošana (t.sk. būvprojekts, autoruzraudzība, būvuzraudzība)</t>
  </si>
  <si>
    <t>Revitalizētā teritorija uzņēmējdarbības attīstībai un kompleksu tūrisma un kūrorta pakalpojumu īstenošanai Tūristu ielā 17 – 9.2 ha.</t>
  </si>
  <si>
    <t xml:space="preserve">Veikta E.Dārziņa ielas infrastruktūras atjaunošana, t.sk. inženierkomunikāciju, ielas seguma, publiskā apgaismojuma atjaunošana, teritorijas labiekārtošana 0.8 ha platībā.  </t>
  </si>
  <si>
    <t>P 2.1.                    P 3.7.</t>
  </si>
  <si>
    <t xml:space="preserve">Jūrmalas pilsētas pašvaldība                                  
</t>
  </si>
  <si>
    <t xml:space="preserve">
Tiks veikta ceļu infrastruktūras atjaunošana un stāvvietu izbūve.
Projekta sadalījums aktivitāšu griezumā, darbības rezultāti un rezultatīvie rādītāji tiks precizēti pēc būvprojekta izstrādes. </t>
  </si>
  <si>
    <r>
      <rPr>
        <u/>
        <sz val="10"/>
        <rFont val="Times New Roman"/>
        <family val="1"/>
        <charset val="186"/>
      </rPr>
      <t>Iznākuma rādītājs:</t>
    </r>
    <r>
      <rPr>
        <sz val="10"/>
        <rFont val="Times New Roman"/>
        <family val="1"/>
        <charset val="186"/>
      </rPr>
      <t xml:space="preserve">
1) komersantu skaits, kuri guvuši labumu no projekta ietvaros izveidotās infrastruktūras  – 5 komersanti;
2) jaunizveidoto darba vietu skaits komersantos, kuri guvuši labumu no investīcijām infrastruktūrā – 22 darba vietas;
3) no projekta ietvaros veiktajām investīcijām infrastruktūrā labumu guvušo komersantu nefinanšu investīcijas pašu nemateriālajos ieguldījumos un pamatlīdzekļos – 1 500 000.00 EUR.</t>
    </r>
    <r>
      <rPr>
        <u/>
        <sz val="10"/>
        <rFont val="Times New Roman"/>
        <family val="1"/>
        <charset val="186"/>
      </rPr>
      <t/>
    </r>
  </si>
  <si>
    <t>Jūrmalas pilsētas pašvaldība</t>
  </si>
  <si>
    <r>
      <rPr>
        <b/>
        <sz val="12"/>
        <rFont val="Times New Roman"/>
        <family val="1"/>
        <charset val="186"/>
      </rPr>
      <t>Alternatīvā projekta ideja:</t>
    </r>
    <r>
      <rPr>
        <b/>
        <i/>
        <sz val="12"/>
        <rFont val="Times New Roman"/>
        <family val="1"/>
        <charset val="186"/>
      </rPr>
      <t xml:space="preserve"> </t>
    </r>
    <r>
      <rPr>
        <b/>
        <i/>
        <u/>
        <sz val="12"/>
        <rFont val="Times New Roman"/>
        <family val="1"/>
        <charset val="186"/>
      </rPr>
      <t>Pilsētas centrālās daļas ceļu infrastruktūras atjaunošana</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</si>
  <si>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- 8 komersanti;
2)jaunizveidoto darba vietu skaits komersantos, kuri guvuši labumu no investīcijām infrastruktūrā – 25 darba vietas;
3)no projekta ietvaro veiktajām investīcijām infrastruktūrā labumu guvušo komersantu nefinanšu investīcijas pašu nemateriālajos ieguldījumos un pamatlīdzekļos – 1 000 000.00  EUR.</t>
    </r>
  </si>
  <si>
    <r>
      <rPr>
        <b/>
        <i/>
        <sz val="10"/>
        <rFont val="Times New Roman"/>
        <family val="1"/>
        <charset val="186"/>
      </rPr>
      <t xml:space="preserve">2019 </t>
    </r>
    <r>
      <rPr>
        <b/>
        <sz val="10"/>
        <rFont val="Times New Roman"/>
        <family val="1"/>
        <charset val="186"/>
      </rPr>
      <t xml:space="preserve">                                                                                                                                                                                                                                                                                                                                                                                                                     </t>
    </r>
    <r>
      <rPr>
        <sz val="10"/>
        <rFont val="Times New Roman"/>
        <family val="1"/>
        <charset val="186"/>
      </rPr>
      <t xml:space="preserve">                                                                                                                                                                                                                                                                                                                                                                                                         </t>
    </r>
    <r>
      <rPr>
        <i/>
        <sz val="10"/>
        <rFont val="Times New Roman"/>
        <family val="1"/>
        <charset val="186"/>
      </rPr>
      <t>(2018.gads -būvprojekta izstrāde)</t>
    </r>
  </si>
  <si>
    <r>
      <rPr>
        <b/>
        <sz val="12"/>
        <rFont val="Times New Roman"/>
        <family val="1"/>
        <charset val="186"/>
      </rPr>
      <t xml:space="preserve">Prioritārā projekta ideja Nr.3: </t>
    </r>
    <r>
      <rPr>
        <b/>
        <i/>
        <u/>
        <sz val="12"/>
        <rFont val="Times New Roman"/>
        <family val="1"/>
        <charset val="186"/>
      </rPr>
      <t>Daudzfunkcionāla, interaktīva dabas tūrisma objekta izveide Ķemeros</t>
    </r>
  </si>
  <si>
    <t xml:space="preserve">Jūrmalas pilsētas pašvaldība                                         
</t>
  </si>
  <si>
    <t xml:space="preserve">Jūrmalas pilsētas pašvaldība                                          
</t>
  </si>
  <si>
    <t xml:space="preserve">Jūrmalas pilsētas pašvaldība                                       
</t>
  </si>
  <si>
    <t>E.Dārziņa ielas inženierkomunikāciju, ielas seguma, publiskā apgaismojuma atjaunošana, teritorijas labiekārtošana (t.sk. būvprojekts, autoruzraudzība, būvuzraudzība)</t>
  </si>
  <si>
    <t xml:space="preserve">Jūrmalas pilsētas pašvaldība
</t>
  </si>
  <si>
    <r>
      <rPr>
        <b/>
        <sz val="12"/>
        <rFont val="Times New Roman"/>
        <family val="1"/>
        <charset val="186"/>
      </rPr>
      <t xml:space="preserve">Prioritārā projekta ideja Nr.4: </t>
    </r>
    <r>
      <rPr>
        <b/>
        <i/>
        <u/>
        <sz val="12"/>
        <rFont val="Times New Roman"/>
        <family val="1"/>
        <charset val="186"/>
      </rPr>
      <t>Ielu infrastruktūras atjaunošana Ķemeros</t>
    </r>
  </si>
  <si>
    <t xml:space="preserve">Jūrmalas pilsētas pašvaldība                                              
</t>
  </si>
  <si>
    <r>
      <t xml:space="preserve">2018                                                                                    </t>
    </r>
    <r>
      <rPr>
        <i/>
        <sz val="10"/>
        <rFont val="Times New Roman"/>
        <family val="1"/>
        <charset val="186"/>
      </rPr>
      <t xml:space="preserve"> (2016.-2017.gads tehniskās dokumentācijas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</si>
  <si>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1.E.Dārziņa ielas inženierkomunikāciju, ielas seguma, publiskā apgaismojuma atjaunošana, teritorijas labiekārtošana (t.sk. būvprojekts, autoruzraudzība, būvuzraudzība)</t>
    </r>
    <r>
      <rPr>
        <i/>
        <sz val="12"/>
        <rFont val="Times New Roman"/>
        <family val="1"/>
        <charset val="186"/>
      </rPr>
      <t xml:space="preserve">
E.Dārziņa ielā ir nolietojies ceļa segums un inženiertehniskie tīkli. Lai nodrošinātu kvalitatīvu un sakārtotu publisko infrastruktūru, būtisku teritorijas attīstības un uzņēmējdarbības vides uzlabošanas nosacījumu, nepieciešams atjaunot  ceļu infrastruktūru - nodrošināt elektroenerģijas, ūdens, kanalizācijas un gāzes pieslēgumus uzņēmējiem, kā arī atjaunot publisko apgaismojumu, labiekārtot teritoriju.</t>
    </r>
  </si>
  <si>
    <t>P 2.8.                 P 3.2.                          P 3.7.</t>
  </si>
  <si>
    <t>P 2.8.                     P 3.7.</t>
  </si>
  <si>
    <t>Ceļu infrastruktūras atjaunošana un stāvvietu izbūve (t.sk. autoruzraudzība un būvuzraudzība)</t>
  </si>
  <si>
    <t>13.1.</t>
  </si>
  <si>
    <t>18.1.</t>
  </si>
  <si>
    <t>19.1.</t>
  </si>
  <si>
    <t>P 1.6.                             P 2.8.                             P 3.7.</t>
  </si>
  <si>
    <t>Specifiskais atbalsta mērķis  (SAM)  9.3.1.                                                                                                                                                                                                                                                                                                                                                                                                                        "Attīstīt pakalpojumu infrastruktūru bērnu aprūpei ģimeniskā vidē un personu ar invaliditāti neatkarīgai dzīvei un integrācijai sabiedrībā"***</t>
  </si>
  <si>
    <t>***Aktivitates šī SAM ietvaros var tikt precizētas pēc Rīgas plānošanas reģiona Deinstitucionalizācijas plāna izstrādes</t>
  </si>
  <si>
    <t>**Atbilstoši Vides aizsardzības un reģionālās attīstības ministrijas noteiktajam "Pašvaldību budžeta kapacitātes rādītājam 2016.gadā" (MK 27.01.2015. noteikumi Nr.42.)</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</si>
  <si>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</si>
  <si>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</si>
  <si>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 xml:space="preserve">Specifiskais atbalsta mērķis (SAM) 4.2.2.                                                                                                                                                                                                                                                                                                                                                                                                                   "Atbilstoši pašvaldības integrētajām attīstības programmām sekmēt energoefektivitātes paaugstināšanu un AER izmantošanu pašvaldību ēkās" </t>
  </si>
  <si>
    <r>
      <rPr>
        <b/>
        <sz val="12"/>
        <rFont val="Times New Roman"/>
        <family val="1"/>
        <charset val="186"/>
      </rPr>
      <t>Alternatīvā projekta ideja Nr.1 :</t>
    </r>
    <r>
      <rPr>
        <b/>
        <i/>
        <u/>
        <sz val="12"/>
        <rFont val="Times New Roman"/>
        <family val="1"/>
        <charset val="186"/>
      </rPr>
      <t>Jūrmalas pilsētas domes administratīvās ēkas energoefektivitātes paaugstināšana Dubultu prospektā 1, lit.1</t>
    </r>
  </si>
  <si>
    <r>
      <rPr>
        <b/>
        <sz val="12"/>
        <rFont val="Times New Roman"/>
        <family val="1"/>
        <charset val="186"/>
      </rPr>
      <t>Alternatīvā projekta ideja Nr.2:</t>
    </r>
    <r>
      <rPr>
        <b/>
        <i/>
        <u/>
        <sz val="12"/>
        <rFont val="Times New Roman"/>
        <family val="1"/>
        <charset val="186"/>
      </rPr>
      <t>Jūrmalas pilsētas domes administratīvās ēkas energoefektivitātes paaugstināšana Rūpniecības ielā 19</t>
    </r>
  </si>
  <si>
    <r>
      <t xml:space="preserve">Alternatīvā projekta ideja Nr.3. </t>
    </r>
    <r>
      <rPr>
        <b/>
        <i/>
        <u/>
        <sz val="12"/>
        <rFont val="Times New Roman"/>
        <family val="1"/>
        <charset val="186"/>
      </rPr>
      <t>Ķemeru pasta ēkas energoefektivitātes paaugstināšana</t>
    </r>
  </si>
  <si>
    <t>20.1.</t>
  </si>
  <si>
    <t>21.1.</t>
  </si>
  <si>
    <t>22.1.</t>
  </si>
  <si>
    <t>23.1.</t>
  </si>
  <si>
    <t xml:space="preserve">Jūrmalas pilsētas Jaundubultu vidusskolas  ēkas energoefektivitātes paaugstināšana (t.sk.autoruzraudzība,būvuzraudzība) </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</si>
  <si>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domes administratīvās ēkas energoefektivitātes paaugstināšana Dubultu prospektā 1, lit.1. (t.sk. autoruzraudzība, būvuzraudzība) </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t>
    </r>
    <r>
      <rPr>
        <b/>
        <sz val="12"/>
        <rFont val="Times New Roman"/>
        <family val="1"/>
        <charset val="186"/>
      </rPr>
      <t/>
    </r>
  </si>
  <si>
    <t xml:space="preserve">Jūrmalas pilsētas domes administratīvās ēkas energoefektivitātes paaugstināšana Dubultu prospektā 1, lit.1. (t.sk. autoruzraudzība, būvuzraudzība)         </t>
  </si>
  <si>
    <t xml:space="preserve">Jūrmalas pilsētas domes administratīvās ēkas energoefektivitātes paaugstināšana Rūpniecības ielā 19 (t.sk. autoruzraudzība, būvuzraudzība)             </t>
  </si>
  <si>
    <t xml:space="preserve">Ķemeru pasta ēkas energoefektivitātes paaugstināšana (t.sk. autoruzraudziba, būvuzraudzība) </t>
  </si>
  <si>
    <t>Projekta rezultatīvie un indikatīvie rādītāji tiks precizēti pēc tehniskās dokumentācijas izstrādes.</t>
  </si>
  <si>
    <r>
      <t xml:space="preserve">Projekta aktivitāšu pamatojums:
</t>
    </r>
    <r>
      <rPr>
        <b/>
        <sz val="12"/>
        <rFont val="Times New Roman"/>
        <family val="1"/>
        <charset val="186"/>
      </rPr>
      <t>1.Ceļu infrastruktūras atjaunošana un stāvvietu izbūve (t.sk. autoruzraudzība un būvuzraudzība)</t>
    </r>
    <r>
      <rPr>
        <i/>
        <sz val="12"/>
        <rFont val="Times New Roman"/>
        <family val="1"/>
        <charset val="186"/>
      </rPr>
      <t xml:space="preserve">
Ņemot vērā pilsētas ekonomisko specializāciju, pilsētas centrālā daļa jeb Jomas iela ir pilsētas viesu iecienīts galamērķis (2014.gadā vienas dienas tūristu skaits Jūrmalas pilsētā 4 miljoni cilvēki). Tomēr, lai arī Jūrmalas pilsēta ir izveidojusi virkni stāvvietu gan ielu malās gan atsevišķas autosstāvvietas, ņemot vērā plašo pakalpojumu klāstu (kultūras, tūrisma, veselības, ēdināšanas, izmitināšanas, u.c. pakalpojumi) Majoros-Dzintaros, sezonas laikā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ielu/ceļu un ar to saistīto infrastruktūru pārbūvi un atjaunošanu Majoru-Dzintaru rajonos, t.sk. veicot lietus ūdens  kanalizācijas infrastruktūras un ielu apgaismojuma būvniecību un atjaunošanu un stāvvietu izbūvi ielu malās.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</si>
  <si>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Rūpniecības ielā 19 (t.sk. autoruzraudzība,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
    </r>
  </si>
  <si>
    <t>15                      16                                            17</t>
  </si>
  <si>
    <t>14                               16                        17</t>
  </si>
  <si>
    <t>14                             15                         17</t>
  </si>
  <si>
    <t>14                                   15                         16</t>
  </si>
  <si>
    <r>
      <t xml:space="preserve">2019                                                                      </t>
    </r>
    <r>
      <rPr>
        <i/>
        <sz val="10"/>
        <rFont val="Times New Roman"/>
        <family val="1"/>
        <charset val="186"/>
      </rPr>
      <t>(24 mēneši)</t>
    </r>
  </si>
  <si>
    <r>
      <t xml:space="preserve">2019              </t>
    </r>
    <r>
      <rPr>
        <i/>
        <sz val="10"/>
        <rFont val="Times New Roman"/>
        <family val="1"/>
        <charset val="186"/>
      </rPr>
      <t>(20 mēneši)</t>
    </r>
  </si>
  <si>
    <r>
      <t xml:space="preserve">2019                  </t>
    </r>
    <r>
      <rPr>
        <i/>
        <sz val="10"/>
        <rFont val="Times New Roman"/>
        <family val="1"/>
        <charset val="186"/>
      </rPr>
      <t>(18 mēneši)</t>
    </r>
  </si>
  <si>
    <r>
      <t xml:space="preserve">2020                   </t>
    </r>
    <r>
      <rPr>
        <i/>
        <sz val="10"/>
        <rFont val="Times New Roman"/>
        <family val="1"/>
        <charset val="186"/>
      </rPr>
      <t>(23 mēneši)</t>
    </r>
  </si>
  <si>
    <t>Pašvaldības budžets* (12.75%) + neattiecināmās izmaksas</t>
  </si>
  <si>
    <t>Valsts budžeta dotācija** (2.25%)</t>
  </si>
  <si>
    <r>
      <t>Jūrmalas pilsētas pašvaldība</t>
    </r>
    <r>
      <rPr>
        <strike/>
        <sz val="10"/>
        <rFont val="Times New Roman"/>
        <family val="1"/>
        <charset val="186"/>
      </rPr>
      <t xml:space="preserve">       </t>
    </r>
    <r>
      <rPr>
        <sz val="10"/>
        <rFont val="Times New Roman"/>
        <family val="1"/>
        <charset val="186"/>
      </rPr>
      <t xml:space="preserve">                                
</t>
    </r>
  </si>
  <si>
    <t xml:space="preserve">Jūrmalas pilsētas pašvaldība                                          
</t>
  </si>
  <si>
    <t xml:space="preserve">Jūrmalas pilsētas pašvaldība                                      
</t>
  </si>
  <si>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71.77 kWh/m2 gadā (investīciju atmaksāšanās periods ne vairāk kā 20 gadi);
3)aprēķinātais siltumnīcefekta gāzu samazinājums gadā (CO2 ekvivalents tonnās) – 120.8 t/m2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</si>
  <si>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(12 mēneši)</t>
    </r>
  </si>
  <si>
    <t>Pašvaldības budžets (12.75%) + neattiecināmās izmaksas (EUR)</t>
  </si>
  <si>
    <t>Valsts budžeta dotācija (2.25%) (EUR)</t>
  </si>
  <si>
    <r>
      <rPr>
        <b/>
        <u/>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</si>
  <si>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r>
      <rPr>
        <b/>
        <u/>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</si>
  <si>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t>17.2.</t>
  </si>
  <si>
    <t>20.2.</t>
  </si>
  <si>
    <t>20.3.</t>
  </si>
  <si>
    <t>24.1.</t>
  </si>
  <si>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83.95 kWh uz m2 gadā. 
2)primārās enerģijas gada patēriņa samazinājums uz m2 pēc darbu pabeigšanas – 120.55 kWh/m2 gadā. 
3)aprēķinātais siltumnīcefekta gāzu samazinājums gadā (CO2 ekvivalents tonnās) – 92.99 t/m2 gadā.
</t>
    </r>
    <r>
      <rPr>
        <u/>
        <sz val="10"/>
        <rFont val="Times New Roman"/>
        <family val="1"/>
        <charset val="186"/>
      </rPr>
      <t>Iznākuma rādītājs:</t>
    </r>
    <r>
      <rPr>
        <sz val="10"/>
        <rFont val="Times New Roman"/>
        <family val="1"/>
        <charset val="186"/>
      </rPr>
      <t xml:space="preserve"> veikta ēkas ar kopējo platību 3020.20 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</si>
  <si>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97.35 kWh uz m2 gadā:
2)primārās enerģijas gada patēriņa samazinājums uz m2 pēc darbu pabeigšanas –  132.29 kWh/m2 gadā;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</si>
  <si>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86.57 kWh uz m2 gadā:
2)primārās enerģijas gada patēriņa samazinājums uz m2 pēc darbu pabeigšanas –  ne mazāk kā 40 kWh/m2 gadā;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491.60m2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</si>
  <si>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93.93 kWh uz m2 gadā:
2)primārās enerģijas gada patēriņa samazinājums uz m2 pēc darbu pabeigšanas –  ne mazāk kā 40 kWh/m2 gadā;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900.70m2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</si>
  <si>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71.02 kWh uz m2 gadā:
2)primārās enerģijas gada patēriņa samazinājums uz m2 pēc darbu pabeigšanas –  ne mazāk kā 40 kWh/m2 gadā;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516.20m2 energoefektivitātes paaugstināšana. Projekta rezultatīvie un indikatīvie rādītāji tiks precizēti pēc tehniskās dokumentācijas izstrādes.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</si>
  <si>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Ķemeru pasta ēkai Tukuma ielā 30 kopējais enerģijas  patēriņa novērtējums ir vērtējams kā augsts jeb 127,70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</si>
  <si>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pasta ēkas energoefektivitātes paaugstināšana (t.sk. autoruzraudziba, būvuzraudzība)</t>
    </r>
    <r>
      <rPr>
        <i/>
        <sz val="12"/>
        <rFont val="Times New Roman"/>
        <family val="1"/>
        <charset val="186"/>
      </rPr>
      <t xml:space="preserve">                                                                                                                                                                                                                                                         Ķemeru Pasta ēka Tukuma ielā 30 ir ļoti sliktā tehniskajā stāvoklī, ar zemu energoefektivitātes līmeni. Piesaistot ERAF finansējumu 2019.gadā tiek plānots uzlabot ēkas energoefektivitāti, veicot siltināšanas pasākumus un ieguldījumus apkures sistēmas rekonstrukcijā, izmantojot atjaunojamos energoresursus.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</si>
  <si>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Ēkai Rūpniecības ielā 19 - 213,65 kWh/m2 , kas ir lielāks nekā Jūrmalas publisko ēku vidējais siltumenerģijas patēriņš. Ēka ir arī vizuāli nepievilcīga un līdz ar to degradē kopējo pilsētas ainavu. Veicot ēkas energoefektivitātes pasākumus, samazināsies ēkas siltumeneģijas patēriņš, ēkas apsaimniekošanas izmaksas un CO2 emisija.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</si>
  <si>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Ēkas Dubultu prospektā 1 kopējais enerģijas  patēriņa novērtējums ir 208,28  kWh/m2. Ēka ir arī vizuāli nepievilcīga un līdz ar to degradē kopējo pilsētas ainavu. Veicot ēkai energoefektivitātes pasākumus, samazināsies ēkas siltumeneģijas patēriņš, ēkas apsaimniekošanas izmaksas un CO2 emisija.</t>
    </r>
  </si>
  <si>
    <r>
      <rPr>
        <b/>
        <sz val="12"/>
        <rFont val="Times New Roman"/>
        <family val="1"/>
        <charset val="186"/>
      </rPr>
      <t>Prioritārā projekta ideja Nr.3:</t>
    </r>
    <r>
      <rPr>
        <b/>
        <i/>
        <u/>
        <sz val="12"/>
        <rFont val="Times New Roman"/>
        <family val="1"/>
        <charset val="186"/>
      </rPr>
      <t>Jūrmalas pilsētas Ķemeru pamatskolas ēkas pārbūve un energoefektivitātes paaugstināšana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</si>
  <si>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Sporta skolas ēkai Rūpniecības ielā 13 kopējais enerģijas  patēriņa novērtējums ir 301.53 kWh/m2, kas ir augstāks nekā Jūrmalas publisko ēku vidējais siltumenerģijas patēriņš.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izglītības attīstības koncepcijas 2015.-2020.gadam datiem uz 2014.gada novembri izglītības iestādē bija reģistrēti 1100 audzēkņu vecumā no  4 līdz 25 gadiem. Gan iestādes ēka, gan zeme ir pašvaldības īpašums. Veicot ēkai energoefektivitātes pasākumus, samazināsies ēkas siltumeneģijas patēriņš, ēkas apsaimniekošanas izmaksas un CO2 emisija, uzlabosies ēkas vizuālais izskats.</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</si>
  <si>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ne mazāk kā 62.71 kWh/m2 gadā;
3)aprēķinātais siltumnīcefekta gāzu samazinājums gadā (CO2 ekvivalents tonnās) – ne mazāk par 24.00 t/m2 gadā.
</t>
    </r>
    <r>
      <rPr>
        <u/>
        <sz val="10"/>
        <rFont val="Times New Roman"/>
        <family val="1"/>
        <charset val="186"/>
      </rPr>
      <t>Iznākuma rādītājs:</t>
    </r>
    <r>
      <rPr>
        <sz val="10"/>
        <rFont val="Times New Roman"/>
        <family val="1"/>
        <charset val="186"/>
      </rPr>
      <t xml:space="preserve"> veikta ēkas ar kopējo platību 1519 m2 energoefektivitātes paaugstināšana. Projekta rezultatīvie rādītāji tiks precizēti pēc tehniskās dokumentācijas izstrādes. 
</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</si>
  <si>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69.1 kWh/m2 gadā;
3)aprēķinātais siltumnīcefekta gāzu samazinājums gadā (CO2 ekvivalents tonnās) – 23.26 t/m2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</si>
  <si>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74.10 kWh uz m2 gadā:
2)primārās enerģijas gada patēriņa samazinājums uz m2 pēc darbu pabeigšanas –  ne mazāk kā 43.1 kWh/m2 gadā;
3)aprēķinātais siltumnīcefekta gāzu samazinājums gadā (CO2 ekvivalents tonnās) – 111.02 t/m2 gadā.
</t>
    </r>
    <r>
      <rPr>
        <u/>
        <sz val="10"/>
        <rFont val="Times New Roman"/>
        <family val="1"/>
        <charset val="186"/>
      </rPr>
      <t>Iznākuma rādītājs:</t>
    </r>
    <r>
      <rPr>
        <sz val="10"/>
        <rFont val="Times New Roman"/>
        <family val="1"/>
        <charset val="186"/>
      </rPr>
      <t xml:space="preserve"> veikta ēkas  ar kopējo platību 5098.40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</si>
  <si>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78.48 kWh uz m2 gadā:
2)primārās enerģijas gada patēriņa samazinājums uz m2 pēc darbu pabeigšanas – ne mazāk kā 61.30 kWh/m2 gadā;
3)aprēķinātais siltumnīcefekta gāzu samazinājums gadā (CO2 ekvivalents tonnās) –121.94 t/m2 gadā.
</t>
    </r>
    <r>
      <rPr>
        <u/>
        <sz val="10"/>
        <rFont val="Times New Roman"/>
        <family val="1"/>
        <charset val="186"/>
      </rPr>
      <t>Iznākuma rādītājs:</t>
    </r>
    <r>
      <rPr>
        <sz val="10"/>
        <rFont val="Times New Roman"/>
        <family val="1"/>
        <charset val="186"/>
      </rPr>
      <t xml:space="preserve"> veikta ēkas  ar kopējo platību 5183.20 m2 energoefektivitātes paaugstināšana. Projekta rezultatīvie un indikatīvie rādītāji tiks precizēti pēc tehniskās dokumentācijas izstrādes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</si>
  <si>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Ēka ir arī vizuāli nepievilcīga un līdz ar to degradē kopējo pilsētas ainavu. 
Veicot ēkai energoefektivitātes pasākumus, samazināsies ēkas siltumenerģijas patēriņš, ēkas apsaimniekošanas izmaksas un CO2 emisija, uzlabosies ēkas vizuālais izskats. 
Ēka ir Jūrmalas pilsētas pašvaldības īpašums. Jūrmalas teātris ir pašvaldības iestādes "Jūrmalas kultūras centrs" struktūrvienība. Jūrmalas teātra materiāli tehniskās apgādes jautājumus nodrošina Jūrmalas kultūras centrs. Šobrīd telpas neizmanto citas juridiskās personas un telpās sniegtajiem pakalpojumiem ir izteikti vietējs raksturs.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</si>
  <si>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Ķemeri ir viena no Jūrmalas primāri attīstāmām teritorijām, 2014.gadā ir atklāts jaunizbūvētais bērnudārzs "Austras koks", bet sākot ar 2017.gadu ir plānots īstenot virkni projektu degradētās teritorijas revitalizācijai. Tādējādi, nozīmīgs ieguldījums Ķemeru attīstībā un izglītības pieejamībai ir arī Ķemeru pamatskolas pārbūves un energoefektivātes pasākumu īstenošana. Ķemeru pamatskola ir nozīmīgs Jūrmalas vēstures un arhitektūras piemineklis. Tāda veida bagātais alegorisko tēlu apjoms skolas fasādē un interjerā ir vienīgais Latvijā. Veicot ēkai energoefektivitātes pasākumus, samazināsies ēkas siltumeneģijas patēriņš, ēkas apsaimniekošanas izmaksas un CO2 emisijas.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</si>
  <si>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mērķtiecīgi un jēgpilni attīstītu izglītības iestāžu tīklu pilsētā, padarot to pieejamu un energoefetīvu, ir jāveic skolu  energoefektivitātes paaugstināšanas pasākumus. Jūrmalas pilsētas Jaundubultu vidusskolas ēkai Lielupes ielā 21 kopējais enerģijas patēriņa novērtējums ir 162,31 kWh/m2.  Projekta īstenošanas rezultātā samazināsies ēkas siltumeneģijas patēriņš, ēkas apsaimniekošanas izmaksas un CO2 emisija gaisā. Gan ēka, gan zeme ir pašvaldības īpašumā.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</si>
  <si>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Kauguru vidusskolas ēka Raiņa ielā 118 atrodas pašvaldības īpašumā, tā ir lielākā Jūrmalas skola (2014.gadā bija 688 izglītojamo) un tās kopējais enerģijas  patēriņa novērtējums ir 143,94 kWh/m2. Projekta īstenošanas rezultātā samazināsies ēku siltumeneģijas patēriņš, ēkas apsaimniekošanas izmaksas un CO2 emisijas gaisā.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</si>
  <si>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energoefektivitātes paaugstināšana (t.sk. autoruzraudziba, būvuzraudzība)</t>
    </r>
    <r>
      <rPr>
        <i/>
        <sz val="12"/>
        <rFont val="Times New Roman"/>
        <family val="1"/>
        <charset val="186"/>
      </rPr>
      <t xml:space="preserve">
Jūrmalas teātra ēka Muižas ielā 7 ir ļoti sliktā tehniskajā stāvoklī, ar zemu energoefektivitātes līmeni. Ēkas nesošajām ārsienām ir veikta konstruktīva pastiprināšana un daudzviet sienām novērojamas plaisas. Ēkas nesošās sienas veidotas no māla ķieģeļu mūra ar gāzbetona paneļiem ārsienu daļā. Ārsienas nav siltinātas. 
Piesaistot ERAF finansējumu 2019.gadā tiek plānots uzlabot ēkas energoefektivitāti,veicot energoefektivitātes paaugstināšanas pasākumus, saskaņā ar energosertifikātā noteikto - ārsienu gāzbetona paneļu un ķieģeļu mūra, dzelzsbetona pārseguma un paneļu pārseguma siltināšanu, apgaismojuma nomaiņu pret apgaismojumu ar LED spuldzēm.</t>
    </r>
    <r>
      <rPr>
        <b/>
        <sz val="12"/>
        <rFont val="Times New Roman"/>
        <family val="1"/>
        <charset val="186"/>
      </rPr>
      <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</si>
  <si>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uzņēmējdarbības attīstībai un veselības un atpūtas tūristu skaita pieaugumam.</t>
    </r>
  </si>
  <si>
    <r>
      <rPr>
        <i/>
        <u/>
        <sz val="12"/>
        <rFont val="Times New Roman"/>
        <family val="1"/>
        <charset val="186"/>
      </rPr>
      <t>Projekta idejas pamatojums:</t>
    </r>
    <r>
      <rPr>
        <i/>
        <sz val="12"/>
        <rFont val="Times New Roman"/>
        <family val="1"/>
        <charset val="186"/>
      </rPr>
      <t xml:space="preserve">
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Viens no būtiskākajiem pakalpojumiem, ko Jūrmalas pilsētas pašvaldība sniedz iedzīvotājiem, ir izglītības pakalpojums.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izpēte par izglītības pakalpojumu kvalitāti,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pieaugums 7.-12.klases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pašvaldības vispārējās vidējās izglītības iestādes infrastruktūras pilnveidē un dienesta viesnīcas izbūvē sniegs būtiskas priekšrocības izglītības pakalpojumu kvalitātes paaugstināšanā.</t>
    </r>
  </si>
  <si>
    <r>
      <rPr>
        <b/>
        <i/>
        <sz val="10"/>
        <rFont val="Times New Roman"/>
        <family val="1"/>
        <charset val="186"/>
      </rPr>
      <t>2017</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(2015.gads izstrādāts būvprojekts)</t>
    </r>
  </si>
  <si>
    <t>Dienesta viesnīcas telpu pārbūve</t>
  </si>
  <si>
    <r>
      <rPr>
        <b/>
        <i/>
        <sz val="10"/>
        <rFont val="Times New Roman"/>
        <family val="1"/>
        <charset val="186"/>
      </rPr>
      <t xml:space="preserve">2017          </t>
    </r>
    <r>
      <rPr>
        <sz val="10"/>
        <rFont val="Times New Roman"/>
        <family val="1"/>
        <charset val="186"/>
      </rPr>
      <t xml:space="preserve">                             </t>
    </r>
    <r>
      <rPr>
        <i/>
        <sz val="10"/>
        <rFont val="Times New Roman"/>
        <family val="1"/>
        <charset val="186"/>
      </rPr>
      <t xml:space="preserve">  (2015.gads - izstrādāts būvprojekts)</t>
    </r>
  </si>
  <si>
    <r>
      <rPr>
        <u/>
        <sz val="10"/>
        <rFont val="Times New Roman"/>
        <family val="1"/>
        <charset val="186"/>
      </rPr>
      <t xml:space="preserve">Rezultāta rādītājs: </t>
    </r>
    <r>
      <rPr>
        <sz val="10"/>
        <rFont val="Times New Roman"/>
        <family val="1"/>
        <charset val="186"/>
      </rPr>
      <t xml:space="preserve">
Pilnībā modernizēta vispārējās izglītības iestādes vismaz 1 stāvs (ergonomiska mācību vide, IKT risinājumi).
</t>
    </r>
    <r>
      <rPr>
        <u/>
        <sz val="10"/>
        <rFont val="Times New Roman"/>
        <family val="1"/>
        <charset val="186"/>
      </rPr>
      <t xml:space="preserve">Iznākuma rādītājs:  </t>
    </r>
    <r>
      <rPr>
        <sz val="10"/>
        <rFont val="Times New Roman"/>
        <family val="1"/>
        <charset val="186"/>
      </rPr>
      <t xml:space="preserve">
1)izglītojamo skaits 7.-12. klasē ir ne mazāk kā 240 izglītojamie vienā mācību gadā;
2)tiek īstenotas vismaz divas vispārējās vidējās izglītības  programmas, no kurām viena ir STEM (matemātikas, dabaszinību un tehnikas virziena programma).</t>
    </r>
  </si>
  <si>
    <t xml:space="preserve">Jūrmalas pilsētas Kauguru vidusskolas infrastruktūras pilnveide                               </t>
  </si>
  <si>
    <t xml:space="preserve">Daudzfunkcionālā laukuma (t.sk. ēku) un autostāvvietas izbūve </t>
  </si>
  <si>
    <t>Jauniešu mājas un inženiertehnisko tīklu izbūve</t>
  </si>
  <si>
    <t>Ūdenstūrisma pakalpojumu centra ''Majori'' izveide(ēkas pārbūve)</t>
  </si>
  <si>
    <r>
      <t xml:space="preserve">Projekta idejas pamatojums:
</t>
    </r>
    <r>
      <rPr>
        <i/>
        <sz val="12"/>
        <rFont val="Times New Roman"/>
        <family val="1"/>
        <charset val="186"/>
      </rPr>
      <t xml:space="preserve">Jūrmalas pilsētas Attīstības programmā 2014.-2020.gadam, viena no pašvaldības definētajām prioritārajām rīcībām ir kuģošanas infrastruktūras attīstība Lielupē. Saskaņā ar Jūrmalas ostas attīstības programmā 2015.-2022.gadam definēto, Lielupes krastos Jūrmalas pilsētas teritorijā izvietotas ap 20 (Jūrmalas ostas teritorijā – divas) laivu piestātnes, kas pieder privātām personām, jahtklubiem un uzņēmumiem. Lielāko daļu upes krastmalas pilsētā aizņem aizsargājamās dabas teritorijas, piekraste ir applūstoša, daudzviet pieeju krastam ierobežo privātie zemes īpašumi. 
Jūrmalai attīstot ūdenstūrismu un jahtu tūrismam nepieciešamo infrastruktūru, ir svarīgi to veidot atbilstoši pieprasījumam. Saskaņā ar Ceļu satiksmes drošības direkcijas datiem, Jūrmalā reģistrēto mazizmēra kuģošanas līdzekļu skaits ir strauji palielinājies – laikā no 2006.gada līdz 2012.gadam to skaits ir palielinājies no 290 līdz 600 vienībām. Tādējādi, šo kuģošanas līdzekļu īpašniekiem ir nepieciešamas telpas/teritorijas jeb serviss, lai tos uzglabātu ziemas laikā. Ņemot vērā, ka jahtošanas  un kuģošanas popularitāte Latvijā pieaug, funkcionējošām Pierīgas ostām laivu un jahtu skaita palielināšanās varētu būt liels slogs, tāpēc, ņemot vērā pilsētas ekonomisko specializāciju un, lai mazinātu sezonalitāti un attīstītu konkurētspējigu uzņēmējdarbību Jūrmalā, vienlaicīgi nodrošinot pilsētas iedzīvotājus ar darba vietām, nepieciešams veidot kuģošanas transporta servisa centru Jūrmalā, kas būtu pieejams vietējiem iedzīvotājiem, bet vienlaicīgi pietiekami tuvu Pierīgas pašvaldībām, lai ūdenstransporta īpašnieki izvēlētos to par sava kuģošanas līdzekļa ziemas galamērķi. Servisa centrs sniegs pakalpojumu kompleksu, kas attīstīs uzņēmējdarbības vidi pilsētā un mazinās šīs jomas sezonalitāti Jūrmalā. </t>
    </r>
  </si>
  <si>
    <t xml:space="preserve">Jūrmalas pilsētas Ķemeru pamatskolas ēkas pārbūve un energoefektivitātes paaugstināšana 
</t>
  </si>
  <si>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kompleksi attīstītu Jaundubultu vidusskolu un tās teritorijā esošās ēkas, ir jāveic energoefektivitāti paaugstinošus pasākumus arī Jaundubultu vidusskolas ēkai Lielupes ielā 21 k-1 (autoskolas ēka). Ēkas kopējais enerģijas patēriņa novērtējums ir 247,54 kWh/m2. Projekta īstenošanas rezultātā samazināsies ēkas siltumeneģijas patēriņš, ēkas apsaimniekošanas izmaksas un CO2 emisija gaisā. Gan ēka, gan zeme ir pašvaldības  īpašums. Ēkā darbojas Jūrmalas pašvaldības iestādes "Jūrmalas bērnu un jauniešu interešu centrs" organizētie interešu izglītības pulciņi. Šobrīd ēku neizmanto citas juridiskas personas.</t>
    </r>
  </si>
  <si>
    <t xml:space="preserve">Jūrmalas pilsētas Jaundubultu vidusskolass ēkas k-1 (autoskolas ēka) energoefektivitātes paaugstināšana (t.sk.autoruzraudzība,būvuzraudzība)
</t>
  </si>
  <si>
    <t xml:space="preserve">Jūrmalas pilsētas Kauguru vidusskolas energoefektivitātes paaugstināšana </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</si>
  <si>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1.Daudzfunkcionāla, interaktīva dabas tūrisma objekta  būvniecība, inženiertehnisko tīklu pilnveide un teritorijas labiekārtošana (t.sk.būvprojekts, autoruzraudzība, būvuzraudzība)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ūdensapgādes, siltumapgādes, gāzes, elektroenerģijas izbūvi, kā arī ēkai piegulošās teritorijas apzaļumošanu, labiekārtojuma elementu uzstādīšanu, gājēju celiņu, veloceliņu un cietā seguma laukuma – autostāvvietas izbūvi Ķemeru degradētajā teritorijā, zemes gabalā Emīla Dārziņa ielā 28, kadastra Nr.13000260093.</t>
    </r>
    <r>
      <rPr>
        <b/>
        <sz val="12"/>
        <rFont val="Times New Roman"/>
        <family val="1"/>
        <charset val="186"/>
      </rPr>
      <t xml:space="preserve">
2.Daudzfunkcionāla, interaktīva dabas tūrisma objekta papildinošās infrastruktūras būvniecība - teritorijas labiekārtošana (t.sk. būvprojekts, autoruzraudzība, būvuzraudzība)</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 teritorijas labiekārtošanu – gājēju celiņu, veloceliņu un apgaismojuma izbūvi, soliņu, atkritumu urnu un citu labiekārtojuma elementu uzstādīšanu zemes gabalā Tūristu ielā 17, kadastra Nr.13000262615.</t>
    </r>
  </si>
  <si>
    <r>
      <rPr>
        <i/>
        <u/>
        <sz val="12"/>
        <rFont val="Times New Roman"/>
        <family val="1"/>
        <charset val="186"/>
      </rPr>
      <t>Projekta idejas pamatojums:</t>
    </r>
    <r>
      <rPr>
        <i/>
        <sz val="12"/>
        <rFont val="Times New Roman"/>
        <family val="1"/>
        <charset val="186"/>
      </rPr>
      <t xml:space="preserve">
Tematiskā plānojuma „Ķemeru attīstības vīzija” ietvaros tika veikta Ķemeru teritorijas daudzpusīgā izpēte, tostarp apskatīta Ķemeru satiksmes infrastruktūra,  tika norādīts, ka Ķemeru ielu sarkano līniju un ielu zemes vienību platumu ietvaros Tūristu ielā un  E.Dārziņa ielā ir nepieciešams un ir iespējams veidot vai attīstīt dažāda veida satiksmes infrastruktūru –gājēju ietves, veloceliņus, autobusu pieturas, autostāvvietas u.c. Šobrīd ietvju un ceļa seguma kvalitāte ir vērtējama kā slikta. Arī satiksmes drošība uz abām minētām centrālām ielām ir uzlabojama, jo tur jau šobrīd ir novērojama vislielākā satiksmes intensitāte.  Attīstoties kūrortam,  pieaugs cilvēku un automašīnu plūsma, tāpēc būtu nepieciešams izveidot papildu gājēju pāreju, lai uzlabotu iedzīvotāju drošību, šķērsojot ielas. Arī inženiertīklu pieejamība Ķemeros ir pilnveidojama, jo šobrīd nav nodrošināti publiskās infrastruktūras pieslēgumi uzņēmējdarbības objektiem (elektroenerģijas, ūdens un kanalizācijas un gāzes pieslēgumi, kā arī pievadošā ceļu infrastruktūra - īpaši E.Dārziņa ielā.</t>
    </r>
  </si>
  <si>
    <r>
      <rPr>
        <i/>
        <u/>
        <sz val="12"/>
        <rFont val="Times New Roman"/>
        <family val="1"/>
        <charset val="186"/>
      </rPr>
      <t>Projekta idejas pamatojums:</t>
    </r>
    <r>
      <rPr>
        <i/>
        <sz val="12"/>
        <rFont val="Times New Roman"/>
        <family val="1"/>
        <charset val="186"/>
      </rPr>
      <t xml:space="preserve">
Atbilstoši Jūrmalas pilsētas vidējā termiņa mērķiem, kas definēti Jūrmalas pilsētas Attīstības programmā 2014.2020.gadam, viena no pašvaldības definētajām prioritārajām rīcībām ir Kultūras tūrisma attīstība, kā arī Atbalsts uzņēmējdarbības iniciatīvām un uzņēmēju sadarbības veicināšana.  Majoru muižas galvenā ēka ir valsts nozīmes arhitektūras piemineklis (Aizsardzības Nr.5554). Majoru muižas komplekss atrodas Jūrmalas pilsētas centrālā daļā, to veido 2,5 hektāri zemes un 13 būvju. Teritorija ir pamesta un muižas ēka iekonservēta. Teritorijas revitalizācijai ir svarīgi definēt muižas kompleksa turpmāko attīstības scenāriju un uzsākt sistemātisku un pilsētas profilam atbilstošu kompleksa attīstību, pielāgojot degradēto teritoriju komersantu saimnieciskās darbības attīstībai, un sekmējot nodarbinātību un ekonomisko aktivitāti Jūrmalā. </t>
    </r>
  </si>
  <si>
    <t>2017-2020</t>
  </si>
  <si>
    <t>2017-2019</t>
  </si>
  <si>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Pilsētas atpūtas parka un jauniešu mājas izveide Kauguros </t>
    </r>
  </si>
  <si>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2018.gadā ir plānots uzsākt pilsētas atpūtas parka izveidi Kauguros ar mērķi veicināt uzņēmējdarbības vides un aktīvās atpūtas iespēju pilnveidi, atbilstoši pilsētas specializācijai. Pilsētas atpūtas parka “Daudzfunkcionālā laukumā” izvietotās būves atbilstoši Ministru kabineta noteikumu Nr.593 19.2. apakšpunkta nosacījumiem tiks nodotas komersantam nomā saimnieciskās darbības veikšanai. 
2018.gadā, lai dažādotu pakalpojuma klāstu un sekmētu uzņēmējdarbības attīstību pilsētas visblīvāk apdzīvotā daļā, plānots uzsākt Jauniešu mājas izbūvi pilsētas atpūtas parkā. Plānots, ka Jauniešu mājas saimnieciskā darbība tiks vērsta uz interešu izglītību, kā arī jauniešu nodarbinātības veicināšanu tādos iespējamos darbības veidos kā ēdināšanas pakalpojumu, profesionālo un zinātnisko pakalpojumu nozarē.  Saskaņā ar Nodarbinātības valsts aģentūras datiem, 2014.gada janvāra beigās Latvijā 9 351 bija jaunieši bezdarbnieki (15 – 24 gadi), kas ir 9,7% no kopējā reģistrēto bezdarbnieku skaita.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2015.gada 13.oktobra noteikumu Nr.593 19.2. apakšpunkta nosacījumiem. Attīstot pilsētā jaunu teritoriju, kurā tiks nodrošināta  atpūtas, brīvā laika pavadīšana un interešu izglītība, papildu teritorijā esošajiem komersantiem, labumu guvēju statusā būs arī apkārt esošo teritoriju komersanti.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</si>
  <si>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1.Daudzfunkcionālā laukuma (t.sk.ēku) un autostāvvietas izbūve </t>
    </r>
    <r>
      <rPr>
        <i/>
        <sz val="12"/>
        <rFont val="Times New Roman"/>
        <family val="1"/>
        <charset val="186"/>
      </rPr>
      <t xml:space="preserve">
Izveidojot pilsētas atpūtas parku Kauguros, visblīvāk apdzīvotākajā pilsētas daļā, tiks sekmēta apkārt esošo mazo un vidējo komersantu darbība. Arī pilsētas atpūtas parka teritorijā paredzēta 1500m2 liela platība uzņēmējdarbības aktivitāšu īstenošanai – ēdināšanas un aktīvās atpūtas pakalpojumu sniegšanai. Papildu tiks izbūvēta 1000 m2 plaša autostāvvieta. Pilsētas atpūtas parka izveide un ieguldījumi infrastruktūrā veicinās  jaunu mazo un vidējo komersantu izveidi un esošo komersantu komercdarbības pilnveidi, kā rezultātā labumu guvušie komersanti nodrošinās jaunu darba vietu izveidi Kauguros un tai pieguļošās apdzīvotās teritorijās un veiks nefinanšu investīcijas pašu nemateriālajos ieguldījumos un pamatlīdzekļos;
</t>
    </r>
    <r>
      <rPr>
        <b/>
        <sz val="12"/>
        <rFont val="Times New Roman"/>
        <family val="1"/>
        <charset val="186"/>
      </rPr>
      <t>2. Jauniešu mājas un inženiertehnisko tīklu izbūve</t>
    </r>
    <r>
      <rPr>
        <i/>
        <sz val="12"/>
        <rFont val="Times New Roman"/>
        <family val="1"/>
        <charset val="186"/>
      </rPr>
      <t xml:space="preserve">
Projektā ir plānots izbūvēt Jauniešu māju, kuras daļa tiks nodota komersantiem uzņēmējdarbības veicināšanai pilsētā, primāri orientējoties uz uzņēmējdarbību, kas sekmēs jauniešu nodarbinātību, vienlaicīgi, izskatot iespēju sekmēt pilsētas ekonomiskās specializācijas uzņēmumu pilnveidošanu un attīstību. Paredzēts izbūvēt inženiertehniskos tīklus, nodrošinot komercdarbības mērķiem paredzētās ēkas funkcionalitātes nodrošināšanai nepieciešamo sabiedrisko pakalpojumu pieslēgumu būvniecību.</t>
    </r>
  </si>
  <si>
    <t>Pilsētas atpūtas parka un jauniešu mājas izveide Kauguros
(IP 43.pozīcija)</t>
  </si>
  <si>
    <r>
      <rPr>
        <b/>
        <i/>
        <sz val="10"/>
        <rFont val="Times New Roman"/>
        <family val="1"/>
        <charset val="186"/>
      </rPr>
      <t>2020</t>
    </r>
    <r>
      <rPr>
        <i/>
        <sz val="10"/>
        <rFont val="Times New Roman"/>
        <family val="1"/>
        <charset val="186"/>
      </rPr>
      <t xml:space="preserve">                                                                                                                                                                                                                                                                                                                                                                                                                                                                (34 mēneši)</t>
    </r>
  </si>
  <si>
    <t>1000 m2 plašas autostāvvietas izbūve, 1500 m2 komercdarbībai paredzētas platības izbūve, kā arī tiks  izbūvētas telpas/būves komercdarbībai, inženierkomunikāciju izveide. Projekta sadalījums aktivitāšu griezumā, darbības rezultāti, precīzas izmaksas un rezultatīvie rādītāji tiks precizēti pēc būvprojekta izstrādes.</t>
  </si>
  <si>
    <r>
      <rPr>
        <b/>
        <i/>
        <sz val="10"/>
        <rFont val="Times New Roman"/>
        <family val="1"/>
        <charset val="186"/>
      </rPr>
      <t>2017</t>
    </r>
    <r>
      <rPr>
        <sz val="10"/>
        <rFont val="Times New Roman"/>
        <family val="1"/>
        <charset val="186"/>
      </rPr>
      <t xml:space="preserve">                                                                                                                                                                                                                                                                                                                                                                                                                                                                                                                                                                                                                                                                                                                                                                                                                                                                                                                                                                                                                                                                                                                                                                                                                                                                                                                                                                                                                                                                                                                                                                                                                                                                                                                                                                   </t>
    </r>
    <r>
      <rPr>
        <i/>
        <sz val="10"/>
        <rFont val="Times New Roman"/>
        <family val="1"/>
        <charset val="186"/>
      </rPr>
      <t xml:space="preserve">(2016.gads-2017.gads būvprojekta izstrāde)                         </t>
    </r>
    <r>
      <rPr>
        <sz val="10"/>
        <rFont val="Times New Roman"/>
        <family val="1"/>
        <charset val="186"/>
      </rPr>
      <t xml:space="preserve">                                                                                                                                                                                                                                                                                                                                                                                                                                                                                                            </t>
    </r>
  </si>
  <si>
    <t>Sabiedriskā objekta teritorijā tiks izbūvēta jauniešu māja, pārbūvēti un izbūvēti inženiertehniskie tīkli. Kopumā objektam izdalītā teritorija ir 4000m2. 
Projekta sadalījums aktivitāšu griezumā, darbības rezultāti, precīzas izmaksas un rezultatīvie rādītāji tiks precizēti pēc būvprojekta izstrādes.</t>
  </si>
  <si>
    <r>
      <rPr>
        <b/>
        <i/>
        <sz val="10"/>
        <rFont val="Times New Roman"/>
        <family val="1"/>
        <charset val="186"/>
      </rPr>
      <t>2017</t>
    </r>
    <r>
      <rPr>
        <sz val="10"/>
        <rFont val="Times New Roman"/>
        <family val="1"/>
        <charset val="186"/>
      </rPr>
      <t xml:space="preserve">                                                                                                                                                                                                                                                                                                                                                                                                                                                                                                                                                                                                                                                                                                                                                                                                                                                                                                                                                                                                                                                                                                                                                                                                                                                                                                                                                                                                                                                                                                                                                                                                                                                                                                                                                                    </t>
    </r>
    <r>
      <rPr>
        <i/>
        <sz val="10"/>
        <rFont val="Times New Roman"/>
        <family val="1"/>
        <charset val="186"/>
      </rPr>
      <t xml:space="preserve">(2016.-2017.gads-būvprojekta izstrāde)                         </t>
    </r>
    <r>
      <rPr>
        <sz val="10"/>
        <rFont val="Times New Roman"/>
        <family val="1"/>
        <charset val="186"/>
      </rPr>
      <t xml:space="preserve">                                                                                                                                                                                                                                                                                                                                                                                                                                                                                                            </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</si>
  <si>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 tūristu piesaistīšanai no Vācijas, Dānijas, Somijas un Zviedrijas.
Projekta “Jūrmalas ūdenstūrisma pakalpojuma infrastruktūras attīstība atbilstoši pilsētas ekonomiskajai specializācijai”  plānots attīstīt papildu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2015.gada 13.oktobra noteikumu Nr.593 19.2. apakšpunkta nosacījumiem. </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</si>
  <si>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 Ūdenstūrisma pakalpojumu centra ''Majori'' izveide (ēkas pārbūve)</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</si>
  <si>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t xml:space="preserve">Jūrmalas ūdenstūrisma pakalpojumu infrastruktūras attīstība atbilstoši pilsētas ekonomiskajai specializācijai </t>
    </r>
    <r>
      <rPr>
        <i/>
        <sz val="10"/>
        <rFont val="Times New Roman"/>
        <family val="1"/>
        <charset val="186"/>
      </rPr>
      <t>(IP 30.pozīcija)</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</si>
  <si>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8 darba vietas;
3)no projekta ietvaros veiktajām investīcijām infrastruktūrā labumu guvušo komersantu nefinanšu investīcijas pašu nemateriālajos ieguldījumos un pamatlīdzekļos – 417 394.80 EUR.</t>
    </r>
  </si>
  <si>
    <r>
      <rPr>
        <b/>
        <i/>
        <sz val="10"/>
        <rFont val="Times New Roman"/>
        <family val="1"/>
        <charset val="186"/>
      </rPr>
      <t>2019</t>
    </r>
    <r>
      <rPr>
        <sz val="10"/>
        <rFont val="Times New Roman"/>
        <family val="1"/>
        <charset val="186"/>
      </rPr>
      <t xml:space="preserve">                                           </t>
    </r>
    <r>
      <rPr>
        <i/>
        <sz val="10"/>
        <rFont val="Times New Roman"/>
        <family val="1"/>
        <charset val="186"/>
      </rPr>
      <t>(17 mēneši)</t>
    </r>
  </si>
  <si>
    <r>
      <rPr>
        <b/>
        <i/>
        <sz val="10"/>
        <rFont val="Times New Roman"/>
        <family val="1"/>
        <charset val="186"/>
      </rPr>
      <t xml:space="preserve">2017  </t>
    </r>
    <r>
      <rPr>
        <b/>
        <sz val="10"/>
        <rFont val="Times New Roman"/>
        <family val="1"/>
        <charset val="186"/>
      </rPr>
      <t xml:space="preserve">                                                                                                                                                                                                                                                                                                                                                                                                                     </t>
    </r>
    <r>
      <rPr>
        <sz val="10"/>
        <rFont val="Times New Roman"/>
        <family val="1"/>
        <charset val="186"/>
      </rPr>
      <t xml:space="preserve">                                                                                                                                                                                                                                                                                                                                                                                                         </t>
    </r>
    <r>
      <rPr>
        <i/>
        <sz val="10"/>
        <rFont val="Times New Roman"/>
        <family val="1"/>
        <charset val="186"/>
      </rPr>
      <t>(2016.-2017.gads-būvprojekta izstrāde)</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</si>
  <si>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1.Servisa centra izbūve Vikingu ielā 40a un inženiertehnisko tīklu izbūve (t.sk. autoruzraudzība un būvuzraudzība) </t>
    </r>
    <r>
      <rPr>
        <i/>
        <sz val="12"/>
        <rFont val="Times New Roman"/>
        <family val="1"/>
        <charset val="186"/>
      </rPr>
      <t xml:space="preserve">
Pilsētā pietrūkst Lielupes kuģošanas infrastruktūras, tāpēc ir plānots Vikingu ielā 40a veikt servisa centra izbūvi, tādējādi, dažādojot uzņēmējdarbības vidi, apmierinot vietējo un Pierīgas pašvaldību kuģošanas transportlīdzekļu īpašnieku pieprasījumu pēc telpām, kurās iespējams remontēt un uzglabāt savu kustamo mantu arī ziemas laikā. Ir nepieciešama arī inženiertehnisko tīklu izbūve, lai nodrošinātu servisa centra efektīvu funkcionēšanu un tajā esošo komersantu saimniecisko darbību.</t>
    </r>
  </si>
  <si>
    <r>
      <t xml:space="preserve">Lielupes kuģošanas infrastruktūras attīstība uzņēmējdarbības veicināšanai Jūrmalā </t>
    </r>
    <r>
      <rPr>
        <i/>
        <sz val="10"/>
        <rFont val="Times New Roman"/>
        <family val="1"/>
        <charset val="186"/>
      </rPr>
      <t>(IP 31.pozīcija)</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</si>
  <si>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2 darba vietas;
3)no projekta ietvaros veiktajām investīcijām infrastruktūrā labumu guvušo komersantu nefinanšu investīcijas pašu nemateriālajos ieguldījumos un pamatlīdzekļos – 82 605.20 EUR.</t>
    </r>
  </si>
  <si>
    <r>
      <rPr>
        <b/>
        <i/>
        <sz val="10"/>
        <rFont val="Times New Roman"/>
        <family val="1"/>
        <charset val="186"/>
      </rPr>
      <t>2020</t>
    </r>
    <r>
      <rPr>
        <sz val="10"/>
        <rFont val="Times New Roman"/>
        <family val="1"/>
        <charset val="186"/>
      </rPr>
      <t xml:space="preserve">                 </t>
    </r>
    <r>
      <rPr>
        <i/>
        <sz val="10"/>
        <rFont val="Times New Roman"/>
        <family val="1"/>
        <charset val="186"/>
      </rPr>
      <t>(12 mēneši)</t>
    </r>
  </si>
  <si>
    <r>
      <t>Servisa centra izbūve Vikingu ielā 40a un inženiertehnisko tīklu izbūve</t>
    </r>
    <r>
      <rPr>
        <strike/>
        <sz val="10"/>
        <rFont val="Times New Roman"/>
        <family val="1"/>
        <charset val="186"/>
      </rPr>
      <t xml:space="preserve"> </t>
    </r>
    <r>
      <rPr>
        <sz val="10"/>
        <rFont val="Times New Roman"/>
        <family val="1"/>
        <charset val="186"/>
      </rPr>
      <t>(t.sk.autoruzraudzība un būvuzraudzība)</t>
    </r>
  </si>
  <si>
    <r>
      <t>Tiks izbūvēta infrastruktūra un izbūvēti/pārbūvēti inženiertehniskie tīkli</t>
    </r>
    <r>
      <rPr>
        <strike/>
        <sz val="10"/>
        <rFont val="Times New Roman"/>
        <family val="1"/>
        <charset val="186"/>
      </rPr>
      <t>.</t>
    </r>
    <r>
      <rPr>
        <sz val="10"/>
        <rFont val="Times New Roman"/>
        <family val="1"/>
        <charset val="186"/>
      </rPr>
      <t xml:space="preserve">
Projekta sadalījums aktivitāšu griezumā, darbības rezultāti un rezultatīvie rādītāji tiks precizēti pēc būvprojekta izstrādes. </t>
    </r>
  </si>
  <si>
    <r>
      <rPr>
        <b/>
        <i/>
        <sz val="10"/>
        <rFont val="Times New Roman"/>
        <family val="1"/>
        <charset val="186"/>
      </rPr>
      <t xml:space="preserve">2019    </t>
    </r>
    <r>
      <rPr>
        <sz val="10"/>
        <rFont val="Times New Roman"/>
        <family val="1"/>
        <charset val="186"/>
      </rPr>
      <t xml:space="preserve">                                                                                                                                                                                                                                                                                                                                                                                                                                                                                                                                                                                                                                                                                                                                                    </t>
    </r>
    <r>
      <rPr>
        <i/>
        <sz val="10"/>
        <rFont val="Times New Roman"/>
        <family val="1"/>
        <charset val="186"/>
      </rPr>
      <t>(2018.gads būvprojekta izstrāde)</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</si>
  <si>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upi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</si>
  <si>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t xml:space="preserve">Pilsētas centrālās daļas ceļu infrastruktūras atjaunošana                    </t>
    </r>
    <r>
      <rPr>
        <i/>
        <sz val="10"/>
        <rFont val="Times New Roman"/>
        <family val="1"/>
        <charset val="186"/>
      </rPr>
      <t>(IP 16.pozīcija un IP 19.pozīcija)</t>
    </r>
  </si>
  <si>
    <r>
      <rPr>
        <b/>
        <sz val="12"/>
        <rFont val="Times New Roman"/>
        <family val="1"/>
        <charset val="186"/>
      </rPr>
      <t>Prioritārā projekta ideja Nr.1:</t>
    </r>
    <r>
      <rPr>
        <b/>
        <i/>
        <u/>
        <sz val="12"/>
        <rFont val="Times New Roman"/>
        <family val="1"/>
        <charset val="186"/>
      </rPr>
      <t xml:space="preserve"> Jūrmalas veselības veicināšanas un sociālo pakalpojumu centra infrastruktūras pilnveide un energoefektivitātes paaugstināšana </t>
    </r>
  </si>
  <si>
    <r>
      <rPr>
        <i/>
        <u/>
        <sz val="12"/>
        <rFont val="Times New Roman"/>
        <family val="1"/>
        <charset val="186"/>
      </rPr>
      <t xml:space="preserve">Projekta idejas pamatojums: </t>
    </r>
    <r>
      <rPr>
        <i/>
        <sz val="12"/>
        <rFont val="Times New Roman"/>
        <family val="1"/>
        <charset val="186"/>
      </rPr>
      <t xml:space="preserve">
Pašvaldības iestādes „Veselības veicināšanas un sociālo pakalpojumu centrs” ēkas Strēlnieku prospektā 38 un 38 k-1 un zeme atrodas Jūrmalas pilsētas pašvaldības īpašumā. Abām ēkām ir kopīga enerģijas uzskaite.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veselības veicināšanas un sociālo pakalpojumu centra ēkas Strēlnieku prospektā 38 un 38 k-1 šobrīd ir ar zemu energoefektivitāti. Ēkai Strēlnieku prospektā 38 kopējais enerģijas  patēriņa novērtējums ir 302,74 kWh/m2, bet ēkai Strēlnieku prospektā 38 k-1 - 262,84 kWh/m2, kas ir augstāks nekā Jūrmalas publisko ēku vidējais siltumenerģijas patēriņš. Ēkas ir vizuāli nepievilcīgas un līdz ar to degradē kopējo pilsētas ainavu. Veicot ēkām energoefektivitātes pasākumus, samazināsies ēku siltumeneģijas patēriņš, ēku apsaimniekošanas izmaksas un CO2 emisija, ēkā uzlabosies vispārējais komforta līmenis un vizuālais izskats.
Lai ekonomiski un funkcionāli izmantotu infrastruktūru, realizējot veselības un sociālā aprūpes centra mērķi - veicināt iedzīvotāju veselīgu dzīvesveidu, nodrošināt sociālās aprūpes un sociālās rehabilitācijas pakalpojumus, normatīvajos aktos noteiktajos gadījumos, nodrošināt veselības aprūpes pieejamību, kā arī īstenot profesionālās pilnveides, tālākizglītības un kvalifikācijas paaugstināšanas programmas un apmācības pieaugušām personām. Lai kvalitatīvi varētu realizēt iestādes mērķi, tiek plānotas infrastruktūras pilnveides aktivitātes, kas ietver vairāku telpu pārbūvi, tās apvienojot vai sadalot atbilstoši nepieciešamībai, foajē un baseina telpu pārbūvi.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</si>
  <si>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veselības veicināšanas un sociālo pakalpojumu centra infrastruktūras pilnveide un energoefektivitātes paaugstināšana</t>
    </r>
    <r>
      <rPr>
        <i/>
        <sz val="12"/>
        <rFont val="Times New Roman"/>
        <family val="1"/>
        <charset val="186"/>
      </rPr>
      <t xml:space="preserve">
Jūrmalas veselības veicināšanas un sociālo pakalpojumu centra ēkas Strēlnieku prospektā 38 un 38 k-1 ir ļoti sliktā tehniskajā stāvoklī, ar zemu energoefektivitātes līmeni, kas būtiski palielina pašvaldībai ēkas  uzturēšanas un apsaimniekošanas izmaksas. Abām ēkām pamati veidoti no saliekamajiem dzelzsbetona blokiem un nav siltināti. Vietām pamata cokola daļā, lietus un sala ietekmē, pamata blokiem ir sācis atdalīties apmetums. 
Ēku pagraba pārsegumi, kas veidoti no dobtiem dzelzsbetona paneļiem, daudzviet nodrupusi betona aizsargkārta, stiegrojumam redzama korozija.  
Ēku norobežojošās ārsienas veidotas no gāzbetona ārsienu paneļiem, ēku gala sienas veidotas no māla ķieģeļiem ar apmetumu. Ķieģeļu sienās no iekšpuses un fasādes puses konstatētas vertikāla virziena plaisas, kā arī apmetuma nodrupumi. Baseina norobežojošās sienas ir apšūtas ar fasādes skārda loksnēm. Ēku ārsienas nav siltinātas. Virs baseina telpas jumta konstrukcija ir veidota kā divslīpu koka konstrukcijas ar skārda segumu. Dažviet bojāts parapeta skārda segums.
Ēkās ir centralizēta apkures un karstā ūdens sistēma. Gan apkures, gan karstā ūdens cauruļvadiem daudzviet bojāta cauruļvadu izolācija.
Ēkās ir dabīgā ventilācija – ventilācijas kanāli. Mehāniskā ventilācija, kas ierīkota zālē, baseina telpā, pagrabā un koridoros nenodrošina pilnvērtīgu gaisa apmaiņu.
Lai samazinātu ēku primārās enerģijas patēriņu un apsaimniekošanas izmaksas, 2018.-2019.gadā ieguldot ERAF līdzfinansējumu, tiek plānots uzlabot ēku energoefektivitāti. Atbilstoši energosertifikātā norādītajiem pasākumiem, projekta ietvaros plānots uzlabot ēkām ārējās norobežojošās konstrukcijas, siltinot ēku ārsienas, mainot vecos koka konstrukciju logus un durvis pret jauniem blīviem logiem un durvīm, siltinot ēku augšējo pārsegumu, veicot ventilācijas sistēmas pārbūvi un mehāniskās ventilācijas ierīkošanu, kā arī veicot ieguldījumus apkures sistēmas pārbūvē, karstā ūdens cauruļvadu nomaiņā un sistēmas pārbūvē un apgaismojuma nomaiņā.
Aktivitātes, kas nodrošinās ēkas energoefektivitātes paaugstināšanu, projektā tiks iekļautas attiecināmajās izmaksās.
Infrastruktūras pilnveides aktivitātes, kas ietver vairāku telpu pārbūvi, tās apvienojot vai sadalot atbilstoši nepieciešamībai, foajē un baseina telpu pārbūvi, projektā tiks iekļautas neattiecināmajās izmaksās.
</t>
    </r>
  </si>
  <si>
    <r>
      <t xml:space="preserve">Jūrmalas veselības veicināšanas un sociālo pakalpojumu centra infrastruktūras pilnveide un energoefektivitātes paaugstināšana         </t>
    </r>
    <r>
      <rPr>
        <i/>
        <sz val="10"/>
        <rFont val="Times New Roman"/>
        <family val="1"/>
        <charset val="186"/>
      </rPr>
      <t xml:space="preserve">  (IP 101.pozīcija)</t>
    </r>
  </si>
  <si>
    <r>
      <t xml:space="preserve">2019                                                 </t>
    </r>
    <r>
      <rPr>
        <i/>
        <sz val="10"/>
        <rFont val="Times New Roman"/>
        <family val="1"/>
        <charset val="186"/>
      </rPr>
      <t>(14 meneši)</t>
    </r>
  </si>
  <si>
    <t xml:space="preserve">Jūrmalas veselības veicināšanas un sociālo pakalpojumu centra infrastruktūras pilnveide un energoefektivitātes paaugstināšana </t>
  </si>
  <si>
    <r>
      <t xml:space="preserve">2018                                                                                                                                    </t>
    </r>
    <r>
      <rPr>
        <i/>
        <sz val="10"/>
        <rFont val="Times New Roman"/>
        <family val="1"/>
        <charset val="186"/>
      </rPr>
      <t xml:space="preserve">  (2017.gads  būvprojekta izstrāde)</t>
    </r>
  </si>
  <si>
    <t>Prioritārā projekta ideja Nr.2.: Jūrmalas Sporta skolas ēkas baseinu pārbūve, energoefektivitātes paaugstināšana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</si>
  <si>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ēkas baseinu pārbūve, energoefektivitātes paaugstināšana</t>
    </r>
    <r>
      <rPr>
        <i/>
        <sz val="12"/>
        <rFont val="Times New Roman"/>
        <family val="1"/>
        <charset val="186"/>
      </rPr>
      <t xml:space="preserve">
 Izglītības iestādes ēka ir sliktā tehniskajā stāvoklī un ar zemu energoefektivitātes līmeni. Ēkas norobežojošās ārsienas veidotas no gāzbetona ārsienu paneļiem, ēkas gala sienas - no māla ķieģeļiem, kurā no iekšpuses novērojamas vertikālas plaisas. Gan ēkas pamatiem, gan pagraba pārsegumam konstatēta aizsargkārtas un apmetuma nodrupšana. Apkures un karstā ūdens cauruļvadi ir novecojuši, daudzviet bojāta siltumizolācija. Ēkā izveidota dabiskā ventilācija - ventilācijas kanāli, bet mehāniskā ventilācija tikai dažās telpās.
Ēkai vitāli nepieciešami ieguldījumi infrastruktūras atjaunošanā, lai būtiski samazinātu pašvaldībai ēkas uzturēšanas un apsaimniekošanas izmaksas, samazinot primārās enerģijas patēriņu. Lai Sporta skola kvalitatīvi īstenotu savus uzdevumus un noteiktās funkcijas, ēkai plānota ne tikai energoefektīvi pasākumi, bet kompleksa ēkas attīstība, kas iever telpu, tai skaitā baseina telpu pārbūvi.
Pašvaldība 2018.gadā plāno veikt ēkas atjaunošanas darbus, kā arī ēkas tehniskā stāvokļa un energoefektivitātes rādītāju uzlabošanu ar ERAF līdzfinansējumu, tādējādi, kompleksi ieguldot pašvaldības un ES fondu finanšu līdzekļus, tiks sakārtots profesionālās sporta ievirzes izglītības iestāde un tiks samazināts gan ēkas, gan arī pilsētas kopējais siltumeneģijas patēriņš. 
Saskaņā ar energosertifikātā norādīto, projekta ietvaros plānots uzlabot ēkas ārējās norobežojošās konstrukcijas energoefektivitāti, siltinot ēkas ārsienas, ēku savienojošās pārejās grīdas pārsegumus, augšējos pārsegumus un jumtu, nomainot esošos stikla blokus, koka logus un ārdurvis pret jauniem energoefektīviem logiem un ārdurvīm. Ēkā plānota apkures, karstā ūdens sistēmas un ventilācijas sistēmas pārbūve un baseina pārklāja ierīkošana mazajam baseinam.
Aktivitātes, kas nodrošinās ēkas energoefektivitātes paaugstināšanu, projektā tiks iekļautas attiecināmajās izmaksās.
Aktivitātes, kas ietver telpu un baseina telpu pārbūvi, projektā tiks iekļautas neattiecināmajās izmaksās. Minēto aktivitāšu izmaksas tiks precizētas pēc būvprojekta izstrādes.</t>
    </r>
  </si>
  <si>
    <r>
      <t xml:space="preserve">Jūrmalas Sporta skolas ēkas baseinu pārbūve, energoefektivitātes paaugstināšana         </t>
    </r>
    <r>
      <rPr>
        <i/>
        <sz val="10"/>
        <rFont val="Times New Roman"/>
        <family val="1"/>
        <charset val="186"/>
      </rPr>
      <t>(IP 70.pozīcija)</t>
    </r>
  </si>
  <si>
    <r>
      <t xml:space="preserve">2019 </t>
    </r>
    <r>
      <rPr>
        <i/>
        <sz val="10"/>
        <rFont val="Times New Roman"/>
        <family val="1"/>
        <charset val="186"/>
      </rPr>
      <t>(14mēneši)</t>
    </r>
  </si>
  <si>
    <t>Jūrmalas Sporta skolas ēkas baseinu pārbūves, energoefektivitātes paaugstināšana</t>
  </si>
  <si>
    <r>
      <rPr>
        <b/>
        <i/>
        <sz val="10"/>
        <rFont val="Times New Roman"/>
        <family val="1"/>
        <charset val="186"/>
      </rPr>
      <t xml:space="preserve">2018 </t>
    </r>
    <r>
      <rPr>
        <sz val="10"/>
        <rFont val="Times New Roman"/>
        <family val="1"/>
        <charset val="186"/>
      </rPr>
      <t xml:space="preserve">                                                                                           </t>
    </r>
    <r>
      <rPr>
        <i/>
        <sz val="10"/>
        <rFont val="Times New Roman"/>
        <family val="1"/>
        <charset val="186"/>
      </rPr>
      <t xml:space="preserve"> (2017.gadā būvprojekta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</si>
  <si>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pamatskolas ēkas pārbūve un energoefektivitātes paaugstināšana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Ķemeru pamatskolas ēku tehniskais stāvoklis ir novērtēts kā daļēji apmierinošs, Jūrmalas pilsētas dome 2017.-2018.gadā veiks skolas ēkas pārbūves darbus no pašvaldības budžeta un ieguldot ERAF finanšu līdzekļus, veiks ēkas energoefektivitātes paaugstināšanas pasākumus. 
Saskaņā ar energosertifikātā norādītajiem pasākumiem, projekta ietvaros plānota kāpņu telpas bēniņu daļas sienu, pagraba pārseguma un augšējā pārseguma siltināšana, logu, durvju un bēniņu durvju nomaiņa, nomainot esošos logus un durvis pret jauniem energoefektīviem logiem un durvīm, mehāniskās ventilācijas ierīkošana ēkā, apkures sistēmas pārbūve un apgaismojuma nomaiņa pret LED apgaismojumu. Pagrabā plānota siltuma patēriņa uzskaites uzstādīšana, jo šobrīd tā atrodas katlu mājā, kas nodrošina apkuri vairākām ēkām.
Ēkai paredzēta kompleksa atjaunošana, veicot ēkas pamatu stiprināšanu un ārsienu atjaunošanu.
Minētie darbi tiks veikti atbilstoši Valsts kultūras pieminekļu inspekcijas nosacījumiem.
Aktivitātes, kas nodrošinās ēkas energoefektivitātes paaugstināšanu, projektā tiks iekļautas attiecināmajās izmaksās.
Aktivitātes, kas ietver kompleksu atjaunošanu – pamatu stiprināšanu, ārsienu atjaunošanu, projektā tiks iekļautas neattiecināmajās izmaksās. 
Minēto aktivitāšu izmaksas tiks precizētas pēc būvprojekta izstrādes.
</t>
    </r>
  </si>
  <si>
    <r>
      <t xml:space="preserve">Jūrmala pilsētas Ķemeru pamatskolas ēkas pārbūve un energoefektivitātes paaugstināšana </t>
    </r>
    <r>
      <rPr>
        <i/>
        <sz val="10"/>
        <rFont val="Times New Roman"/>
        <family val="1"/>
        <charset val="186"/>
      </rPr>
      <t>(IP 64.pozīcija)</t>
    </r>
  </si>
  <si>
    <r>
      <rPr>
        <b/>
        <i/>
        <sz val="10"/>
        <rFont val="Times New Roman"/>
        <family val="1"/>
        <charset val="186"/>
      </rPr>
      <t xml:space="preserve">2018               </t>
    </r>
    <r>
      <rPr>
        <i/>
        <sz val="10"/>
        <rFont val="Times New Roman"/>
        <family val="1"/>
        <charset val="186"/>
      </rPr>
      <t>(9 mēneši)</t>
    </r>
  </si>
  <si>
    <r>
      <rPr>
        <b/>
        <i/>
        <sz val="10"/>
        <rFont val="Times New Roman"/>
        <family val="1"/>
        <charset val="186"/>
      </rPr>
      <t xml:space="preserve">2018         </t>
    </r>
    <r>
      <rPr>
        <i/>
        <sz val="10"/>
        <rFont val="Times New Roman"/>
        <family val="1"/>
        <charset val="186"/>
      </rPr>
      <t xml:space="preserve">                                                                    (2017.gads būvprojekta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</si>
  <si>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Jaundubultu vidusskolas ēkas energoefektivitātes paaugstināšana (t.sk.autoruzraudzība,būvuzraudzība) </t>
    </r>
    <r>
      <rPr>
        <i/>
        <sz val="12"/>
        <rFont val="Times New Roman"/>
        <family val="1"/>
        <charset val="186"/>
      </rPr>
      <t xml:space="preserve">
Viena no Jūrmalas pilsētas prioritātēm ir izglītības pakalpojumu kvalitātes paaugstināšana un ņemot vērā Jūrmalas publisko ēku augsto siltumenerģijas patēriņa rādītāju, kā arī Jūrmalas izglītības attīstības koncepcijā 2015.-2020.gadam veikto Jūrmalas izglītības iestāžu infrastruktūras izvērtējumu, Jūrmalas pilsētas Jaundubultu vidusskolas ēkas tehniskais stāvoklis ir novērtēts kā daļēji apmierinošs.
Veicot ēkas apsekošanu, konstatēts, ka ēkas pamati veidoti no saliekamiem dzelsbetona blokiem. Vietām cokola daļā lietus un sala ietekmē pamata bloku virsma sākusi atšķelties. Ēkas nesošās ārsienas mūrētas no silikāta ķieģeļiem, kas no fasādes puses vietām ir stipri izmirkušas. Ne ārsienas, ne ēkas pamatu sienas nav siltinātas.
Lai samazinātu siltumenerģijas patēriņu ēkā un ēkas apsaimniekošanas izmaksas, Jūrmalas pilsētas dome plāno 2017-2018.gadā veikt ēkai energoefektivitāti paaugstinošus pasākumus saskaņā ar energosertifikātā norāditiem pasākumiem, projekta ietvaros veicot ārsienu, cokolstāva un, augšējā pārseguma siltināšanu, veco koka un metāla durvju nomaiņu uz jauniem, blīviem logiem un durvīm, nomainot apgaismojumu pret apgaismojumu ar LED spuldzēm.
</t>
    </r>
  </si>
  <si>
    <r>
      <t xml:space="preserve">Jūrmalas pilsētas Jaundubultu vidusskolas ēkas energoefektivitātes paaugstināšana  </t>
    </r>
    <r>
      <rPr>
        <i/>
        <sz val="10"/>
        <rFont val="Times New Roman"/>
        <family val="1"/>
        <charset val="186"/>
      </rPr>
      <t>(IP 65.pozīcija)</t>
    </r>
  </si>
  <si>
    <r>
      <t xml:space="preserve">2018                                 </t>
    </r>
    <r>
      <rPr>
        <i/>
        <sz val="10"/>
        <rFont val="Times New Roman"/>
        <family val="1"/>
        <charset val="186"/>
      </rPr>
      <t xml:space="preserve">  (12 mēneši)</t>
    </r>
  </si>
  <si>
    <r>
      <rPr>
        <b/>
        <i/>
        <sz val="10"/>
        <rFont val="Times New Roman"/>
        <family val="1"/>
        <charset val="186"/>
      </rPr>
      <t>2017</t>
    </r>
    <r>
      <rPr>
        <sz val="11"/>
        <rFont val="Calibri"/>
        <family val="2"/>
        <charset val="186"/>
        <scheme val="minor"/>
      </rPr>
      <t xml:space="preserve">        </t>
    </r>
    <r>
      <rPr>
        <i/>
        <sz val="10"/>
        <rFont val="Times New Roman"/>
        <family val="1"/>
        <charset val="186"/>
      </rPr>
      <t xml:space="preserve">                                                                    (2017.gads tehniskās dokumentācijas izstrāde)</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</si>
  <si>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(t.sk.autoruzraudzība,būvuzraudzība)</t>
    </r>
    <r>
      <rPr>
        <i/>
        <sz val="12"/>
        <rFont val="Times New Roman"/>
        <family val="1"/>
        <charset val="186"/>
      </rPr>
      <t xml:space="preserve">
Jūrmalas pilsētas Jaundubultu vidusskolas ēkas k-1 tehniskais stāvoklis ir novērtēts kā daļēji apmierinošs. Ēkas pamati veidoti no saliekamiem dzelzsbetona blokiem. Vietām cokola daļā lietus un sala ietekmē pamata bloku virsma sākusi atšķelties. Ēkas nesošās ārsienas mūrētas no silikāta ķieģeļiem, kas no fasādes puses vietām ir stipri izmirkušas. Ne ārsienas, ne ēkas pamatu sienas nav siltinātas. 
Veicot siltināšanas darbus blakus esošajā vidusskolas ēkā, kvalitatīvas izglītības infrastruktūras attīstībai Jūrmalas pilsētā, ir svarīgi veikt kompleksu siltināšanas aktivitāšu ieviešanu. Ņemot vērā Jūrmalas pilsētas Jaundubultu vidusskolas autoskolas ēkas kopējo enerģijas patēriņa novērtējumu (247,54 kWh/m2), saskaņā ar energosertifikātā norādīto, lai samazinātu siltumenerģijas patēriņu ēkā un ēkas apsaimniekošanas izmaksas, Jūrmalas pilsētas dome plāno veikt minētās ēkas siltināšanas darbus 2017.-2018.gadā, veicot ārsienu, cokola, augšējā pārseguma siltināšanu, veco koka un metāla durvju nomaiņu uz jaunām blīvām durvīm. 
Energoefektivitātes pasākumu īstenošanas rezultātā tiks ne tikai samazināts ēku siltumenerģijas patēriņš, ēkas apsaimniekošanas izmaksas un CO2 emisijas, bet arī estētiski tiks uzlabota vidusskolas apkārtne un pilsētas vide kopumā.</t>
    </r>
  </si>
  <si>
    <t>Jūrmalas pilsētas Jaundubultu vidusskolas ēkas k-1 (autoskolas ēka) energoefektivitātes paaugstināšana 
 (IP 66.pozīcija)</t>
  </si>
  <si>
    <r>
      <t xml:space="preserve">2018                               </t>
    </r>
    <r>
      <rPr>
        <i/>
        <sz val="10"/>
        <rFont val="Times New Roman"/>
        <family val="1"/>
        <charset val="186"/>
      </rPr>
      <t xml:space="preserve">  (12 mēneši)</t>
    </r>
  </si>
  <si>
    <r>
      <rPr>
        <b/>
        <i/>
        <sz val="10"/>
        <rFont val="Times New Roman"/>
        <family val="1"/>
        <charset val="186"/>
      </rPr>
      <t>2017</t>
    </r>
    <r>
      <rPr>
        <sz val="11"/>
        <rFont val="Calibri"/>
        <family val="2"/>
        <charset val="186"/>
        <scheme val="minor"/>
      </rPr>
      <t xml:space="preserve">      </t>
    </r>
    <r>
      <rPr>
        <i/>
        <sz val="10"/>
        <rFont val="Times New Roman"/>
        <family val="1"/>
        <charset val="186"/>
      </rPr>
      <t xml:space="preserve">                                                                    (2017.gads tehniskās dokumentācijas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</si>
  <si>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ēku tehniskais stāvoklis ir novērtēts kā daļēji apmierinošs, Jūrmalas pilsētas dome paralēli SAM 8.1.2. plānotajām aktivitātēm 2018.-2020.gadā, plāno veikt arī skolas siltināšanas pasākumus. 
Ēkai konstatēts, ka dzelzsbetona bloku pamati nav siltināti, vietām pamatu cokola daļā bloku virsmas apmetums sācis atšķelties. Siltināts nav arī ēkas cokola stāvs un nesošās ārsienas. Ēkas ārsienās konstatētas vertikāla virziena plaisas.
Projekta ietvaros saskaņā ar energosertifikātā norādītiem pasākumiem, plānots veikt ēkas ārsienu, cokolstāva un augšējā pārseguma siltināšanu, veco koka un metāla durvju nomaiņu uz jaunām blīvām durvīm.
Aktivitātes, kas nodrošinās ēkas energoefektivitātes paaugstināšanu, projektā tiks iekļautas attiecināmajās izmaksās.
Minēto aktivitāšu izmaksas tiks precizētas pēc būvprojekta izstrādes.
</t>
    </r>
  </si>
  <si>
    <r>
      <t xml:space="preserve">Jūrmalas pilsētas Kauguru vidusskolas energoefektivitātes paaugstināšana          </t>
    </r>
    <r>
      <rPr>
        <i/>
        <sz val="10"/>
        <rFont val="Times New Roman"/>
        <family val="1"/>
        <charset val="186"/>
      </rPr>
      <t>(IP 69.pozīcija)</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</si>
  <si>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(14 mēneši)</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</si>
  <si>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(2017.-2018.gads būvprojekta izstrāde)</t>
    </r>
  </si>
  <si>
    <r>
      <t xml:space="preserve">Jūrmalas teātra ēkas energoefektivitātes paaugstināšana        </t>
    </r>
    <r>
      <rPr>
        <i/>
        <sz val="10"/>
        <rFont val="Times New Roman"/>
        <family val="1"/>
        <charset val="186"/>
      </rPr>
      <t>(IP 95.pozīcija)</t>
    </r>
  </si>
  <si>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(12 mēneši)</t>
    </r>
  </si>
  <si>
    <r>
      <t xml:space="preserve">2019              </t>
    </r>
    <r>
      <rPr>
        <i/>
        <sz val="10"/>
        <rFont val="Times New Roman"/>
        <family val="1"/>
        <charset val="186"/>
      </rPr>
      <t>(2018.gads tehniskās dokumentācijas izstrāde)</t>
    </r>
  </si>
  <si>
    <r>
      <t xml:space="preserve">Jūrmalas pilsētas domes administratīvās ēkas energoefektivitātes paaugstināšana Dubultu prospektā 1, lit.1. </t>
    </r>
    <r>
      <rPr>
        <i/>
        <sz val="10"/>
        <rFont val="Times New Roman"/>
        <family val="1"/>
        <charset val="186"/>
      </rPr>
      <t xml:space="preserve">                        (IP 42.pozīcija)</t>
    </r>
  </si>
  <si>
    <r>
      <rPr>
        <b/>
        <i/>
        <sz val="10"/>
        <rFont val="Times New Roman"/>
        <family val="1"/>
        <charset val="186"/>
      </rPr>
      <t xml:space="preserve">2019    </t>
    </r>
    <r>
      <rPr>
        <i/>
        <sz val="10"/>
        <rFont val="Times New Roman"/>
        <family val="1"/>
        <charset val="186"/>
      </rPr>
      <t xml:space="preserve">                                                                       (2018.gads tehniskās dokumentācijas izstrāde)</t>
    </r>
  </si>
  <si>
    <r>
      <t xml:space="preserve">Jūrmalas pilsētas domes administratīvās ēkas energoefektivitātes paaugstināšana Rūpniecības ielā 19                                        </t>
    </r>
    <r>
      <rPr>
        <i/>
        <sz val="10"/>
        <rFont val="Times New Roman"/>
        <family val="1"/>
        <charset val="186"/>
      </rPr>
      <t xml:space="preserve"> (IP 54.pozīcija)</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</si>
  <si>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(2018.gads tehniskās dokumentācijas izstrāde)</t>
    </r>
  </si>
  <si>
    <r>
      <t xml:space="preserve">Ķemeru pasta ēkas energoefektivitātes paaugstināšana </t>
    </r>
    <r>
      <rPr>
        <i/>
        <sz val="10"/>
        <rFont val="Times New Roman"/>
        <family val="1"/>
        <charset val="186"/>
      </rPr>
      <t>(IP 48.pozīcija)</t>
    </r>
  </si>
  <si>
    <t>P 2.6.            P2.8.</t>
  </si>
  <si>
    <r>
      <rPr>
        <b/>
        <i/>
        <sz val="10"/>
        <rFont val="Times New Roman"/>
        <family val="1"/>
        <charset val="186"/>
      </rPr>
      <t>2019</t>
    </r>
    <r>
      <rPr>
        <i/>
        <sz val="10"/>
        <rFont val="Times New Roman"/>
        <family val="1"/>
        <charset val="186"/>
      </rPr>
      <t xml:space="preserve">                                                                     (2018.gads tehniskās dokumentācijas izstrāde)</t>
    </r>
  </si>
  <si>
    <r>
      <t xml:space="preserve">Prioritārā projekta ideja Nr.1: </t>
    </r>
    <r>
      <rPr>
        <b/>
        <i/>
        <u/>
        <sz val="12"/>
        <rFont val="Times New Roman"/>
        <family val="1"/>
        <charset val="186"/>
      </rPr>
      <t>Ķemeru parka pārbūve un restaurācija</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</si>
  <si>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valsts nozīmes pilsētbūvniecības pieminekļiem Jūrmalā,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</si>
  <si>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t xml:space="preserve">Ķemeru parka pārbūve un restaurācija                          </t>
    </r>
    <r>
      <rPr>
        <i/>
        <sz val="10"/>
        <rFont val="Times New Roman"/>
        <family val="1"/>
        <charset val="186"/>
      </rPr>
      <t xml:space="preserve">  (IP 8.pozīcija)</t>
    </r>
  </si>
  <si>
    <r>
      <t xml:space="preserve">2019                                                                                                                              </t>
    </r>
    <r>
      <rPr>
        <i/>
        <sz val="10"/>
        <rFont val="Times New Roman"/>
        <family val="1"/>
        <charset val="186"/>
      </rPr>
      <t xml:space="preserve"> (17mēneši)</t>
    </r>
  </si>
  <si>
    <r>
      <t xml:space="preserve">2018                                                             </t>
    </r>
    <r>
      <rPr>
        <i/>
        <sz val="10"/>
        <rFont val="Times New Roman"/>
        <family val="1"/>
        <charset val="186"/>
      </rPr>
      <t xml:space="preserve">         (2017.gads būvprojekta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</si>
  <si>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1.Stāvvietas izbūve E.Dārziņa ielā 17 un Tūristu ielas atjaunošana (Tūristu iela 2B/Tūristu iela 3A) (t.sk.būvprojekts, autoruzraudzība, būvuzraudzība)</t>
    </r>
    <r>
      <rPr>
        <i/>
        <sz val="12"/>
        <rFont val="Times New Roman"/>
        <family val="1"/>
        <charset val="186"/>
      </rPr>
      <t xml:space="preserve">
Kompleksi sakārtojot Ķemeru uzņēmējdarbībai nepieciešamo vidi,   ir jānodrošina kvalitatīvu un sakārtotu publisko infrastruktūru. Būtisks teritorijas attīstības un uzņēmējdarbības vides uzlabošanas nosacījums ir publisko ceļu infrastruktūras atjaunošana, atjaunojot ceļa segumu un labiekārtojot to piegulušo teritoriju. Tostarp, ir nepieciešama arī inženiertehnisko tīklu atjaunošana, galvenokārt, atjaunojot publisko apgaismojumu un veicot nepieciešamo inženierkomunikāciju tīklu sakārtošanu turpmākajai pieslēgumu veikšanai. 
Būtisks teritorijas attīstības un uzņēmējdarbības vides uzlabošanas nosacījums ir autostāvvietas un to novietojums. Ķemeru parka teritorijā un tās tiešā tuvumā ir izteikts  autostāvvietu trūkums, tādēļ projekta ietvaros plānots izbūvēt publisko autostāvvietu, kas tiks izmantota arī no uzņēmēju pakalpojuma saņēmēju puses.  </t>
    </r>
  </si>
  <si>
    <r>
      <t xml:space="preserve">Ceļu infrastruktūras atjaunošana un autostāvvietas izbūve Ķemeros                      </t>
    </r>
    <r>
      <rPr>
        <i/>
        <sz val="10"/>
        <rFont val="Times New Roman"/>
        <family val="1"/>
        <charset val="186"/>
      </rPr>
      <t>(IP 14.pozīcija)</t>
    </r>
  </si>
  <si>
    <r>
      <t xml:space="preserve">2018                        </t>
    </r>
    <r>
      <rPr>
        <i/>
        <sz val="10"/>
        <rFont val="Times New Roman"/>
        <family val="1"/>
        <charset val="186"/>
      </rPr>
      <t>(8 mēneši)</t>
    </r>
  </si>
  <si>
    <t>Stāvvietas izbūve E.Dārziņa ielā 17 un Tūristu ielas atjaunošana (Tūristu iela 2B/Tūristu iela 3A) (t.sk.būvprojekts, autoruzraudzība, būvuzraudzība)</t>
  </si>
  <si>
    <r>
      <t xml:space="preserve">2018                                                                </t>
    </r>
    <r>
      <rPr>
        <i/>
        <sz val="10"/>
        <rFont val="Times New Roman"/>
        <family val="1"/>
        <charset val="186"/>
      </rPr>
      <t xml:space="preserve">      (2017.gads tehniskās dokumentācijas izstrāde)</t>
    </r>
  </si>
  <si>
    <r>
      <rPr>
        <i/>
        <u/>
        <sz val="12"/>
        <rFont val="Times New Roman"/>
        <family val="1"/>
        <charset val="186"/>
      </rPr>
      <t>Projekta idejas pamatojums:</t>
    </r>
    <r>
      <rPr>
        <i/>
        <sz val="12"/>
        <rFont val="Times New Roman"/>
        <family val="1"/>
        <charset val="186"/>
      </rPr>
      <t xml:space="preserve">
Jūrmalas pilsētas viena no prioritārām attīstības teritorijām ir Ķemeri, kas ir nostiprināta Jūrmalas pilsētas Attīstības stratēģijā 2010.-2030.gadam, Jūrmalas pilsētas Attīstības programmā 2014.-2020.gadam, kā arī Jūrmalas pilsētas domes izstrādātajā Ķemeru attīstības vīzijā.  Jūrmala no 9 republikas pilsētām atrodas otrajā vietā (objektīvi – pirmajā vietā ir tikai Rīga) ne vien pēc tūrisma mītņu skaita – 37 (3.vietā - Liepāja ar 19 tūrisma mītnēm, kas ir uz pusi mazāk kā Jūrmalai), gultas vietu skaita – 3337 (3.vietā - Ventspils ar 1174, kas ir gandrīz trīs reizes mazāk kā Jūrmalai), kā arī pēc tūrisma mītnēs apkalpoto tūristu skaita – Jūrmala 2014.gadā tūrisma mītnēs ir apkalpotas 179 169 personas (kas ir par 20,73% vairāk kā 2013.gadā (148 409 personas)), šī rādītāja ietvaros Jūrmala pārspēj trešajā vietā esošo Liepāju ar 73 044 apkalpotām personām (CSP dati par 2013.gadu).
 Jūrmalas pilsēta jau vēsturiski ir veidojusies kā atpūtnieku iecienīts gala mērķis. Pilsētas ekonomika pamatā ir balstīta uz tūrismu un ar to saistītajiem pakalpojumiem. Līdz ar to pašsaprotama ir Jūrmalas pilsētas specializācija - viens no vadošajiem Baltijas jūras reģiona kūrorta, darījumu tūrisma,  aktīvās atpūtas un kultūras centriem, kas ir nostiprināta valsts nozīmes plānošanas dokumentā Latvijas ilgtspējīgas attīstības stratēģijā līdz 2030.gadam.
Par projekta “Daudzfunkcionāla, interaktīva dabas tūrisma objekta izveide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vairāku desmitu tūkstošu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dabas tūrisma objekts, kura īstenošana palīdzēs revitalizēt degradēto teritoriju un veicināt uzņēmējdarbības vides attīstību, sekmēs nodarbinātību un tūrisma plūsmas palielināšanos Jūrmalā, kas ir svarīgi Jūrmalas turpmākās attīstības sekmētāji.</t>
    </r>
  </si>
  <si>
    <r>
      <t xml:space="preserve">Daudzfunkcionāla, interaktīva dabas tūrisma objekta izveide Ķemeros                   </t>
    </r>
    <r>
      <rPr>
        <i/>
        <sz val="10"/>
        <rFont val="Times New Roman"/>
        <family val="1"/>
        <charset val="186"/>
      </rPr>
      <t>(IP 5.pozīcija)</t>
    </r>
  </si>
  <si>
    <r>
      <t xml:space="preserve">Ielu infrastruktūras atjaunošana  Ķemeros                                                                                 </t>
    </r>
    <r>
      <rPr>
        <i/>
        <sz val="10"/>
        <rFont val="Times New Roman"/>
        <family val="1"/>
        <charset val="186"/>
      </rPr>
      <t>(IP 13.pozīcija)</t>
    </r>
  </si>
  <si>
    <r>
      <t xml:space="preserve">2018                                          </t>
    </r>
    <r>
      <rPr>
        <i/>
        <sz val="10"/>
        <rFont val="Times New Roman"/>
        <family val="1"/>
        <charset val="186"/>
      </rPr>
      <t xml:space="preserve"> (2018.gads būvprojekta izstrāde)</t>
    </r>
  </si>
  <si>
    <r>
      <rPr>
        <b/>
        <sz val="12"/>
        <rFont val="Times New Roman"/>
        <family val="1"/>
        <charset val="186"/>
      </rPr>
      <t>Prioritārā projekta ideja Nr.1:</t>
    </r>
    <r>
      <rPr>
        <i/>
        <sz val="12"/>
        <rFont val="Times New Roman"/>
        <family val="1"/>
        <charset val="186"/>
      </rPr>
      <t xml:space="preserve"> </t>
    </r>
    <r>
      <rPr>
        <b/>
        <i/>
        <u/>
        <sz val="12"/>
        <rFont val="Times New Roman"/>
        <family val="1"/>
        <charset val="186"/>
      </rPr>
      <t xml:space="preserve">Jūrmalas pilsētas pašvaldības vispārējās vidējās izglītības iestādes pārbūve, infrastruktūras pilnveide un dienesta viesnīcas izbūve </t>
    </r>
  </si>
  <si>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 xml:space="preserve">1.Jūrmalas Valsts ģimnāzijas telpu pārbūve Aizputes ielā 1a </t>
    </r>
    <r>
      <rPr>
        <i/>
        <sz val="12"/>
        <rFont val="Times New Roman"/>
        <family val="1"/>
        <charset val="186"/>
      </rPr>
      <t xml:space="preserve">
Jūrmalas pilsētas dome 2015.gada 3.decembrī pieņēma lēmumu “Par Jūrmalas pilsētas Lielupes vidusskolas reorganizēšanu”, ar kuru tika reorganizēta Jūrmalas pilsētas pašvaldības padotībā esošā izglītības iestāde Jūrmalas pilsētas Lielupes vidusskola par Jūrmalas pilsētas Lielupes pamatskolu, vienlaicīgi paredzot, ka vidējās izglītības programmu adresē: Aizputes ielā 1A īstenos Jūrmalas Valsts ģimnāzija. Tādejādi, Jūrmalas Valsts ģimnāzijas izglītības programmas īsteno divās pilsētas apkaimēs, nodrošinot iespēju jūrmalniekiem saņemt kvalitatīvu izglītības pakalpojumu iespējami tuvāk dzīves vietai. Izglītības iestāžu komplekss Aizputes ielā 1A nodrošina izglītības pieejamību Lielupes, Bulduru, Majoru, Dzintaru, Buļļuciema, Priedaines apkaimju jauniešiem, kā arī tā ir tuvākā mācību iestāde aptuveni 420 pirmsskolas vecuma bērniem.  Projekta ietvaros ir plānots veikt pārbūvi Jūrmalas Valsts ģimnāzijas 3.stāva telpās, kas sekmēs Jūrmalas konkurētspēju reģionā, nodrošinot talantīgiem skolēniem kvalitatīvu, kompetenču pieejā balstītu, ilgtspējīgu izglītību, pieejamās, modernās un ergonomiskās valsts ģimnāzijas telpās, ar papildu iespēju izmantot dienesta viesnīcu.
</t>
    </r>
    <r>
      <rPr>
        <b/>
        <sz val="12"/>
        <rFont val="Times New Roman"/>
        <family val="1"/>
        <charset val="186"/>
      </rPr>
      <t>2.Dienesta viesnīcas izbūve</t>
    </r>
    <r>
      <rPr>
        <i/>
        <sz val="12"/>
        <rFont val="Times New Roman"/>
        <family val="1"/>
        <charset val="186"/>
      </rPr>
      <t xml:space="preserve">
Izbūvētā Jūrmalas Valsts ģimnāzijas dienesta viesnīca Lielupē būs vienīgā Jūrmalas pilsētas pašvaldības  dienesta viesnīca un tajā būs iespēja uzturēties arī citiem Jūrmalas pilsētas pašvaldības vidējo izglītības iestāžu audzēkņiem.
</t>
    </r>
    <r>
      <rPr>
        <b/>
        <sz val="12"/>
        <rFont val="Times New Roman"/>
        <family val="1"/>
        <charset val="186"/>
      </rPr>
      <t>3.Jūrmalas Valsts ģimnāzijas ēkas pārbūve un infrastruktūras pilnveide, metodiskā centra izveide Raiņa ielā 55 (t.sk. autoruzraudzība, būvuzraudzība, būvprojekts)</t>
    </r>
    <r>
      <rPr>
        <i/>
        <sz val="12"/>
        <rFont val="Times New Roman"/>
        <family val="1"/>
        <charset val="186"/>
      </rPr>
      <t xml:space="preserve">
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 šajā izglītības iestādē tiek īstenotas pedagogu tālākizglītības un metodiskā centra funkcijas. Investīcijas tiek plānots piesaistīt, lai izstrādātu kvalitatīvu izglītības iestādes pārbūves būvprojektu un veiktu skolas pilna apjoma pārbūvi un atjaunošanu, nodrošinot skolēniem ergonomiskas un modernas mācību vides izveidi, kā arī metodiskā centra infrastruktūras pilnveidi.</t>
    </r>
  </si>
  <si>
    <t>Jūrmalas pilsētas pašvaldības vidējās izglītības iestādes infrastruktūras pilnveide un dienesta viesnīcas izbūve</t>
  </si>
  <si>
    <r>
      <rPr>
        <u/>
        <sz val="10"/>
        <rFont val="Times New Roman"/>
        <family val="1"/>
        <charset val="186"/>
      </rPr>
      <t>Rezultāta rādītājs:</t>
    </r>
    <r>
      <rPr>
        <sz val="10"/>
        <rFont val="Times New Roman"/>
        <family val="1"/>
        <charset val="186"/>
      </rPr>
      <t xml:space="preserve">
Pilnībā modernizēta vispārējās izglītības iestāde Jūrmalas Valsts ģimnāzija – divās adresēs (dienesta viesnīcas izbūve, ergonomiska mācību vide iestādē, IKT risinājumi, metodisko funkciju nodrošināšana).                                                                          
</t>
    </r>
    <r>
      <rPr>
        <u/>
        <sz val="10"/>
        <rFont val="Times New Roman"/>
        <family val="1"/>
        <charset val="186"/>
      </rPr>
      <t xml:space="preserve">Iznākuma rādītājs:  </t>
    </r>
    <r>
      <rPr>
        <sz val="10"/>
        <rFont val="Times New Roman"/>
        <family val="1"/>
        <charset val="186"/>
      </rPr>
      <t xml:space="preserve">
1)plānotais audzēkņu skaits 7.-12.klasē ne mazāk kā 240 izglītojamie vienā mācību gadā;
2) tiek īstenotas vismaz divas vispārējās vidējās izglītības  programmas, no kurām viena ir STEM (matemātikas, dabaszinību un tehnikas virziena programma).
</t>
    </r>
  </si>
  <si>
    <r>
      <t xml:space="preserve">2019                   </t>
    </r>
    <r>
      <rPr>
        <i/>
        <sz val="10"/>
        <rFont val="Times New Roman"/>
        <family val="1"/>
        <charset val="186"/>
      </rPr>
      <t>(24 mēneši)</t>
    </r>
  </si>
  <si>
    <r>
      <t xml:space="preserve">Jūrmalas Valsts ģimnāzijas telpu pārbūve Aizputes ielā 1A </t>
    </r>
    <r>
      <rPr>
        <i/>
        <sz val="10"/>
        <rFont val="Times New Roman"/>
        <family val="1"/>
        <charset val="186"/>
      </rPr>
      <t xml:space="preserve">(IP 67.pozīcija) </t>
    </r>
  </si>
  <si>
    <r>
      <t xml:space="preserve">Dienesta viesnīcas izbūve Aizputes ielā 1A  </t>
    </r>
    <r>
      <rPr>
        <i/>
        <sz val="10"/>
        <rFont val="Times New Roman"/>
        <family val="1"/>
        <charset val="186"/>
      </rPr>
      <t>(IP 67.pozīcija)</t>
    </r>
  </si>
  <si>
    <r>
      <t>Jūrmalas Valsts ģimnāzijas ēkas pārbūve un infrastruktūras pilnveide, metodiskā centra izveide Raiņa ielā 55 (t.sk. autoruzraudzība, būvuzraudzība, būvprojekts)</t>
    </r>
    <r>
      <rPr>
        <i/>
        <sz val="10"/>
        <rFont val="Times New Roman"/>
        <family val="1"/>
        <charset val="186"/>
      </rPr>
      <t xml:space="preserve"> (IP  71.pozīcija)</t>
    </r>
  </si>
  <si>
    <t>Būvprojekta izstrāde. Metodiskā centra izveide. Pilna apjoma skolas pārbūve un atjaunošana, modernas un ergonomiskas mācību vides izveide iestādē.</t>
  </si>
  <si>
    <r>
      <rPr>
        <b/>
        <i/>
        <sz val="10"/>
        <rFont val="Times New Roman"/>
        <family val="1"/>
        <charset val="186"/>
      </rPr>
      <t>2018</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(2017.gads būvprojekta izstrāde)</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</si>
  <si>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Jūrmalas pilsētas Kauguru vidusskolas telpu atjaunošana</t>
    </r>
  </si>
  <si>
    <r>
      <rPr>
        <i/>
        <u/>
        <sz val="12"/>
        <rFont val="Times New Roman"/>
        <family val="1"/>
        <charset val="186"/>
      </rPr>
      <t>Projekta idejas pamatojums:</t>
    </r>
    <r>
      <rPr>
        <i/>
        <sz val="12"/>
        <rFont val="Times New Roman"/>
        <family val="1"/>
        <charset val="186"/>
      </rPr>
      <t xml:space="preserve">
Jūrmalas pilsētas Kauguru vidusskolā saskaņā ar Jūrmalas pašvaldības vispārizglītojošo skolu telpu noslogojumu 2014./2015. m.g. sākumā ir bijis vislielākais izglītojamo skaits Jūrmalā (639 skolēni), kā arī skolai ir viens no labākajiem skolas piepildījumiem 85%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</si>
  <si>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Kauguru vidusskolas telpu atjaunošana (t.sk. autoruzraudzība, būvuzraudzība)</t>
    </r>
    <r>
      <rPr>
        <i/>
        <sz val="12"/>
        <rFont val="Times New Roman"/>
        <family val="1"/>
        <charset val="186"/>
      </rPr>
      <t xml:space="preserve">
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 vismaz vienā skolas stāvā.</t>
    </r>
  </si>
  <si>
    <r>
      <t xml:space="preserve">Jūrmalas pilsētas Kauguru vidusskolas telpu atjaunošana                    </t>
    </r>
    <r>
      <rPr>
        <i/>
        <sz val="10"/>
        <rFont val="Times New Roman"/>
        <family val="1"/>
        <charset val="186"/>
      </rPr>
      <t>(IP 69.pozīcija)</t>
    </r>
  </si>
  <si>
    <t>Kauguru vidusskolas telpu atjaunošana (t.sk. autoruzraudzība, būvuzraudzība)</t>
  </si>
  <si>
    <r>
      <t xml:space="preserve">2018                                </t>
    </r>
    <r>
      <rPr>
        <i/>
        <sz val="10"/>
        <rFont val="Times New Roman"/>
        <family val="1"/>
        <charset val="186"/>
      </rPr>
      <t xml:space="preserve">    (2017.-2018.gads būvprojekta izstrāde)</t>
    </r>
  </si>
  <si>
    <r>
      <rPr>
        <b/>
        <sz val="12"/>
        <rFont val="Times New Roman"/>
        <family val="1"/>
        <charset val="186"/>
      </rPr>
      <t>Prioritārā projekta ideja Nr.3:</t>
    </r>
    <r>
      <rPr>
        <i/>
        <u/>
        <sz val="12"/>
        <rFont val="Times New Roman"/>
        <family val="1"/>
        <charset val="186"/>
      </rPr>
      <t xml:space="preserve"> </t>
    </r>
    <r>
      <rPr>
        <b/>
        <i/>
        <u/>
        <sz val="12"/>
        <rFont val="Times New Roman"/>
        <family val="1"/>
        <charset val="186"/>
      </rPr>
      <t>Jūrmalas pilsētas Kauguru vidusskolas infrastruktūras pilnveide</t>
    </r>
  </si>
  <si>
    <r>
      <rPr>
        <i/>
        <u/>
        <sz val="12"/>
        <rFont val="Times New Roman"/>
        <family val="1"/>
        <charset val="186"/>
      </rPr>
      <t>Projekta idejas pamatojums:</t>
    </r>
    <r>
      <rPr>
        <i/>
        <sz val="12"/>
        <rFont val="Times New Roman"/>
        <family val="1"/>
        <charset val="186"/>
      </rPr>
      <t xml:space="preserve">
Jūrmalas pilsētas Kauguru vidusskolā saskaņā ar Jūrmalas pašvaldības vispārizglītojošo skolu telpu noslogojumu 2014./2015. m.g. sākumā ir bijis vislielākais izglītojamo skaits Jūrmalā (639 skolēni), kā arī skolai ir viens no labākajiem skolas piepildījumiem 85%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</si>
  <si>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Kauguru vidusskolas infrastruktūras pilnveide (t.sk. autoruzraudzība, būvuzraudzība)</t>
    </r>
    <r>
      <rPr>
        <i/>
        <sz val="12"/>
        <rFont val="Times New Roman"/>
        <family val="1"/>
        <charset val="186"/>
      </rPr>
      <t xml:space="preserve">
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skolas vienā stāvā tiks izveidota pilnībā modernizēta mācību vide.</t>
    </r>
  </si>
  <si>
    <r>
      <t xml:space="preserve">Jūrmalas pilsētas Kauguru vidusskolas infrastruktūras pilnveide                                  </t>
    </r>
    <r>
      <rPr>
        <i/>
        <sz val="10"/>
        <rFont val="Times New Roman"/>
        <family val="1"/>
        <charset val="186"/>
      </rPr>
      <t>(IP 69.pozīcija)</t>
    </r>
  </si>
  <si>
    <r>
      <rPr>
        <u/>
        <sz val="10"/>
        <rFont val="Times New Roman"/>
        <family val="1"/>
        <charset val="186"/>
      </rPr>
      <t xml:space="preserve">Rezultāta rādītājs: </t>
    </r>
    <r>
      <rPr>
        <sz val="10"/>
        <rFont val="Times New Roman"/>
        <family val="1"/>
        <charset val="186"/>
      </rPr>
      <t xml:space="preserve">
Pilnībā modernizēta vispārējās izglītības iestādes 1.stāvs (ergonomiska mācību vide, IKT risinājumi).
</t>
    </r>
    <r>
      <rPr>
        <u/>
        <sz val="10"/>
        <rFont val="Times New Roman"/>
        <family val="1"/>
        <charset val="186"/>
      </rPr>
      <t xml:space="preserve">Iznākuma rādītājs:  </t>
    </r>
    <r>
      <rPr>
        <sz val="10"/>
        <rFont val="Times New Roman"/>
        <family val="1"/>
        <charset val="186"/>
      </rPr>
      <t xml:space="preserve">
1)izglītojamo skaits 7.-12. klasē ir ne mazāk kā 240 izglītojamie vienā mācību gadā;
2)tiek īstenotas vismaz divas vispārējās vidējās izglītības  programmas, no kurām viena ir STEM (matemātikas, dabaszinību un tehnikas virziena programma).</t>
    </r>
  </si>
  <si>
    <r>
      <t xml:space="preserve">Infrastruktūras izveide bērnu un jauniešu aprūpei ģimeniskā vidē saskaņa ar Quality4Children standartiem                        </t>
    </r>
    <r>
      <rPr>
        <i/>
        <sz val="10"/>
        <rFont val="Times New Roman"/>
        <family val="1"/>
        <charset val="186"/>
      </rPr>
      <t>(IP 99.pozīcija)</t>
    </r>
  </si>
  <si>
    <r>
      <t xml:space="preserve">2019                                    </t>
    </r>
    <r>
      <rPr>
        <i/>
        <sz val="10"/>
        <rFont val="Times New Roman"/>
        <family val="1"/>
        <charset val="186"/>
      </rPr>
      <t xml:space="preserve">         (10 mēneši)</t>
    </r>
  </si>
  <si>
    <r>
      <rPr>
        <b/>
        <i/>
        <sz val="10"/>
        <rFont val="Times New Roman"/>
        <family val="1"/>
        <charset val="186"/>
      </rPr>
      <t xml:space="preserve">2018 </t>
    </r>
    <r>
      <rPr>
        <i/>
        <sz val="10"/>
        <rFont val="Times New Roman"/>
        <family val="1"/>
        <charset val="186"/>
      </rPr>
      <t xml:space="preserve">                                                       (2018.gads būvprojekta izstrāde)</t>
    </r>
  </si>
  <si>
    <r>
      <t xml:space="preserve">Grupu dzīvokļu pakalpojuma attīstība cilvēkiem ar garīga rakstura traucējumiem                  </t>
    </r>
    <r>
      <rPr>
        <i/>
        <sz val="10"/>
        <rFont val="Times New Roman"/>
        <family val="1"/>
        <charset val="186"/>
      </rPr>
      <t xml:space="preserve">                                    (IP 100.pozīcija)</t>
    </r>
  </si>
  <si>
    <r>
      <rPr>
        <b/>
        <u/>
        <sz val="12"/>
        <rFont val="Times New Roman"/>
        <family val="1"/>
        <charset val="186"/>
      </rPr>
      <t xml:space="preserve">Prioritārā projekta ideja Nr.6: </t>
    </r>
    <r>
      <rPr>
        <b/>
        <i/>
        <u/>
        <sz val="12"/>
        <rFont val="Times New Roman"/>
        <family val="1"/>
        <charset val="186"/>
      </rPr>
      <t>Jūrmalas pilsētas Kauguru vidusskolas energoefektivitātes paaugstināšana</t>
    </r>
  </si>
  <si>
    <r>
      <rPr>
        <b/>
        <sz val="12"/>
        <rFont val="Times New Roman"/>
        <family val="1"/>
        <charset val="186"/>
      </rPr>
      <t>Prioritārā projekta ideja Nr.7:</t>
    </r>
    <r>
      <rPr>
        <b/>
        <i/>
        <u/>
        <sz val="12"/>
        <rFont val="Times New Roman"/>
        <family val="1"/>
        <charset val="186"/>
      </rPr>
      <t xml:space="preserve"> Jūrmalas teātra ēkas energoefektivitātes paaugstināšana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</si>
  <si>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25.9 ha;
3)jaunizveidoto darba vietu skaits – 82 darba vietas;
4)komersantu, kuri atrodas atbalstītajā teritorijā, nefinanšu investīcijas pašu nemateriālos ieguldījumos un pamatlīdzekļos – 5 000 000.00 EUR.
</t>
    </r>
    <r>
      <rPr>
        <i/>
        <sz val="10"/>
        <rFont val="Times New Roman"/>
        <family val="1"/>
        <charset val="186"/>
      </rPr>
      <t>Pielikumā: Kartogrāfiskais materiāls 5.6.2.SAM Ķemeros - Pielikums Nr.2.; Kartogrāfiskais materiāls Nr.2 projektam "Ķemeru parka pārbūve un restaurācija".</t>
    </r>
    <r>
      <rPr>
        <sz val="10"/>
        <rFont val="Times New Roman"/>
        <family val="1"/>
        <charset val="186"/>
      </rPr>
      <t xml:space="preserve">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</si>
  <si>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1.4 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Pielikumā:Kartogrāfiskais materiāls 5.6.2.SAM Ķemeros - Pielikums Nr.2.; Kartogrāfiskais materiāls Nr.3 projektam "Ceļu infrastruktūras atjaunošana un autostāvvietas izbūve Ķemeros".</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</si>
  <si>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13.9 ha;
3)jaunizveidoto darba vietu skaits – 98 darba vietas;
4)komersantu, kuri atrodas atbalstītajā teritorijā, nefinanšu investīcijas pašu nemateriālos ieguldījumos un pamatlīdzekļos – 6 000 000.00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Nr.4 projektam "Daudzfunkcionāla, interaktīva dabas tūrisma objekta izveide Ķemeros".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</si>
  <si>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0.8 ha;
3)jaunizveidoto darba vietu skaits – 13 darba vietas;
4)komersantu, kuri atrodas atbalstītajā teritorijā, nefinanšu investīcijas pašu nemateriālos ieguldījumos un pamatlīdzekļos – 780 000.00EUR.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Nr.5 projektam "Ielu infrastruktūras atjaunošana  Ķemeros".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</si>
  <si>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 ha;
3)jaunizveidoto darba vietu skaits – 20 darba vietas;
4)komersantu, kuri atrodas atbalstītajā teritorijā, nefinanšu investīcijas pašu nemateriālos ieguldījumos un pamatlīdzekļos – 5 000 000.00EUR.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Nr.6 projektam "Majoru muižas kompleksa atjaunošana" - Pielikums Nr.2.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</si>
</sst>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5"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i/>
      <sz val="11"/>
      <name val="Calibri"/>
      <family val="2"/>
      <charset val="186"/>
      <scheme val="minor"/>
    </font>
    <font>
      <sz val="10"/>
      <name val="Calibri"/>
      <family val="2"/>
      <charset val="186"/>
      <scheme val="minor"/>
    </font>
    <font>
      <sz val="11"/>
      <color rgb="FFFF0000"/>
      <name val="Calibri"/>
      <family val="2"/>
      <charset val="186"/>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170">
    <xf numFmtId="0" fontId="0" fillId="0" borderId="0" xfId="0"/>
    <xf numFmtId="0" fontId="2" fillId="0" borderId="0" xfId="0" applyFont="1"/>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0" xfId="0" applyFont="1" applyBorder="1"/>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4" fontId="2" fillId="0" borderId="3" xfId="1" applyNumberFormat="1" applyFont="1" applyBorder="1" applyAlignment="1">
      <alignment horizontal="center" vertical="center" wrapText="1"/>
    </xf>
    <xf numFmtId="0" fontId="7" fillId="0" borderId="0" xfId="0" applyFont="1"/>
    <xf numFmtId="0" fontId="2" fillId="0" borderId="2" xfId="0" applyFont="1" applyFill="1" applyBorder="1"/>
    <xf numFmtId="0" fontId="2" fillId="0" borderId="8" xfId="0" applyFont="1" applyFill="1" applyBorder="1" applyAlignment="1">
      <alignment horizontal="justify" vertical="center" wrapText="1"/>
    </xf>
    <xf numFmtId="0" fontId="2" fillId="0" borderId="7" xfId="0" applyFont="1" applyBorder="1" applyAlignment="1">
      <alignment horizontal="center" vertical="center" wrapText="1"/>
    </xf>
    <xf numFmtId="0" fontId="2" fillId="0" borderId="0" xfId="0" applyFont="1" applyFill="1" applyBorder="1"/>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0" fontId="16"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4" fontId="2" fillId="0" borderId="3" xfId="0" applyNumberFormat="1"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17" fillId="0" borderId="0" xfId="0" applyFont="1"/>
    <xf numFmtId="0" fontId="11" fillId="0" borderId="3" xfId="0" applyFont="1" applyBorder="1" applyAlignment="1">
      <alignment horizontal="center" wrapText="1"/>
    </xf>
    <xf numFmtId="0" fontId="17" fillId="0" borderId="0" xfId="0" applyFont="1" applyBorder="1"/>
    <xf numFmtId="0" fontId="3" fillId="0" borderId="3" xfId="0" applyFont="1" applyFill="1" applyBorder="1" applyAlignment="1">
      <alignment horizontal="center"/>
    </xf>
    <xf numFmtId="1" fontId="3" fillId="2" borderId="3" xfId="0" applyNumberFormat="1" applyFont="1" applyFill="1" applyBorder="1" applyAlignment="1">
      <alignment horizontal="center"/>
    </xf>
    <xf numFmtId="0" fontId="3" fillId="2" borderId="3" xfId="0" applyFont="1" applyFill="1" applyBorder="1" applyAlignment="1">
      <alignment horizontal="justify" wrapText="1"/>
    </xf>
    <xf numFmtId="4" fontId="3" fillId="2" borderId="3" xfId="0" applyNumberFormat="1" applyFont="1" applyFill="1" applyBorder="1"/>
    <xf numFmtId="0" fontId="3" fillId="2" borderId="3" xfId="0" applyFont="1" applyFill="1" applyBorder="1" applyAlignment="1">
      <alignment horizontal="center"/>
    </xf>
    <xf numFmtId="1" fontId="3" fillId="0" borderId="3" xfId="0" applyNumberFormat="1" applyFont="1" applyFill="1" applyBorder="1" applyAlignment="1">
      <alignment horizontal="center"/>
    </xf>
    <xf numFmtId="0" fontId="3" fillId="0" borderId="3" xfId="0" applyFont="1" applyFill="1" applyBorder="1" applyAlignment="1">
      <alignment horizontal="justify" wrapText="1"/>
    </xf>
    <xf numFmtId="4" fontId="3" fillId="0" borderId="3" xfId="0" applyNumberFormat="1" applyFont="1" applyFill="1" applyBorder="1"/>
    <xf numFmtId="0" fontId="3" fillId="0" borderId="3" xfId="0" applyFont="1" applyFill="1" applyBorder="1" applyAlignment="1">
      <alignment horizontal="center" vertical="center"/>
    </xf>
    <xf numFmtId="3" fontId="3" fillId="0" borderId="0" xfId="0" applyNumberFormat="1" applyFont="1"/>
    <xf numFmtId="4" fontId="17" fillId="0" borderId="0" xfId="0" applyNumberFormat="1" applyFont="1"/>
    <xf numFmtId="4" fontId="7" fillId="0" borderId="3" xfId="0" applyNumberFormat="1" applyFont="1" applyFill="1" applyBorder="1" applyAlignment="1">
      <alignment horizontal="center" vertical="center" wrapText="1"/>
    </xf>
    <xf numFmtId="4" fontId="17" fillId="0" borderId="0" xfId="0" applyNumberFormat="1" applyFont="1" applyBorder="1" applyAlignment="1">
      <alignment horizontal="right"/>
    </xf>
    <xf numFmtId="4" fontId="17" fillId="0" borderId="0" xfId="0" applyNumberFormat="1" applyFont="1" applyAlignment="1">
      <alignment horizontal="right"/>
    </xf>
    <xf numFmtId="4" fontId="2" fillId="0" borderId="0" xfId="0" applyNumberFormat="1" applyFont="1"/>
    <xf numFmtId="4" fontId="2" fillId="0" borderId="0" xfId="0" applyNumberFormat="1" applyFont="1" applyAlignment="1">
      <alignment horizontal="center" wrapText="1"/>
    </xf>
    <xf numFmtId="4" fontId="2" fillId="0" borderId="0" xfId="0" applyNumberFormat="1" applyFont="1" applyAlignment="1">
      <alignment wrapText="1"/>
    </xf>
    <xf numFmtId="4" fontId="24" fillId="0" borderId="0" xfId="0" applyNumberFormat="1" applyFont="1" applyBorder="1" applyAlignment="1"/>
    <xf numFmtId="4" fontId="24" fillId="0" borderId="0" xfId="0" applyNumberFormat="1" applyFont="1" applyAlignment="1"/>
    <xf numFmtId="4" fontId="24" fillId="0" borderId="0" xfId="0" applyNumberFormat="1" applyFont="1"/>
    <xf numFmtId="4" fontId="17" fillId="0" borderId="0" xfId="0" applyNumberFormat="1" applyFont="1" applyBorder="1"/>
    <xf numFmtId="0" fontId="2" fillId="0" borderId="4" xfId="0" applyFont="1" applyFill="1" applyBorder="1" applyAlignment="1">
      <alignment horizontal="justify" vertical="top" wrapText="1"/>
    </xf>
    <xf numFmtId="4" fontId="17" fillId="0" borderId="0" xfId="0" applyNumberFormat="1" applyFont="1" applyFill="1"/>
    <xf numFmtId="0" fontId="5"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10" fillId="2"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23" fillId="0" borderId="5" xfId="0" applyFont="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xf numFmtId="0" fontId="13" fillId="2" borderId="4"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2" fillId="0" borderId="5" xfId="0" applyFont="1" applyBorder="1" applyAlignment="1">
      <alignment horizontal="left" vertical="center" wrapText="1"/>
    </xf>
    <xf numFmtId="0" fontId="17" fillId="0" borderId="5" xfId="0" applyFont="1" applyBorder="1" applyAlignment="1">
      <alignment horizontal="justify" vertical="center" wrapText="1"/>
    </xf>
    <xf numFmtId="0" fontId="2" fillId="0" borderId="3" xfId="0" applyFont="1" applyFill="1" applyBorder="1" applyAlignment="1">
      <alignment horizontal="justify" vertical="center" wrapText="1"/>
    </xf>
    <xf numFmtId="0" fontId="17" fillId="0" borderId="3" xfId="0" applyFont="1" applyBorder="1" applyAlignment="1">
      <alignment horizontal="justify" vertical="center" wrapText="1"/>
    </xf>
    <xf numFmtId="0" fontId="17" fillId="0" borderId="3" xfId="0" applyFont="1" applyFill="1" applyBorder="1" applyAlignment="1">
      <alignment horizontal="justify" vertical="center" wrapText="1"/>
    </xf>
    <xf numFmtId="0" fontId="2" fillId="0" borderId="5" xfId="0" applyFont="1" applyBorder="1" applyAlignment="1">
      <alignment horizontal="justify" vertical="center" wrapText="1"/>
    </xf>
    <xf numFmtId="0" fontId="2" fillId="3" borderId="4"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6" fillId="2" borderId="3" xfId="0" applyFont="1" applyFill="1" applyBorder="1" applyAlignment="1">
      <alignment horizontal="justify" vertical="center" wrapText="1"/>
    </xf>
    <xf numFmtId="0" fontId="2" fillId="0" borderId="5" xfId="0" applyFont="1" applyBorder="1" applyAlignment="1">
      <alignment vertical="center" wrapText="1"/>
    </xf>
    <xf numFmtId="0" fontId="11" fillId="2" borderId="3" xfId="0" applyFont="1" applyFill="1" applyBorder="1" applyAlignment="1">
      <alignment horizontal="justify" vertical="center" wrapText="1"/>
    </xf>
    <xf numFmtId="0" fontId="2" fillId="0" borderId="3" xfId="0" applyFont="1" applyFill="1" applyBorder="1" applyAlignment="1">
      <alignment vertical="center" wrapText="1"/>
    </xf>
    <xf numFmtId="0" fontId="23"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2" fillId="0" borderId="3" xfId="0" applyFont="1" applyBorder="1" applyAlignment="1">
      <alignment horizontal="justify" vertical="center" wrapText="1"/>
    </xf>
    <xf numFmtId="0" fontId="1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2" fillId="2" borderId="6"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4" fillId="2" borderId="6" xfId="0" applyFont="1" applyFill="1" applyBorder="1" applyAlignment="1">
      <alignment vertical="center"/>
    </xf>
    <xf numFmtId="0" fontId="14" fillId="2" borderId="5" xfId="0" applyFont="1" applyFill="1" applyBorder="1" applyAlignment="1">
      <alignment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7" fillId="0" borderId="5" xfId="0" applyFont="1" applyFill="1" applyBorder="1" applyAlignment="1">
      <alignment horizontal="justify" vertical="center" wrapText="1"/>
    </xf>
    <xf numFmtId="0" fontId="3" fillId="0" borderId="0" xfId="0" applyFont="1" applyAlignment="1">
      <alignment horizontal="right"/>
    </xf>
    <xf numFmtId="0" fontId="23" fillId="0" borderId="5"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Fill="1" applyBorder="1" applyAlignment="1">
      <alignment horizontal="left" vertical="center" wrapText="1"/>
    </xf>
    <xf numFmtId="0" fontId="23" fillId="0" borderId="3" xfId="0" applyFont="1" applyBorder="1" applyAlignment="1">
      <alignment horizontal="left" vertical="center" wrapText="1"/>
    </xf>
    <xf numFmtId="0" fontId="2" fillId="0" borderId="12" xfId="0" applyFont="1" applyFill="1" applyBorder="1" applyAlignment="1">
      <alignment vertical="center" wrapText="1"/>
    </xf>
    <xf numFmtId="0" fontId="23" fillId="0" borderId="13" xfId="0" applyFont="1" applyBorder="1" applyAlignment="1">
      <alignment vertical="center" wrapText="1"/>
    </xf>
    <xf numFmtId="0" fontId="4" fillId="0" borderId="1" xfId="0" applyFont="1" applyBorder="1" applyAlignment="1">
      <alignment horizontal="center" vertical="center"/>
    </xf>
    <xf numFmtId="4" fontId="17" fillId="0" borderId="14" xfId="0" applyNumberFormat="1" applyFont="1" applyBorder="1" applyAlignment="1">
      <alignment horizontal="right"/>
    </xf>
    <xf numFmtId="4" fontId="17" fillId="0" borderId="0" xfId="0" applyNumberFormat="1" applyFont="1" applyAlignment="1">
      <alignment horizontal="right"/>
    </xf>
    <xf numFmtId="4" fontId="17" fillId="0" borderId="14" xfId="0" applyNumberFormat="1" applyFont="1" applyBorder="1" applyAlignment="1"/>
    <xf numFmtId="4" fontId="17" fillId="0" borderId="0" xfId="0" applyNumberFormat="1" applyFont="1" applyAlignment="1"/>
    <xf numFmtId="0" fontId="11" fillId="0" borderId="3" xfId="0" applyFont="1" applyFill="1" applyBorder="1" applyAlignment="1">
      <alignment horizontal="center" vertical="center"/>
    </xf>
    <xf numFmtId="0" fontId="11" fillId="0" borderId="3" xfId="0" applyFont="1" applyBorder="1" applyAlignment="1">
      <alignment horizontal="center" wrapText="1"/>
    </xf>
    <xf numFmtId="0" fontId="4" fillId="0" borderId="0" xfId="0" applyFont="1" applyAlignment="1">
      <alignment horizontal="center"/>
    </xf>
    <xf numFmtId="0" fontId="4" fillId="0" borderId="0" xfId="0" applyFont="1" applyAlignment="1"/>
    <xf numFmtId="0" fontId="11" fillId="0" borderId="3" xfId="0" applyFont="1" applyBorder="1" applyAlignment="1">
      <alignment horizontal="center"/>
    </xf>
    <xf numFmtId="0" fontId="3" fillId="0" borderId="3" xfId="0" applyFont="1" applyBorder="1" applyAlignment="1">
      <alignment horizontal="center"/>
    </xf>
    <xf numFmtId="0" fontId="3" fillId="0" borderId="3" xfId="0" applyFont="1" applyFill="1" applyBorder="1" applyAlignment="1">
      <alignment horizontal="center" vertical="center"/>
    </xf>
    <xf numFmtId="4" fontId="17" fillId="0" borderId="0" xfId="0" applyNumberFormat="1" applyFont="1" applyAlignment="1">
      <alignment horizontal="center"/>
    </xf>
    <xf numFmtId="0" fontId="17" fillId="0" borderId="0" xfId="0" applyFont="1" applyAlignment="1">
      <alignment horizontal="center"/>
    </xf>
    <xf numFmtId="14" fontId="11" fillId="0" borderId="3"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tabSelected="1" showWhiteSpace="0" zoomScale="90" zoomScaleNormal="90" zoomScalePageLayoutView="90" workbookViewId="0">
      <selection activeCell="L3" sqref="L3:O3"/>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11.7109375" style="1" bestFit="1" customWidth="1"/>
    <col min="17" max="17" width="14.28515625" style="1" customWidth="1"/>
    <col min="18" max="18" width="15.7109375" style="1" customWidth="1"/>
    <col min="19"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7" ht="15.75" x14ac:dyDescent="0.25">
      <c r="L1" s="148" t="s">
        <v>0</v>
      </c>
      <c r="M1" s="148"/>
      <c r="N1" s="148"/>
      <c r="O1" s="148"/>
    </row>
    <row r="2" spans="1:17" ht="15.75" x14ac:dyDescent="0.25">
      <c r="L2" s="148" t="s">
        <v>98</v>
      </c>
      <c r="M2" s="148"/>
      <c r="N2" s="148"/>
      <c r="O2" s="148"/>
    </row>
    <row r="3" spans="1:17" ht="18" customHeight="1" x14ac:dyDescent="0.25">
      <c r="L3" s="148"/>
      <c r="M3" s="148"/>
      <c r="N3" s="148"/>
      <c r="O3" s="148"/>
    </row>
    <row r="4" spans="1:17" ht="24.75" customHeight="1" x14ac:dyDescent="0.2">
      <c r="B4" s="155" t="s">
        <v>1</v>
      </c>
      <c r="C4" s="155"/>
      <c r="D4" s="155"/>
      <c r="E4" s="155"/>
      <c r="F4" s="155"/>
      <c r="G4" s="155"/>
      <c r="H4" s="155"/>
      <c r="I4" s="155"/>
      <c r="J4" s="155"/>
      <c r="K4" s="155"/>
      <c r="L4" s="155"/>
      <c r="M4" s="155"/>
      <c r="N4" s="155"/>
      <c r="O4" s="155"/>
    </row>
    <row r="5" spans="1:17" ht="22.5" customHeight="1" x14ac:dyDescent="0.2">
      <c r="A5" s="2"/>
      <c r="B5" s="145" t="s">
        <v>2</v>
      </c>
      <c r="C5" s="145" t="s">
        <v>3</v>
      </c>
      <c r="D5" s="145"/>
      <c r="E5" s="145" t="s">
        <v>4</v>
      </c>
      <c r="F5" s="145" t="s">
        <v>5</v>
      </c>
      <c r="G5" s="145" t="s">
        <v>6</v>
      </c>
      <c r="H5" s="145" t="s">
        <v>7</v>
      </c>
      <c r="I5" s="145"/>
      <c r="J5" s="145"/>
      <c r="K5" s="145"/>
      <c r="L5" s="145" t="s">
        <v>8</v>
      </c>
      <c r="M5" s="145" t="s">
        <v>9</v>
      </c>
      <c r="N5" s="145"/>
      <c r="O5" s="146" t="s">
        <v>10</v>
      </c>
    </row>
    <row r="6" spans="1:17" ht="83.25" customHeight="1" x14ac:dyDescent="0.2">
      <c r="A6" s="2"/>
      <c r="B6" s="145"/>
      <c r="C6" s="145"/>
      <c r="D6" s="145"/>
      <c r="E6" s="145"/>
      <c r="F6" s="145"/>
      <c r="G6" s="145"/>
      <c r="H6" s="16" t="s">
        <v>167</v>
      </c>
      <c r="I6" s="73" t="s">
        <v>11</v>
      </c>
      <c r="J6" s="73" t="s">
        <v>12</v>
      </c>
      <c r="K6" s="16" t="s">
        <v>168</v>
      </c>
      <c r="L6" s="145"/>
      <c r="M6" s="73" t="s">
        <v>13</v>
      </c>
      <c r="N6" s="73" t="s">
        <v>14</v>
      </c>
      <c r="O6" s="146"/>
    </row>
    <row r="7" spans="1:17" ht="52.5" customHeight="1" x14ac:dyDescent="0.2">
      <c r="A7" s="2"/>
      <c r="B7" s="136" t="s">
        <v>86</v>
      </c>
      <c r="C7" s="136"/>
      <c r="D7" s="136"/>
      <c r="E7" s="136"/>
      <c r="F7" s="136"/>
      <c r="G7" s="136"/>
      <c r="H7" s="136"/>
      <c r="I7" s="136"/>
      <c r="J7" s="136"/>
      <c r="K7" s="136"/>
      <c r="L7" s="136"/>
      <c r="M7" s="136"/>
      <c r="N7" s="136"/>
      <c r="O7" s="136"/>
    </row>
    <row r="8" spans="1:17" ht="22.5" customHeight="1" x14ac:dyDescent="0.2">
      <c r="A8" s="2"/>
      <c r="B8" s="87" t="s">
        <v>222</v>
      </c>
      <c r="C8" s="87"/>
      <c r="D8" s="87"/>
      <c r="E8" s="87"/>
      <c r="F8" s="87"/>
      <c r="G8" s="87"/>
      <c r="H8" s="87"/>
      <c r="I8" s="87"/>
      <c r="J8" s="87"/>
      <c r="K8" s="87"/>
      <c r="L8" s="87"/>
      <c r="M8" s="87"/>
      <c r="N8" s="87"/>
      <c r="O8" s="87"/>
    </row>
    <row r="9" spans="1:17" ht="190.5" customHeight="1" x14ac:dyDescent="0.2">
      <c r="A9" s="2"/>
      <c r="B9" s="79" t="s">
        <v>223</v>
      </c>
      <c r="C9" s="80"/>
      <c r="D9" s="80"/>
      <c r="E9" s="80"/>
      <c r="F9" s="80"/>
      <c r="G9" s="80"/>
      <c r="H9" s="80"/>
      <c r="I9" s="80"/>
      <c r="J9" s="80"/>
      <c r="K9" s="80"/>
      <c r="L9" s="80"/>
      <c r="M9" s="80"/>
      <c r="N9" s="80"/>
      <c r="O9" s="81"/>
    </row>
    <row r="10" spans="1:17" ht="159" customHeight="1" x14ac:dyDescent="0.2">
      <c r="A10" s="2"/>
      <c r="B10" s="79" t="s">
        <v>224</v>
      </c>
      <c r="C10" s="80"/>
      <c r="D10" s="80"/>
      <c r="E10" s="80"/>
      <c r="F10" s="80"/>
      <c r="G10" s="80"/>
      <c r="H10" s="80"/>
      <c r="I10" s="80"/>
      <c r="J10" s="80"/>
      <c r="K10" s="80"/>
      <c r="L10" s="80"/>
      <c r="M10" s="80"/>
      <c r="N10" s="80"/>
      <c r="O10" s="81"/>
    </row>
    <row r="11" spans="1:17" ht="175.5" customHeight="1" x14ac:dyDescent="0.2">
      <c r="A11" s="2"/>
      <c r="B11" s="7">
        <v>1</v>
      </c>
      <c r="C11" s="93" t="s">
        <v>225</v>
      </c>
      <c r="D11" s="147"/>
      <c r="E11" s="7" t="s">
        <v>131</v>
      </c>
      <c r="F11" s="7" t="s">
        <v>40</v>
      </c>
      <c r="G11" s="12">
        <f>SUM(G12:G13)</f>
        <v>5814962.8900000006</v>
      </c>
      <c r="H11" s="12">
        <f>SUM(H12:H13)</f>
        <v>2775257</v>
      </c>
      <c r="I11" s="12">
        <f>SUM(I12:I13)</f>
        <v>1500000</v>
      </c>
      <c r="J11" s="12">
        <f>SUM(J12:J13)</f>
        <v>1500000</v>
      </c>
      <c r="K11" s="12">
        <f>SUM(K12:K13)</f>
        <v>39705.89</v>
      </c>
      <c r="L11" s="75" t="s">
        <v>116</v>
      </c>
      <c r="M11" s="15">
        <v>2017</v>
      </c>
      <c r="N11" s="11" t="s">
        <v>226</v>
      </c>
      <c r="O11" s="75" t="s">
        <v>169</v>
      </c>
    </row>
    <row r="12" spans="1:17" ht="175.5" customHeight="1" x14ac:dyDescent="0.2">
      <c r="A12" s="2"/>
      <c r="B12" s="7" t="s">
        <v>15</v>
      </c>
      <c r="C12" s="93" t="s">
        <v>209</v>
      </c>
      <c r="D12" s="112"/>
      <c r="E12" s="7" t="s">
        <v>132</v>
      </c>
      <c r="F12" s="7" t="s">
        <v>40</v>
      </c>
      <c r="G12" s="12">
        <f>SUM(H12:K12)</f>
        <v>2370588.2400000002</v>
      </c>
      <c r="H12" s="32">
        <f>ROUND(((870588.24-400000)*0.1275),2)+1500000</f>
        <v>1560000</v>
      </c>
      <c r="I12" s="12">
        <v>400000</v>
      </c>
      <c r="J12" s="12">
        <v>400000</v>
      </c>
      <c r="K12" s="32">
        <f>ROUND(((870588.24-400000)*0.0225),2)</f>
        <v>10588.24</v>
      </c>
      <c r="L12" s="75" t="s">
        <v>227</v>
      </c>
      <c r="M12" s="7" t="s">
        <v>228</v>
      </c>
      <c r="N12" s="15">
        <v>2019</v>
      </c>
      <c r="O12" s="7" t="s">
        <v>117</v>
      </c>
    </row>
    <row r="13" spans="1:17" ht="147.75" customHeight="1" x14ac:dyDescent="0.2">
      <c r="A13" s="2"/>
      <c r="B13" s="7" t="s">
        <v>103</v>
      </c>
      <c r="C13" s="135" t="s">
        <v>210</v>
      </c>
      <c r="D13" s="135"/>
      <c r="E13" s="7" t="s">
        <v>104</v>
      </c>
      <c r="F13" s="7" t="s">
        <v>40</v>
      </c>
      <c r="G13" s="32">
        <f>SUM(H13:K13)</f>
        <v>3444374.65</v>
      </c>
      <c r="H13" s="32">
        <f>ROUND(((2394117.65-1100000)*0.1275),2)+1050257</f>
        <v>1215257</v>
      </c>
      <c r="I13" s="12">
        <v>1100000</v>
      </c>
      <c r="J13" s="12">
        <v>1100000</v>
      </c>
      <c r="K13" s="32">
        <f>ROUND(((2394117.65-1100000)*0.0225),2)</f>
        <v>29117.65</v>
      </c>
      <c r="L13" s="74" t="s">
        <v>229</v>
      </c>
      <c r="M13" s="7" t="s">
        <v>230</v>
      </c>
      <c r="N13" s="15">
        <v>2020</v>
      </c>
      <c r="O13" s="7" t="s">
        <v>117</v>
      </c>
      <c r="Q13" s="64"/>
    </row>
    <row r="14" spans="1:17" ht="22.5" customHeight="1" x14ac:dyDescent="0.2">
      <c r="A14" s="2"/>
      <c r="B14" s="128" t="s">
        <v>106</v>
      </c>
      <c r="C14" s="129"/>
      <c r="D14" s="129"/>
      <c r="E14" s="129"/>
      <c r="F14" s="129"/>
      <c r="G14" s="129"/>
      <c r="H14" s="129"/>
      <c r="I14" s="129"/>
      <c r="J14" s="129"/>
      <c r="K14" s="129"/>
      <c r="L14" s="129"/>
      <c r="M14" s="129"/>
      <c r="N14" s="129"/>
      <c r="O14" s="130"/>
    </row>
    <row r="15" spans="1:17" ht="157.5" customHeight="1" x14ac:dyDescent="0.2">
      <c r="A15" s="2"/>
      <c r="B15" s="79" t="s">
        <v>231</v>
      </c>
      <c r="C15" s="131"/>
      <c r="D15" s="131"/>
      <c r="E15" s="131"/>
      <c r="F15" s="131"/>
      <c r="G15" s="131"/>
      <c r="H15" s="131"/>
      <c r="I15" s="131"/>
      <c r="J15" s="131"/>
      <c r="K15" s="131"/>
      <c r="L15" s="131"/>
      <c r="M15" s="131"/>
      <c r="N15" s="131"/>
      <c r="O15" s="132"/>
    </row>
    <row r="16" spans="1:17" ht="81.75" customHeight="1" x14ac:dyDescent="0.2">
      <c r="A16" s="2"/>
      <c r="B16" s="79" t="s">
        <v>232</v>
      </c>
      <c r="C16" s="133"/>
      <c r="D16" s="133"/>
      <c r="E16" s="133"/>
      <c r="F16" s="133"/>
      <c r="G16" s="133"/>
      <c r="H16" s="133"/>
      <c r="I16" s="133"/>
      <c r="J16" s="133"/>
      <c r="K16" s="133"/>
      <c r="L16" s="133"/>
      <c r="M16" s="133"/>
      <c r="N16" s="133"/>
      <c r="O16" s="134"/>
    </row>
    <row r="17" spans="1:18" ht="193.5" customHeight="1" x14ac:dyDescent="0.2">
      <c r="A17" s="2"/>
      <c r="B17" s="33">
        <v>2</v>
      </c>
      <c r="C17" s="135" t="s">
        <v>233</v>
      </c>
      <c r="D17" s="135"/>
      <c r="E17" s="3" t="s">
        <v>64</v>
      </c>
      <c r="F17" s="3">
        <v>3</v>
      </c>
      <c r="G17" s="32">
        <f>SUM(H17:K17)</f>
        <v>908447.51</v>
      </c>
      <c r="H17" s="32">
        <f>H18</f>
        <v>62609.22</v>
      </c>
      <c r="I17" s="32">
        <f>I18</f>
        <v>417394.8</v>
      </c>
      <c r="J17" s="12">
        <f>J18</f>
        <v>417394.8</v>
      </c>
      <c r="K17" s="32">
        <f>K18</f>
        <v>11048.69</v>
      </c>
      <c r="L17" s="74" t="s">
        <v>234</v>
      </c>
      <c r="M17" s="18">
        <v>2017</v>
      </c>
      <c r="N17" s="3" t="s">
        <v>235</v>
      </c>
      <c r="O17" s="24" t="s">
        <v>170</v>
      </c>
    </row>
    <row r="18" spans="1:18" ht="111.75" customHeight="1" x14ac:dyDescent="0.2">
      <c r="A18" s="2"/>
      <c r="B18" s="33" t="s">
        <v>17</v>
      </c>
      <c r="C18" s="113" t="s">
        <v>211</v>
      </c>
      <c r="D18" s="113"/>
      <c r="E18" s="7" t="s">
        <v>64</v>
      </c>
      <c r="F18" s="3">
        <v>3</v>
      </c>
      <c r="G18" s="32">
        <f>SUM(H18:K18)</f>
        <v>908447.51</v>
      </c>
      <c r="H18" s="32">
        <f>ROUND(((908447.51-(400000+17394.8))*0.1275),2)</f>
        <v>62609.22</v>
      </c>
      <c r="I18" s="32">
        <f>400000+17394.8</f>
        <v>417394.8</v>
      </c>
      <c r="J18" s="12">
        <f>400000+17394.8</f>
        <v>417394.8</v>
      </c>
      <c r="K18" s="32">
        <f>ROUND(((908447.51-(400000+17394.8))*0.0225),2)</f>
        <v>11048.69</v>
      </c>
      <c r="L18" s="74" t="s">
        <v>107</v>
      </c>
      <c r="M18" s="3" t="s">
        <v>236</v>
      </c>
      <c r="N18" s="18">
        <v>2019</v>
      </c>
      <c r="O18" s="75" t="s">
        <v>170</v>
      </c>
      <c r="Q18" s="64"/>
      <c r="R18" s="64"/>
    </row>
    <row r="19" spans="1:18" s="10" customFormat="1" ht="30.75" customHeight="1" x14ac:dyDescent="0.2">
      <c r="A19" s="23"/>
      <c r="B19" s="76" t="s">
        <v>105</v>
      </c>
      <c r="C19" s="133"/>
      <c r="D19" s="133"/>
      <c r="E19" s="133"/>
      <c r="F19" s="133"/>
      <c r="G19" s="133"/>
      <c r="H19" s="133"/>
      <c r="I19" s="133"/>
      <c r="J19" s="133"/>
      <c r="K19" s="133"/>
      <c r="L19" s="133"/>
      <c r="M19" s="133"/>
      <c r="N19" s="133"/>
      <c r="O19" s="134"/>
    </row>
    <row r="20" spans="1:18" s="10" customFormat="1" ht="147.75" customHeight="1" x14ac:dyDescent="0.2">
      <c r="A20" s="23"/>
      <c r="B20" s="100" t="s">
        <v>212</v>
      </c>
      <c r="C20" s="138"/>
      <c r="D20" s="138"/>
      <c r="E20" s="138"/>
      <c r="F20" s="138"/>
      <c r="G20" s="138"/>
      <c r="H20" s="138"/>
      <c r="I20" s="138"/>
      <c r="J20" s="138"/>
      <c r="K20" s="138"/>
      <c r="L20" s="138"/>
      <c r="M20" s="138"/>
      <c r="N20" s="138"/>
      <c r="O20" s="139"/>
    </row>
    <row r="21" spans="1:18" s="10" customFormat="1" ht="96" customHeight="1" x14ac:dyDescent="0.2">
      <c r="A21" s="23"/>
      <c r="B21" s="79" t="s">
        <v>237</v>
      </c>
      <c r="C21" s="141"/>
      <c r="D21" s="141"/>
      <c r="E21" s="141"/>
      <c r="F21" s="141"/>
      <c r="G21" s="141"/>
      <c r="H21" s="141"/>
      <c r="I21" s="141"/>
      <c r="J21" s="141"/>
      <c r="K21" s="141"/>
      <c r="L21" s="141"/>
      <c r="M21" s="141"/>
      <c r="N21" s="141"/>
      <c r="O21" s="142"/>
    </row>
    <row r="22" spans="1:18" s="14" customFormat="1" ht="219.75" customHeight="1" x14ac:dyDescent="0.2">
      <c r="A22" s="13"/>
      <c r="B22" s="7">
        <v>3</v>
      </c>
      <c r="C22" s="135" t="s">
        <v>238</v>
      </c>
      <c r="D22" s="135"/>
      <c r="E22" s="3" t="s">
        <v>64</v>
      </c>
      <c r="F22" s="42">
        <v>2</v>
      </c>
      <c r="G22" s="32">
        <f>SUM(H22:K22)</f>
        <v>179787.78999999998</v>
      </c>
      <c r="H22" s="32">
        <f>H23</f>
        <v>12390.78</v>
      </c>
      <c r="I22" s="32">
        <f>I23</f>
        <v>82605.2</v>
      </c>
      <c r="J22" s="12">
        <f>J23</f>
        <v>82605.2</v>
      </c>
      <c r="K22" s="32">
        <f>K23</f>
        <v>2186.61</v>
      </c>
      <c r="L22" s="74" t="s">
        <v>239</v>
      </c>
      <c r="M22" s="18">
        <v>2019</v>
      </c>
      <c r="N22" s="3" t="s">
        <v>240</v>
      </c>
      <c r="O22" s="24" t="s">
        <v>171</v>
      </c>
    </row>
    <row r="23" spans="1:18" s="14" customFormat="1" ht="115.5" customHeight="1" x14ac:dyDescent="0.2">
      <c r="A23" s="13"/>
      <c r="B23" s="7" t="s">
        <v>18</v>
      </c>
      <c r="C23" s="135" t="s">
        <v>241</v>
      </c>
      <c r="D23" s="135"/>
      <c r="E23" s="3" t="s">
        <v>64</v>
      </c>
      <c r="F23" s="42">
        <v>2</v>
      </c>
      <c r="G23" s="32">
        <f>SUM(H23:K23)</f>
        <v>179787.78999999998</v>
      </c>
      <c r="H23" s="32">
        <f>ROUND(((97182.59)*0.1275),2)</f>
        <v>12390.78</v>
      </c>
      <c r="I23" s="32">
        <f>100000-17394.8</f>
        <v>82605.2</v>
      </c>
      <c r="J23" s="12">
        <f>100000-17394.8</f>
        <v>82605.2</v>
      </c>
      <c r="K23" s="32">
        <f>ROUND(((97182.59)*0.0225),2)</f>
        <v>2186.61</v>
      </c>
      <c r="L23" s="74" t="s">
        <v>242</v>
      </c>
      <c r="M23" s="3" t="s">
        <v>243</v>
      </c>
      <c r="N23" s="18">
        <v>2019</v>
      </c>
      <c r="O23" s="24" t="s">
        <v>171</v>
      </c>
      <c r="R23" s="34"/>
    </row>
    <row r="24" spans="1:18" ht="31.5" customHeight="1" x14ac:dyDescent="0.2">
      <c r="A24" s="2"/>
      <c r="B24" s="140" t="s">
        <v>118</v>
      </c>
      <c r="C24" s="133"/>
      <c r="D24" s="133"/>
      <c r="E24" s="133"/>
      <c r="F24" s="133"/>
      <c r="G24" s="133"/>
      <c r="H24" s="133"/>
      <c r="I24" s="133"/>
      <c r="J24" s="133"/>
      <c r="K24" s="133"/>
      <c r="L24" s="133"/>
      <c r="M24" s="133"/>
      <c r="N24" s="133"/>
      <c r="O24" s="134"/>
    </row>
    <row r="25" spans="1:18" ht="120" customHeight="1" x14ac:dyDescent="0.2">
      <c r="A25" s="2"/>
      <c r="B25" s="79" t="s">
        <v>244</v>
      </c>
      <c r="C25" s="131"/>
      <c r="D25" s="131"/>
      <c r="E25" s="131"/>
      <c r="F25" s="131"/>
      <c r="G25" s="131"/>
      <c r="H25" s="131"/>
      <c r="I25" s="131"/>
      <c r="J25" s="131"/>
      <c r="K25" s="131"/>
      <c r="L25" s="131"/>
      <c r="M25" s="131"/>
      <c r="N25" s="131"/>
      <c r="O25" s="132"/>
    </row>
    <row r="26" spans="1:18" ht="118.5" customHeight="1" x14ac:dyDescent="0.2">
      <c r="A26" s="2"/>
      <c r="B26" s="100" t="s">
        <v>157</v>
      </c>
      <c r="C26" s="133"/>
      <c r="D26" s="133"/>
      <c r="E26" s="133"/>
      <c r="F26" s="133"/>
      <c r="G26" s="133"/>
      <c r="H26" s="133"/>
      <c r="I26" s="133"/>
      <c r="J26" s="133"/>
      <c r="K26" s="133"/>
      <c r="L26" s="133"/>
      <c r="M26" s="133"/>
      <c r="N26" s="133"/>
      <c r="O26" s="134"/>
    </row>
    <row r="27" spans="1:18" s="14" customFormat="1" ht="185.25" customHeight="1" x14ac:dyDescent="0.2">
      <c r="A27" s="13"/>
      <c r="B27" s="7">
        <v>4</v>
      </c>
      <c r="C27" s="135" t="s">
        <v>245</v>
      </c>
      <c r="D27" s="135"/>
      <c r="E27" s="3" t="s">
        <v>113</v>
      </c>
      <c r="F27" s="3" t="s">
        <v>40</v>
      </c>
      <c r="G27" s="32">
        <f>SUM(H27:K27)</f>
        <v>2176470.59</v>
      </c>
      <c r="H27" s="32">
        <f>H28</f>
        <v>150000</v>
      </c>
      <c r="I27" s="32">
        <v>1000000</v>
      </c>
      <c r="J27" s="12">
        <v>1000000</v>
      </c>
      <c r="K27" s="32">
        <f>K28</f>
        <v>26470.59</v>
      </c>
      <c r="L27" s="74" t="s">
        <v>119</v>
      </c>
      <c r="M27" s="18">
        <v>2019</v>
      </c>
      <c r="N27" s="18" t="s">
        <v>83</v>
      </c>
      <c r="O27" s="24" t="s">
        <v>114</v>
      </c>
      <c r="Q27" s="34"/>
    </row>
    <row r="28" spans="1:18" ht="96" customHeight="1" x14ac:dyDescent="0.2">
      <c r="A28" s="2"/>
      <c r="B28" s="7" t="s">
        <v>19</v>
      </c>
      <c r="C28" s="135" t="s">
        <v>133</v>
      </c>
      <c r="D28" s="135"/>
      <c r="E28" s="3" t="s">
        <v>113</v>
      </c>
      <c r="F28" s="3" t="s">
        <v>40</v>
      </c>
      <c r="G28" s="32">
        <f>SUM(H28:K28)</f>
        <v>2176470.59</v>
      </c>
      <c r="H28" s="32">
        <f>ROUND(((2176470.59-1000000)*0.1275),2)</f>
        <v>150000</v>
      </c>
      <c r="I28" s="32">
        <v>1000000</v>
      </c>
      <c r="J28" s="12">
        <v>1000000</v>
      </c>
      <c r="K28" s="32">
        <f>ROUND(((2176470.59-1000000)*0.0225),2)</f>
        <v>26470.59</v>
      </c>
      <c r="L28" s="74" t="s">
        <v>115</v>
      </c>
      <c r="M28" s="3" t="s">
        <v>120</v>
      </c>
      <c r="N28" s="18">
        <v>2020</v>
      </c>
      <c r="O28" s="24" t="s">
        <v>114</v>
      </c>
    </row>
    <row r="29" spans="1:18" ht="65.25" customHeight="1" x14ac:dyDescent="0.2">
      <c r="A29" s="2"/>
      <c r="B29" s="136" t="s">
        <v>143</v>
      </c>
      <c r="C29" s="137"/>
      <c r="D29" s="137"/>
      <c r="E29" s="137"/>
      <c r="F29" s="137"/>
      <c r="G29" s="137"/>
      <c r="H29" s="137"/>
      <c r="I29" s="137"/>
      <c r="J29" s="137"/>
      <c r="K29" s="137"/>
      <c r="L29" s="137"/>
      <c r="M29" s="137"/>
      <c r="N29" s="137"/>
      <c r="O29" s="137"/>
    </row>
    <row r="30" spans="1:18" s="10" customFormat="1" ht="36" customHeight="1" x14ac:dyDescent="0.2">
      <c r="A30" s="23"/>
      <c r="B30" s="87" t="s">
        <v>246</v>
      </c>
      <c r="C30" s="87"/>
      <c r="D30" s="87"/>
      <c r="E30" s="87"/>
      <c r="F30" s="87"/>
      <c r="G30" s="87"/>
      <c r="H30" s="87"/>
      <c r="I30" s="87"/>
      <c r="J30" s="87"/>
      <c r="K30" s="87"/>
      <c r="L30" s="87"/>
      <c r="M30" s="87"/>
      <c r="N30" s="87"/>
      <c r="O30" s="87"/>
    </row>
    <row r="31" spans="1:18" s="10" customFormat="1" ht="189.75" customHeight="1" x14ac:dyDescent="0.2">
      <c r="A31" s="23"/>
      <c r="B31" s="123" t="s">
        <v>247</v>
      </c>
      <c r="C31" s="123"/>
      <c r="D31" s="123"/>
      <c r="E31" s="123"/>
      <c r="F31" s="123"/>
      <c r="G31" s="123"/>
      <c r="H31" s="123"/>
      <c r="I31" s="123"/>
      <c r="J31" s="123"/>
      <c r="K31" s="123"/>
      <c r="L31" s="123"/>
      <c r="M31" s="123"/>
      <c r="N31" s="123"/>
      <c r="O31" s="123"/>
    </row>
    <row r="32" spans="1:18" s="10" customFormat="1" ht="242.25" customHeight="1" x14ac:dyDescent="0.2">
      <c r="A32" s="23"/>
      <c r="B32" s="123" t="s">
        <v>248</v>
      </c>
      <c r="C32" s="123"/>
      <c r="D32" s="123"/>
      <c r="E32" s="123"/>
      <c r="F32" s="123"/>
      <c r="G32" s="123"/>
      <c r="H32" s="123"/>
      <c r="I32" s="123"/>
      <c r="J32" s="123"/>
      <c r="K32" s="123"/>
      <c r="L32" s="123"/>
      <c r="M32" s="123"/>
      <c r="N32" s="123"/>
      <c r="O32" s="123"/>
    </row>
    <row r="33" spans="1:19" ht="219" customHeight="1" x14ac:dyDescent="0.2">
      <c r="A33" s="2"/>
      <c r="B33" s="7">
        <v>5</v>
      </c>
      <c r="C33" s="113" t="s">
        <v>249</v>
      </c>
      <c r="D33" s="114"/>
      <c r="E33" s="7" t="s">
        <v>65</v>
      </c>
      <c r="F33" s="7" t="s">
        <v>40</v>
      </c>
      <c r="G33" s="12">
        <f>SUM(H33:K33)</f>
        <v>1589146.1885000002</v>
      </c>
      <c r="H33" s="12">
        <f>H34</f>
        <v>726116.13922500005</v>
      </c>
      <c r="I33" s="12">
        <f>I34</f>
        <v>840774.26</v>
      </c>
      <c r="J33" s="12" t="s">
        <v>40</v>
      </c>
      <c r="K33" s="12">
        <f>K34</f>
        <v>22255.789274999999</v>
      </c>
      <c r="L33" s="75" t="s">
        <v>172</v>
      </c>
      <c r="M33" s="15">
        <v>2018</v>
      </c>
      <c r="N33" s="15" t="s">
        <v>250</v>
      </c>
      <c r="O33" s="3" t="s">
        <v>16</v>
      </c>
    </row>
    <row r="34" spans="1:19" ht="120.75" customHeight="1" x14ac:dyDescent="0.2">
      <c r="A34" s="2"/>
      <c r="B34" s="7" t="s">
        <v>20</v>
      </c>
      <c r="C34" s="113" t="s">
        <v>251</v>
      </c>
      <c r="D34" s="114"/>
      <c r="E34" s="7" t="s">
        <v>65</v>
      </c>
      <c r="F34" s="7" t="s">
        <v>40</v>
      </c>
      <c r="G34" s="12">
        <f>SUM(H34:K34)</f>
        <v>1589146.1885000002</v>
      </c>
      <c r="H34" s="12">
        <f>ROUND((989146.19*0.1275),25)+600000</f>
        <v>726116.13922500005</v>
      </c>
      <c r="I34" s="12">
        <v>840774.26</v>
      </c>
      <c r="J34" s="12" t="s">
        <v>40</v>
      </c>
      <c r="K34" s="12">
        <f>ROUND((989146.19*0.0225),25)</f>
        <v>22255.789274999999</v>
      </c>
      <c r="L34" s="75" t="s">
        <v>87</v>
      </c>
      <c r="M34" s="15" t="s">
        <v>252</v>
      </c>
      <c r="N34" s="15">
        <v>2019</v>
      </c>
      <c r="O34" s="3" t="s">
        <v>16</v>
      </c>
      <c r="P34" s="64"/>
      <c r="Q34" s="64"/>
      <c r="R34" s="64"/>
      <c r="S34" s="64"/>
    </row>
    <row r="35" spans="1:19" s="10" customFormat="1" ht="19.5" customHeight="1" x14ac:dyDescent="0.2">
      <c r="A35" s="23"/>
      <c r="B35" s="125" t="s">
        <v>253</v>
      </c>
      <c r="C35" s="88"/>
      <c r="D35" s="88"/>
      <c r="E35" s="88"/>
      <c r="F35" s="88"/>
      <c r="G35" s="88"/>
      <c r="H35" s="88"/>
      <c r="I35" s="88"/>
      <c r="J35" s="88"/>
      <c r="K35" s="88"/>
      <c r="L35" s="88"/>
      <c r="M35" s="88"/>
      <c r="N35" s="88"/>
      <c r="O35" s="88"/>
    </row>
    <row r="36" spans="1:19" s="10" customFormat="1" ht="98.25" customHeight="1" x14ac:dyDescent="0.2">
      <c r="A36" s="23"/>
      <c r="B36" s="123" t="s">
        <v>192</v>
      </c>
      <c r="C36" s="123"/>
      <c r="D36" s="123"/>
      <c r="E36" s="123"/>
      <c r="F36" s="123"/>
      <c r="G36" s="123"/>
      <c r="H36" s="123"/>
      <c r="I36" s="123"/>
      <c r="J36" s="123"/>
      <c r="K36" s="123"/>
      <c r="L36" s="123"/>
      <c r="M36" s="123"/>
      <c r="N36" s="123"/>
      <c r="O36" s="123"/>
    </row>
    <row r="37" spans="1:19" s="10" customFormat="1" ht="222" customHeight="1" x14ac:dyDescent="0.2">
      <c r="A37" s="23"/>
      <c r="B37" s="123" t="s">
        <v>254</v>
      </c>
      <c r="C37" s="123"/>
      <c r="D37" s="123"/>
      <c r="E37" s="123"/>
      <c r="F37" s="123"/>
      <c r="G37" s="123"/>
      <c r="H37" s="123"/>
      <c r="I37" s="123"/>
      <c r="J37" s="123"/>
      <c r="K37" s="123"/>
      <c r="L37" s="123"/>
      <c r="M37" s="123"/>
      <c r="N37" s="123"/>
      <c r="O37" s="123"/>
    </row>
    <row r="38" spans="1:19" s="14" customFormat="1" ht="213" customHeight="1" x14ac:dyDescent="0.2">
      <c r="A38" s="13"/>
      <c r="B38" s="7">
        <v>6</v>
      </c>
      <c r="C38" s="95" t="s">
        <v>255</v>
      </c>
      <c r="D38" s="96"/>
      <c r="E38" s="7" t="s">
        <v>55</v>
      </c>
      <c r="F38" s="7" t="s">
        <v>40</v>
      </c>
      <c r="G38" s="12">
        <f>$G$39</f>
        <v>2604375.9200000004</v>
      </c>
      <c r="H38" s="19">
        <f>$H$39</f>
        <v>2120131.46</v>
      </c>
      <c r="I38" s="19">
        <f>$I$39</f>
        <v>471756.78</v>
      </c>
      <c r="J38" s="12" t="str">
        <f>$J$39</f>
        <v>-</v>
      </c>
      <c r="K38" s="19">
        <f>$K$39</f>
        <v>12487.68</v>
      </c>
      <c r="L38" s="75" t="s">
        <v>182</v>
      </c>
      <c r="M38" s="15">
        <v>2018</v>
      </c>
      <c r="N38" s="15" t="s">
        <v>256</v>
      </c>
      <c r="O38" s="7" t="s">
        <v>16</v>
      </c>
    </row>
    <row r="39" spans="1:19" s="14" customFormat="1" ht="111" customHeight="1" x14ac:dyDescent="0.2">
      <c r="A39" s="13"/>
      <c r="B39" s="3" t="s">
        <v>44</v>
      </c>
      <c r="C39" s="150" t="s">
        <v>257</v>
      </c>
      <c r="D39" s="111"/>
      <c r="E39" s="7" t="s">
        <v>55</v>
      </c>
      <c r="F39" s="3" t="s">
        <v>40</v>
      </c>
      <c r="G39" s="19">
        <f>SUM(H39:K39)</f>
        <v>2604375.9200000004</v>
      </c>
      <c r="H39" s="19">
        <f>ROUND((555007.98*0.1275),2)+2049367.94</f>
        <v>2120131.46</v>
      </c>
      <c r="I39" s="19">
        <v>471756.78</v>
      </c>
      <c r="J39" s="19" t="s">
        <v>40</v>
      </c>
      <c r="K39" s="19">
        <f>ROUND((555007.98*0.0225),2)</f>
        <v>12487.68</v>
      </c>
      <c r="L39" s="75" t="s">
        <v>87</v>
      </c>
      <c r="M39" s="3" t="s">
        <v>258</v>
      </c>
      <c r="N39" s="15">
        <v>2019</v>
      </c>
      <c r="O39" s="3" t="s">
        <v>16</v>
      </c>
      <c r="P39" s="34"/>
      <c r="Q39" s="34"/>
      <c r="R39" s="34"/>
    </row>
    <row r="40" spans="1:19" s="14" customFormat="1" ht="42" customHeight="1" x14ac:dyDescent="0.2">
      <c r="A40" s="13"/>
      <c r="B40" s="87" t="s">
        <v>191</v>
      </c>
      <c r="C40" s="88"/>
      <c r="D40" s="88"/>
      <c r="E40" s="88"/>
      <c r="F40" s="88"/>
      <c r="G40" s="88"/>
      <c r="H40" s="88"/>
      <c r="I40" s="88"/>
      <c r="J40" s="88"/>
      <c r="K40" s="88"/>
      <c r="L40" s="88"/>
      <c r="M40" s="88"/>
      <c r="N40" s="88"/>
      <c r="O40" s="88"/>
    </row>
    <row r="41" spans="1:19" s="14" customFormat="1" ht="91.5" customHeight="1" x14ac:dyDescent="0.2">
      <c r="A41" s="13"/>
      <c r="B41" s="123" t="s">
        <v>198</v>
      </c>
      <c r="C41" s="123"/>
      <c r="D41" s="123"/>
      <c r="E41" s="123"/>
      <c r="F41" s="123"/>
      <c r="G41" s="123"/>
      <c r="H41" s="123"/>
      <c r="I41" s="123"/>
      <c r="J41" s="123"/>
      <c r="K41" s="123"/>
      <c r="L41" s="123"/>
      <c r="M41" s="123"/>
      <c r="N41" s="123"/>
      <c r="O41" s="123"/>
    </row>
    <row r="42" spans="1:19" s="14" customFormat="1" ht="224.25" customHeight="1" x14ac:dyDescent="0.2">
      <c r="A42" s="13"/>
      <c r="B42" s="123" t="s">
        <v>259</v>
      </c>
      <c r="C42" s="123"/>
      <c r="D42" s="123"/>
      <c r="E42" s="123"/>
      <c r="F42" s="123"/>
      <c r="G42" s="123"/>
      <c r="H42" s="123"/>
      <c r="I42" s="123"/>
      <c r="J42" s="123"/>
      <c r="K42" s="123"/>
      <c r="L42" s="123"/>
      <c r="M42" s="123"/>
      <c r="N42" s="123"/>
      <c r="O42" s="123"/>
    </row>
    <row r="43" spans="1:19" s="36" customFormat="1" ht="190.5" customHeight="1" x14ac:dyDescent="0.2">
      <c r="A43" s="35"/>
      <c r="B43" s="7">
        <v>7</v>
      </c>
      <c r="C43" s="85" t="s">
        <v>260</v>
      </c>
      <c r="D43" s="86"/>
      <c r="E43" s="7" t="s">
        <v>55</v>
      </c>
      <c r="F43" s="37" t="s">
        <v>40</v>
      </c>
      <c r="G43" s="19">
        <v>858842.94</v>
      </c>
      <c r="H43" s="19">
        <f>ROUND((177190.35*0.1275),2)+681652.59</f>
        <v>704244.36</v>
      </c>
      <c r="I43" s="12">
        <f>I44</f>
        <v>150611.79999999999</v>
      </c>
      <c r="J43" s="61" t="s">
        <v>40</v>
      </c>
      <c r="K43" s="19">
        <f>ROUND((177190.35*0.0225),2)</f>
        <v>3986.78</v>
      </c>
      <c r="L43" s="71" t="s">
        <v>193</v>
      </c>
      <c r="M43" s="18">
        <v>2018</v>
      </c>
      <c r="N43" s="11" t="s">
        <v>261</v>
      </c>
      <c r="O43" s="3" t="s">
        <v>16</v>
      </c>
    </row>
    <row r="44" spans="1:19" s="14" customFormat="1" ht="90" customHeight="1" x14ac:dyDescent="0.2">
      <c r="A44" s="13"/>
      <c r="B44" s="3" t="s">
        <v>42</v>
      </c>
      <c r="C44" s="85" t="s">
        <v>213</v>
      </c>
      <c r="D44" s="86"/>
      <c r="E44" s="7" t="s">
        <v>55</v>
      </c>
      <c r="F44" s="3" t="s">
        <v>40</v>
      </c>
      <c r="G44" s="19">
        <f>SUM(H44:K44)</f>
        <v>858842.94</v>
      </c>
      <c r="H44" s="19">
        <f>ROUND((177190.35*0.1275),2)+681652.59</f>
        <v>704244.36</v>
      </c>
      <c r="I44" s="19">
        <v>150611.79999999999</v>
      </c>
      <c r="J44" s="19" t="s">
        <v>40</v>
      </c>
      <c r="K44" s="19">
        <f>ROUND((177190.35*0.0225),2)</f>
        <v>3986.78</v>
      </c>
      <c r="L44" s="75" t="s">
        <v>87</v>
      </c>
      <c r="M44" s="17" t="s">
        <v>262</v>
      </c>
      <c r="N44" s="15">
        <v>2018</v>
      </c>
      <c r="O44" s="3" t="s">
        <v>16</v>
      </c>
      <c r="P44" s="34"/>
      <c r="Q44" s="34"/>
      <c r="R44" s="34"/>
    </row>
    <row r="45" spans="1:19" s="10" customFormat="1" ht="29.25" customHeight="1" x14ac:dyDescent="0.2">
      <c r="A45" s="23"/>
      <c r="B45" s="89" t="s">
        <v>177</v>
      </c>
      <c r="C45" s="77"/>
      <c r="D45" s="77"/>
      <c r="E45" s="77"/>
      <c r="F45" s="77"/>
      <c r="G45" s="77"/>
      <c r="H45" s="77"/>
      <c r="I45" s="77"/>
      <c r="J45" s="77"/>
      <c r="K45" s="77"/>
      <c r="L45" s="77"/>
      <c r="M45" s="77"/>
      <c r="N45" s="77"/>
      <c r="O45" s="78"/>
    </row>
    <row r="46" spans="1:19" s="10" customFormat="1" ht="95.25" customHeight="1" x14ac:dyDescent="0.2">
      <c r="A46" s="23"/>
      <c r="B46" s="79" t="s">
        <v>199</v>
      </c>
      <c r="C46" s="80"/>
      <c r="D46" s="80"/>
      <c r="E46" s="80"/>
      <c r="F46" s="80"/>
      <c r="G46" s="80"/>
      <c r="H46" s="80"/>
      <c r="I46" s="80"/>
      <c r="J46" s="80"/>
      <c r="K46" s="80"/>
      <c r="L46" s="80"/>
      <c r="M46" s="80"/>
      <c r="N46" s="80"/>
      <c r="O46" s="81"/>
    </row>
    <row r="47" spans="1:19" s="10" customFormat="1" ht="152.25" customHeight="1" x14ac:dyDescent="0.2">
      <c r="A47" s="23"/>
      <c r="B47" s="79" t="s">
        <v>263</v>
      </c>
      <c r="C47" s="80"/>
      <c r="D47" s="80"/>
      <c r="E47" s="80"/>
      <c r="F47" s="80"/>
      <c r="G47" s="80"/>
      <c r="H47" s="80"/>
      <c r="I47" s="80"/>
      <c r="J47" s="80"/>
      <c r="K47" s="80"/>
      <c r="L47" s="80"/>
      <c r="M47" s="80"/>
      <c r="N47" s="80"/>
      <c r="O47" s="81"/>
    </row>
    <row r="48" spans="1:19" ht="229.5" customHeight="1" x14ac:dyDescent="0.2">
      <c r="A48" s="2"/>
      <c r="B48" s="3">
        <v>8</v>
      </c>
      <c r="C48" s="85" t="s">
        <v>264</v>
      </c>
      <c r="D48" s="124"/>
      <c r="E48" s="7" t="s">
        <v>55</v>
      </c>
      <c r="F48" s="3" t="s">
        <v>40</v>
      </c>
      <c r="G48" s="19">
        <f>SUM(G49)</f>
        <v>721740.52</v>
      </c>
      <c r="H48" s="19">
        <f>SUM(H49)</f>
        <v>92021.92</v>
      </c>
      <c r="I48" s="19">
        <f>SUM(I49)</f>
        <v>613479.43999999994</v>
      </c>
      <c r="J48" s="19" t="s">
        <v>40</v>
      </c>
      <c r="K48" s="19">
        <f>SUM(K49)</f>
        <v>16239.16</v>
      </c>
      <c r="L48" s="75" t="s">
        <v>196</v>
      </c>
      <c r="M48" s="18">
        <v>2017</v>
      </c>
      <c r="N48" s="18" t="s">
        <v>265</v>
      </c>
      <c r="O48" s="3" t="s">
        <v>16</v>
      </c>
    </row>
    <row r="49" spans="1:18" ht="104.25" customHeight="1" x14ac:dyDescent="0.2">
      <c r="A49" s="2"/>
      <c r="B49" s="7" t="s">
        <v>43</v>
      </c>
      <c r="C49" s="85" t="s">
        <v>151</v>
      </c>
      <c r="D49" s="86"/>
      <c r="E49" s="7" t="s">
        <v>55</v>
      </c>
      <c r="F49" s="3" t="s">
        <v>40</v>
      </c>
      <c r="G49" s="19">
        <f>SUM(H49:K49)</f>
        <v>721740.52</v>
      </c>
      <c r="H49" s="19">
        <f>ROUND((721740.52*0.1275),2)</f>
        <v>92021.92</v>
      </c>
      <c r="I49" s="43">
        <v>613479.43999999994</v>
      </c>
      <c r="J49" s="19" t="s">
        <v>40</v>
      </c>
      <c r="K49" s="19">
        <f>ROUND((721740.52*0.0225),2)</f>
        <v>16239.16</v>
      </c>
      <c r="L49" s="75" t="s">
        <v>87</v>
      </c>
      <c r="M49" s="17" t="s">
        <v>266</v>
      </c>
      <c r="N49" s="18">
        <v>2018</v>
      </c>
      <c r="O49" s="3" t="s">
        <v>16</v>
      </c>
      <c r="P49" s="64"/>
      <c r="Q49" s="64"/>
      <c r="R49" s="64"/>
    </row>
    <row r="50" spans="1:18" ht="28.5" customHeight="1" x14ac:dyDescent="0.2">
      <c r="A50" s="2"/>
      <c r="B50" s="89" t="s">
        <v>176</v>
      </c>
      <c r="C50" s="77"/>
      <c r="D50" s="77"/>
      <c r="E50" s="77"/>
      <c r="F50" s="77"/>
      <c r="G50" s="77"/>
      <c r="H50" s="77"/>
      <c r="I50" s="77"/>
      <c r="J50" s="77"/>
      <c r="K50" s="77"/>
      <c r="L50" s="77"/>
      <c r="M50" s="77"/>
      <c r="N50" s="77"/>
      <c r="O50" s="78"/>
    </row>
    <row r="51" spans="1:18" ht="100.5" customHeight="1" x14ac:dyDescent="0.2">
      <c r="A51" s="2"/>
      <c r="B51" s="79" t="s">
        <v>214</v>
      </c>
      <c r="C51" s="80"/>
      <c r="D51" s="80"/>
      <c r="E51" s="80"/>
      <c r="F51" s="80"/>
      <c r="G51" s="80"/>
      <c r="H51" s="80"/>
      <c r="I51" s="80"/>
      <c r="J51" s="80"/>
      <c r="K51" s="80"/>
      <c r="L51" s="80"/>
      <c r="M51" s="80"/>
      <c r="N51" s="80"/>
      <c r="O51" s="81"/>
    </row>
    <row r="52" spans="1:18" ht="132.75" customHeight="1" x14ac:dyDescent="0.2">
      <c r="A52" s="2"/>
      <c r="B52" s="79" t="s">
        <v>267</v>
      </c>
      <c r="C52" s="80"/>
      <c r="D52" s="80"/>
      <c r="E52" s="80"/>
      <c r="F52" s="80"/>
      <c r="G52" s="80"/>
      <c r="H52" s="80"/>
      <c r="I52" s="80"/>
      <c r="J52" s="80"/>
      <c r="K52" s="80"/>
      <c r="L52" s="80"/>
      <c r="M52" s="80"/>
      <c r="N52" s="80"/>
      <c r="O52" s="81"/>
    </row>
    <row r="53" spans="1:18" ht="214.5" customHeight="1" x14ac:dyDescent="0.2">
      <c r="A53" s="2"/>
      <c r="B53" s="7">
        <v>9</v>
      </c>
      <c r="C53" s="95" t="s">
        <v>268</v>
      </c>
      <c r="D53" s="96"/>
      <c r="E53" s="7" t="s">
        <v>55</v>
      </c>
      <c r="F53" s="37" t="s">
        <v>40</v>
      </c>
      <c r="G53" s="19">
        <f>G54</f>
        <v>93002.250000000015</v>
      </c>
      <c r="H53" s="19">
        <f>ROUND((92682.47*0.1275),2)+319.78</f>
        <v>12136.79</v>
      </c>
      <c r="I53" s="43">
        <f>I54</f>
        <v>78780.100000000006</v>
      </c>
      <c r="J53" s="19" t="s">
        <v>40</v>
      </c>
      <c r="K53" s="19">
        <f>ROUND((92682.47*0.0225),2)</f>
        <v>2085.36</v>
      </c>
      <c r="L53" s="75" t="s">
        <v>183</v>
      </c>
      <c r="M53" s="18">
        <v>2017</v>
      </c>
      <c r="N53" s="18" t="s">
        <v>269</v>
      </c>
      <c r="O53" s="3" t="s">
        <v>16</v>
      </c>
    </row>
    <row r="54" spans="1:18" ht="148.5" customHeight="1" x14ac:dyDescent="0.2">
      <c r="A54" s="2"/>
      <c r="B54" s="7" t="s">
        <v>45</v>
      </c>
      <c r="C54" s="95" t="s">
        <v>215</v>
      </c>
      <c r="D54" s="96"/>
      <c r="E54" s="7" t="s">
        <v>55</v>
      </c>
      <c r="F54" s="3" t="s">
        <v>40</v>
      </c>
      <c r="G54" s="19">
        <f>SUM(H54:K54)</f>
        <v>93002.250000000015</v>
      </c>
      <c r="H54" s="19">
        <f>ROUND((92682.47*0.1275),2)+319.78</f>
        <v>12136.79</v>
      </c>
      <c r="I54" s="43">
        <v>78780.100000000006</v>
      </c>
      <c r="J54" s="19" t="s">
        <v>40</v>
      </c>
      <c r="K54" s="19">
        <f>ROUND((92682.47*0.0225),2)</f>
        <v>2085.36</v>
      </c>
      <c r="L54" s="75" t="s">
        <v>87</v>
      </c>
      <c r="M54" s="17" t="s">
        <v>270</v>
      </c>
      <c r="N54" s="18">
        <v>2018</v>
      </c>
      <c r="O54" s="3" t="s">
        <v>16</v>
      </c>
      <c r="P54" s="64"/>
      <c r="Q54" s="64"/>
      <c r="R54" s="64"/>
    </row>
    <row r="55" spans="1:18" ht="26.25" customHeight="1" x14ac:dyDescent="0.2">
      <c r="A55" s="2"/>
      <c r="B55" s="89" t="s">
        <v>324</v>
      </c>
      <c r="C55" s="77"/>
      <c r="D55" s="77"/>
      <c r="E55" s="77"/>
      <c r="F55" s="77"/>
      <c r="G55" s="77"/>
      <c r="H55" s="77"/>
      <c r="I55" s="77"/>
      <c r="J55" s="77"/>
      <c r="K55" s="77"/>
      <c r="L55" s="77"/>
      <c r="M55" s="77"/>
      <c r="N55" s="77"/>
      <c r="O55" s="78"/>
      <c r="Q55" s="64"/>
    </row>
    <row r="56" spans="1:18" ht="96" customHeight="1" x14ac:dyDescent="0.2">
      <c r="A56" s="2"/>
      <c r="B56" s="79" t="s">
        <v>200</v>
      </c>
      <c r="C56" s="80"/>
      <c r="D56" s="80"/>
      <c r="E56" s="80"/>
      <c r="F56" s="80"/>
      <c r="G56" s="80"/>
      <c r="H56" s="80"/>
      <c r="I56" s="80"/>
      <c r="J56" s="80"/>
      <c r="K56" s="80"/>
      <c r="L56" s="80"/>
      <c r="M56" s="80"/>
      <c r="N56" s="80"/>
      <c r="O56" s="81"/>
    </row>
    <row r="57" spans="1:18" ht="159.75" customHeight="1" x14ac:dyDescent="0.2">
      <c r="A57" s="2"/>
      <c r="B57" s="79" t="s">
        <v>271</v>
      </c>
      <c r="C57" s="80"/>
      <c r="D57" s="80"/>
      <c r="E57" s="80"/>
      <c r="F57" s="80"/>
      <c r="G57" s="80"/>
      <c r="H57" s="80"/>
      <c r="I57" s="80"/>
      <c r="J57" s="80"/>
      <c r="K57" s="80"/>
      <c r="L57" s="80"/>
      <c r="M57" s="80"/>
      <c r="N57" s="80"/>
      <c r="O57" s="81"/>
    </row>
    <row r="58" spans="1:18" ht="214.5" customHeight="1" x14ac:dyDescent="0.2">
      <c r="A58" s="2"/>
      <c r="B58" s="7">
        <v>10</v>
      </c>
      <c r="C58" s="85" t="s">
        <v>272</v>
      </c>
      <c r="D58" s="86"/>
      <c r="E58" s="7" t="s">
        <v>55</v>
      </c>
      <c r="F58" s="3">
        <v>20</v>
      </c>
      <c r="G58" s="19">
        <v>615889.05000000005</v>
      </c>
      <c r="H58" s="19">
        <f>ROUND((603082.82*0.1275),2)+12806.23</f>
        <v>89699.29</v>
      </c>
      <c r="I58" s="19">
        <f>I59</f>
        <v>512620.4</v>
      </c>
      <c r="J58" s="19" t="s">
        <v>40</v>
      </c>
      <c r="K58" s="19">
        <f>ROUND((603082.82*0.0225),2)</f>
        <v>13569.36</v>
      </c>
      <c r="L58" s="29" t="s">
        <v>195</v>
      </c>
      <c r="M58" s="18">
        <v>2018</v>
      </c>
      <c r="N58" s="17" t="s">
        <v>273</v>
      </c>
      <c r="O58" s="3" t="s">
        <v>16</v>
      </c>
    </row>
    <row r="59" spans="1:18" s="14" customFormat="1" ht="102.75" customHeight="1" x14ac:dyDescent="0.2">
      <c r="A59" s="13"/>
      <c r="B59" s="3" t="s">
        <v>47</v>
      </c>
      <c r="C59" s="85" t="s">
        <v>216</v>
      </c>
      <c r="D59" s="86"/>
      <c r="E59" s="7" t="s">
        <v>55</v>
      </c>
      <c r="F59" s="3">
        <v>20</v>
      </c>
      <c r="G59" s="19">
        <f>SUM(H59:K59)</f>
        <v>615889.05000000005</v>
      </c>
      <c r="H59" s="19">
        <f>ROUND((603082.82*0.1275),2)+12806.23</f>
        <v>89699.29</v>
      </c>
      <c r="I59" s="19">
        <v>512620.4</v>
      </c>
      <c r="J59" s="19" t="s">
        <v>40</v>
      </c>
      <c r="K59" s="19">
        <f>ROUND((603082.82*0.0225),2)</f>
        <v>13569.36</v>
      </c>
      <c r="L59" s="75" t="s">
        <v>87</v>
      </c>
      <c r="M59" s="17" t="s">
        <v>274</v>
      </c>
      <c r="N59" s="18">
        <v>2019</v>
      </c>
      <c r="O59" s="3" t="s">
        <v>16</v>
      </c>
      <c r="P59" s="34"/>
      <c r="Q59" s="34"/>
      <c r="R59" s="34"/>
    </row>
    <row r="60" spans="1:18" s="10" customFormat="1" ht="24" customHeight="1" x14ac:dyDescent="0.2">
      <c r="A60" s="23"/>
      <c r="B60" s="89" t="s">
        <v>325</v>
      </c>
      <c r="C60" s="77"/>
      <c r="D60" s="77"/>
      <c r="E60" s="77"/>
      <c r="F60" s="77"/>
      <c r="G60" s="77"/>
      <c r="H60" s="77"/>
      <c r="I60" s="77"/>
      <c r="J60" s="77"/>
      <c r="K60" s="77"/>
      <c r="L60" s="77"/>
      <c r="M60" s="77"/>
      <c r="N60" s="77"/>
      <c r="O60" s="78"/>
    </row>
    <row r="61" spans="1:18" s="10" customFormat="1" ht="117" customHeight="1" x14ac:dyDescent="0.2">
      <c r="A61" s="23"/>
      <c r="B61" s="79" t="s">
        <v>197</v>
      </c>
      <c r="C61" s="80"/>
      <c r="D61" s="80"/>
      <c r="E61" s="80"/>
      <c r="F61" s="80"/>
      <c r="G61" s="80"/>
      <c r="H61" s="80"/>
      <c r="I61" s="80"/>
      <c r="J61" s="80"/>
      <c r="K61" s="80"/>
      <c r="L61" s="80"/>
      <c r="M61" s="80"/>
      <c r="N61" s="80"/>
      <c r="O61" s="81"/>
    </row>
    <row r="62" spans="1:18" s="10" customFormat="1" ht="104.25" customHeight="1" x14ac:dyDescent="0.2">
      <c r="A62" s="23"/>
      <c r="B62" s="79" t="s">
        <v>201</v>
      </c>
      <c r="C62" s="80"/>
      <c r="D62" s="80"/>
      <c r="E62" s="80"/>
      <c r="F62" s="80"/>
      <c r="G62" s="80"/>
      <c r="H62" s="80"/>
      <c r="I62" s="80"/>
      <c r="J62" s="80"/>
      <c r="K62" s="80"/>
      <c r="L62" s="80"/>
      <c r="M62" s="80"/>
      <c r="N62" s="80"/>
      <c r="O62" s="81"/>
    </row>
    <row r="63" spans="1:18" s="14" customFormat="1" ht="234.75" customHeight="1" x14ac:dyDescent="0.2">
      <c r="A63" s="13"/>
      <c r="B63" s="7">
        <v>11</v>
      </c>
      <c r="C63" s="85" t="s">
        <v>275</v>
      </c>
      <c r="D63" s="149"/>
      <c r="E63" s="7" t="s">
        <v>66</v>
      </c>
      <c r="F63" s="7" t="s">
        <v>40</v>
      </c>
      <c r="G63" s="12">
        <f>SUM(G64:G64)</f>
        <v>154972.13</v>
      </c>
      <c r="H63" s="12">
        <f>SUM(H64:H64)</f>
        <v>68555.399999999994</v>
      </c>
      <c r="I63" s="12">
        <f>SUM(I64:I64)</f>
        <v>84188.22</v>
      </c>
      <c r="J63" s="12" t="s">
        <v>40</v>
      </c>
      <c r="K63" s="12">
        <f>SUM(K64:K64)</f>
        <v>2228.5100000000002</v>
      </c>
      <c r="L63" s="75" t="s">
        <v>194</v>
      </c>
      <c r="M63" s="15">
        <v>2019</v>
      </c>
      <c r="N63" s="11" t="s">
        <v>276</v>
      </c>
      <c r="O63" s="3" t="s">
        <v>16</v>
      </c>
    </row>
    <row r="64" spans="1:18" s="14" customFormat="1" ht="86.25" customHeight="1" x14ac:dyDescent="0.2">
      <c r="A64" s="13"/>
      <c r="B64" s="7" t="s">
        <v>48</v>
      </c>
      <c r="C64" s="85" t="s">
        <v>92</v>
      </c>
      <c r="D64" s="149"/>
      <c r="E64" s="7" t="s">
        <v>66</v>
      </c>
      <c r="F64" s="7" t="s">
        <v>40</v>
      </c>
      <c r="G64" s="12">
        <f>SUM(H64:K64)</f>
        <v>154972.13</v>
      </c>
      <c r="H64" s="12">
        <f>ROUND((99044.96*0.1275),2)+55927.17</f>
        <v>68555.399999999994</v>
      </c>
      <c r="I64" s="12">
        <v>84188.22</v>
      </c>
      <c r="J64" s="12" t="s">
        <v>40</v>
      </c>
      <c r="K64" s="12">
        <f>ROUND((99044.96*0.0225),2)</f>
        <v>2228.5100000000002</v>
      </c>
      <c r="L64" s="75" t="s">
        <v>88</v>
      </c>
      <c r="M64" s="15" t="s">
        <v>277</v>
      </c>
      <c r="N64" s="15">
        <v>2020</v>
      </c>
      <c r="O64" s="3" t="s">
        <v>16</v>
      </c>
      <c r="P64" s="34"/>
      <c r="Q64" s="34"/>
      <c r="R64" s="34"/>
    </row>
    <row r="65" spans="1:15" s="10" customFormat="1" ht="20.25" customHeight="1" x14ac:dyDescent="0.2">
      <c r="A65" s="23"/>
      <c r="B65" s="89" t="s">
        <v>144</v>
      </c>
      <c r="C65" s="77"/>
      <c r="D65" s="77"/>
      <c r="E65" s="77"/>
      <c r="F65" s="77"/>
      <c r="G65" s="77"/>
      <c r="H65" s="77"/>
      <c r="I65" s="77"/>
      <c r="J65" s="77"/>
      <c r="K65" s="77"/>
      <c r="L65" s="77"/>
      <c r="M65" s="77"/>
      <c r="N65" s="77"/>
      <c r="O65" s="78"/>
    </row>
    <row r="66" spans="1:15" s="10" customFormat="1" ht="88.5" customHeight="1" x14ac:dyDescent="0.2">
      <c r="A66" s="23"/>
      <c r="B66" s="79" t="s">
        <v>190</v>
      </c>
      <c r="C66" s="80"/>
      <c r="D66" s="80"/>
      <c r="E66" s="80"/>
      <c r="F66" s="80"/>
      <c r="G66" s="80"/>
      <c r="H66" s="80"/>
      <c r="I66" s="80"/>
      <c r="J66" s="80"/>
      <c r="K66" s="80"/>
      <c r="L66" s="80"/>
      <c r="M66" s="80"/>
      <c r="N66" s="80"/>
      <c r="O66" s="81"/>
    </row>
    <row r="67" spans="1:15" s="10" customFormat="1" ht="56.25" customHeight="1" x14ac:dyDescent="0.2">
      <c r="A67" s="23"/>
      <c r="B67" s="90" t="s">
        <v>152</v>
      </c>
      <c r="C67" s="91"/>
      <c r="D67" s="91"/>
      <c r="E67" s="91"/>
      <c r="F67" s="91"/>
      <c r="G67" s="91"/>
      <c r="H67" s="91"/>
      <c r="I67" s="91"/>
      <c r="J67" s="91"/>
      <c r="K67" s="91"/>
      <c r="L67" s="91"/>
      <c r="M67" s="91"/>
      <c r="N67" s="91"/>
      <c r="O67" s="92"/>
    </row>
    <row r="68" spans="1:15" ht="225.75" customHeight="1" x14ac:dyDescent="0.2">
      <c r="A68" s="2"/>
      <c r="B68" s="7">
        <v>12</v>
      </c>
      <c r="C68" s="93" t="s">
        <v>278</v>
      </c>
      <c r="D68" s="94"/>
      <c r="E68" s="7" t="s">
        <v>67</v>
      </c>
      <c r="F68" s="7" t="s">
        <v>40</v>
      </c>
      <c r="G68" s="12">
        <v>100017.87999999999</v>
      </c>
      <c r="H68" s="12">
        <v>25839.78</v>
      </c>
      <c r="I68" s="12">
        <v>72265.2</v>
      </c>
      <c r="J68" s="12" t="s">
        <v>40</v>
      </c>
      <c r="K68" s="12">
        <f>ROUND((85017.88*0.0225),2)</f>
        <v>1912.9</v>
      </c>
      <c r="L68" s="75" t="s">
        <v>184</v>
      </c>
      <c r="M68" s="15">
        <v>2019</v>
      </c>
      <c r="N68" s="11" t="s">
        <v>58</v>
      </c>
      <c r="O68" s="3" t="s">
        <v>16</v>
      </c>
    </row>
    <row r="69" spans="1:15" ht="96.75" customHeight="1" x14ac:dyDescent="0.2">
      <c r="A69" s="2"/>
      <c r="B69" s="7" t="s">
        <v>49</v>
      </c>
      <c r="C69" s="93" t="s">
        <v>153</v>
      </c>
      <c r="D69" s="94"/>
      <c r="E69" s="7" t="s">
        <v>67</v>
      </c>
      <c r="F69" s="7" t="s">
        <v>40</v>
      </c>
      <c r="G69" s="12">
        <f>SUM(H69:K69)</f>
        <v>100017.87999999999</v>
      </c>
      <c r="H69" s="12">
        <f>ROUND((85017.88*0.1275),2)+15000</f>
        <v>25839.78</v>
      </c>
      <c r="I69" s="12">
        <v>72265.2</v>
      </c>
      <c r="J69" s="12" t="s">
        <v>40</v>
      </c>
      <c r="K69" s="12">
        <f>ROUND((85017.88*0.0225),2)</f>
        <v>1912.9</v>
      </c>
      <c r="L69" s="75" t="s">
        <v>87</v>
      </c>
      <c r="M69" s="11" t="s">
        <v>279</v>
      </c>
      <c r="N69" s="15">
        <v>2019</v>
      </c>
      <c r="O69" s="3" t="s">
        <v>16</v>
      </c>
    </row>
    <row r="70" spans="1:15" ht="48" customHeight="1" x14ac:dyDescent="0.2">
      <c r="A70" s="2"/>
      <c r="B70" s="89" t="s">
        <v>145</v>
      </c>
      <c r="C70" s="77"/>
      <c r="D70" s="77"/>
      <c r="E70" s="77"/>
      <c r="F70" s="77"/>
      <c r="G70" s="77"/>
      <c r="H70" s="77"/>
      <c r="I70" s="77"/>
      <c r="J70" s="77"/>
      <c r="K70" s="77"/>
      <c r="L70" s="77"/>
      <c r="M70" s="77"/>
      <c r="N70" s="77"/>
      <c r="O70" s="78"/>
    </row>
    <row r="71" spans="1:15" ht="68.25" customHeight="1" x14ac:dyDescent="0.2">
      <c r="A71" s="2"/>
      <c r="B71" s="79" t="s">
        <v>189</v>
      </c>
      <c r="C71" s="80"/>
      <c r="D71" s="80"/>
      <c r="E71" s="80"/>
      <c r="F71" s="80"/>
      <c r="G71" s="80"/>
      <c r="H71" s="80"/>
      <c r="I71" s="80"/>
      <c r="J71" s="80"/>
      <c r="K71" s="80"/>
      <c r="L71" s="80"/>
      <c r="M71" s="80"/>
      <c r="N71" s="80"/>
      <c r="O71" s="81"/>
    </row>
    <row r="72" spans="1:15" ht="64.5" customHeight="1" x14ac:dyDescent="0.2">
      <c r="A72" s="2"/>
      <c r="B72" s="90" t="s">
        <v>158</v>
      </c>
      <c r="C72" s="91"/>
      <c r="D72" s="91"/>
      <c r="E72" s="91"/>
      <c r="F72" s="91"/>
      <c r="G72" s="91"/>
      <c r="H72" s="91"/>
      <c r="I72" s="91"/>
      <c r="J72" s="91"/>
      <c r="K72" s="91"/>
      <c r="L72" s="91"/>
      <c r="M72" s="91"/>
      <c r="N72" s="91"/>
      <c r="O72" s="92"/>
    </row>
    <row r="73" spans="1:15" ht="242.25" customHeight="1" x14ac:dyDescent="0.2">
      <c r="A73" s="2"/>
      <c r="B73" s="7">
        <v>13</v>
      </c>
      <c r="C73" s="93" t="s">
        <v>280</v>
      </c>
      <c r="D73" s="94"/>
      <c r="E73" s="7" t="s">
        <v>67</v>
      </c>
      <c r="F73" s="37" t="str">
        <f>$F$74</f>
        <v>-</v>
      </c>
      <c r="G73" s="19">
        <v>170768.12</v>
      </c>
      <c r="H73" s="19">
        <v>34860.44</v>
      </c>
      <c r="I73" s="19">
        <v>132402.9</v>
      </c>
      <c r="J73" s="19" t="s">
        <v>40</v>
      </c>
      <c r="K73" s="19">
        <v>3504.78</v>
      </c>
      <c r="L73" s="75" t="s">
        <v>185</v>
      </c>
      <c r="M73" s="15">
        <v>2019</v>
      </c>
      <c r="N73" s="11" t="s">
        <v>59</v>
      </c>
      <c r="O73" s="3" t="s">
        <v>16</v>
      </c>
    </row>
    <row r="74" spans="1:15" ht="102" customHeight="1" x14ac:dyDescent="0.2">
      <c r="A74" s="2"/>
      <c r="B74" s="7" t="s">
        <v>134</v>
      </c>
      <c r="C74" s="93" t="s">
        <v>154</v>
      </c>
      <c r="D74" s="94"/>
      <c r="E74" s="7" t="s">
        <v>67</v>
      </c>
      <c r="F74" s="7" t="s">
        <v>40</v>
      </c>
      <c r="G74" s="12">
        <f>SUM(H74:K74)</f>
        <v>170768.12</v>
      </c>
      <c r="H74" s="12">
        <f>ROUND((155768.12*0.1275),2)+15000</f>
        <v>34860.44</v>
      </c>
      <c r="I74" s="12">
        <v>132402.9</v>
      </c>
      <c r="J74" s="12" t="s">
        <v>40</v>
      </c>
      <c r="K74" s="12">
        <f>ROUND((155768.12*0.0225),2)</f>
        <v>3504.78</v>
      </c>
      <c r="L74" s="75" t="s">
        <v>87</v>
      </c>
      <c r="M74" s="11" t="s">
        <v>281</v>
      </c>
      <c r="N74" s="15">
        <v>2019</v>
      </c>
      <c r="O74" s="3" t="s">
        <v>16</v>
      </c>
    </row>
    <row r="75" spans="1:15" ht="27" customHeight="1" x14ac:dyDescent="0.2">
      <c r="A75" s="2"/>
      <c r="B75" s="76" t="s">
        <v>146</v>
      </c>
      <c r="C75" s="77"/>
      <c r="D75" s="77"/>
      <c r="E75" s="77"/>
      <c r="F75" s="77"/>
      <c r="G75" s="77"/>
      <c r="H75" s="77"/>
      <c r="I75" s="77"/>
      <c r="J75" s="77"/>
      <c r="K75" s="77"/>
      <c r="L75" s="77"/>
      <c r="M75" s="77"/>
      <c r="N75" s="77"/>
      <c r="O75" s="78"/>
    </row>
    <row r="76" spans="1:15" ht="64.5" customHeight="1" x14ac:dyDescent="0.2">
      <c r="A76" s="2"/>
      <c r="B76" s="79" t="s">
        <v>187</v>
      </c>
      <c r="C76" s="80"/>
      <c r="D76" s="80"/>
      <c r="E76" s="80"/>
      <c r="F76" s="80"/>
      <c r="G76" s="80"/>
      <c r="H76" s="80"/>
      <c r="I76" s="80"/>
      <c r="J76" s="80"/>
      <c r="K76" s="80"/>
      <c r="L76" s="80"/>
      <c r="M76" s="80"/>
      <c r="N76" s="80"/>
      <c r="O76" s="81"/>
    </row>
    <row r="77" spans="1:15" ht="75" customHeight="1" x14ac:dyDescent="0.2">
      <c r="A77" s="2"/>
      <c r="B77" s="82" t="s">
        <v>188</v>
      </c>
      <c r="C77" s="83"/>
      <c r="D77" s="83"/>
      <c r="E77" s="83"/>
      <c r="F77" s="83"/>
      <c r="G77" s="83"/>
      <c r="H77" s="83"/>
      <c r="I77" s="83"/>
      <c r="J77" s="83"/>
      <c r="K77" s="83"/>
      <c r="L77" s="83"/>
      <c r="M77" s="83"/>
      <c r="N77" s="83"/>
      <c r="O77" s="84"/>
    </row>
    <row r="78" spans="1:15" s="26" customFormat="1" ht="213.75" customHeight="1" x14ac:dyDescent="0.2">
      <c r="B78" s="7">
        <v>14</v>
      </c>
      <c r="C78" s="126" t="s">
        <v>282</v>
      </c>
      <c r="D78" s="127"/>
      <c r="E78" s="7" t="s">
        <v>283</v>
      </c>
      <c r="F78" s="37" t="s">
        <v>40</v>
      </c>
      <c r="G78" s="39">
        <v>115487.81</v>
      </c>
      <c r="H78" s="39">
        <v>41306.83</v>
      </c>
      <c r="I78" s="39">
        <v>72268</v>
      </c>
      <c r="J78" s="39" t="s">
        <v>40</v>
      </c>
      <c r="K78" s="39">
        <v>1912.98</v>
      </c>
      <c r="L78" s="75" t="s">
        <v>186</v>
      </c>
      <c r="M78" s="41">
        <v>2019</v>
      </c>
      <c r="N78" s="40" t="s">
        <v>173</v>
      </c>
      <c r="O78" s="25" t="s">
        <v>16</v>
      </c>
    </row>
    <row r="79" spans="1:15" s="14" customFormat="1" ht="160.5" customHeight="1" x14ac:dyDescent="0.2">
      <c r="A79" s="13"/>
      <c r="B79" s="38" t="s">
        <v>50</v>
      </c>
      <c r="C79" s="153" t="s">
        <v>155</v>
      </c>
      <c r="D79" s="154"/>
      <c r="E79" s="7" t="s">
        <v>283</v>
      </c>
      <c r="F79" s="39" t="s">
        <v>40</v>
      </c>
      <c r="G79" s="39">
        <f>SUM(H79:K79)</f>
        <v>115487.81</v>
      </c>
      <c r="H79" s="39">
        <f>ROUND((85021.18*0.1275),2)+19967.74+10498.89</f>
        <v>41306.83</v>
      </c>
      <c r="I79" s="39">
        <v>72268</v>
      </c>
      <c r="J79" s="39" t="s">
        <v>40</v>
      </c>
      <c r="K79" s="39">
        <f>ROUND((85021.18*0.0225),2)</f>
        <v>1912.98</v>
      </c>
      <c r="L79" s="75" t="s">
        <v>156</v>
      </c>
      <c r="M79" s="40" t="s">
        <v>284</v>
      </c>
      <c r="N79" s="41">
        <v>2019</v>
      </c>
      <c r="O79" s="25" t="s">
        <v>16</v>
      </c>
    </row>
    <row r="80" spans="1:15" s="10" customFormat="1" ht="42.75" customHeight="1" x14ac:dyDescent="0.2">
      <c r="A80" s="23"/>
      <c r="B80" s="103" t="s">
        <v>142</v>
      </c>
      <c r="C80" s="104"/>
      <c r="D80" s="104"/>
      <c r="E80" s="104"/>
      <c r="F80" s="104"/>
      <c r="G80" s="104"/>
      <c r="H80" s="104"/>
      <c r="I80" s="104"/>
      <c r="J80" s="104"/>
      <c r="K80" s="104"/>
      <c r="L80" s="104"/>
      <c r="M80" s="104"/>
      <c r="N80" s="104"/>
      <c r="O80" s="105"/>
    </row>
    <row r="81" spans="1:18" s="10" customFormat="1" ht="27" customHeight="1" x14ac:dyDescent="0.2">
      <c r="A81" s="23"/>
      <c r="B81" s="76" t="s">
        <v>285</v>
      </c>
      <c r="C81" s="109"/>
      <c r="D81" s="109"/>
      <c r="E81" s="109"/>
      <c r="F81" s="109"/>
      <c r="G81" s="109"/>
      <c r="H81" s="109"/>
      <c r="I81" s="109"/>
      <c r="J81" s="109"/>
      <c r="K81" s="109"/>
      <c r="L81" s="109"/>
      <c r="M81" s="109"/>
      <c r="N81" s="109"/>
      <c r="O81" s="110"/>
    </row>
    <row r="82" spans="1:18" s="10" customFormat="1" ht="178.5" customHeight="1" x14ac:dyDescent="0.2">
      <c r="A82" s="23"/>
      <c r="B82" s="79" t="s">
        <v>286</v>
      </c>
      <c r="C82" s="80"/>
      <c r="D82" s="80"/>
      <c r="E82" s="80"/>
      <c r="F82" s="80"/>
      <c r="G82" s="80"/>
      <c r="H82" s="80"/>
      <c r="I82" s="80"/>
      <c r="J82" s="80"/>
      <c r="K82" s="80"/>
      <c r="L82" s="80"/>
      <c r="M82" s="80"/>
      <c r="N82" s="80"/>
      <c r="O82" s="81"/>
    </row>
    <row r="83" spans="1:18" s="10" customFormat="1" ht="112.5" customHeight="1" x14ac:dyDescent="0.2">
      <c r="A83" s="26"/>
      <c r="B83" s="79" t="s">
        <v>102</v>
      </c>
      <c r="C83" s="80"/>
      <c r="D83" s="80"/>
      <c r="E83" s="80"/>
      <c r="F83" s="80"/>
      <c r="G83" s="80"/>
      <c r="H83" s="80"/>
      <c r="I83" s="80"/>
      <c r="J83" s="80"/>
      <c r="K83" s="80"/>
      <c r="L83" s="80"/>
      <c r="M83" s="80"/>
      <c r="N83" s="80"/>
      <c r="O83" s="81"/>
    </row>
    <row r="84" spans="1:18" ht="235.5" customHeight="1" x14ac:dyDescent="0.2">
      <c r="A84" s="6"/>
      <c r="B84" s="7">
        <v>15</v>
      </c>
      <c r="C84" s="151" t="s">
        <v>287</v>
      </c>
      <c r="D84" s="152"/>
      <c r="E84" s="7" t="s">
        <v>137</v>
      </c>
      <c r="F84" s="7" t="s">
        <v>159</v>
      </c>
      <c r="G84" s="12">
        <f>SUM(H84:K84)</f>
        <v>11257509.74</v>
      </c>
      <c r="H84" s="12">
        <f>H85</f>
        <v>775855.4</v>
      </c>
      <c r="I84" s="12">
        <f>I85</f>
        <v>5172369.34</v>
      </c>
      <c r="J84" s="12">
        <f>J85</f>
        <v>5172369.34</v>
      </c>
      <c r="K84" s="12">
        <f>K85</f>
        <v>136915.66</v>
      </c>
      <c r="L84" s="30" t="s">
        <v>326</v>
      </c>
      <c r="M84" s="15">
        <v>2018</v>
      </c>
      <c r="N84" s="15" t="s">
        <v>288</v>
      </c>
      <c r="O84" s="74" t="s">
        <v>128</v>
      </c>
    </row>
    <row r="85" spans="1:18" ht="147.75" customHeight="1" x14ac:dyDescent="0.2">
      <c r="A85" s="6"/>
      <c r="B85" s="7" t="s">
        <v>57</v>
      </c>
      <c r="C85" s="151" t="s">
        <v>81</v>
      </c>
      <c r="D85" s="152"/>
      <c r="E85" s="7" t="s">
        <v>137</v>
      </c>
      <c r="F85" s="7" t="s">
        <v>159</v>
      </c>
      <c r="G85" s="12">
        <f>SUM(H85:K85)</f>
        <v>11257509.74</v>
      </c>
      <c r="H85" s="12">
        <f>ROUND((6085140.4*0.1275),2)</f>
        <v>775855.4</v>
      </c>
      <c r="I85" s="12">
        <f>5000000+172369.34</f>
        <v>5172369.34</v>
      </c>
      <c r="J85" s="12">
        <f>5000000+172369.34</f>
        <v>5172369.34</v>
      </c>
      <c r="K85" s="12">
        <f>ROUND((6085140.4*0.0225),2)</f>
        <v>136915.66</v>
      </c>
      <c r="L85" s="30" t="s">
        <v>89</v>
      </c>
      <c r="M85" s="15" t="s">
        <v>289</v>
      </c>
      <c r="N85" s="15">
        <v>2019</v>
      </c>
      <c r="O85" s="74" t="s">
        <v>128</v>
      </c>
      <c r="P85" s="64"/>
      <c r="Q85" s="64"/>
      <c r="R85" s="64"/>
    </row>
    <row r="86" spans="1:18" s="10" customFormat="1" ht="36.75" customHeight="1" x14ac:dyDescent="0.2">
      <c r="A86" s="26"/>
      <c r="B86" s="106" t="s">
        <v>79</v>
      </c>
      <c r="C86" s="107"/>
      <c r="D86" s="107"/>
      <c r="E86" s="107"/>
      <c r="F86" s="107"/>
      <c r="G86" s="107"/>
      <c r="H86" s="107"/>
      <c r="I86" s="107"/>
      <c r="J86" s="107"/>
      <c r="K86" s="107"/>
      <c r="L86" s="107"/>
      <c r="M86" s="107"/>
      <c r="N86" s="107"/>
      <c r="O86" s="108"/>
    </row>
    <row r="87" spans="1:18" s="10" customFormat="1" ht="150" customHeight="1" x14ac:dyDescent="0.2">
      <c r="A87" s="26"/>
      <c r="B87" s="79" t="s">
        <v>202</v>
      </c>
      <c r="C87" s="80"/>
      <c r="D87" s="80"/>
      <c r="E87" s="80"/>
      <c r="F87" s="80"/>
      <c r="G87" s="80"/>
      <c r="H87" s="80"/>
      <c r="I87" s="80"/>
      <c r="J87" s="80"/>
      <c r="K87" s="80"/>
      <c r="L87" s="80"/>
      <c r="M87" s="80"/>
      <c r="N87" s="80"/>
      <c r="O87" s="81"/>
    </row>
    <row r="88" spans="1:18" s="10" customFormat="1" ht="126" customHeight="1" x14ac:dyDescent="0.2">
      <c r="A88" s="26"/>
      <c r="B88" s="79" t="s">
        <v>290</v>
      </c>
      <c r="C88" s="80"/>
      <c r="D88" s="80"/>
      <c r="E88" s="80"/>
      <c r="F88" s="80"/>
      <c r="G88" s="80"/>
      <c r="H88" s="80"/>
      <c r="I88" s="80"/>
      <c r="J88" s="80"/>
      <c r="K88" s="80"/>
      <c r="L88" s="80"/>
      <c r="M88" s="80"/>
      <c r="N88" s="80"/>
      <c r="O88" s="81"/>
    </row>
    <row r="89" spans="1:18" s="14" customFormat="1" ht="260.25" customHeight="1" x14ac:dyDescent="0.2">
      <c r="A89" s="20"/>
      <c r="B89" s="7">
        <v>16</v>
      </c>
      <c r="C89" s="93" t="s">
        <v>291</v>
      </c>
      <c r="D89" s="112"/>
      <c r="E89" s="7" t="s">
        <v>54</v>
      </c>
      <c r="F89" s="7" t="s">
        <v>160</v>
      </c>
      <c r="G89" s="12">
        <f>SUM(H89:K89)</f>
        <v>2655294.11</v>
      </c>
      <c r="H89" s="12">
        <f>H90</f>
        <v>183000</v>
      </c>
      <c r="I89" s="12">
        <v>1220000</v>
      </c>
      <c r="J89" s="12">
        <v>1220000</v>
      </c>
      <c r="K89" s="12">
        <f>K90</f>
        <v>32294.11</v>
      </c>
      <c r="L89" s="30" t="s">
        <v>327</v>
      </c>
      <c r="M89" s="15">
        <v>2018</v>
      </c>
      <c r="N89" s="15" t="s">
        <v>292</v>
      </c>
      <c r="O89" s="74" t="s">
        <v>123</v>
      </c>
    </row>
    <row r="90" spans="1:18" s="14" customFormat="1" ht="86.25" customHeight="1" x14ac:dyDescent="0.2">
      <c r="A90" s="20"/>
      <c r="B90" s="7" t="s">
        <v>51</v>
      </c>
      <c r="C90" s="93" t="s">
        <v>293</v>
      </c>
      <c r="D90" s="112"/>
      <c r="E90" s="7" t="s">
        <v>54</v>
      </c>
      <c r="F90" s="7" t="s">
        <v>160</v>
      </c>
      <c r="G90" s="12">
        <f>SUM(H90:K90)</f>
        <v>2655294.11</v>
      </c>
      <c r="H90" s="12">
        <f>ROUND((1435294.12*0.1275),2)</f>
        <v>183000</v>
      </c>
      <c r="I90" s="12">
        <v>1220000</v>
      </c>
      <c r="J90" s="12">
        <v>1220000</v>
      </c>
      <c r="K90" s="12">
        <f>ROUND((1435294.12*0.0225),2)-0.01</f>
        <v>32294.11</v>
      </c>
      <c r="L90" s="30" t="s">
        <v>90</v>
      </c>
      <c r="M90" s="15" t="s">
        <v>294</v>
      </c>
      <c r="N90" s="15">
        <v>2018</v>
      </c>
      <c r="O90" s="74" t="s">
        <v>123</v>
      </c>
    </row>
    <row r="91" spans="1:18" s="10" customFormat="1" ht="36.75" customHeight="1" x14ac:dyDescent="0.2">
      <c r="A91" s="26"/>
      <c r="B91" s="106" t="s">
        <v>121</v>
      </c>
      <c r="C91" s="107"/>
      <c r="D91" s="107"/>
      <c r="E91" s="107"/>
      <c r="F91" s="107"/>
      <c r="G91" s="107"/>
      <c r="H91" s="107"/>
      <c r="I91" s="107"/>
      <c r="J91" s="107"/>
      <c r="K91" s="107"/>
      <c r="L91" s="107"/>
      <c r="M91" s="107"/>
      <c r="N91" s="107"/>
      <c r="O91" s="108"/>
    </row>
    <row r="92" spans="1:18" s="10" customFormat="1" ht="227.25" customHeight="1" x14ac:dyDescent="0.2">
      <c r="A92" s="26"/>
      <c r="B92" s="79" t="s">
        <v>295</v>
      </c>
      <c r="C92" s="80"/>
      <c r="D92" s="80"/>
      <c r="E92" s="80"/>
      <c r="F92" s="80"/>
      <c r="G92" s="80"/>
      <c r="H92" s="80"/>
      <c r="I92" s="80"/>
      <c r="J92" s="80"/>
      <c r="K92" s="80"/>
      <c r="L92" s="80"/>
      <c r="M92" s="80"/>
      <c r="N92" s="80"/>
      <c r="O92" s="81"/>
    </row>
    <row r="93" spans="1:18" s="10" customFormat="1" ht="150" customHeight="1" x14ac:dyDescent="0.2">
      <c r="A93" s="26"/>
      <c r="B93" s="90" t="s">
        <v>217</v>
      </c>
      <c r="C93" s="91"/>
      <c r="D93" s="91"/>
      <c r="E93" s="91"/>
      <c r="F93" s="91"/>
      <c r="G93" s="91"/>
      <c r="H93" s="91"/>
      <c r="I93" s="91"/>
      <c r="J93" s="91"/>
      <c r="K93" s="91"/>
      <c r="L93" s="91"/>
      <c r="M93" s="91"/>
      <c r="N93" s="91"/>
      <c r="O93" s="92"/>
    </row>
    <row r="94" spans="1:18" s="14" customFormat="1" ht="266.25" customHeight="1" x14ac:dyDescent="0.2">
      <c r="A94" s="20"/>
      <c r="B94" s="7">
        <v>17</v>
      </c>
      <c r="C94" s="93" t="s">
        <v>296</v>
      </c>
      <c r="D94" s="112"/>
      <c r="E94" s="7" t="s">
        <v>63</v>
      </c>
      <c r="F94" s="7" t="s">
        <v>161</v>
      </c>
      <c r="G94" s="12">
        <f>SUM(H94:K94)</f>
        <v>13058823.529999999</v>
      </c>
      <c r="H94" s="12">
        <f>H95+H96</f>
        <v>900000</v>
      </c>
      <c r="I94" s="12">
        <f t="shared" ref="I94:K94" si="0">I95+I96</f>
        <v>6000000</v>
      </c>
      <c r="J94" s="12">
        <f t="shared" si="0"/>
        <v>6000000</v>
      </c>
      <c r="K94" s="12">
        <f t="shared" si="0"/>
        <v>158823.53</v>
      </c>
      <c r="L94" s="75" t="s">
        <v>328</v>
      </c>
      <c r="M94" s="15">
        <v>2018</v>
      </c>
      <c r="N94" s="15" t="s">
        <v>163</v>
      </c>
      <c r="O94" s="74" t="s">
        <v>122</v>
      </c>
    </row>
    <row r="95" spans="1:18" s="14" customFormat="1" ht="102.75" customHeight="1" x14ac:dyDescent="0.2">
      <c r="A95" s="20"/>
      <c r="B95" s="7" t="s">
        <v>178</v>
      </c>
      <c r="C95" s="93" t="s">
        <v>108</v>
      </c>
      <c r="D95" s="112"/>
      <c r="E95" s="7" t="s">
        <v>63</v>
      </c>
      <c r="F95" s="7" t="s">
        <v>161</v>
      </c>
      <c r="G95" s="12">
        <f>SUM(H95:K95)</f>
        <v>10838823.529999999</v>
      </c>
      <c r="H95" s="12">
        <f>ROUND((5858823.53*0.1275),2)</f>
        <v>747000</v>
      </c>
      <c r="I95" s="12">
        <f>ROUND((6000000*0.83),2)</f>
        <v>4980000</v>
      </c>
      <c r="J95" s="12">
        <f>ROUND((6000000*0.83),2)</f>
        <v>4980000</v>
      </c>
      <c r="K95" s="12">
        <f>ROUND((5858823.53*0.0225),2)</f>
        <v>131823.53</v>
      </c>
      <c r="L95" s="75" t="s">
        <v>109</v>
      </c>
      <c r="M95" s="15" t="s">
        <v>129</v>
      </c>
      <c r="N95" s="15">
        <v>2019</v>
      </c>
      <c r="O95" s="3" t="s">
        <v>117</v>
      </c>
    </row>
    <row r="96" spans="1:18" s="14" customFormat="1" ht="102.75" customHeight="1" x14ac:dyDescent="0.2">
      <c r="A96" s="20"/>
      <c r="B96" s="7" t="s">
        <v>178</v>
      </c>
      <c r="C96" s="93" t="s">
        <v>110</v>
      </c>
      <c r="D96" s="112"/>
      <c r="E96" s="7" t="s">
        <v>63</v>
      </c>
      <c r="F96" s="7" t="s">
        <v>161</v>
      </c>
      <c r="G96" s="12">
        <f>SUM(H96:K96)</f>
        <v>2220000</v>
      </c>
      <c r="H96" s="12">
        <f>ROUND((1200000*0.1275),2)</f>
        <v>153000</v>
      </c>
      <c r="I96" s="12">
        <f>ROUND((6000000*0.17),2)</f>
        <v>1020000</v>
      </c>
      <c r="J96" s="12">
        <f>ROUND((6000000*0.17),2)</f>
        <v>1020000</v>
      </c>
      <c r="K96" s="12">
        <f>ROUND((1200000*0.0225),2)</f>
        <v>27000</v>
      </c>
      <c r="L96" s="75" t="s">
        <v>111</v>
      </c>
      <c r="M96" s="15" t="s">
        <v>129</v>
      </c>
      <c r="N96" s="15">
        <v>2019</v>
      </c>
      <c r="O96" s="3" t="s">
        <v>117</v>
      </c>
    </row>
    <row r="97" spans="1:18" s="10" customFormat="1" ht="34.5" customHeight="1" x14ac:dyDescent="0.2">
      <c r="A97" s="26"/>
      <c r="B97" s="106" t="s">
        <v>127</v>
      </c>
      <c r="C97" s="107"/>
      <c r="D97" s="107"/>
      <c r="E97" s="107"/>
      <c r="F97" s="107"/>
      <c r="G97" s="107"/>
      <c r="H97" s="107"/>
      <c r="I97" s="107"/>
      <c r="J97" s="107"/>
      <c r="K97" s="107"/>
      <c r="L97" s="107"/>
      <c r="M97" s="107"/>
      <c r="N97" s="107"/>
      <c r="O97" s="108"/>
    </row>
    <row r="98" spans="1:18" s="10" customFormat="1" ht="108" customHeight="1" x14ac:dyDescent="0.2">
      <c r="A98" s="26"/>
      <c r="B98" s="79" t="s">
        <v>218</v>
      </c>
      <c r="C98" s="80"/>
      <c r="D98" s="80"/>
      <c r="E98" s="80"/>
      <c r="F98" s="80"/>
      <c r="G98" s="80"/>
      <c r="H98" s="80"/>
      <c r="I98" s="80"/>
      <c r="J98" s="80"/>
      <c r="K98" s="80"/>
      <c r="L98" s="80"/>
      <c r="M98" s="80"/>
      <c r="N98" s="80"/>
      <c r="O98" s="81"/>
    </row>
    <row r="99" spans="1:18" s="10" customFormat="1" ht="74.25" customHeight="1" x14ac:dyDescent="0.2">
      <c r="A99" s="26"/>
      <c r="B99" s="90" t="s">
        <v>130</v>
      </c>
      <c r="C99" s="91"/>
      <c r="D99" s="91"/>
      <c r="E99" s="91"/>
      <c r="F99" s="91"/>
      <c r="G99" s="91"/>
      <c r="H99" s="91"/>
      <c r="I99" s="91"/>
      <c r="J99" s="91"/>
      <c r="K99" s="91"/>
      <c r="L99" s="91"/>
      <c r="M99" s="91"/>
      <c r="N99" s="91"/>
      <c r="O99" s="92"/>
    </row>
    <row r="100" spans="1:18" ht="250.5" customHeight="1" x14ac:dyDescent="0.2">
      <c r="A100" s="6"/>
      <c r="B100" s="7">
        <v>18</v>
      </c>
      <c r="C100" s="95" t="s">
        <v>297</v>
      </c>
      <c r="D100" s="111"/>
      <c r="E100" s="7" t="s">
        <v>53</v>
      </c>
      <c r="F100" s="7" t="s">
        <v>162</v>
      </c>
      <c r="G100" s="12">
        <f>SUM(H100:K100)</f>
        <v>1322490.26</v>
      </c>
      <c r="H100" s="12">
        <f>H101</f>
        <v>91144.6</v>
      </c>
      <c r="I100" s="12">
        <f>I101</f>
        <v>607630.66</v>
      </c>
      <c r="J100" s="12">
        <f>J101</f>
        <v>607630.66</v>
      </c>
      <c r="K100" s="12">
        <f>K101</f>
        <v>16084.34</v>
      </c>
      <c r="L100" s="75" t="s">
        <v>329</v>
      </c>
      <c r="M100" s="15">
        <v>2019</v>
      </c>
      <c r="N100" s="15" t="s">
        <v>83</v>
      </c>
      <c r="O100" s="74" t="s">
        <v>124</v>
      </c>
    </row>
    <row r="101" spans="1:18" ht="83.25" customHeight="1" x14ac:dyDescent="0.2">
      <c r="A101" s="6"/>
      <c r="B101" s="7" t="s">
        <v>135</v>
      </c>
      <c r="C101" s="95" t="s">
        <v>125</v>
      </c>
      <c r="D101" s="111"/>
      <c r="E101" s="7" t="s">
        <v>53</v>
      </c>
      <c r="F101" s="7" t="s">
        <v>162</v>
      </c>
      <c r="G101" s="12">
        <f>SUM(H101:K101)</f>
        <v>1322490.26</v>
      </c>
      <c r="H101" s="12">
        <f>ROUND((714859.6*0.1275),2)</f>
        <v>91144.6</v>
      </c>
      <c r="I101" s="12">
        <f>780000-172369.34</f>
        <v>607630.66</v>
      </c>
      <c r="J101" s="12">
        <f>780000-172369.34</f>
        <v>607630.66</v>
      </c>
      <c r="K101" s="12">
        <f>ROUND((714859.6*0.0225),2)</f>
        <v>16084.34</v>
      </c>
      <c r="L101" s="75" t="s">
        <v>112</v>
      </c>
      <c r="M101" s="15" t="s">
        <v>84</v>
      </c>
      <c r="N101" s="15">
        <v>2020</v>
      </c>
      <c r="O101" s="3" t="s">
        <v>117</v>
      </c>
      <c r="Q101" s="64"/>
      <c r="R101" s="64"/>
    </row>
    <row r="102" spans="1:18" ht="42.75" customHeight="1" x14ac:dyDescent="0.2">
      <c r="A102" s="6"/>
      <c r="B102" s="106" t="s">
        <v>78</v>
      </c>
      <c r="C102" s="107"/>
      <c r="D102" s="107"/>
      <c r="E102" s="107"/>
      <c r="F102" s="107"/>
      <c r="G102" s="107"/>
      <c r="H102" s="107"/>
      <c r="I102" s="107"/>
      <c r="J102" s="107"/>
      <c r="K102" s="107"/>
      <c r="L102" s="107"/>
      <c r="M102" s="107"/>
      <c r="N102" s="107"/>
      <c r="O102" s="108"/>
    </row>
    <row r="103" spans="1:18" ht="100.5" customHeight="1" x14ac:dyDescent="0.2">
      <c r="A103" s="6"/>
      <c r="B103" s="79" t="s">
        <v>219</v>
      </c>
      <c r="C103" s="80"/>
      <c r="D103" s="80"/>
      <c r="E103" s="80"/>
      <c r="F103" s="80"/>
      <c r="G103" s="80"/>
      <c r="H103" s="80"/>
      <c r="I103" s="80"/>
      <c r="J103" s="80"/>
      <c r="K103" s="80"/>
      <c r="L103" s="80"/>
      <c r="M103" s="80"/>
      <c r="N103" s="80"/>
      <c r="O103" s="81"/>
    </row>
    <row r="104" spans="1:18" ht="120" customHeight="1" x14ac:dyDescent="0.2">
      <c r="A104" s="6"/>
      <c r="B104" s="90" t="s">
        <v>76</v>
      </c>
      <c r="C104" s="91"/>
      <c r="D104" s="91"/>
      <c r="E104" s="91"/>
      <c r="F104" s="91"/>
      <c r="G104" s="91"/>
      <c r="H104" s="91"/>
      <c r="I104" s="91"/>
      <c r="J104" s="91"/>
      <c r="K104" s="91"/>
      <c r="L104" s="91"/>
      <c r="M104" s="91"/>
      <c r="N104" s="91"/>
      <c r="O104" s="92"/>
    </row>
    <row r="105" spans="1:18" ht="245.25" customHeight="1" x14ac:dyDescent="0.2">
      <c r="A105" s="6"/>
      <c r="B105" s="7">
        <v>19</v>
      </c>
      <c r="C105" s="93" t="s">
        <v>80</v>
      </c>
      <c r="D105" s="119"/>
      <c r="E105" s="7" t="s">
        <v>62</v>
      </c>
      <c r="F105" s="7" t="s">
        <v>40</v>
      </c>
      <c r="G105" s="12">
        <f>SUM(H105:K105)</f>
        <v>10882352.949999999</v>
      </c>
      <c r="H105" s="12">
        <f>H106</f>
        <v>750000</v>
      </c>
      <c r="I105" s="12">
        <v>5000000</v>
      </c>
      <c r="J105" s="12">
        <v>5000000</v>
      </c>
      <c r="K105" s="12">
        <f>K106</f>
        <v>132352.95000000001</v>
      </c>
      <c r="L105" s="75" t="s">
        <v>330</v>
      </c>
      <c r="M105" s="15">
        <v>2018</v>
      </c>
      <c r="N105" s="15" t="s">
        <v>164</v>
      </c>
      <c r="O105" s="74" t="s">
        <v>126</v>
      </c>
    </row>
    <row r="106" spans="1:18" ht="87.75" customHeight="1" x14ac:dyDescent="0.2">
      <c r="A106" s="6"/>
      <c r="B106" s="7" t="s">
        <v>136</v>
      </c>
      <c r="C106" s="93" t="s">
        <v>75</v>
      </c>
      <c r="D106" s="119"/>
      <c r="E106" s="7" t="s">
        <v>62</v>
      </c>
      <c r="F106" s="7" t="s">
        <v>40</v>
      </c>
      <c r="G106" s="12">
        <f>SUM(H106:K106)</f>
        <v>10882352.949999999</v>
      </c>
      <c r="H106" s="12">
        <f>ROUND((5882352.94*0.1275),2)</f>
        <v>750000</v>
      </c>
      <c r="I106" s="12">
        <v>5000000</v>
      </c>
      <c r="J106" s="12">
        <v>5000000</v>
      </c>
      <c r="K106" s="12">
        <f>ROUND((5882352.94*0.0225),2)+0.01</f>
        <v>132352.95000000001</v>
      </c>
      <c r="L106" s="75" t="s">
        <v>91</v>
      </c>
      <c r="M106" s="15" t="s">
        <v>298</v>
      </c>
      <c r="N106" s="15">
        <v>2019</v>
      </c>
      <c r="O106" s="3" t="s">
        <v>117</v>
      </c>
    </row>
    <row r="107" spans="1:18" ht="41.25" customHeight="1" x14ac:dyDescent="0.2">
      <c r="B107" s="103" t="s">
        <v>141</v>
      </c>
      <c r="C107" s="104"/>
      <c r="D107" s="104"/>
      <c r="E107" s="104"/>
      <c r="F107" s="104"/>
      <c r="G107" s="104"/>
      <c r="H107" s="104"/>
      <c r="I107" s="104"/>
      <c r="J107" s="104"/>
      <c r="K107" s="104"/>
      <c r="L107" s="104"/>
      <c r="M107" s="104"/>
      <c r="N107" s="104"/>
      <c r="O107" s="105"/>
    </row>
    <row r="108" spans="1:18" ht="27" customHeight="1" x14ac:dyDescent="0.2">
      <c r="B108" s="100" t="s">
        <v>299</v>
      </c>
      <c r="C108" s="101"/>
      <c r="D108" s="101"/>
      <c r="E108" s="101"/>
      <c r="F108" s="101"/>
      <c r="G108" s="101"/>
      <c r="H108" s="101"/>
      <c r="I108" s="101"/>
      <c r="J108" s="101"/>
      <c r="K108" s="101"/>
      <c r="L108" s="101"/>
      <c r="M108" s="101"/>
      <c r="N108" s="101"/>
      <c r="O108" s="102"/>
    </row>
    <row r="109" spans="1:18" s="22" customFormat="1" ht="144.75" customHeight="1" x14ac:dyDescent="0.25">
      <c r="B109" s="97" t="s">
        <v>203</v>
      </c>
      <c r="C109" s="98"/>
      <c r="D109" s="98"/>
      <c r="E109" s="98"/>
      <c r="F109" s="98"/>
      <c r="G109" s="98"/>
      <c r="H109" s="98"/>
      <c r="I109" s="98"/>
      <c r="J109" s="98"/>
      <c r="K109" s="98"/>
      <c r="L109" s="98"/>
      <c r="M109" s="98"/>
      <c r="N109" s="98"/>
      <c r="O109" s="99"/>
    </row>
    <row r="110" spans="1:18" ht="234.75" customHeight="1" x14ac:dyDescent="0.2">
      <c r="B110" s="79" t="s">
        <v>300</v>
      </c>
      <c r="C110" s="80"/>
      <c r="D110" s="80"/>
      <c r="E110" s="80"/>
      <c r="F110" s="80"/>
      <c r="G110" s="80"/>
      <c r="H110" s="80"/>
      <c r="I110" s="80"/>
      <c r="J110" s="80"/>
      <c r="K110" s="80"/>
      <c r="L110" s="80"/>
      <c r="M110" s="80"/>
      <c r="N110" s="80"/>
      <c r="O110" s="81"/>
    </row>
    <row r="111" spans="1:18" s="14" customFormat="1" ht="178.5" customHeight="1" x14ac:dyDescent="0.2">
      <c r="B111" s="7">
        <v>20</v>
      </c>
      <c r="C111" s="93" t="s">
        <v>301</v>
      </c>
      <c r="D111" s="116"/>
      <c r="E111" s="7" t="s">
        <v>60</v>
      </c>
      <c r="F111" s="7">
        <v>21</v>
      </c>
      <c r="G111" s="12">
        <f>SUM(H111:K111)</f>
        <v>6826933.5699999994</v>
      </c>
      <c r="H111" s="12">
        <f>SUM(H112:H114)</f>
        <v>870434.03</v>
      </c>
      <c r="I111" s="12">
        <f>SUM(I112:I114)</f>
        <v>5802893.5299999993</v>
      </c>
      <c r="J111" s="12" t="s">
        <v>40</v>
      </c>
      <c r="K111" s="12">
        <f>SUM(K112:K114)</f>
        <v>153606.01</v>
      </c>
      <c r="L111" s="75" t="s">
        <v>302</v>
      </c>
      <c r="M111" s="15">
        <v>2017</v>
      </c>
      <c r="N111" s="15" t="s">
        <v>303</v>
      </c>
      <c r="O111" s="7" t="s">
        <v>16</v>
      </c>
    </row>
    <row r="112" spans="1:18" s="14" customFormat="1" ht="112.5" customHeight="1" x14ac:dyDescent="0.2">
      <c r="B112" s="7" t="s">
        <v>147</v>
      </c>
      <c r="C112" s="113" t="s">
        <v>304</v>
      </c>
      <c r="D112" s="135"/>
      <c r="E112" s="7" t="s">
        <v>60</v>
      </c>
      <c r="F112" s="7" t="s">
        <v>40</v>
      </c>
      <c r="G112" s="12">
        <f>SUM(H112:K112)</f>
        <v>889631.47</v>
      </c>
      <c r="H112" s="12">
        <f>ROUND((889631.47*0.1275),2)</f>
        <v>113428.01</v>
      </c>
      <c r="I112" s="12">
        <f>ROUND((889631.47*0.85),2)</f>
        <v>756186.75</v>
      </c>
      <c r="J112" s="12" t="s">
        <v>40</v>
      </c>
      <c r="K112" s="12">
        <f>ROUND((889631.47*0.0225),2)</f>
        <v>20016.71</v>
      </c>
      <c r="L112" s="75" t="s">
        <v>93</v>
      </c>
      <c r="M112" s="7" t="s">
        <v>206</v>
      </c>
      <c r="N112" s="15">
        <v>2018</v>
      </c>
      <c r="O112" s="7" t="s">
        <v>16</v>
      </c>
      <c r="Q112" s="34"/>
    </row>
    <row r="113" spans="1:18" s="14" customFormat="1" ht="114.75" customHeight="1" x14ac:dyDescent="0.2">
      <c r="B113" s="7" t="s">
        <v>179</v>
      </c>
      <c r="C113" s="113" t="s">
        <v>305</v>
      </c>
      <c r="D113" s="115"/>
      <c r="E113" s="7" t="s">
        <v>60</v>
      </c>
      <c r="F113" s="7" t="s">
        <v>40</v>
      </c>
      <c r="G113" s="12">
        <f>SUM(H113:I113,K113)</f>
        <v>1691522.45</v>
      </c>
      <c r="H113" s="12">
        <f>ROUND((1691522.45*0.1275),2)</f>
        <v>215669.11</v>
      </c>
      <c r="I113" s="12">
        <f>ROUND((1691522.45*0.85),2)</f>
        <v>1437794.08</v>
      </c>
      <c r="J113" s="12" t="s">
        <v>40</v>
      </c>
      <c r="K113" s="12">
        <f>ROUND((1691522.45*0.0225),2)</f>
        <v>38059.26</v>
      </c>
      <c r="L113" s="75" t="s">
        <v>205</v>
      </c>
      <c r="M113" s="7" t="s">
        <v>204</v>
      </c>
      <c r="N113" s="15">
        <v>2018</v>
      </c>
      <c r="O113" s="7" t="s">
        <v>16</v>
      </c>
      <c r="Q113" s="34"/>
    </row>
    <row r="114" spans="1:18" s="14" customFormat="1" ht="108.75" customHeight="1" x14ac:dyDescent="0.2">
      <c r="B114" s="7" t="s">
        <v>180</v>
      </c>
      <c r="C114" s="113" t="s">
        <v>306</v>
      </c>
      <c r="D114" s="114"/>
      <c r="E114" s="7" t="s">
        <v>60</v>
      </c>
      <c r="F114" s="7">
        <v>21</v>
      </c>
      <c r="G114" s="12">
        <f>ROUND((I114*100/85),2)</f>
        <v>4245779.6500000004</v>
      </c>
      <c r="H114" s="12">
        <f>ROUND((G114*0.1275),2)</f>
        <v>541336.91</v>
      </c>
      <c r="I114" s="12">
        <f>SUM(3221733.53+387179.17)</f>
        <v>3608912.6999999997</v>
      </c>
      <c r="J114" s="12" t="s">
        <v>40</v>
      </c>
      <c r="K114" s="12">
        <f>ROUND((G114*0.0225),2)</f>
        <v>95530.04</v>
      </c>
      <c r="L114" s="75" t="s">
        <v>307</v>
      </c>
      <c r="M114" s="7" t="s">
        <v>308</v>
      </c>
      <c r="N114" s="15">
        <v>2019</v>
      </c>
      <c r="O114" s="7" t="s">
        <v>16</v>
      </c>
      <c r="P114" s="34"/>
      <c r="Q114" s="34"/>
      <c r="R114" s="34"/>
    </row>
    <row r="115" spans="1:18" ht="45" customHeight="1" x14ac:dyDescent="0.2">
      <c r="B115" s="89" t="s">
        <v>309</v>
      </c>
      <c r="C115" s="77"/>
      <c r="D115" s="77"/>
      <c r="E115" s="77"/>
      <c r="F115" s="77"/>
      <c r="G115" s="77"/>
      <c r="H115" s="77"/>
      <c r="I115" s="77"/>
      <c r="J115" s="77"/>
      <c r="K115" s="77"/>
      <c r="L115" s="77"/>
      <c r="M115" s="77"/>
      <c r="N115" s="77"/>
      <c r="O115" s="78"/>
    </row>
    <row r="116" spans="1:18" ht="72.75" customHeight="1" x14ac:dyDescent="0.2">
      <c r="B116" s="79" t="s">
        <v>310</v>
      </c>
      <c r="C116" s="80"/>
      <c r="D116" s="80"/>
      <c r="E116" s="80"/>
      <c r="F116" s="80"/>
      <c r="G116" s="80"/>
      <c r="H116" s="80"/>
      <c r="I116" s="80"/>
      <c r="J116" s="80"/>
      <c r="K116" s="80"/>
      <c r="L116" s="80"/>
      <c r="M116" s="80"/>
      <c r="N116" s="80"/>
      <c r="O116" s="81"/>
      <c r="R116" s="64"/>
    </row>
    <row r="117" spans="1:18" ht="84.75" customHeight="1" x14ac:dyDescent="0.2">
      <c r="B117" s="79" t="s">
        <v>311</v>
      </c>
      <c r="C117" s="80"/>
      <c r="D117" s="80"/>
      <c r="E117" s="80"/>
      <c r="F117" s="80"/>
      <c r="G117" s="80"/>
      <c r="H117" s="80"/>
      <c r="I117" s="80"/>
      <c r="J117" s="80"/>
      <c r="K117" s="80"/>
      <c r="L117" s="80"/>
      <c r="M117" s="80"/>
      <c r="N117" s="80"/>
      <c r="O117" s="81"/>
    </row>
    <row r="118" spans="1:18" s="14" customFormat="1" ht="176.25" customHeight="1" x14ac:dyDescent="0.2">
      <c r="B118" s="7">
        <v>21</v>
      </c>
      <c r="C118" s="93" t="s">
        <v>312</v>
      </c>
      <c r="D118" s="119"/>
      <c r="E118" s="7" t="s">
        <v>61</v>
      </c>
      <c r="F118" s="7">
        <v>9</v>
      </c>
      <c r="G118" s="12">
        <f>SUM(H118:K118)</f>
        <v>352941.18</v>
      </c>
      <c r="H118" s="12">
        <f>H119</f>
        <v>45000</v>
      </c>
      <c r="I118" s="12">
        <v>300000</v>
      </c>
      <c r="J118" s="12" t="s">
        <v>40</v>
      </c>
      <c r="K118" s="12">
        <f>K119</f>
        <v>7941.18</v>
      </c>
      <c r="L118" s="75" t="s">
        <v>207</v>
      </c>
      <c r="M118" s="15">
        <v>2018</v>
      </c>
      <c r="N118" s="15" t="s">
        <v>165</v>
      </c>
      <c r="O118" s="7" t="s">
        <v>16</v>
      </c>
      <c r="R118" s="34"/>
    </row>
    <row r="119" spans="1:18" s="14" customFormat="1" ht="135" customHeight="1" x14ac:dyDescent="0.2">
      <c r="B119" s="7" t="s">
        <v>148</v>
      </c>
      <c r="C119" s="93" t="s">
        <v>313</v>
      </c>
      <c r="D119" s="112"/>
      <c r="E119" s="7" t="s">
        <v>61</v>
      </c>
      <c r="F119" s="7">
        <v>9</v>
      </c>
      <c r="G119" s="12">
        <f>SUM(H119:K119)</f>
        <v>352941.18</v>
      </c>
      <c r="H119" s="12">
        <f>ROUND((352941.18*0.1275),2)</f>
        <v>45000</v>
      </c>
      <c r="I119" s="12">
        <f>I118</f>
        <v>300000</v>
      </c>
      <c r="J119" s="12" t="s">
        <v>40</v>
      </c>
      <c r="K119" s="12">
        <f>ROUND((352941.18*0.0225),2)</f>
        <v>7941.18</v>
      </c>
      <c r="L119" s="75" t="s">
        <v>94</v>
      </c>
      <c r="M119" s="15" t="s">
        <v>314</v>
      </c>
      <c r="N119" s="15">
        <v>2019</v>
      </c>
      <c r="O119" s="7" t="s">
        <v>16</v>
      </c>
      <c r="P119" s="34"/>
    </row>
    <row r="120" spans="1:18" ht="33" customHeight="1" x14ac:dyDescent="0.2">
      <c r="B120" s="100" t="s">
        <v>315</v>
      </c>
      <c r="C120" s="101"/>
      <c r="D120" s="101"/>
      <c r="E120" s="101"/>
      <c r="F120" s="101"/>
      <c r="G120" s="101"/>
      <c r="H120" s="101"/>
      <c r="I120" s="101"/>
      <c r="J120" s="101"/>
      <c r="K120" s="101"/>
      <c r="L120" s="101"/>
      <c r="M120" s="101"/>
      <c r="N120" s="101"/>
      <c r="O120" s="102"/>
    </row>
    <row r="121" spans="1:18" ht="108" customHeight="1" x14ac:dyDescent="0.2">
      <c r="B121" s="79" t="s">
        <v>316</v>
      </c>
      <c r="C121" s="80"/>
      <c r="D121" s="80"/>
      <c r="E121" s="80"/>
      <c r="F121" s="80"/>
      <c r="G121" s="80"/>
      <c r="H121" s="80"/>
      <c r="I121" s="80"/>
      <c r="J121" s="80"/>
      <c r="K121" s="80"/>
      <c r="L121" s="80"/>
      <c r="M121" s="80"/>
      <c r="N121" s="80"/>
      <c r="O121" s="81"/>
    </row>
    <row r="122" spans="1:18" ht="135.75" customHeight="1" x14ac:dyDescent="0.2">
      <c r="B122" s="79" t="s">
        <v>317</v>
      </c>
      <c r="C122" s="80"/>
      <c r="D122" s="80"/>
      <c r="E122" s="80"/>
      <c r="F122" s="80"/>
      <c r="G122" s="80"/>
      <c r="H122" s="80"/>
      <c r="I122" s="80"/>
      <c r="J122" s="80"/>
      <c r="K122" s="80"/>
      <c r="L122" s="80"/>
      <c r="M122" s="80"/>
      <c r="N122" s="80"/>
      <c r="O122" s="81"/>
      <c r="P122" s="44"/>
    </row>
    <row r="123" spans="1:18" s="14" customFormat="1" ht="175.5" customHeight="1" x14ac:dyDescent="0.2">
      <c r="B123" s="7">
        <v>22</v>
      </c>
      <c r="C123" s="93" t="s">
        <v>318</v>
      </c>
      <c r="D123" s="116"/>
      <c r="E123" s="7" t="s">
        <v>60</v>
      </c>
      <c r="F123" s="7">
        <v>19</v>
      </c>
      <c r="G123" s="12">
        <f>G124</f>
        <v>433835.85</v>
      </c>
      <c r="H123" s="12">
        <f>H124</f>
        <v>55314.07</v>
      </c>
      <c r="I123" s="12">
        <f>I124</f>
        <v>368760.47</v>
      </c>
      <c r="J123" s="12" t="s">
        <v>40</v>
      </c>
      <c r="K123" s="12">
        <f>K124</f>
        <v>9761.31</v>
      </c>
      <c r="L123" s="75" t="s">
        <v>319</v>
      </c>
      <c r="M123" s="15">
        <v>2019</v>
      </c>
      <c r="N123" s="15" t="s">
        <v>74</v>
      </c>
      <c r="O123" s="7" t="s">
        <v>16</v>
      </c>
      <c r="P123" s="45"/>
    </row>
    <row r="124" spans="1:18" s="14" customFormat="1" ht="192.75" customHeight="1" x14ac:dyDescent="0.2">
      <c r="B124" s="7" t="s">
        <v>149</v>
      </c>
      <c r="C124" s="93" t="s">
        <v>208</v>
      </c>
      <c r="D124" s="116"/>
      <c r="E124" s="7" t="s">
        <v>60</v>
      </c>
      <c r="F124" s="7">
        <v>19</v>
      </c>
      <c r="G124" s="12">
        <f>SUM(H124:K124)</f>
        <v>433835.85</v>
      </c>
      <c r="H124" s="12">
        <f>ROUND((433835.85*0.1275),2)</f>
        <v>55314.07</v>
      </c>
      <c r="I124" s="12">
        <f>388299.24-19538.77</f>
        <v>368760.47</v>
      </c>
      <c r="J124" s="12" t="s">
        <v>40</v>
      </c>
      <c r="K124" s="12">
        <f>ROUND((433835.85*0.0225),2)</f>
        <v>9761.31</v>
      </c>
      <c r="L124" s="75" t="s">
        <v>95</v>
      </c>
      <c r="M124" s="15">
        <v>2019</v>
      </c>
      <c r="N124" s="15">
        <v>2020</v>
      </c>
      <c r="O124" s="7" t="s">
        <v>16</v>
      </c>
      <c r="P124" s="65"/>
      <c r="Q124" s="34"/>
      <c r="R124" s="34"/>
    </row>
    <row r="125" spans="1:18" ht="37.5" customHeight="1" x14ac:dyDescent="0.2">
      <c r="A125" s="2"/>
      <c r="B125" s="103" t="s">
        <v>138</v>
      </c>
      <c r="C125" s="104"/>
      <c r="D125" s="104"/>
      <c r="E125" s="104"/>
      <c r="F125" s="104"/>
      <c r="G125" s="104"/>
      <c r="H125" s="104"/>
      <c r="I125" s="104"/>
      <c r="J125" s="104"/>
      <c r="K125" s="104"/>
      <c r="L125" s="104"/>
      <c r="M125" s="104"/>
      <c r="N125" s="104"/>
      <c r="O125" s="105"/>
    </row>
    <row r="126" spans="1:18" ht="22.5" customHeight="1" x14ac:dyDescent="0.2">
      <c r="A126" s="2"/>
      <c r="B126" s="31" t="s">
        <v>97</v>
      </c>
      <c r="C126" s="27"/>
      <c r="D126" s="27"/>
      <c r="E126" s="27"/>
      <c r="F126" s="27"/>
      <c r="G126" s="27"/>
      <c r="H126" s="27"/>
      <c r="I126" s="27"/>
      <c r="J126" s="27"/>
      <c r="K126" s="27"/>
      <c r="L126" s="27"/>
      <c r="M126" s="27"/>
      <c r="N126" s="27"/>
      <c r="O126" s="28"/>
    </row>
    <row r="127" spans="1:18" ht="89.25" customHeight="1" x14ac:dyDescent="0.2">
      <c r="A127" s="2"/>
      <c r="B127" s="79" t="s">
        <v>68</v>
      </c>
      <c r="C127" s="80"/>
      <c r="D127" s="80"/>
      <c r="E127" s="80"/>
      <c r="F127" s="80"/>
      <c r="G127" s="80"/>
      <c r="H127" s="80"/>
      <c r="I127" s="80"/>
      <c r="J127" s="80"/>
      <c r="K127" s="80"/>
      <c r="L127" s="80"/>
      <c r="M127" s="80"/>
      <c r="N127" s="80"/>
      <c r="O127" s="81"/>
    </row>
    <row r="128" spans="1:18" ht="132" customHeight="1" x14ac:dyDescent="0.2">
      <c r="B128" s="120" t="s">
        <v>96</v>
      </c>
      <c r="C128" s="121"/>
      <c r="D128" s="121"/>
      <c r="E128" s="121"/>
      <c r="F128" s="121"/>
      <c r="G128" s="121"/>
      <c r="H128" s="121"/>
      <c r="I128" s="121"/>
      <c r="J128" s="121"/>
      <c r="K128" s="121"/>
      <c r="L128" s="121"/>
      <c r="M128" s="121"/>
      <c r="N128" s="121"/>
      <c r="O128" s="122"/>
    </row>
    <row r="129" spans="2:17" ht="123" customHeight="1" x14ac:dyDescent="0.2">
      <c r="B129" s="5">
        <v>23</v>
      </c>
      <c r="C129" s="117" t="s">
        <v>320</v>
      </c>
      <c r="D129" s="118"/>
      <c r="E129" s="3" t="s">
        <v>56</v>
      </c>
      <c r="F129" s="5" t="s">
        <v>40</v>
      </c>
      <c r="G129" s="21">
        <f>G130</f>
        <v>1326429.2799999998</v>
      </c>
      <c r="H129" s="21">
        <f>H130</f>
        <v>169119.73</v>
      </c>
      <c r="I129" s="21">
        <f>I130</f>
        <v>1127464.8899999999</v>
      </c>
      <c r="J129" s="21" t="s">
        <v>40</v>
      </c>
      <c r="K129" s="21">
        <f>K130</f>
        <v>29844.66</v>
      </c>
      <c r="L129" s="75" t="s">
        <v>72</v>
      </c>
      <c r="M129" s="15">
        <v>2018</v>
      </c>
      <c r="N129" s="15" t="s">
        <v>321</v>
      </c>
      <c r="O129" s="25" t="s">
        <v>16</v>
      </c>
      <c r="P129" s="44"/>
    </row>
    <row r="130" spans="2:17" ht="77.25" customHeight="1" x14ac:dyDescent="0.2">
      <c r="B130" s="5" t="s">
        <v>150</v>
      </c>
      <c r="C130" s="117" t="s">
        <v>52</v>
      </c>
      <c r="D130" s="112"/>
      <c r="E130" s="3" t="s">
        <v>56</v>
      </c>
      <c r="F130" s="5" t="s">
        <v>40</v>
      </c>
      <c r="G130" s="21">
        <f>SUM(H130:K130)</f>
        <v>1326429.2799999998</v>
      </c>
      <c r="H130" s="21">
        <f>ROUND((1326429.28*0.1275),2)</f>
        <v>169119.73</v>
      </c>
      <c r="I130" s="21">
        <f>1128659.88-1194.99</f>
        <v>1127464.8899999999</v>
      </c>
      <c r="J130" s="21" t="s">
        <v>40</v>
      </c>
      <c r="K130" s="21">
        <f>ROUND((1326429.28*0.0225),2)</f>
        <v>29844.66</v>
      </c>
      <c r="L130" s="4" t="s">
        <v>73</v>
      </c>
      <c r="M130" s="11" t="s">
        <v>322</v>
      </c>
      <c r="N130" s="15">
        <v>2019</v>
      </c>
      <c r="O130" s="25" t="s">
        <v>16</v>
      </c>
      <c r="P130" s="66"/>
      <c r="Q130" s="64"/>
    </row>
    <row r="131" spans="2:17" ht="37.5" customHeight="1" x14ac:dyDescent="0.2">
      <c r="B131" s="143" t="s">
        <v>77</v>
      </c>
      <c r="C131" s="143"/>
      <c r="D131" s="143"/>
      <c r="E131" s="143"/>
      <c r="F131" s="143"/>
      <c r="G131" s="143"/>
      <c r="H131" s="143"/>
      <c r="I131" s="143"/>
      <c r="J131" s="143"/>
      <c r="K131" s="143"/>
      <c r="L131" s="143"/>
      <c r="M131" s="143"/>
      <c r="N131" s="143"/>
      <c r="O131" s="144"/>
      <c r="P131" s="44"/>
    </row>
    <row r="132" spans="2:17" ht="81.75" customHeight="1" x14ac:dyDescent="0.2">
      <c r="B132" s="80" t="s">
        <v>69</v>
      </c>
      <c r="C132" s="80"/>
      <c r="D132" s="80"/>
      <c r="E132" s="80"/>
      <c r="F132" s="80"/>
      <c r="G132" s="80"/>
      <c r="H132" s="80"/>
      <c r="I132" s="80"/>
      <c r="J132" s="80"/>
      <c r="K132" s="80"/>
      <c r="L132" s="80"/>
      <c r="M132" s="80"/>
      <c r="N132" s="80"/>
      <c r="O132" s="81"/>
      <c r="P132" s="44"/>
    </row>
    <row r="133" spans="2:17" ht="120" customHeight="1" x14ac:dyDescent="0.2">
      <c r="B133" s="90" t="s">
        <v>82</v>
      </c>
      <c r="C133" s="91"/>
      <c r="D133" s="91"/>
      <c r="E133" s="91"/>
      <c r="F133" s="91"/>
      <c r="G133" s="91"/>
      <c r="H133" s="91"/>
      <c r="I133" s="91"/>
      <c r="J133" s="91"/>
      <c r="K133" s="91"/>
      <c r="L133" s="91"/>
      <c r="M133" s="91"/>
      <c r="N133" s="91"/>
      <c r="O133" s="92"/>
      <c r="P133" s="44"/>
    </row>
    <row r="134" spans="2:17" s="14" customFormat="1" ht="90" customHeight="1" x14ac:dyDescent="0.2">
      <c r="B134" s="7">
        <v>24</v>
      </c>
      <c r="C134" s="93" t="s">
        <v>323</v>
      </c>
      <c r="D134" s="94"/>
      <c r="E134" s="3" t="s">
        <v>56</v>
      </c>
      <c r="F134" s="7" t="s">
        <v>40</v>
      </c>
      <c r="G134" s="12">
        <f>SUM(H134:K134)</f>
        <v>86161.31</v>
      </c>
      <c r="H134" s="12">
        <f>H135</f>
        <v>10985.57</v>
      </c>
      <c r="I134" s="12">
        <f>I135</f>
        <v>73237.11</v>
      </c>
      <c r="J134" s="12" t="s">
        <v>40</v>
      </c>
      <c r="K134" s="12">
        <f>K135</f>
        <v>1938.63</v>
      </c>
      <c r="L134" s="75" t="s">
        <v>70</v>
      </c>
      <c r="M134" s="15">
        <v>2019</v>
      </c>
      <c r="N134" s="15" t="s">
        <v>166</v>
      </c>
      <c r="O134" s="25" t="s">
        <v>16</v>
      </c>
      <c r="P134" s="45"/>
    </row>
    <row r="135" spans="2:17" s="14" customFormat="1" ht="63.75" customHeight="1" x14ac:dyDescent="0.2">
      <c r="B135" s="5" t="s">
        <v>181</v>
      </c>
      <c r="C135" s="117" t="s">
        <v>52</v>
      </c>
      <c r="D135" s="112"/>
      <c r="E135" s="3" t="s">
        <v>56</v>
      </c>
      <c r="F135" s="5" t="s">
        <v>40</v>
      </c>
      <c r="G135" s="12">
        <f>SUM(H135:K135)</f>
        <v>86161.31</v>
      </c>
      <c r="H135" s="12">
        <f>ROUND((86161.31*0.1275),2)</f>
        <v>10985.57</v>
      </c>
      <c r="I135" s="12">
        <f>72042.12+1194.99</f>
        <v>73237.11</v>
      </c>
      <c r="J135" s="19" t="s">
        <v>40</v>
      </c>
      <c r="K135" s="12">
        <f>ROUND((86161.31*0.0225),2)</f>
        <v>1938.63</v>
      </c>
      <c r="L135" s="4" t="s">
        <v>71</v>
      </c>
      <c r="M135" s="15" t="s">
        <v>85</v>
      </c>
      <c r="N135" s="15">
        <v>2020</v>
      </c>
      <c r="O135" s="25" t="s">
        <v>16</v>
      </c>
      <c r="P135" s="65"/>
    </row>
    <row r="136" spans="2:17" ht="12.75" customHeight="1" x14ac:dyDescent="0.2">
      <c r="B136" s="9" t="s">
        <v>41</v>
      </c>
      <c r="C136" s="9"/>
      <c r="D136" s="9"/>
      <c r="E136" s="9"/>
      <c r="F136" s="9"/>
      <c r="G136" s="9"/>
      <c r="H136" s="8"/>
      <c r="I136" s="8"/>
      <c r="J136" s="8"/>
      <c r="K136" s="8"/>
      <c r="L136" s="8"/>
      <c r="M136" s="8"/>
      <c r="N136" s="8"/>
      <c r="O136" s="8"/>
    </row>
    <row r="137" spans="2:17" x14ac:dyDescent="0.2">
      <c r="B137" s="9" t="s">
        <v>21</v>
      </c>
      <c r="C137" s="9"/>
      <c r="D137" s="9"/>
      <c r="E137" s="9"/>
      <c r="F137" s="9"/>
      <c r="G137" s="10"/>
      <c r="H137" s="10"/>
      <c r="I137" s="10"/>
      <c r="J137" s="10"/>
      <c r="K137" s="10"/>
      <c r="L137" s="10"/>
      <c r="M137" s="10"/>
      <c r="N137" s="10"/>
      <c r="O137" s="10"/>
    </row>
    <row r="138" spans="2:17" x14ac:dyDescent="0.2">
      <c r="B138" s="10" t="s">
        <v>140</v>
      </c>
      <c r="C138" s="9"/>
      <c r="D138" s="9"/>
      <c r="E138" s="9"/>
      <c r="F138" s="9"/>
      <c r="G138" s="10"/>
      <c r="H138" s="10"/>
      <c r="I138" s="10"/>
      <c r="J138" s="10"/>
      <c r="K138" s="10"/>
      <c r="L138" s="10"/>
      <c r="M138" s="10"/>
      <c r="N138" s="10"/>
      <c r="O138" s="10"/>
    </row>
    <row r="139" spans="2:17" x14ac:dyDescent="0.2">
      <c r="B139" s="10" t="s">
        <v>139</v>
      </c>
      <c r="C139" s="10"/>
      <c r="D139" s="10"/>
      <c r="E139" s="10"/>
      <c r="F139" s="10"/>
      <c r="G139" s="10"/>
      <c r="H139" s="10"/>
      <c r="I139" s="10"/>
      <c r="J139" s="10"/>
      <c r="K139" s="10"/>
      <c r="L139" s="10"/>
      <c r="M139" s="10"/>
      <c r="N139" s="10"/>
      <c r="O139" s="10"/>
    </row>
  </sheetData>
  <mergeCells count="141">
    <mergeCell ref="L1:O1"/>
    <mergeCell ref="L2:O2"/>
    <mergeCell ref="L3:O3"/>
    <mergeCell ref="C112:D112"/>
    <mergeCell ref="B60:O60"/>
    <mergeCell ref="B61:O61"/>
    <mergeCell ref="B62:O62"/>
    <mergeCell ref="B65:O65"/>
    <mergeCell ref="C44:D44"/>
    <mergeCell ref="C63:D63"/>
    <mergeCell ref="C64:D64"/>
    <mergeCell ref="C39:D39"/>
    <mergeCell ref="C68:D68"/>
    <mergeCell ref="C69:D69"/>
    <mergeCell ref="C74:D74"/>
    <mergeCell ref="C84:D84"/>
    <mergeCell ref="C85:D85"/>
    <mergeCell ref="C79:D79"/>
    <mergeCell ref="B4:O4"/>
    <mergeCell ref="B5:B6"/>
    <mergeCell ref="C5:D6"/>
    <mergeCell ref="E5:E6"/>
    <mergeCell ref="F5:F6"/>
    <mergeCell ref="G5:G6"/>
    <mergeCell ref="H5:K5"/>
    <mergeCell ref="L5:L6"/>
    <mergeCell ref="M5:N5"/>
    <mergeCell ref="O5:O6"/>
    <mergeCell ref="B7:O7"/>
    <mergeCell ref="B8:O8"/>
    <mergeCell ref="C13:D13"/>
    <mergeCell ref="B9:O9"/>
    <mergeCell ref="B10:O10"/>
    <mergeCell ref="C11:D11"/>
    <mergeCell ref="C12:D12"/>
    <mergeCell ref="C135:D135"/>
    <mergeCell ref="C124:D124"/>
    <mergeCell ref="B125:O125"/>
    <mergeCell ref="B127:O127"/>
    <mergeCell ref="B115:O115"/>
    <mergeCell ref="B116:O116"/>
    <mergeCell ref="B117:O117"/>
    <mergeCell ref="B120:O120"/>
    <mergeCell ref="B121:O121"/>
    <mergeCell ref="B122:O122"/>
    <mergeCell ref="B131:O131"/>
    <mergeCell ref="B132:O132"/>
    <mergeCell ref="B133:O133"/>
    <mergeCell ref="C118:D118"/>
    <mergeCell ref="B14:O14"/>
    <mergeCell ref="B15:O15"/>
    <mergeCell ref="B16:O16"/>
    <mergeCell ref="C18:D18"/>
    <mergeCell ref="C17:D17"/>
    <mergeCell ref="B19:O19"/>
    <mergeCell ref="B29:O29"/>
    <mergeCell ref="B20:O20"/>
    <mergeCell ref="B24:O24"/>
    <mergeCell ref="B21:O21"/>
    <mergeCell ref="B25:O25"/>
    <mergeCell ref="B26:O26"/>
    <mergeCell ref="C23:D23"/>
    <mergeCell ref="C22:D22"/>
    <mergeCell ref="C27:D27"/>
    <mergeCell ref="C28:D28"/>
    <mergeCell ref="B30:O30"/>
    <mergeCell ref="B31:O31"/>
    <mergeCell ref="B32:O32"/>
    <mergeCell ref="C33:D33"/>
    <mergeCell ref="C34:D34"/>
    <mergeCell ref="B66:O66"/>
    <mergeCell ref="B67:O67"/>
    <mergeCell ref="B86:O86"/>
    <mergeCell ref="B87:O87"/>
    <mergeCell ref="B45:O45"/>
    <mergeCell ref="B46:O46"/>
    <mergeCell ref="B47:O47"/>
    <mergeCell ref="C48:D48"/>
    <mergeCell ref="C49:D49"/>
    <mergeCell ref="C59:D59"/>
    <mergeCell ref="B35:O35"/>
    <mergeCell ref="B36:O36"/>
    <mergeCell ref="B37:O37"/>
    <mergeCell ref="B80:O80"/>
    <mergeCell ref="C78:D78"/>
    <mergeCell ref="B41:O41"/>
    <mergeCell ref="B42:O42"/>
    <mergeCell ref="B55:O55"/>
    <mergeCell ref="B56:O56"/>
    <mergeCell ref="C114:D114"/>
    <mergeCell ref="C113:D113"/>
    <mergeCell ref="C111:D111"/>
    <mergeCell ref="C38:D38"/>
    <mergeCell ref="C119:D119"/>
    <mergeCell ref="C123:D123"/>
    <mergeCell ref="C130:D130"/>
    <mergeCell ref="C134:D134"/>
    <mergeCell ref="C129:D129"/>
    <mergeCell ref="B93:O93"/>
    <mergeCell ref="B97:O97"/>
    <mergeCell ref="C89:D89"/>
    <mergeCell ref="C90:D90"/>
    <mergeCell ref="B104:O104"/>
    <mergeCell ref="C105:D105"/>
    <mergeCell ref="C106:D106"/>
    <mergeCell ref="C94:D94"/>
    <mergeCell ref="C95:D95"/>
    <mergeCell ref="B102:O102"/>
    <mergeCell ref="B103:O103"/>
    <mergeCell ref="B98:O98"/>
    <mergeCell ref="B99:O99"/>
    <mergeCell ref="C100:D100"/>
    <mergeCell ref="B128:O128"/>
    <mergeCell ref="B110:O110"/>
    <mergeCell ref="B109:O109"/>
    <mergeCell ref="B108:O108"/>
    <mergeCell ref="B107:O107"/>
    <mergeCell ref="B92:O92"/>
    <mergeCell ref="B91:O91"/>
    <mergeCell ref="B88:O88"/>
    <mergeCell ref="B81:O81"/>
    <mergeCell ref="B82:O82"/>
    <mergeCell ref="B83:O83"/>
    <mergeCell ref="C101:D101"/>
    <mergeCell ref="C96:D96"/>
    <mergeCell ref="B75:O75"/>
    <mergeCell ref="B76:O76"/>
    <mergeCell ref="B77:O77"/>
    <mergeCell ref="B57:O57"/>
    <mergeCell ref="C43:D43"/>
    <mergeCell ref="B40:O40"/>
    <mergeCell ref="C58:D58"/>
    <mergeCell ref="B70:O70"/>
    <mergeCell ref="B71:O71"/>
    <mergeCell ref="B72:O72"/>
    <mergeCell ref="C73:D73"/>
    <mergeCell ref="B50:O50"/>
    <mergeCell ref="B51:O51"/>
    <mergeCell ref="B52:O52"/>
    <mergeCell ref="C53:D53"/>
    <mergeCell ref="C54:D54"/>
  </mergeCells>
  <pageMargins left="0.15748031496062992" right="0.15748031496062992" top="0.15748031496062992" bottom="0.15748031496062992"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D1" zoomScaleNormal="100" workbookViewId="0">
      <selection activeCell="D37" sqref="D37"/>
    </sheetView>
  </sheetViews>
  <sheetFormatPr defaultColWidth="9.140625" defaultRowHeight="15" x14ac:dyDescent="0.25"/>
  <cols>
    <col min="1" max="1" width="10" style="47" customWidth="1"/>
    <col min="2" max="3" width="14" style="47" customWidth="1"/>
    <col min="4" max="4" width="39.5703125" style="47" customWidth="1"/>
    <col min="5" max="5" width="17.42578125" style="47" customWidth="1"/>
    <col min="6" max="6" width="14.42578125" style="47" customWidth="1"/>
    <col min="7" max="7" width="18.5703125" style="47" customWidth="1"/>
    <col min="8" max="8" width="17" style="47" customWidth="1"/>
    <col min="9" max="9" width="17.42578125" style="47" customWidth="1"/>
    <col min="10" max="10" width="15.28515625" style="47" customWidth="1"/>
    <col min="11" max="11" width="21.5703125" style="47" customWidth="1"/>
    <col min="12" max="12" width="19.7109375" style="47" customWidth="1"/>
    <col min="13" max="13" width="14.42578125" style="47" customWidth="1"/>
    <col min="14" max="14" width="18" style="47" customWidth="1"/>
    <col min="15" max="15" width="10.5703125" style="47" bestFit="1" customWidth="1"/>
    <col min="16" max="16" width="9.5703125" style="47" bestFit="1" customWidth="1"/>
    <col min="17" max="16384" width="9.140625" style="47"/>
  </cols>
  <sheetData>
    <row r="1" spans="1:15" ht="15.75" x14ac:dyDescent="0.25">
      <c r="A1" s="46"/>
      <c r="B1" s="46"/>
      <c r="C1" s="46"/>
      <c r="D1" s="46"/>
      <c r="E1" s="46"/>
      <c r="F1" s="46"/>
      <c r="G1" s="46"/>
      <c r="H1" s="148" t="s">
        <v>100</v>
      </c>
      <c r="I1" s="148"/>
      <c r="J1" s="148"/>
    </row>
    <row r="2" spans="1:15" ht="15.75" x14ac:dyDescent="0.25">
      <c r="A2" s="46"/>
      <c r="B2" s="46"/>
      <c r="C2" s="46"/>
      <c r="D2" s="46"/>
      <c r="E2" s="46"/>
      <c r="F2" s="46"/>
      <c r="G2" s="46"/>
      <c r="H2" s="148" t="s">
        <v>101</v>
      </c>
      <c r="I2" s="148"/>
      <c r="J2" s="148"/>
    </row>
    <row r="3" spans="1:15" ht="27" customHeight="1" x14ac:dyDescent="0.3">
      <c r="A3" s="46"/>
      <c r="B3" s="46"/>
      <c r="C3" s="46"/>
      <c r="D3" s="162" t="s">
        <v>99</v>
      </c>
      <c r="E3" s="162"/>
      <c r="F3" s="162"/>
      <c r="G3" s="162"/>
      <c r="H3" s="162"/>
      <c r="I3" s="163"/>
      <c r="J3" s="46"/>
    </row>
    <row r="4" spans="1:15" ht="15.75" x14ac:dyDescent="0.25">
      <c r="A4" s="46"/>
      <c r="B4" s="46"/>
      <c r="C4" s="46"/>
      <c r="D4" s="46"/>
      <c r="E4" s="46"/>
      <c r="F4" s="46"/>
      <c r="G4" s="46"/>
      <c r="H4" s="46"/>
      <c r="I4" s="46"/>
      <c r="J4" s="46"/>
    </row>
    <row r="5" spans="1:15" ht="16.5" customHeight="1" x14ac:dyDescent="0.25">
      <c r="A5" s="164" t="s">
        <v>22</v>
      </c>
      <c r="B5" s="164" t="s">
        <v>33</v>
      </c>
      <c r="C5" s="164" t="s">
        <v>23</v>
      </c>
      <c r="D5" s="164" t="s">
        <v>3</v>
      </c>
      <c r="E5" s="164" t="s">
        <v>24</v>
      </c>
      <c r="F5" s="164"/>
      <c r="G5" s="164"/>
      <c r="H5" s="164"/>
      <c r="I5" s="164"/>
      <c r="J5" s="161" t="s">
        <v>26</v>
      </c>
    </row>
    <row r="6" spans="1:15" ht="81.75" customHeight="1" x14ac:dyDescent="0.25">
      <c r="A6" s="164"/>
      <c r="B6" s="164"/>
      <c r="C6" s="165"/>
      <c r="D6" s="164"/>
      <c r="E6" s="48" t="s">
        <v>28</v>
      </c>
      <c r="F6" s="48" t="s">
        <v>29</v>
      </c>
      <c r="G6" s="48" t="s">
        <v>46</v>
      </c>
      <c r="H6" s="48" t="s">
        <v>174</v>
      </c>
      <c r="I6" s="48" t="s">
        <v>175</v>
      </c>
      <c r="J6" s="161"/>
      <c r="K6" s="49"/>
    </row>
    <row r="7" spans="1:15" ht="47.25" x14ac:dyDescent="0.25">
      <c r="A7" s="160" t="s">
        <v>27</v>
      </c>
      <c r="B7" s="166" t="s">
        <v>25</v>
      </c>
      <c r="C7" s="51">
        <v>1</v>
      </c>
      <c r="D7" s="52" t="str">
        <f>ITI!C11</f>
        <v>Pilsētas atpūtas parka un jauniešu mājas izveide Kauguros
(IP 43.pozīcija)</v>
      </c>
      <c r="E7" s="53">
        <f>SUM(F7:I7)</f>
        <v>5814962.8899999997</v>
      </c>
      <c r="F7" s="53">
        <f>ITI!I11</f>
        <v>1500000</v>
      </c>
      <c r="G7" s="53">
        <f>ITI!J11</f>
        <v>1500000</v>
      </c>
      <c r="H7" s="53">
        <f>ITI!H11</f>
        <v>2775257</v>
      </c>
      <c r="I7" s="53">
        <f>ITI!K11</f>
        <v>39705.89</v>
      </c>
      <c r="J7" s="54" t="s">
        <v>220</v>
      </c>
      <c r="K7" s="156"/>
      <c r="L7" s="157"/>
    </row>
    <row r="8" spans="1:15" ht="64.5" customHeight="1" x14ac:dyDescent="0.25">
      <c r="A8" s="160"/>
      <c r="B8" s="166"/>
      <c r="C8" s="51">
        <v>2</v>
      </c>
      <c r="D8" s="52" t="str">
        <f>ITI!C17</f>
        <v>Jūrmalas ūdenstūrisma pakalpojumu infrastruktūras attīstība atbilstoši pilsētas ekonomiskajai specializācijai (IP 30.pozīcija)</v>
      </c>
      <c r="E8" s="53">
        <f>ITI!G17</f>
        <v>908447.51</v>
      </c>
      <c r="F8" s="53">
        <f>ITI!I17</f>
        <v>417394.8</v>
      </c>
      <c r="G8" s="53">
        <f>ITI!J17</f>
        <v>417394.8</v>
      </c>
      <c r="H8" s="53">
        <f>ITI!H17</f>
        <v>62609.22</v>
      </c>
      <c r="I8" s="53">
        <f>ITI!K17</f>
        <v>11048.69</v>
      </c>
      <c r="J8" s="54" t="s">
        <v>221</v>
      </c>
      <c r="K8" s="156"/>
      <c r="L8" s="157"/>
    </row>
    <row r="9" spans="1:15" ht="48" customHeight="1" x14ac:dyDescent="0.25">
      <c r="A9" s="160"/>
      <c r="B9" s="166"/>
      <c r="C9" s="51">
        <v>3</v>
      </c>
      <c r="D9" s="52" t="str">
        <f>ITI!C22</f>
        <v>Lielupes kuģošanas infrastruktūras attīstība uzņēmējdarbības veicināšanai Jūrmalā (IP 31.pozīcija)</v>
      </c>
      <c r="E9" s="53">
        <f>SUM(F9:I9)</f>
        <v>179787.78999999998</v>
      </c>
      <c r="F9" s="53">
        <f>ITI!I22</f>
        <v>82605.2</v>
      </c>
      <c r="G9" s="53">
        <f>ITI!J22</f>
        <v>82605.2</v>
      </c>
      <c r="H9" s="53">
        <f>ITI!H22</f>
        <v>12390.78</v>
      </c>
      <c r="I9" s="53">
        <f>ITI!K23</f>
        <v>2186.61</v>
      </c>
      <c r="J9" s="54" t="s">
        <v>37</v>
      </c>
      <c r="K9" s="62"/>
      <c r="L9" s="63"/>
      <c r="M9" s="60"/>
    </row>
    <row r="10" spans="1:15" ht="51" customHeight="1" x14ac:dyDescent="0.25">
      <c r="A10" s="160"/>
      <c r="B10" s="58" t="s">
        <v>31</v>
      </c>
      <c r="C10" s="55">
        <v>4</v>
      </c>
      <c r="D10" s="56" t="str">
        <f>ITI!C27</f>
        <v>Pilsētas centrālās daļas ceļu infrastruktūras atjaunošana                    (IP 16.pozīcija un IP 19.pozīcija)</v>
      </c>
      <c r="E10" s="57">
        <f>SUM(F10:I10)</f>
        <v>2176470.59</v>
      </c>
      <c r="F10" s="57">
        <f>ITI!I27</f>
        <v>1000000</v>
      </c>
      <c r="G10" s="57">
        <f>ITI!J27</f>
        <v>1000000</v>
      </c>
      <c r="H10" s="57">
        <f>ITI!H27</f>
        <v>150000</v>
      </c>
      <c r="I10" s="57">
        <f>ITI!K27</f>
        <v>26470.59</v>
      </c>
      <c r="J10" s="50" t="s">
        <v>37</v>
      </c>
      <c r="K10" s="49"/>
    </row>
    <row r="11" spans="1:15" ht="66" customHeight="1" x14ac:dyDescent="0.25">
      <c r="A11" s="160" t="s">
        <v>32</v>
      </c>
      <c r="B11" s="166" t="s">
        <v>25</v>
      </c>
      <c r="C11" s="51">
        <v>5</v>
      </c>
      <c r="D11" s="52" t="str">
        <f>ITI!C33</f>
        <v>Jūrmalas veselības veicināšanas un sociālo pakalpojumu centra infrastruktūras pilnveide un energoefektivitātes paaugstināšana           (IP 101.pozīcija)</v>
      </c>
      <c r="E11" s="53">
        <f>ITI!G33</f>
        <v>1589146.1885000002</v>
      </c>
      <c r="F11" s="53">
        <f>ITI!I33</f>
        <v>840774.26</v>
      </c>
      <c r="G11" s="53">
        <v>0</v>
      </c>
      <c r="H11" s="53">
        <f>ITI!H33</f>
        <v>726116.13922500005</v>
      </c>
      <c r="I11" s="53">
        <f>ITI!K33</f>
        <v>22255.789274999999</v>
      </c>
      <c r="J11" s="54" t="s">
        <v>36</v>
      </c>
      <c r="K11" s="158"/>
      <c r="L11" s="159"/>
      <c r="M11" s="60"/>
      <c r="N11" s="167"/>
      <c r="O11" s="60"/>
    </row>
    <row r="12" spans="1:15" ht="47.25" x14ac:dyDescent="0.25">
      <c r="A12" s="160"/>
      <c r="B12" s="166"/>
      <c r="C12" s="54">
        <v>6</v>
      </c>
      <c r="D12" s="52" t="str">
        <f>ITI!C38</f>
        <v>Jūrmalas Sporta skolas ēkas baseinu pārbūve, energoefektivitātes paaugstināšana         (IP 70.pozīcija)</v>
      </c>
      <c r="E12" s="53">
        <f>ITI!G39</f>
        <v>2604375.9200000004</v>
      </c>
      <c r="F12" s="53">
        <f>ITI!I39</f>
        <v>471756.78</v>
      </c>
      <c r="G12" s="53">
        <v>0</v>
      </c>
      <c r="H12" s="53">
        <f>ITI!H39</f>
        <v>2120131.46</v>
      </c>
      <c r="I12" s="53">
        <f>ITI!K39</f>
        <v>12487.68</v>
      </c>
      <c r="J12" s="54" t="s">
        <v>36</v>
      </c>
      <c r="K12" s="158"/>
      <c r="L12" s="159"/>
      <c r="M12" s="60"/>
      <c r="N12" s="168"/>
      <c r="O12" s="60"/>
    </row>
    <row r="13" spans="1:15" ht="47.25" x14ac:dyDescent="0.25">
      <c r="A13" s="160"/>
      <c r="B13" s="166"/>
      <c r="C13" s="54">
        <v>7</v>
      </c>
      <c r="D13" s="52" t="str">
        <f>ITI!C43</f>
        <v>Jūrmala pilsētas Ķemeru pamatskolas ēkas pārbūve un energoefektivitātes paaugstināšana (IP 64.pozīcija)</v>
      </c>
      <c r="E13" s="53">
        <f>ITI!G44</f>
        <v>858842.94</v>
      </c>
      <c r="F13" s="53">
        <f>ITI!I44</f>
        <v>150611.79999999999</v>
      </c>
      <c r="G13" s="53">
        <v>0</v>
      </c>
      <c r="H13" s="53">
        <f>ITI!H44</f>
        <v>704244.36</v>
      </c>
      <c r="I13" s="53">
        <f>ITI!K44</f>
        <v>3986.78</v>
      </c>
      <c r="J13" s="54">
        <v>2018</v>
      </c>
      <c r="K13" s="158"/>
      <c r="L13" s="159"/>
      <c r="M13" s="60"/>
      <c r="N13" s="168"/>
      <c r="O13" s="60"/>
    </row>
    <row r="14" spans="1:15" ht="54" customHeight="1" x14ac:dyDescent="0.25">
      <c r="A14" s="160"/>
      <c r="B14" s="166"/>
      <c r="C14" s="54">
        <v>8</v>
      </c>
      <c r="D14" s="52" t="str">
        <f>ITI!C48</f>
        <v>Jūrmalas pilsētas Jaundubultu vidusskolas ēkas energoefektivitātes paaugstināšana  (IP 65.pozīcija)</v>
      </c>
      <c r="E14" s="53">
        <f>ITI!G48</f>
        <v>721740.52</v>
      </c>
      <c r="F14" s="53">
        <f>ITI!I48</f>
        <v>613479.43999999994</v>
      </c>
      <c r="G14" s="53">
        <v>0</v>
      </c>
      <c r="H14" s="53">
        <f>ITI!H48</f>
        <v>92021.92</v>
      </c>
      <c r="I14" s="53">
        <f>ITI!K48</f>
        <v>16239.16</v>
      </c>
      <c r="J14" s="54" t="s">
        <v>30</v>
      </c>
      <c r="K14" s="158"/>
      <c r="L14" s="159"/>
      <c r="M14" s="60"/>
      <c r="N14" s="168"/>
      <c r="O14" s="60"/>
    </row>
    <row r="15" spans="1:15" ht="64.5" customHeight="1" x14ac:dyDescent="0.25">
      <c r="A15" s="160"/>
      <c r="B15" s="166"/>
      <c r="C15" s="54">
        <v>9</v>
      </c>
      <c r="D15" s="52" t="str">
        <f>ITI!C53</f>
        <v>Jūrmalas pilsētas Jaundubultu vidusskolas ēkas k-1 (autoskolas ēka) energoefektivitātes paaugstināšana 
 (IP 66.pozīcija)</v>
      </c>
      <c r="E15" s="53">
        <f>ITI!G53</f>
        <v>93002.250000000015</v>
      </c>
      <c r="F15" s="53">
        <f>ITI!I53</f>
        <v>78780.100000000006</v>
      </c>
      <c r="G15" s="53">
        <v>0</v>
      </c>
      <c r="H15" s="53">
        <f>ITI!H53</f>
        <v>12136.79</v>
      </c>
      <c r="I15" s="53">
        <f>ITI!K53</f>
        <v>2085.36</v>
      </c>
      <c r="J15" s="54" t="s">
        <v>30</v>
      </c>
      <c r="K15" s="158"/>
      <c r="L15" s="159"/>
      <c r="M15" s="60"/>
      <c r="N15" s="168"/>
      <c r="O15" s="60"/>
    </row>
    <row r="16" spans="1:15" ht="48" customHeight="1" x14ac:dyDescent="0.25">
      <c r="A16" s="160"/>
      <c r="B16" s="166"/>
      <c r="C16" s="54">
        <v>10</v>
      </c>
      <c r="D16" s="52" t="str">
        <f>ITI!C58</f>
        <v>Jūrmalas pilsētas Kauguru vidusskolas energoefektivitātes paaugstināšana          (IP 69.pozīcija)</v>
      </c>
      <c r="E16" s="53">
        <f>ITI!G59</f>
        <v>615889.05000000005</v>
      </c>
      <c r="F16" s="53">
        <f>ITI!I59</f>
        <v>512620.4</v>
      </c>
      <c r="G16" s="53">
        <v>0</v>
      </c>
      <c r="H16" s="53">
        <f>ITI!H59</f>
        <v>89699.29</v>
      </c>
      <c r="I16" s="53">
        <f>ITI!K59</f>
        <v>13569.36</v>
      </c>
      <c r="J16" s="54" t="s">
        <v>36</v>
      </c>
      <c r="K16" s="158"/>
      <c r="L16" s="159"/>
      <c r="M16" s="60"/>
      <c r="N16" s="168"/>
      <c r="O16" s="60"/>
    </row>
    <row r="17" spans="1:16" ht="48" customHeight="1" x14ac:dyDescent="0.25">
      <c r="A17" s="160"/>
      <c r="B17" s="166"/>
      <c r="C17" s="54">
        <v>11</v>
      </c>
      <c r="D17" s="52" t="str">
        <f>ITI!C63</f>
        <v>Jūrmalas teātra ēkas energoefektivitātes paaugstināšana        (IP 95.pozīcija)</v>
      </c>
      <c r="E17" s="53">
        <f>ITI!G63</f>
        <v>154972.13</v>
      </c>
      <c r="F17" s="53">
        <f>ITI!I63</f>
        <v>84188.22</v>
      </c>
      <c r="G17" s="53">
        <v>0</v>
      </c>
      <c r="H17" s="53">
        <f>ITI!H63</f>
        <v>68555.399999999994</v>
      </c>
      <c r="I17" s="53">
        <f>ITI!K63</f>
        <v>2228.5100000000002</v>
      </c>
      <c r="J17" s="54" t="s">
        <v>37</v>
      </c>
      <c r="K17" s="67"/>
      <c r="L17" s="68"/>
      <c r="M17" s="69"/>
      <c r="N17" s="72"/>
      <c r="O17" s="60"/>
      <c r="P17" s="60"/>
    </row>
    <row r="18" spans="1:16" ht="66" customHeight="1" x14ac:dyDescent="0.25">
      <c r="A18" s="160"/>
      <c r="B18" s="166" t="s">
        <v>31</v>
      </c>
      <c r="C18" s="50">
        <v>12</v>
      </c>
      <c r="D18" s="56" t="str">
        <f>ITI!C68</f>
        <v>Jūrmalas pilsētas domes administratīvās ēkas energoefektivitātes paaugstināšana Dubultu prospektā 1, lit.1.                         (IP 42.pozīcija)</v>
      </c>
      <c r="E18" s="57">
        <f t="shared" ref="E18" si="0">SUM(F18:I18)</f>
        <v>100017.87999999999</v>
      </c>
      <c r="F18" s="57">
        <f>ITI!I68</f>
        <v>72265.2</v>
      </c>
      <c r="G18" s="57">
        <v>0</v>
      </c>
      <c r="H18" s="57">
        <f>ITI!H68</f>
        <v>25839.78</v>
      </c>
      <c r="I18" s="57">
        <f>ITI!K68</f>
        <v>1912.9</v>
      </c>
      <c r="J18" s="50">
        <v>2019</v>
      </c>
      <c r="K18" s="70"/>
      <c r="N18" s="60"/>
    </row>
    <row r="19" spans="1:16" ht="65.25" customHeight="1" x14ac:dyDescent="0.25">
      <c r="A19" s="160"/>
      <c r="B19" s="166"/>
      <c r="C19" s="50">
        <v>13</v>
      </c>
      <c r="D19" s="56" t="str">
        <f>ITI!C73</f>
        <v>Jūrmalas pilsētas domes administratīvās ēkas energoefektivitātes paaugstināšana Rūpniecības ielā 19                                         (IP 54.pozīcija)</v>
      </c>
      <c r="E19" s="57">
        <f t="shared" ref="E19:E24" si="1">SUM(F19:I19)</f>
        <v>170768.12</v>
      </c>
      <c r="F19" s="57">
        <f>ITI!I74</f>
        <v>132402.9</v>
      </c>
      <c r="G19" s="57">
        <v>0</v>
      </c>
      <c r="H19" s="57">
        <f>ITI!H74</f>
        <v>34860.44</v>
      </c>
      <c r="I19" s="57">
        <f>ITI!K74</f>
        <v>3504.78</v>
      </c>
      <c r="J19" s="50">
        <v>2019</v>
      </c>
    </row>
    <row r="20" spans="1:16" ht="45.75" customHeight="1" x14ac:dyDescent="0.25">
      <c r="A20" s="160"/>
      <c r="B20" s="166"/>
      <c r="C20" s="50">
        <v>14</v>
      </c>
      <c r="D20" s="56" t="str">
        <f>ITI!C78</f>
        <v>Ķemeru pasta ēkas energoefektivitātes paaugstināšana (IP 48.pozīcija)</v>
      </c>
      <c r="E20" s="57">
        <f t="shared" si="1"/>
        <v>115487.81</v>
      </c>
      <c r="F20" s="57">
        <f>ITI!I79</f>
        <v>72268</v>
      </c>
      <c r="G20" s="57">
        <v>0</v>
      </c>
      <c r="H20" s="57">
        <f>ITI!H79</f>
        <v>41306.83</v>
      </c>
      <c r="I20" s="57">
        <f>ITI!K79</f>
        <v>1912.98</v>
      </c>
      <c r="J20" s="50">
        <v>2019</v>
      </c>
      <c r="N20" s="69"/>
    </row>
    <row r="21" spans="1:16" ht="37.5" customHeight="1" x14ac:dyDescent="0.25">
      <c r="A21" s="160" t="s">
        <v>35</v>
      </c>
      <c r="B21" s="166" t="s">
        <v>25</v>
      </c>
      <c r="C21" s="54">
        <v>15</v>
      </c>
      <c r="D21" s="52" t="str">
        <f>ITI!C84</f>
        <v>Ķemeru parka pārbūve un restaurācija                            (IP 8.pozīcija)</v>
      </c>
      <c r="E21" s="53">
        <f t="shared" si="1"/>
        <v>11257509.74</v>
      </c>
      <c r="F21" s="53">
        <f>ITI!I84</f>
        <v>5172369.34</v>
      </c>
      <c r="G21" s="53">
        <f>ITI!J84</f>
        <v>5172369.34</v>
      </c>
      <c r="H21" s="53">
        <f>ITI!H84</f>
        <v>775855.4</v>
      </c>
      <c r="I21" s="53">
        <f>ITI!K84</f>
        <v>136915.66</v>
      </c>
      <c r="J21" s="54" t="s">
        <v>36</v>
      </c>
      <c r="K21" s="156"/>
      <c r="L21" s="157"/>
    </row>
    <row r="22" spans="1:16" ht="51.75" customHeight="1" x14ac:dyDescent="0.25">
      <c r="A22" s="160"/>
      <c r="B22" s="166"/>
      <c r="C22" s="54">
        <v>16</v>
      </c>
      <c r="D22" s="52" t="str">
        <f>ITI!C89</f>
        <v>Ceļu infrastruktūras atjaunošana un autostāvvietas izbūve Ķemeros                      (IP 14.pozīcija)</v>
      </c>
      <c r="E22" s="53">
        <f t="shared" si="1"/>
        <v>2655294.11</v>
      </c>
      <c r="F22" s="53">
        <f>ITI!I89</f>
        <v>1220000</v>
      </c>
      <c r="G22" s="53">
        <f>ITI!J89</f>
        <v>1220000</v>
      </c>
      <c r="H22" s="53">
        <f>ITI!H89</f>
        <v>183000</v>
      </c>
      <c r="I22" s="53">
        <f>ITI!K89</f>
        <v>32294.11</v>
      </c>
      <c r="J22" s="54">
        <v>2018</v>
      </c>
      <c r="K22" s="156"/>
      <c r="L22" s="157"/>
    </row>
    <row r="23" spans="1:16" ht="53.25" customHeight="1" x14ac:dyDescent="0.25">
      <c r="A23" s="160"/>
      <c r="B23" s="166"/>
      <c r="C23" s="54">
        <v>17</v>
      </c>
      <c r="D23" s="52" t="str">
        <f>ITI!C94</f>
        <v>Daudzfunkcionāla, interaktīva dabas tūrisma objekta izveide Ķemeros                   (IP 5.pozīcija)</v>
      </c>
      <c r="E23" s="53">
        <f t="shared" si="1"/>
        <v>13058823.529999999</v>
      </c>
      <c r="F23" s="53">
        <f>ITI!I94</f>
        <v>6000000</v>
      </c>
      <c r="G23" s="53">
        <f>ITI!J94</f>
        <v>6000000</v>
      </c>
      <c r="H23" s="53">
        <f>ITI!H94</f>
        <v>900000</v>
      </c>
      <c r="I23" s="53">
        <f>ITI!K94</f>
        <v>158823.53</v>
      </c>
      <c r="J23" s="54" t="s">
        <v>36</v>
      </c>
      <c r="K23" s="156"/>
      <c r="L23" s="157"/>
    </row>
    <row r="24" spans="1:16" ht="31.5" x14ac:dyDescent="0.25">
      <c r="A24" s="160"/>
      <c r="B24" s="166"/>
      <c r="C24" s="54">
        <v>18</v>
      </c>
      <c r="D24" s="52" t="str">
        <f>ITI!C100</f>
        <v>Ielu infrastruktūras atjaunošana  Ķemeros                                                                                 (IP 13.pozīcija)</v>
      </c>
      <c r="E24" s="53">
        <f t="shared" si="1"/>
        <v>1322490.2600000002</v>
      </c>
      <c r="F24" s="53">
        <f>ITI!I100</f>
        <v>607630.66</v>
      </c>
      <c r="G24" s="53">
        <f>ITI!J100</f>
        <v>607630.66</v>
      </c>
      <c r="H24" s="53">
        <f>ITI!H100</f>
        <v>91144.6</v>
      </c>
      <c r="I24" s="53">
        <f>ITI!K100</f>
        <v>16084.34</v>
      </c>
      <c r="J24" s="54" t="s">
        <v>37</v>
      </c>
      <c r="K24" s="63"/>
      <c r="L24" s="63"/>
      <c r="M24" s="60"/>
    </row>
    <row r="25" spans="1:16" ht="33.75" customHeight="1" x14ac:dyDescent="0.25">
      <c r="A25" s="160"/>
      <c r="B25" s="58" t="s">
        <v>31</v>
      </c>
      <c r="C25" s="50">
        <v>19</v>
      </c>
      <c r="D25" s="56" t="str">
        <f>ITI!C105</f>
        <v xml:space="preserve">Majoru muižas kompleksa atjaunošana                                     (IP 62.pozīcija) </v>
      </c>
      <c r="E25" s="57">
        <f>ITI!G105</f>
        <v>10882352.949999999</v>
      </c>
      <c r="F25" s="57">
        <f>ITI!I105</f>
        <v>5000000</v>
      </c>
      <c r="G25" s="57">
        <f>ITI!J105</f>
        <v>5000000</v>
      </c>
      <c r="H25" s="57">
        <f>ITI!H105</f>
        <v>750000</v>
      </c>
      <c r="I25" s="57">
        <f>ITI!K105</f>
        <v>132352.95000000001</v>
      </c>
      <c r="J25" s="50" t="s">
        <v>36</v>
      </c>
    </row>
    <row r="26" spans="1:16" ht="47.25" customHeight="1" x14ac:dyDescent="0.25">
      <c r="A26" s="169" t="s">
        <v>38</v>
      </c>
      <c r="B26" s="166" t="s">
        <v>25</v>
      </c>
      <c r="C26" s="54">
        <v>20</v>
      </c>
      <c r="D26" s="52" t="str">
        <f>ITI!C111</f>
        <v>Jūrmalas pilsētas pašvaldības vidējās izglītības iestādes infrastruktūras pilnveide un dienesta viesnīcas izbūve</v>
      </c>
      <c r="E26" s="53">
        <f t="shared" ref="E26:E33" si="2">SUM(F26:I26)</f>
        <v>6826933.5699999994</v>
      </c>
      <c r="F26" s="53">
        <f>SUM(F27:F29)</f>
        <v>5802893.5299999993</v>
      </c>
      <c r="G26" s="53">
        <f>SUM(G27:G29)</f>
        <v>0</v>
      </c>
      <c r="H26" s="53">
        <f>SUM(H27:H29)</f>
        <v>870434.03</v>
      </c>
      <c r="I26" s="53">
        <f>SUM(I27:I29)</f>
        <v>153606.01</v>
      </c>
      <c r="J26" s="54" t="s">
        <v>221</v>
      </c>
      <c r="K26" s="156"/>
      <c r="L26" s="157"/>
    </row>
    <row r="27" spans="1:16" ht="34.5" customHeight="1" x14ac:dyDescent="0.25">
      <c r="A27" s="169"/>
      <c r="B27" s="166"/>
      <c r="C27" s="50" t="s">
        <v>147</v>
      </c>
      <c r="D27" s="56" t="str">
        <f>ITI!C112</f>
        <v xml:space="preserve">Jūrmalas Valsts ģimnāzijas telpu pārbūve Aizputes ielā 1A (IP 67.pozīcija) </v>
      </c>
      <c r="E27" s="57">
        <f t="shared" si="2"/>
        <v>889631.47</v>
      </c>
      <c r="F27" s="57">
        <f>ITI!I112</f>
        <v>756186.75</v>
      </c>
      <c r="G27" s="57">
        <v>0</v>
      </c>
      <c r="H27" s="57">
        <f>ITI!H112</f>
        <v>113428.01</v>
      </c>
      <c r="I27" s="57">
        <f>ITI!K112</f>
        <v>20016.71</v>
      </c>
      <c r="J27" s="50" t="s">
        <v>30</v>
      </c>
      <c r="K27" s="156"/>
      <c r="L27" s="157"/>
    </row>
    <row r="28" spans="1:16" ht="32.25" customHeight="1" x14ac:dyDescent="0.25">
      <c r="A28" s="169"/>
      <c r="B28" s="166"/>
      <c r="C28" s="50" t="s">
        <v>179</v>
      </c>
      <c r="D28" s="56" t="str">
        <f>ITI!C113</f>
        <v>Dienesta viesnīcas izbūve Aizputes ielā 1A  (IP 67.pozīcija)</v>
      </c>
      <c r="E28" s="57">
        <f t="shared" si="2"/>
        <v>1691522.45</v>
      </c>
      <c r="F28" s="57">
        <f>ITI!I113</f>
        <v>1437794.08</v>
      </c>
      <c r="G28" s="57">
        <v>0</v>
      </c>
      <c r="H28" s="57">
        <f>ITI!H113</f>
        <v>215669.11</v>
      </c>
      <c r="I28" s="57">
        <f>ITI!K113</f>
        <v>38059.26</v>
      </c>
      <c r="J28" s="50" t="s">
        <v>30</v>
      </c>
      <c r="K28" s="156"/>
      <c r="L28" s="157"/>
    </row>
    <row r="29" spans="1:16" ht="81" customHeight="1" x14ac:dyDescent="0.25">
      <c r="A29" s="169"/>
      <c r="B29" s="166"/>
      <c r="C29" s="50" t="s">
        <v>180</v>
      </c>
      <c r="D29" s="56" t="str">
        <f>ITI!C114</f>
        <v>Jūrmalas Valsts ģimnāzijas ēkas pārbūve un infrastruktūras pilnveide, metodiskā centra izveide Raiņa ielā 55 (t.sk. autoruzraudzība, būvuzraudzība, būvprojekts) (IP  71.pozīcija)</v>
      </c>
      <c r="E29" s="57">
        <f t="shared" si="2"/>
        <v>4245779.6499999994</v>
      </c>
      <c r="F29" s="57">
        <f>ITI!I114</f>
        <v>3608912.6999999997</v>
      </c>
      <c r="G29" s="57">
        <v>0</v>
      </c>
      <c r="H29" s="57">
        <f>ITI!H114</f>
        <v>541336.91</v>
      </c>
      <c r="I29" s="57">
        <f>ITI!K114</f>
        <v>95530.04</v>
      </c>
      <c r="J29" s="50" t="s">
        <v>36</v>
      </c>
      <c r="K29" s="156"/>
      <c r="L29" s="157"/>
    </row>
    <row r="30" spans="1:16" ht="31.5" x14ac:dyDescent="0.25">
      <c r="A30" s="160"/>
      <c r="B30" s="166"/>
      <c r="C30" s="54">
        <v>21</v>
      </c>
      <c r="D30" s="52" t="str">
        <f>ITI!C118</f>
        <v>Jūrmalas pilsētas Kauguru vidusskolas telpu atjaunošana                    (IP 69.pozīcija)</v>
      </c>
      <c r="E30" s="53">
        <f t="shared" si="2"/>
        <v>352941.18</v>
      </c>
      <c r="F30" s="53">
        <f>ITI!I118</f>
        <v>300000</v>
      </c>
      <c r="G30" s="53">
        <v>0</v>
      </c>
      <c r="H30" s="53">
        <f>ITI!H118</f>
        <v>45000</v>
      </c>
      <c r="I30" s="53">
        <f>ITI!K118</f>
        <v>7941.18</v>
      </c>
      <c r="J30" s="54" t="s">
        <v>36</v>
      </c>
      <c r="K30" s="156"/>
      <c r="L30" s="157"/>
    </row>
    <row r="31" spans="1:16" ht="47.25" x14ac:dyDescent="0.25">
      <c r="A31" s="160"/>
      <c r="B31" s="166"/>
      <c r="C31" s="54">
        <v>22</v>
      </c>
      <c r="D31" s="52" t="str">
        <f>ITI!C123</f>
        <v>Jūrmalas pilsētas Kauguru vidusskolas infrastruktūras pilnveide                                  (IP 69.pozīcija)</v>
      </c>
      <c r="E31" s="53">
        <f t="shared" si="2"/>
        <v>433835.85</v>
      </c>
      <c r="F31" s="53">
        <f>ITI!I123</f>
        <v>368760.47</v>
      </c>
      <c r="G31" s="53">
        <v>0</v>
      </c>
      <c r="H31" s="53">
        <f>ITI!H123</f>
        <v>55314.07</v>
      </c>
      <c r="I31" s="53">
        <f>ITI!K123</f>
        <v>9761.31</v>
      </c>
      <c r="J31" s="54" t="s">
        <v>37</v>
      </c>
      <c r="K31" s="63"/>
      <c r="L31" s="63"/>
      <c r="M31" s="60"/>
    </row>
    <row r="32" spans="1:16" ht="63" x14ac:dyDescent="0.25">
      <c r="A32" s="160" t="s">
        <v>39</v>
      </c>
      <c r="B32" s="166" t="s">
        <v>25</v>
      </c>
      <c r="C32" s="54">
        <v>23</v>
      </c>
      <c r="D32" s="52" t="str">
        <f>ITI!C129</f>
        <v>Infrastruktūras izveide bērnu un jauniešu aprūpei ģimeniskā vidē saskaņa ar Quality4Children standartiem                        (IP 99.pozīcija)</v>
      </c>
      <c r="E32" s="53">
        <f t="shared" si="2"/>
        <v>1326429.2799999998</v>
      </c>
      <c r="F32" s="53">
        <f>ITI!I129</f>
        <v>1127464.8899999999</v>
      </c>
      <c r="G32" s="53">
        <v>0</v>
      </c>
      <c r="H32" s="53">
        <f>ITI!H129</f>
        <v>169119.73</v>
      </c>
      <c r="I32" s="53">
        <f>ITI!K129</f>
        <v>29844.66</v>
      </c>
      <c r="J32" s="54" t="s">
        <v>36</v>
      </c>
      <c r="K32" s="60"/>
      <c r="L32" s="60"/>
    </row>
    <row r="33" spans="1:13" ht="47.25" x14ac:dyDescent="0.25">
      <c r="A33" s="160"/>
      <c r="B33" s="166"/>
      <c r="C33" s="54">
        <v>24</v>
      </c>
      <c r="D33" s="52" t="str">
        <f>ITI!C134</f>
        <v>Grupu dzīvokļu pakalpojuma attīstība cilvēkiem ar garīga rakstura traucējumiem                                                      (IP 100.pozīcija)</v>
      </c>
      <c r="E33" s="53">
        <f t="shared" si="2"/>
        <v>86161.31</v>
      </c>
      <c r="F33" s="53">
        <f>ITI!I135</f>
        <v>73237.11</v>
      </c>
      <c r="G33" s="53">
        <v>0</v>
      </c>
      <c r="H33" s="53">
        <f>ITI!H135</f>
        <v>10985.57</v>
      </c>
      <c r="I33" s="53">
        <f>ITI!K135</f>
        <v>1938.63</v>
      </c>
      <c r="J33" s="54" t="s">
        <v>37</v>
      </c>
      <c r="K33" s="60"/>
      <c r="L33" s="60"/>
      <c r="M33" s="60"/>
    </row>
    <row r="34" spans="1:13" ht="15.75" x14ac:dyDescent="0.25">
      <c r="A34" s="46"/>
      <c r="B34" s="46" t="s">
        <v>34</v>
      </c>
      <c r="C34" s="46"/>
      <c r="D34" s="46"/>
      <c r="E34" s="46"/>
      <c r="F34" s="59"/>
      <c r="G34" s="59"/>
      <c r="H34" s="46"/>
      <c r="I34" s="46"/>
      <c r="J34" s="46"/>
    </row>
    <row r="35" spans="1:13" x14ac:dyDescent="0.25">
      <c r="E35" s="60"/>
      <c r="F35" s="60"/>
      <c r="G35" s="60"/>
      <c r="H35" s="60"/>
      <c r="I35" s="60"/>
    </row>
    <row r="38" spans="1:13" x14ac:dyDescent="0.25">
      <c r="F38" s="60"/>
    </row>
  </sheetData>
  <mergeCells count="29">
    <mergeCell ref="N11:N16"/>
    <mergeCell ref="A32:A33"/>
    <mergeCell ref="B18:B20"/>
    <mergeCell ref="A26:A31"/>
    <mergeCell ref="B21:B24"/>
    <mergeCell ref="A21:A25"/>
    <mergeCell ref="A11:A20"/>
    <mergeCell ref="B11:B17"/>
    <mergeCell ref="B26:B31"/>
    <mergeCell ref="B32:B33"/>
    <mergeCell ref="K21:K23"/>
    <mergeCell ref="L21:L23"/>
    <mergeCell ref="K26:K30"/>
    <mergeCell ref="L26:L30"/>
    <mergeCell ref="A7:A10"/>
    <mergeCell ref="J5:J6"/>
    <mergeCell ref="D3:I3"/>
    <mergeCell ref="C5:C6"/>
    <mergeCell ref="E5:I5"/>
    <mergeCell ref="A5:A6"/>
    <mergeCell ref="B5:B6"/>
    <mergeCell ref="D5:D6"/>
    <mergeCell ref="B7:B9"/>
    <mergeCell ref="K7:K8"/>
    <mergeCell ref="L7:L8"/>
    <mergeCell ref="K11:K16"/>
    <mergeCell ref="L11:L16"/>
    <mergeCell ref="H1:J1"/>
    <mergeCell ref="H2:J2"/>
  </mergeCells>
  <pageMargins left="0.15748031496062992" right="0.23622047244094491" top="0.15748031496062992" bottom="0.15748031496062992"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ITI</vt:lpstr>
      <vt:lpstr>ITI kopsavilkums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Liene Zalkovska</cp:lastModifiedBy>
  <cp:lastPrinted>2016-12-20T08:22:40Z</cp:lastPrinted>
  <dcterms:created xsi:type="dcterms:W3CDTF">2015-12-03T10:23:45Z</dcterms:created>
  <dcterms:modified xsi:type="dcterms:W3CDTF">2016-12-20T08:23:03Z</dcterms:modified>
</cp:coreProperties>
</file>