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Ienemumi!$A$10:$AF$154</definedName>
    <definedName name="_xlnm._FilterDatabase" localSheetId="0" hidden="1">Izdevumi!$A$11:$BG$266</definedName>
    <definedName name="_xlnm.Print_Area" localSheetId="2">'Kopa_ien-izd'!$A$2:$E$13</definedName>
    <definedName name="_xlnm.Print_Titles" localSheetId="1">Ienemumi!$9:$10</definedName>
    <definedName name="_xlnm.Print_Titles" localSheetId="0">Izdevumi!$8:$11</definedName>
    <definedName name="Z_C32C0FCD_AE7D_41A3_975E_D7367DDEA994_.wvu.PrintArea" localSheetId="1" hidden="1">Ienemumi!$A$3:$AF$154</definedName>
    <definedName name="Z_C32C0FCD_AE7D_41A3_975E_D7367DDEA994_.wvu.PrintArea" localSheetId="0" hidden="1">Izdevumi!$B$6:$BG$263</definedName>
    <definedName name="Z_C32C0FCD_AE7D_41A3_975E_D7367DDEA994_.wvu.PrintTitles" localSheetId="1" hidden="1">Ienemumi!$9:$10</definedName>
    <definedName name="Z_C32C0FCD_AE7D_41A3_975E_D7367DDEA994_.wvu.PrintTitles" localSheetId="0" hidden="1">Izdevumi!$8:$11</definedName>
    <definedName name="Z_C32C0FCD_AE7D_41A3_975E_D7367DDEA994_.wvu.Rows" localSheetId="1" hidden="1">Ienemumi!#REF!,Ienemumi!#REF!,Ienemumi!$142:$152</definedName>
  </definedNames>
  <calcPr calcId="152511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AX154" i="1" l="1"/>
  <c r="AW154" i="1" s="1"/>
  <c r="AR154" i="1"/>
  <c r="AQ154" i="1" s="1"/>
  <c r="AH154" i="1"/>
  <c r="AG154" i="1" s="1"/>
  <c r="Y154" i="1"/>
  <c r="X154" i="1" s="1"/>
  <c r="J154" i="1"/>
  <c r="I154" i="1" s="1"/>
  <c r="F154" i="1"/>
  <c r="J215" i="1"/>
  <c r="I215" i="1" s="1"/>
  <c r="F215" i="1"/>
  <c r="G154" i="1" l="1"/>
  <c r="T216" i="1"/>
  <c r="S23" i="1" l="1"/>
  <c r="AM261" i="1" l="1"/>
  <c r="AM46" i="1"/>
  <c r="AH120" i="1" l="1"/>
  <c r="AG120" i="1" l="1"/>
  <c r="AH216" i="1"/>
  <c r="AG216" i="1" s="1"/>
  <c r="AH14" i="1"/>
  <c r="AG14" i="1" s="1"/>
  <c r="AH121" i="1"/>
  <c r="AG121" i="1" s="1"/>
  <c r="AB94" i="4"/>
  <c r="M94" i="4"/>
  <c r="AD148" i="4" l="1"/>
  <c r="AD147" i="4" s="1"/>
  <c r="AC148" i="4"/>
  <c r="AC147" i="4" s="1"/>
  <c r="AB148" i="4"/>
  <c r="AB147" i="4" s="1"/>
  <c r="AD142" i="4"/>
  <c r="AC142" i="4"/>
  <c r="AB142" i="4"/>
  <c r="AD115" i="4"/>
  <c r="AC115" i="4"/>
  <c r="AB115" i="4"/>
  <c r="AD104" i="4"/>
  <c r="AC104" i="4"/>
  <c r="AB104" i="4"/>
  <c r="AD102" i="4"/>
  <c r="AC102" i="4"/>
  <c r="AB102" i="4"/>
  <c r="AD92" i="4"/>
  <c r="AD91" i="4" s="1"/>
  <c r="AC92" i="4"/>
  <c r="AC91" i="4" s="1"/>
  <c r="AB92" i="4"/>
  <c r="AB91" i="4"/>
  <c r="AD87" i="4"/>
  <c r="AC87" i="4"/>
  <c r="AB87" i="4"/>
  <c r="AD84" i="4"/>
  <c r="AC84" i="4"/>
  <c r="AB84" i="4"/>
  <c r="AD82" i="4"/>
  <c r="AC82" i="4"/>
  <c r="AB82" i="4"/>
  <c r="AD78" i="4"/>
  <c r="AC78" i="4"/>
  <c r="AB78" i="4"/>
  <c r="AD72" i="4"/>
  <c r="AD71" i="4" s="1"/>
  <c r="AC72" i="4"/>
  <c r="AC71" i="4" s="1"/>
  <c r="AB72" i="4"/>
  <c r="AB71" i="4" s="1"/>
  <c r="AD67" i="4"/>
  <c r="AD66" i="4" s="1"/>
  <c r="AC67" i="4"/>
  <c r="AC66" i="4" s="1"/>
  <c r="AB67" i="4"/>
  <c r="AB66" i="4" s="1"/>
  <c r="AD62" i="4"/>
  <c r="AD61" i="4" s="1"/>
  <c r="AC62" i="4"/>
  <c r="AC61" i="4" s="1"/>
  <c r="AB62" i="4"/>
  <c r="AB61" i="4" s="1"/>
  <c r="AD57" i="4"/>
  <c r="AC57" i="4"/>
  <c r="AB57" i="4"/>
  <c r="AB54" i="4" s="1"/>
  <c r="AD55" i="4"/>
  <c r="AD54" i="4" s="1"/>
  <c r="AC55" i="4"/>
  <c r="AB55" i="4"/>
  <c r="AD51" i="4"/>
  <c r="AD50" i="4" s="1"/>
  <c r="AC51" i="4"/>
  <c r="AC50" i="4" s="1"/>
  <c r="AB51" i="4"/>
  <c r="AB50" i="4" s="1"/>
  <c r="AD48" i="4"/>
  <c r="AC48" i="4"/>
  <c r="AB48" i="4"/>
  <c r="AD45" i="4"/>
  <c r="AD44" i="4" s="1"/>
  <c r="AC45" i="4"/>
  <c r="AC44" i="4" s="1"/>
  <c r="AB45" i="4"/>
  <c r="AB44" i="4" s="1"/>
  <c r="AD39" i="4"/>
  <c r="AC39" i="4"/>
  <c r="AB39" i="4"/>
  <c r="AD36" i="4"/>
  <c r="AC36" i="4"/>
  <c r="AB36" i="4"/>
  <c r="AD33" i="4"/>
  <c r="AD32" i="4" s="1"/>
  <c r="AC33" i="4"/>
  <c r="AC32" i="4" s="1"/>
  <c r="AB33" i="4"/>
  <c r="AB32" i="4" s="1"/>
  <c r="AD30" i="4"/>
  <c r="AC30" i="4"/>
  <c r="AB30" i="4"/>
  <c r="AD26" i="4"/>
  <c r="AC26" i="4"/>
  <c r="AB26" i="4"/>
  <c r="AD23" i="4"/>
  <c r="AC23" i="4"/>
  <c r="AB23" i="4"/>
  <c r="AD20" i="4"/>
  <c r="AC20" i="4"/>
  <c r="AB20" i="4"/>
  <c r="AD15" i="4"/>
  <c r="AD14" i="4" s="1"/>
  <c r="AD13" i="4" s="1"/>
  <c r="AC15" i="4"/>
  <c r="AC14" i="4" s="1"/>
  <c r="AC13" i="4" s="1"/>
  <c r="AB15" i="4"/>
  <c r="AB14" i="4" s="1"/>
  <c r="AB13" i="4" s="1"/>
  <c r="AD29" i="4" l="1"/>
  <c r="AB77" i="4"/>
  <c r="AD140" i="4"/>
  <c r="AC35" i="4"/>
  <c r="AB29" i="4"/>
  <c r="AB47" i="4"/>
  <c r="AB140" i="4"/>
  <c r="AC29" i="4"/>
  <c r="AB19" i="4"/>
  <c r="AB18" i="4" s="1"/>
  <c r="AC77" i="4"/>
  <c r="AC70" i="4" s="1"/>
  <c r="AC19" i="4"/>
  <c r="AC18" i="4" s="1"/>
  <c r="AD101" i="4"/>
  <c r="AD100" i="4" s="1"/>
  <c r="AD35" i="4"/>
  <c r="AB70" i="4"/>
  <c r="AC101" i="4"/>
  <c r="AC100" i="4" s="1"/>
  <c r="AD47" i="4"/>
  <c r="AB101" i="4"/>
  <c r="AB100" i="4" s="1"/>
  <c r="AD19" i="4"/>
  <c r="AD18" i="4" s="1"/>
  <c r="AB35" i="4"/>
  <c r="AC54" i="4"/>
  <c r="AD77" i="4"/>
  <c r="AD70" i="4" s="1"/>
  <c r="AC47" i="4"/>
  <c r="AC140" i="4"/>
  <c r="AC98" i="4" l="1"/>
  <c r="AC11" i="4" s="1"/>
  <c r="AC154" i="4" s="1"/>
  <c r="AD98" i="4"/>
  <c r="AD11" i="4" s="1"/>
  <c r="AD154" i="4" s="1"/>
  <c r="AB98" i="4"/>
  <c r="AB11" i="4" s="1"/>
  <c r="AB154" i="4" s="1"/>
  <c r="AC153" i="4" l="1"/>
  <c r="AD153" i="4"/>
  <c r="AB153" i="4"/>
  <c r="L85" i="4"/>
  <c r="BC261" i="1" l="1"/>
  <c r="Q261" i="1"/>
  <c r="AA69" i="4"/>
  <c r="L69" i="4"/>
  <c r="L94" i="4"/>
  <c r="L63" i="4" l="1"/>
  <c r="L90" i="4" l="1"/>
  <c r="Q24" i="1" l="1"/>
  <c r="Q110" i="1" l="1"/>
  <c r="Q123" i="1" l="1"/>
  <c r="Q81" i="1" l="1"/>
  <c r="Q36" i="1" l="1"/>
  <c r="P23" i="1" l="1"/>
  <c r="P86" i="1" l="1"/>
  <c r="Q58" i="1" l="1"/>
  <c r="Q35" i="1" l="1"/>
  <c r="AX65" i="1"/>
  <c r="AW65" i="1" s="1"/>
  <c r="J65" i="1"/>
  <c r="I65" i="1" s="1"/>
  <c r="F65" i="1"/>
  <c r="BC260" i="1"/>
  <c r="BC264" i="1" s="1"/>
  <c r="BC231" i="1"/>
  <c r="BC141" i="1"/>
  <c r="BC101" i="1"/>
  <c r="BC93" i="1"/>
  <c r="BC80" i="1"/>
  <c r="BC67" i="1"/>
  <c r="BC35" i="1"/>
  <c r="BC27" i="1"/>
  <c r="BC13" i="1"/>
  <c r="AA148" i="4"/>
  <c r="AA147" i="4" s="1"/>
  <c r="AA142" i="4"/>
  <c r="AA115" i="4"/>
  <c r="AA104" i="4"/>
  <c r="AA102" i="4"/>
  <c r="AA92" i="4"/>
  <c r="AA91" i="4" s="1"/>
  <c r="AA87" i="4"/>
  <c r="AA84" i="4"/>
  <c r="AA82" i="4"/>
  <c r="AA78" i="4"/>
  <c r="AA72" i="4"/>
  <c r="AA71" i="4" s="1"/>
  <c r="AA67" i="4"/>
  <c r="AA66" i="4" s="1"/>
  <c r="AA62" i="4"/>
  <c r="AA61" i="4" s="1"/>
  <c r="AA57" i="4"/>
  <c r="AA55" i="4"/>
  <c r="AA51" i="4"/>
  <c r="AA50" i="4" s="1"/>
  <c r="AA48" i="4"/>
  <c r="AA45" i="4"/>
  <c r="AA44" i="4" s="1"/>
  <c r="AA39" i="4"/>
  <c r="AA36" i="4"/>
  <c r="AA33" i="4"/>
  <c r="AA32" i="4" s="1"/>
  <c r="AA30" i="4"/>
  <c r="AA26" i="4"/>
  <c r="AA23" i="4"/>
  <c r="AA20" i="4"/>
  <c r="AA15" i="4"/>
  <c r="AA14" i="4" s="1"/>
  <c r="AA13" i="4" s="1"/>
  <c r="Z69" i="4"/>
  <c r="AA77" i="4" l="1"/>
  <c r="AA70" i="4" s="1"/>
  <c r="AA101" i="4"/>
  <c r="AA100" i="4" s="1"/>
  <c r="BC263" i="1"/>
  <c r="AA35" i="4"/>
  <c r="AA47" i="4"/>
  <c r="AA54" i="4"/>
  <c r="AA29" i="4"/>
  <c r="AA19" i="4"/>
  <c r="AA18" i="4" s="1"/>
  <c r="G65" i="1"/>
  <c r="BC265" i="1"/>
  <c r="BC262" i="1"/>
  <c r="AA140" i="4"/>
  <c r="AA98" i="4" l="1"/>
  <c r="AA11" i="4" s="1"/>
  <c r="AA154" i="4" s="1"/>
  <c r="AA153" i="4" l="1"/>
  <c r="AX234" i="1"/>
  <c r="AW234" i="1" s="1"/>
  <c r="AR234" i="1"/>
  <c r="AH234" i="1"/>
  <c r="AG234" i="1" s="1"/>
  <c r="Y234" i="1"/>
  <c r="X234" i="1" s="1"/>
  <c r="J234" i="1"/>
  <c r="I234" i="1" s="1"/>
  <c r="F234" i="1"/>
  <c r="BB261" i="1"/>
  <c r="P261" i="1"/>
  <c r="K69" i="4"/>
  <c r="AX55" i="1"/>
  <c r="AW55" i="1" s="1"/>
  <c r="AR55" i="1"/>
  <c r="AQ55" i="1" s="1"/>
  <c r="AH55" i="1"/>
  <c r="AG55" i="1" s="1"/>
  <c r="Y55" i="1"/>
  <c r="X55" i="1" s="1"/>
  <c r="J55" i="1"/>
  <c r="I55" i="1" s="1"/>
  <c r="F55" i="1"/>
  <c r="Z94" i="4"/>
  <c r="BB49" i="1"/>
  <c r="AF137" i="4"/>
  <c r="V137" i="4"/>
  <c r="U137" i="4" s="1"/>
  <c r="G137" i="4"/>
  <c r="F137" i="4" s="1"/>
  <c r="K115" i="4"/>
  <c r="U112" i="4"/>
  <c r="U113" i="4"/>
  <c r="E104" i="4"/>
  <c r="G113" i="4"/>
  <c r="F113" i="4" s="1"/>
  <c r="O103" i="1"/>
  <c r="O71" i="1"/>
  <c r="O261" i="1"/>
  <c r="O47" i="1"/>
  <c r="J65" i="4"/>
  <c r="H53" i="4"/>
  <c r="I65" i="4"/>
  <c r="G65" i="4" s="1"/>
  <c r="F65" i="4" s="1"/>
  <c r="M261" i="1"/>
  <c r="AX132" i="1"/>
  <c r="AW132" i="1" s="1"/>
  <c r="J132" i="1"/>
  <c r="I132" i="1" s="1"/>
  <c r="F132" i="1"/>
  <c r="H261" i="1"/>
  <c r="AZ261" i="1"/>
  <c r="O23" i="1"/>
  <c r="O110" i="1"/>
  <c r="Y94" i="4"/>
  <c r="V94" i="4" s="1"/>
  <c r="U94" i="4" s="1"/>
  <c r="J94" i="4"/>
  <c r="J90" i="4"/>
  <c r="Y69" i="4"/>
  <c r="J69" i="4"/>
  <c r="G69" i="4" s="1"/>
  <c r="F69" i="4" s="1"/>
  <c r="BA261" i="1"/>
  <c r="O58" i="1"/>
  <c r="J169" i="1"/>
  <c r="I169" i="1" s="1"/>
  <c r="G169" i="1" s="1"/>
  <c r="F169" i="1"/>
  <c r="J85" i="4"/>
  <c r="J182" i="1"/>
  <c r="I182" i="1" s="1"/>
  <c r="G182" i="1" s="1"/>
  <c r="F182" i="1"/>
  <c r="Y128" i="1"/>
  <c r="X128" i="1" s="1"/>
  <c r="AH128" i="1"/>
  <c r="AG128" i="1" s="1"/>
  <c r="AR128" i="1"/>
  <c r="AQ128" i="1" s="1"/>
  <c r="AX128" i="1"/>
  <c r="AW128" i="1" s="1"/>
  <c r="J128" i="1"/>
  <c r="I128" i="1" s="1"/>
  <c r="F128" i="1"/>
  <c r="G112" i="4"/>
  <c r="F112" i="4" s="1"/>
  <c r="J104" i="4"/>
  <c r="O35" i="1"/>
  <c r="J61" i="1"/>
  <c r="I61" i="1" s="1"/>
  <c r="G61" i="1" s="1"/>
  <c r="F61" i="1"/>
  <c r="N261" i="1"/>
  <c r="AX215" i="1"/>
  <c r="AR215" i="1"/>
  <c r="AQ215" i="1" s="1"/>
  <c r="AH215" i="1"/>
  <c r="AG215" i="1" s="1"/>
  <c r="Y215" i="1"/>
  <c r="X215" i="1" s="1"/>
  <c r="J151" i="1"/>
  <c r="I151" i="1" s="1"/>
  <c r="N141" i="1"/>
  <c r="AF76" i="4"/>
  <c r="AF75" i="4"/>
  <c r="AF74" i="4"/>
  <c r="AF73" i="4"/>
  <c r="AF68" i="4"/>
  <c r="AF67" i="4" s="1"/>
  <c r="V76" i="4"/>
  <c r="U76" i="4" s="1"/>
  <c r="V75" i="4"/>
  <c r="V74" i="4"/>
  <c r="U74" i="4" s="1"/>
  <c r="V73" i="4"/>
  <c r="U73" i="4" s="1"/>
  <c r="G76" i="4"/>
  <c r="F76" i="4" s="1"/>
  <c r="G75" i="4"/>
  <c r="F75" i="4" s="1"/>
  <c r="G74" i="4"/>
  <c r="F74" i="4" s="1"/>
  <c r="G73" i="4"/>
  <c r="F73" i="4" s="1"/>
  <c r="AE72" i="4"/>
  <c r="AE71" i="4" s="1"/>
  <c r="Z72" i="4"/>
  <c r="Z71" i="4" s="1"/>
  <c r="Y72" i="4"/>
  <c r="Y71" i="4" s="1"/>
  <c r="X72" i="4"/>
  <c r="X71" i="4" s="1"/>
  <c r="W72" i="4"/>
  <c r="W71" i="4" s="1"/>
  <c r="T72" i="4"/>
  <c r="T71" i="4" s="1"/>
  <c r="S72" i="4"/>
  <c r="S71" i="4" s="1"/>
  <c r="R72" i="4"/>
  <c r="R71" i="4" s="1"/>
  <c r="Q72" i="4"/>
  <c r="Q71" i="4" s="1"/>
  <c r="P72" i="4"/>
  <c r="P71" i="4" s="1"/>
  <c r="O72" i="4"/>
  <c r="O71" i="4" s="1"/>
  <c r="N72" i="4"/>
  <c r="N71" i="4" s="1"/>
  <c r="M72" i="4"/>
  <c r="M71" i="4" s="1"/>
  <c r="L72" i="4"/>
  <c r="L71" i="4" s="1"/>
  <c r="K72" i="4"/>
  <c r="K71" i="4" s="1"/>
  <c r="J72" i="4"/>
  <c r="J71" i="4" s="1"/>
  <c r="I72" i="4"/>
  <c r="I71" i="4" s="1"/>
  <c r="H72" i="4"/>
  <c r="H71" i="4" s="1"/>
  <c r="E72" i="4"/>
  <c r="E71" i="4" s="1"/>
  <c r="E67" i="4"/>
  <c r="E66" i="4" s="1"/>
  <c r="AX243" i="1"/>
  <c r="AW243" i="1" s="1"/>
  <c r="AR243" i="1"/>
  <c r="AQ243" i="1" s="1"/>
  <c r="AH243" i="1"/>
  <c r="AG243" i="1" s="1"/>
  <c r="Y243" i="1"/>
  <c r="X243" i="1" s="1"/>
  <c r="J243" i="1"/>
  <c r="I243" i="1" s="1"/>
  <c r="F243" i="1"/>
  <c r="AX151" i="1"/>
  <c r="AW151" i="1" s="1"/>
  <c r="AR151" i="1"/>
  <c r="AH151" i="1"/>
  <c r="AG151" i="1" s="1"/>
  <c r="Y151" i="1"/>
  <c r="X151" i="1" s="1"/>
  <c r="F151" i="1"/>
  <c r="F150" i="1"/>
  <c r="N23" i="1"/>
  <c r="X94" i="4"/>
  <c r="I94" i="4"/>
  <c r="AX181" i="1"/>
  <c r="AW181" i="1" s="1"/>
  <c r="AR181" i="1"/>
  <c r="AQ181" i="1" s="1"/>
  <c r="AH181" i="1"/>
  <c r="AG181" i="1" s="1"/>
  <c r="Y181" i="1"/>
  <c r="X181" i="1" s="1"/>
  <c r="J181" i="1"/>
  <c r="I181" i="1" s="1"/>
  <c r="F181" i="1"/>
  <c r="M141" i="1"/>
  <c r="AX162" i="1"/>
  <c r="AW162" i="1" s="1"/>
  <c r="AR162" i="1"/>
  <c r="AQ162" i="1" s="1"/>
  <c r="AH162" i="1"/>
  <c r="AG162" i="1" s="1"/>
  <c r="Y162" i="1"/>
  <c r="X162" i="1" s="1"/>
  <c r="J162" i="1"/>
  <c r="I162" i="1" s="1"/>
  <c r="F162" i="1"/>
  <c r="I63" i="4"/>
  <c r="I62" i="4" s="1"/>
  <c r="I61" i="4" s="1"/>
  <c r="M23" i="1"/>
  <c r="I90" i="4"/>
  <c r="M110" i="1"/>
  <c r="M122" i="1"/>
  <c r="J57" i="1"/>
  <c r="I57" i="1" s="1"/>
  <c r="G57" i="1" s="1"/>
  <c r="F57" i="1"/>
  <c r="AS261" i="1"/>
  <c r="AA25" i="1"/>
  <c r="Y25" i="1" s="1"/>
  <c r="X25" i="1" s="1"/>
  <c r="AA261" i="1"/>
  <c r="AX161" i="1"/>
  <c r="AW161" i="1" s="1"/>
  <c r="AR161" i="1"/>
  <c r="AQ161" i="1" s="1"/>
  <c r="AH161" i="1"/>
  <c r="AG161" i="1" s="1"/>
  <c r="Y161" i="1"/>
  <c r="X161" i="1" s="1"/>
  <c r="J161" i="1"/>
  <c r="I161" i="1" s="1"/>
  <c r="F161" i="1"/>
  <c r="AS176" i="1"/>
  <c r="I116" i="4"/>
  <c r="I120" i="4"/>
  <c r="AA176" i="1"/>
  <c r="K261" i="1"/>
  <c r="J261" i="1" s="1"/>
  <c r="AA185" i="1"/>
  <c r="E124" i="4"/>
  <c r="I150" i="4"/>
  <c r="I149" i="4"/>
  <c r="H127" i="4"/>
  <c r="H120" i="4"/>
  <c r="G120" i="4" s="1"/>
  <c r="H116" i="4"/>
  <c r="Z261" i="1"/>
  <c r="Z260" i="1" s="1"/>
  <c r="Z264" i="1" s="1"/>
  <c r="K72" i="1"/>
  <c r="Z72" i="1"/>
  <c r="H135" i="4"/>
  <c r="K231" i="1"/>
  <c r="K67" i="1"/>
  <c r="K35" i="1"/>
  <c r="K27" i="1"/>
  <c r="K13" i="1"/>
  <c r="W69" i="4"/>
  <c r="H63" i="4"/>
  <c r="G63" i="4" s="1"/>
  <c r="F63" i="4" s="1"/>
  <c r="AY261" i="1"/>
  <c r="AY48" i="1"/>
  <c r="AX48" i="1" s="1"/>
  <c r="AW48" i="1" s="1"/>
  <c r="F257" i="1"/>
  <c r="K178" i="1"/>
  <c r="AI261" i="1"/>
  <c r="K193" i="1"/>
  <c r="K189" i="1"/>
  <c r="K216" i="1"/>
  <c r="AI216" i="1"/>
  <c r="K176" i="1"/>
  <c r="K219" i="1"/>
  <c r="K210" i="1"/>
  <c r="K212" i="1"/>
  <c r="K174" i="1"/>
  <c r="K172" i="1"/>
  <c r="K163" i="1"/>
  <c r="K205" i="1"/>
  <c r="K121" i="1"/>
  <c r="K129" i="1"/>
  <c r="AI127" i="1"/>
  <c r="K120" i="1"/>
  <c r="AX25" i="1"/>
  <c r="AW25" i="1" s="1"/>
  <c r="J25" i="1"/>
  <c r="I25" i="1" s="1"/>
  <c r="F25" i="1"/>
  <c r="K85" i="1"/>
  <c r="K80" i="1"/>
  <c r="AX53" i="1"/>
  <c r="AW53" i="1" s="1"/>
  <c r="AX54" i="1"/>
  <c r="AW54" i="1" s="1"/>
  <c r="AR53" i="1"/>
  <c r="AQ53" i="1" s="1"/>
  <c r="AR54" i="1"/>
  <c r="AQ54" i="1" s="1"/>
  <c r="AH53" i="1"/>
  <c r="AG53" i="1" s="1"/>
  <c r="AH54" i="1"/>
  <c r="AG54" i="1" s="1"/>
  <c r="Y53" i="1"/>
  <c r="X53" i="1" s="1"/>
  <c r="Y54" i="1"/>
  <c r="X54" i="1" s="1"/>
  <c r="J53" i="1"/>
  <c r="I53" i="1" s="1"/>
  <c r="J54" i="1"/>
  <c r="I54" i="1" s="1"/>
  <c r="F53" i="1"/>
  <c r="F54" i="1"/>
  <c r="H64" i="4"/>
  <c r="AX52" i="1"/>
  <c r="AW52" i="1" s="1"/>
  <c r="AR52" i="1"/>
  <c r="AQ52" i="1" s="1"/>
  <c r="AH52" i="1"/>
  <c r="AG52" i="1" s="1"/>
  <c r="Y52" i="1"/>
  <c r="X52" i="1" s="1"/>
  <c r="J52" i="1"/>
  <c r="I52" i="1" s="1"/>
  <c r="F52" i="1"/>
  <c r="G16" i="4"/>
  <c r="F16" i="4" s="1"/>
  <c r="AF16" i="4"/>
  <c r="AG102" i="4"/>
  <c r="V150" i="4"/>
  <c r="U150" i="4" s="1"/>
  <c r="V149" i="4"/>
  <c r="U149" i="4" s="1"/>
  <c r="V144" i="4"/>
  <c r="U144" i="4" s="1"/>
  <c r="V143" i="4"/>
  <c r="U143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93" i="4"/>
  <c r="U93" i="4" s="1"/>
  <c r="V90" i="4"/>
  <c r="U90" i="4" s="1"/>
  <c r="V89" i="4"/>
  <c r="V88" i="4"/>
  <c r="U88" i="4" s="1"/>
  <c r="V86" i="4"/>
  <c r="U86" i="4" s="1"/>
  <c r="V85" i="4"/>
  <c r="U85" i="4" s="1"/>
  <c r="V83" i="4"/>
  <c r="U83" i="4" s="1"/>
  <c r="U82" i="4" s="1"/>
  <c r="V81" i="4"/>
  <c r="U81" i="4" s="1"/>
  <c r="V80" i="4"/>
  <c r="U80" i="4" s="1"/>
  <c r="V79" i="4"/>
  <c r="U79" i="4" s="1"/>
  <c r="V69" i="4"/>
  <c r="U69" i="4" s="1"/>
  <c r="V68" i="4"/>
  <c r="U68" i="4" s="1"/>
  <c r="U67" i="4" s="1"/>
  <c r="V65" i="4"/>
  <c r="U65" i="4" s="1"/>
  <c r="V64" i="4"/>
  <c r="U64" i="4" s="1"/>
  <c r="V63" i="4"/>
  <c r="U63" i="4" s="1"/>
  <c r="V60" i="4"/>
  <c r="U60" i="4" s="1"/>
  <c r="V59" i="4"/>
  <c r="U59" i="4" s="1"/>
  <c r="V58" i="4"/>
  <c r="U58" i="4" s="1"/>
  <c r="V56" i="4"/>
  <c r="U56" i="4" s="1"/>
  <c r="U55" i="4" s="1"/>
  <c r="V53" i="4"/>
  <c r="U53" i="4" s="1"/>
  <c r="V52" i="4"/>
  <c r="U52" i="4" s="1"/>
  <c r="V49" i="4"/>
  <c r="U49" i="4" s="1"/>
  <c r="U48" i="4" s="1"/>
  <c r="V46" i="4"/>
  <c r="U46" i="4" s="1"/>
  <c r="U45" i="4" s="1"/>
  <c r="U44" i="4" s="1"/>
  <c r="V43" i="4"/>
  <c r="U43" i="4" s="1"/>
  <c r="V42" i="4"/>
  <c r="U42" i="4" s="1"/>
  <c r="V41" i="4"/>
  <c r="U41" i="4" s="1"/>
  <c r="V40" i="4"/>
  <c r="U40" i="4" s="1"/>
  <c r="V38" i="4"/>
  <c r="U38" i="4" s="1"/>
  <c r="V37" i="4"/>
  <c r="U37" i="4" s="1"/>
  <c r="V34" i="4"/>
  <c r="V31" i="4"/>
  <c r="V28" i="4"/>
  <c r="U28" i="4" s="1"/>
  <c r="V27" i="4"/>
  <c r="U27" i="4" s="1"/>
  <c r="V25" i="4"/>
  <c r="U25" i="4" s="1"/>
  <c r="V24" i="4"/>
  <c r="U24" i="4" s="1"/>
  <c r="V22" i="4"/>
  <c r="U22" i="4" s="1"/>
  <c r="V21" i="4"/>
  <c r="U21" i="4" s="1"/>
  <c r="V17" i="4"/>
  <c r="U17" i="4" s="1"/>
  <c r="V16" i="4"/>
  <c r="U16" i="4" s="1"/>
  <c r="AE148" i="4"/>
  <c r="AE147" i="4" s="1"/>
  <c r="Z148" i="4"/>
  <c r="Z147" i="4" s="1"/>
  <c r="Y148" i="4"/>
  <c r="Y147" i="4" s="1"/>
  <c r="X148" i="4"/>
  <c r="X147" i="4" s="1"/>
  <c r="W148" i="4"/>
  <c r="W147" i="4" s="1"/>
  <c r="AE142" i="4"/>
  <c r="Z142" i="4"/>
  <c r="Y142" i="4"/>
  <c r="X142" i="4"/>
  <c r="W142" i="4"/>
  <c r="AE115" i="4"/>
  <c r="Z115" i="4"/>
  <c r="Y115" i="4"/>
  <c r="X115" i="4"/>
  <c r="W115" i="4"/>
  <c r="AE104" i="4"/>
  <c r="Z104" i="4"/>
  <c r="Y104" i="4"/>
  <c r="X104" i="4"/>
  <c r="W104" i="4"/>
  <c r="AE102" i="4"/>
  <c r="Z102" i="4"/>
  <c r="Y102" i="4"/>
  <c r="X102" i="4"/>
  <c r="X101" i="4" s="1"/>
  <c r="X100" i="4" s="1"/>
  <c r="W102" i="4"/>
  <c r="V102" i="4"/>
  <c r="U102" i="4"/>
  <c r="AE92" i="4"/>
  <c r="AE91" i="4" s="1"/>
  <c r="Z92" i="4"/>
  <c r="Z91" i="4" s="1"/>
  <c r="Y92" i="4"/>
  <c r="Y91" i="4" s="1"/>
  <c r="X92" i="4"/>
  <c r="X91" i="4" s="1"/>
  <c r="W92" i="4"/>
  <c r="W91" i="4" s="1"/>
  <c r="AE87" i="4"/>
  <c r="Z87" i="4"/>
  <c r="Y87" i="4"/>
  <c r="X87" i="4"/>
  <c r="W87" i="4"/>
  <c r="AE84" i="4"/>
  <c r="Z84" i="4"/>
  <c r="Y84" i="4"/>
  <c r="X84" i="4"/>
  <c r="W84" i="4"/>
  <c r="AE82" i="4"/>
  <c r="Z82" i="4"/>
  <c r="Y82" i="4"/>
  <c r="X82" i="4"/>
  <c r="W82" i="4"/>
  <c r="AE78" i="4"/>
  <c r="Z78" i="4"/>
  <c r="Y78" i="4"/>
  <c r="X78" i="4"/>
  <c r="W78" i="4"/>
  <c r="AE67" i="4"/>
  <c r="AE66" i="4" s="1"/>
  <c r="Z67" i="4"/>
  <c r="Z66" i="4" s="1"/>
  <c r="Y67" i="4"/>
  <c r="Y66" i="4"/>
  <c r="X67" i="4"/>
  <c r="X66" i="4" s="1"/>
  <c r="W67" i="4"/>
  <c r="W66" i="4" s="1"/>
  <c r="AE62" i="4"/>
  <c r="AE61" i="4" s="1"/>
  <c r="Z62" i="4"/>
  <c r="Z61" i="4" s="1"/>
  <c r="Y62" i="4"/>
  <c r="Y61" i="4" s="1"/>
  <c r="X62" i="4"/>
  <c r="X61" i="4" s="1"/>
  <c r="W62" i="4"/>
  <c r="W61" i="4" s="1"/>
  <c r="AE57" i="4"/>
  <c r="Z57" i="4"/>
  <c r="Y57" i="4"/>
  <c r="Y54" i="4" s="1"/>
  <c r="X57" i="4"/>
  <c r="W57" i="4"/>
  <c r="AE55" i="4"/>
  <c r="Z55" i="4"/>
  <c r="Y55" i="4"/>
  <c r="X55" i="4"/>
  <c r="W55" i="4"/>
  <c r="AE51" i="4"/>
  <c r="AE50" i="4" s="1"/>
  <c r="Z51" i="4"/>
  <c r="Z50" i="4" s="1"/>
  <c r="Y51" i="4"/>
  <c r="Y50" i="4" s="1"/>
  <c r="X51" i="4"/>
  <c r="X50" i="4" s="1"/>
  <c r="W51" i="4"/>
  <c r="W50" i="4" s="1"/>
  <c r="AE48" i="4"/>
  <c r="Z48" i="4"/>
  <c r="Y48" i="4"/>
  <c r="X48" i="4"/>
  <c r="W48" i="4"/>
  <c r="AE45" i="4"/>
  <c r="AE44" i="4" s="1"/>
  <c r="Z45" i="4"/>
  <c r="Z44" i="4" s="1"/>
  <c r="Y45" i="4"/>
  <c r="Y44" i="4" s="1"/>
  <c r="X45" i="4"/>
  <c r="X44" i="4" s="1"/>
  <c r="W45" i="4"/>
  <c r="W44" i="4" s="1"/>
  <c r="AE39" i="4"/>
  <c r="Z39" i="4"/>
  <c r="Y39" i="4"/>
  <c r="X39" i="4"/>
  <c r="W39" i="4"/>
  <c r="AE36" i="4"/>
  <c r="Z36" i="4"/>
  <c r="Y36" i="4"/>
  <c r="X36" i="4"/>
  <c r="W36" i="4"/>
  <c r="AE33" i="4"/>
  <c r="AE32" i="4" s="1"/>
  <c r="Z33" i="4"/>
  <c r="Z32" i="4" s="1"/>
  <c r="Y33" i="4"/>
  <c r="Y32" i="4" s="1"/>
  <c r="X33" i="4"/>
  <c r="X32" i="4" s="1"/>
  <c r="X29" i="4" s="1"/>
  <c r="W33" i="4"/>
  <c r="W32" i="4" s="1"/>
  <c r="AE30" i="4"/>
  <c r="Z30" i="4"/>
  <c r="Y30" i="4"/>
  <c r="X30" i="4"/>
  <c r="W30" i="4"/>
  <c r="AE26" i="4"/>
  <c r="Z26" i="4"/>
  <c r="Y26" i="4"/>
  <c r="X26" i="4"/>
  <c r="W26" i="4"/>
  <c r="AE23" i="4"/>
  <c r="Z23" i="4"/>
  <c r="Y23" i="4"/>
  <c r="X23" i="4"/>
  <c r="W23" i="4"/>
  <c r="AE20" i="4"/>
  <c r="Z20" i="4"/>
  <c r="Y20" i="4"/>
  <c r="X20" i="4"/>
  <c r="W20" i="4"/>
  <c r="AE15" i="4"/>
  <c r="AE14" i="4" s="1"/>
  <c r="AE13" i="4" s="1"/>
  <c r="Z15" i="4"/>
  <c r="Z14" i="4" s="1"/>
  <c r="Z13" i="4" s="1"/>
  <c r="Y15" i="4"/>
  <c r="Y14" i="4" s="1"/>
  <c r="Y13" i="4" s="1"/>
  <c r="X15" i="4"/>
  <c r="X14" i="4" s="1"/>
  <c r="X13" i="4" s="1"/>
  <c r="W15" i="4"/>
  <c r="W14" i="4" s="1"/>
  <c r="W13" i="4" s="1"/>
  <c r="G150" i="4"/>
  <c r="F150" i="4" s="1"/>
  <c r="G149" i="4"/>
  <c r="F149" i="4" s="1"/>
  <c r="G144" i="4"/>
  <c r="F144" i="4" s="1"/>
  <c r="G143" i="4"/>
  <c r="F143" i="4" s="1"/>
  <c r="G136" i="4"/>
  <c r="F136" i="4" s="1"/>
  <c r="G135" i="4"/>
  <c r="G134" i="4"/>
  <c r="F134" i="4" s="1"/>
  <c r="G133" i="4"/>
  <c r="F133" i="4" s="1"/>
  <c r="G132" i="4"/>
  <c r="F132" i="4" s="1"/>
  <c r="G131" i="4"/>
  <c r="F131" i="4" s="1"/>
  <c r="AG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F123" i="4" s="1"/>
  <c r="AG123" i="4" s="1"/>
  <c r="G122" i="4"/>
  <c r="F122" i="4" s="1"/>
  <c r="G121" i="4"/>
  <c r="F121" i="4" s="1"/>
  <c r="F120" i="4"/>
  <c r="G119" i="4"/>
  <c r="F119" i="4" s="1"/>
  <c r="G118" i="4"/>
  <c r="F118" i="4" s="1"/>
  <c r="G117" i="4"/>
  <c r="F117" i="4" s="1"/>
  <c r="G116" i="4"/>
  <c r="F116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94" i="4"/>
  <c r="G93" i="4"/>
  <c r="F93" i="4" s="1"/>
  <c r="F92" i="4" s="1"/>
  <c r="G90" i="4"/>
  <c r="F90" i="4" s="1"/>
  <c r="AG90" i="4" s="1"/>
  <c r="G89" i="4"/>
  <c r="F89" i="4" s="1"/>
  <c r="G88" i="4"/>
  <c r="F88" i="4" s="1"/>
  <c r="AG88" i="4" s="1"/>
  <c r="G86" i="4"/>
  <c r="F86" i="4" s="1"/>
  <c r="G85" i="4"/>
  <c r="F85" i="4" s="1"/>
  <c r="G83" i="4"/>
  <c r="G82" i="4" s="1"/>
  <c r="G81" i="4"/>
  <c r="F81" i="4" s="1"/>
  <c r="G80" i="4"/>
  <c r="F80" i="4" s="1"/>
  <c r="G79" i="4"/>
  <c r="F79" i="4" s="1"/>
  <c r="G68" i="4"/>
  <c r="F68" i="4" s="1"/>
  <c r="F67" i="4" s="1"/>
  <c r="G64" i="4"/>
  <c r="F64" i="4" s="1"/>
  <c r="G60" i="4"/>
  <c r="F60" i="4" s="1"/>
  <c r="G59" i="4"/>
  <c r="F59" i="4" s="1"/>
  <c r="G58" i="4"/>
  <c r="F58" i="4" s="1"/>
  <c r="G56" i="4"/>
  <c r="G55" i="4" s="1"/>
  <c r="G53" i="4"/>
  <c r="F53" i="4" s="1"/>
  <c r="G52" i="4"/>
  <c r="F52" i="4" s="1"/>
  <c r="G49" i="4"/>
  <c r="F49" i="4" s="1"/>
  <c r="F48" i="4" s="1"/>
  <c r="G46" i="4"/>
  <c r="F46" i="4" s="1"/>
  <c r="F45" i="4" s="1"/>
  <c r="F44" i="4" s="1"/>
  <c r="G43" i="4"/>
  <c r="F43" i="4" s="1"/>
  <c r="G42" i="4"/>
  <c r="F42" i="4" s="1"/>
  <c r="G41" i="4"/>
  <c r="F41" i="4" s="1"/>
  <c r="AG41" i="4" s="1"/>
  <c r="G40" i="4"/>
  <c r="F40" i="4" s="1"/>
  <c r="G38" i="4"/>
  <c r="F38" i="4" s="1"/>
  <c r="G37" i="4"/>
  <c r="F37" i="4" s="1"/>
  <c r="G34" i="4"/>
  <c r="G33" i="4" s="1"/>
  <c r="G32" i="4" s="1"/>
  <c r="G31" i="4"/>
  <c r="G30" i="4" s="1"/>
  <c r="G28" i="4"/>
  <c r="F28" i="4" s="1"/>
  <c r="G27" i="4"/>
  <c r="F27" i="4" s="1"/>
  <c r="G25" i="4"/>
  <c r="F25" i="4" s="1"/>
  <c r="G24" i="4"/>
  <c r="F24" i="4" s="1"/>
  <c r="G22" i="4"/>
  <c r="F22" i="4" s="1"/>
  <c r="G21" i="4"/>
  <c r="F21" i="4" s="1"/>
  <c r="G17" i="4"/>
  <c r="F17" i="4" s="1"/>
  <c r="S148" i="4"/>
  <c r="S147" i="4" s="1"/>
  <c r="R148" i="4"/>
  <c r="R147" i="4" s="1"/>
  <c r="Q148" i="4"/>
  <c r="Q147" i="4" s="1"/>
  <c r="P148" i="4"/>
  <c r="P147" i="4" s="1"/>
  <c r="O148" i="4"/>
  <c r="O147" i="4" s="1"/>
  <c r="N148" i="4"/>
  <c r="N147" i="4" s="1"/>
  <c r="M148" i="4"/>
  <c r="M147" i="4" s="1"/>
  <c r="L148" i="4"/>
  <c r="L147" i="4" s="1"/>
  <c r="K148" i="4"/>
  <c r="K147" i="4" s="1"/>
  <c r="J148" i="4"/>
  <c r="J147" i="4" s="1"/>
  <c r="I148" i="4"/>
  <c r="I147" i="4" s="1"/>
  <c r="H148" i="4"/>
  <c r="H147" i="4" s="1"/>
  <c r="S142" i="4"/>
  <c r="R142" i="4"/>
  <c r="Q142" i="4"/>
  <c r="P142" i="4"/>
  <c r="O142" i="4"/>
  <c r="N142" i="4"/>
  <c r="M142" i="4"/>
  <c r="L142" i="4"/>
  <c r="K142" i="4"/>
  <c r="K140" i="4" s="1"/>
  <c r="J142" i="4"/>
  <c r="I142" i="4"/>
  <c r="H142" i="4"/>
  <c r="H140" i="4" s="1"/>
  <c r="S115" i="4"/>
  <c r="R115" i="4"/>
  <c r="Q115" i="4"/>
  <c r="P115" i="4"/>
  <c r="O115" i="4"/>
  <c r="N115" i="4"/>
  <c r="M115" i="4"/>
  <c r="L115" i="4"/>
  <c r="J115" i="4"/>
  <c r="I115" i="4"/>
  <c r="H115" i="4"/>
  <c r="S104" i="4"/>
  <c r="R104" i="4"/>
  <c r="Q104" i="4"/>
  <c r="P104" i="4"/>
  <c r="O104" i="4"/>
  <c r="N104" i="4"/>
  <c r="M104" i="4"/>
  <c r="L104" i="4"/>
  <c r="K104" i="4"/>
  <c r="I104" i="4"/>
  <c r="H104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S92" i="4"/>
  <c r="S91" i="4" s="1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S87" i="4"/>
  <c r="R87" i="4"/>
  <c r="Q87" i="4"/>
  <c r="P87" i="4"/>
  <c r="O87" i="4"/>
  <c r="N87" i="4"/>
  <c r="M87" i="4"/>
  <c r="L87" i="4"/>
  <c r="K87" i="4"/>
  <c r="J87" i="4"/>
  <c r="I87" i="4"/>
  <c r="H87" i="4"/>
  <c r="S84" i="4"/>
  <c r="R84" i="4"/>
  <c r="Q84" i="4"/>
  <c r="P84" i="4"/>
  <c r="O84" i="4"/>
  <c r="N84" i="4"/>
  <c r="M84" i="4"/>
  <c r="L84" i="4"/>
  <c r="K84" i="4"/>
  <c r="J84" i="4"/>
  <c r="I84" i="4"/>
  <c r="H84" i="4"/>
  <c r="S82" i="4"/>
  <c r="R82" i="4"/>
  <c r="Q82" i="4"/>
  <c r="P82" i="4"/>
  <c r="O82" i="4"/>
  <c r="N82" i="4"/>
  <c r="M82" i="4"/>
  <c r="L82" i="4"/>
  <c r="K82" i="4"/>
  <c r="J82" i="4"/>
  <c r="I82" i="4"/>
  <c r="H82" i="4"/>
  <c r="S78" i="4"/>
  <c r="S77" i="4" s="1"/>
  <c r="R78" i="4"/>
  <c r="R77" i="4" s="1"/>
  <c r="Q78" i="4"/>
  <c r="Q77" i="4" s="1"/>
  <c r="P78" i="4"/>
  <c r="P77" i="4" s="1"/>
  <c r="O78" i="4"/>
  <c r="O77" i="4" s="1"/>
  <c r="N78" i="4"/>
  <c r="N77" i="4" s="1"/>
  <c r="M78" i="4"/>
  <c r="M77" i="4" s="1"/>
  <c r="L78" i="4"/>
  <c r="L77" i="4" s="1"/>
  <c r="K78" i="4"/>
  <c r="K77" i="4" s="1"/>
  <c r="J78" i="4"/>
  <c r="J77" i="4" s="1"/>
  <c r="I78" i="4"/>
  <c r="I77" i="4" s="1"/>
  <c r="H78" i="4"/>
  <c r="H77" i="4" s="1"/>
  <c r="S67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S66" i="4"/>
  <c r="S62" i="4"/>
  <c r="S61" i="4" s="1"/>
  <c r="R62" i="4"/>
  <c r="R61" i="4" s="1"/>
  <c r="Q62" i="4"/>
  <c r="Q61" i="4" s="1"/>
  <c r="P62" i="4"/>
  <c r="P61" i="4" s="1"/>
  <c r="O62" i="4"/>
  <c r="O61" i="4" s="1"/>
  <c r="N62" i="4"/>
  <c r="N61" i="4" s="1"/>
  <c r="M62" i="4"/>
  <c r="M61" i="4" s="1"/>
  <c r="L62" i="4"/>
  <c r="L61" i="4" s="1"/>
  <c r="K62" i="4"/>
  <c r="K61" i="4" s="1"/>
  <c r="J62" i="4"/>
  <c r="J61" i="4" s="1"/>
  <c r="H62" i="4"/>
  <c r="H61" i="4" s="1"/>
  <c r="S57" i="4"/>
  <c r="R57" i="4"/>
  <c r="Q57" i="4"/>
  <c r="P57" i="4"/>
  <c r="O57" i="4"/>
  <c r="N57" i="4"/>
  <c r="M57" i="4"/>
  <c r="L57" i="4"/>
  <c r="K57" i="4"/>
  <c r="J57" i="4"/>
  <c r="I57" i="4"/>
  <c r="H57" i="4"/>
  <c r="S55" i="4"/>
  <c r="R55" i="4"/>
  <c r="Q55" i="4"/>
  <c r="P55" i="4"/>
  <c r="O55" i="4"/>
  <c r="N55" i="4"/>
  <c r="M55" i="4"/>
  <c r="L55" i="4"/>
  <c r="K55" i="4"/>
  <c r="J55" i="4"/>
  <c r="I55" i="4"/>
  <c r="H55" i="4"/>
  <c r="S51" i="4"/>
  <c r="S50" i="4" s="1"/>
  <c r="R51" i="4"/>
  <c r="R50" i="4" s="1"/>
  <c r="Q51" i="4"/>
  <c r="Q50" i="4" s="1"/>
  <c r="P51" i="4"/>
  <c r="P50" i="4" s="1"/>
  <c r="O51" i="4"/>
  <c r="O50" i="4" s="1"/>
  <c r="N51" i="4"/>
  <c r="N50" i="4" s="1"/>
  <c r="M51" i="4"/>
  <c r="M50" i="4" s="1"/>
  <c r="L51" i="4"/>
  <c r="L50" i="4" s="1"/>
  <c r="K51" i="4"/>
  <c r="K50" i="4" s="1"/>
  <c r="J51" i="4"/>
  <c r="J50" i="4" s="1"/>
  <c r="I51" i="4"/>
  <c r="I50" i="4" s="1"/>
  <c r="H51" i="4"/>
  <c r="H50" i="4" s="1"/>
  <c r="S48" i="4"/>
  <c r="R48" i="4"/>
  <c r="Q48" i="4"/>
  <c r="P48" i="4"/>
  <c r="O48" i="4"/>
  <c r="N48" i="4"/>
  <c r="M48" i="4"/>
  <c r="M47" i="4" s="1"/>
  <c r="L48" i="4"/>
  <c r="K48" i="4"/>
  <c r="J48" i="4"/>
  <c r="J47" i="4" s="1"/>
  <c r="I48" i="4"/>
  <c r="H48" i="4"/>
  <c r="S45" i="4"/>
  <c r="S44" i="4" s="1"/>
  <c r="R45" i="4"/>
  <c r="R44" i="4" s="1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S39" i="4"/>
  <c r="R39" i="4"/>
  <c r="Q39" i="4"/>
  <c r="P39" i="4"/>
  <c r="O39" i="4"/>
  <c r="N39" i="4"/>
  <c r="M39" i="4"/>
  <c r="L39" i="4"/>
  <c r="K39" i="4"/>
  <c r="J39" i="4"/>
  <c r="I39" i="4"/>
  <c r="H39" i="4"/>
  <c r="S36" i="4"/>
  <c r="S35" i="4" s="1"/>
  <c r="R36" i="4"/>
  <c r="Q36" i="4"/>
  <c r="P36" i="4"/>
  <c r="P35" i="4" s="1"/>
  <c r="O36" i="4"/>
  <c r="O35" i="4" s="1"/>
  <c r="N36" i="4"/>
  <c r="M36" i="4"/>
  <c r="L36" i="4"/>
  <c r="L35" i="4" s="1"/>
  <c r="K36" i="4"/>
  <c r="K35" i="4" s="1"/>
  <c r="J36" i="4"/>
  <c r="I36" i="4"/>
  <c r="H36" i="4"/>
  <c r="H35" i="4" s="1"/>
  <c r="S33" i="4"/>
  <c r="S32" i="4" s="1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S30" i="4"/>
  <c r="R30" i="4"/>
  <c r="Q30" i="4"/>
  <c r="Q29" i="4" s="1"/>
  <c r="P30" i="4"/>
  <c r="O30" i="4"/>
  <c r="N30" i="4"/>
  <c r="M30" i="4"/>
  <c r="L30" i="4"/>
  <c r="K30" i="4"/>
  <c r="J30" i="4"/>
  <c r="I30" i="4"/>
  <c r="H30" i="4"/>
  <c r="H29" i="4" s="1"/>
  <c r="S26" i="4"/>
  <c r="R26" i="4"/>
  <c r="Q26" i="4"/>
  <c r="P26" i="4"/>
  <c r="O26" i="4"/>
  <c r="N26" i="4"/>
  <c r="M26" i="4"/>
  <c r="L26" i="4"/>
  <c r="K26" i="4"/>
  <c r="J26" i="4"/>
  <c r="I26" i="4"/>
  <c r="H26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S19" i="4" s="1"/>
  <c r="S18" i="4" s="1"/>
  <c r="R20" i="4"/>
  <c r="R19" i="4" s="1"/>
  <c r="R18" i="4" s="1"/>
  <c r="Q20" i="4"/>
  <c r="Q19" i="4" s="1"/>
  <c r="Q18" i="4" s="1"/>
  <c r="P20" i="4"/>
  <c r="P19" i="4" s="1"/>
  <c r="P18" i="4" s="1"/>
  <c r="O20" i="4"/>
  <c r="O19" i="4" s="1"/>
  <c r="O18" i="4" s="1"/>
  <c r="N20" i="4"/>
  <c r="M20" i="4"/>
  <c r="M19" i="4" s="1"/>
  <c r="M18" i="4" s="1"/>
  <c r="L20" i="4"/>
  <c r="K20" i="4"/>
  <c r="K19" i="4" s="1"/>
  <c r="K18" i="4" s="1"/>
  <c r="J20" i="4"/>
  <c r="I20" i="4"/>
  <c r="I19" i="4" s="1"/>
  <c r="I18" i="4" s="1"/>
  <c r="H20" i="4"/>
  <c r="H19" i="4" s="1"/>
  <c r="H18" i="4" s="1"/>
  <c r="S15" i="4"/>
  <c r="S14" i="4" s="1"/>
  <c r="S13" i="4" s="1"/>
  <c r="R15" i="4"/>
  <c r="R14" i="4" s="1"/>
  <c r="R13" i="4" s="1"/>
  <c r="Q15" i="4"/>
  <c r="Q14" i="4" s="1"/>
  <c r="Q13" i="4" s="1"/>
  <c r="P15" i="4"/>
  <c r="P14" i="4" s="1"/>
  <c r="P13" i="4" s="1"/>
  <c r="O15" i="4"/>
  <c r="O14" i="4" s="1"/>
  <c r="O13" i="4" s="1"/>
  <c r="N15" i="4"/>
  <c r="N14" i="4" s="1"/>
  <c r="N13" i="4" s="1"/>
  <c r="M15" i="4"/>
  <c r="M14" i="4" s="1"/>
  <c r="M13" i="4" s="1"/>
  <c r="L15" i="4"/>
  <c r="L14" i="4" s="1"/>
  <c r="L13" i="4" s="1"/>
  <c r="K15" i="4"/>
  <c r="K14" i="4" s="1"/>
  <c r="K13" i="4" s="1"/>
  <c r="J15" i="4"/>
  <c r="J14" i="4" s="1"/>
  <c r="J13" i="4" s="1"/>
  <c r="I15" i="4"/>
  <c r="I14" i="4" s="1"/>
  <c r="I13" i="4" s="1"/>
  <c r="H15" i="4"/>
  <c r="H14" i="4" s="1"/>
  <c r="H13" i="4" s="1"/>
  <c r="F102" i="4"/>
  <c r="F258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2" i="1"/>
  <c r="F241" i="1"/>
  <c r="F240" i="1"/>
  <c r="F239" i="1"/>
  <c r="F238" i="1"/>
  <c r="F237" i="1"/>
  <c r="F236" i="1"/>
  <c r="F235" i="1"/>
  <c r="F233" i="1"/>
  <c r="F232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0" i="1"/>
  <c r="F159" i="1"/>
  <c r="F158" i="1"/>
  <c r="F157" i="1"/>
  <c r="F156" i="1"/>
  <c r="F155" i="1"/>
  <c r="F153" i="1"/>
  <c r="F152" i="1"/>
  <c r="F149" i="1"/>
  <c r="F148" i="1"/>
  <c r="F147" i="1"/>
  <c r="F146" i="1"/>
  <c r="F145" i="1"/>
  <c r="F144" i="1"/>
  <c r="F143" i="1"/>
  <c r="F142" i="1"/>
  <c r="F139" i="1"/>
  <c r="F138" i="1"/>
  <c r="F137" i="1"/>
  <c r="F136" i="1"/>
  <c r="F135" i="1"/>
  <c r="F134" i="1"/>
  <c r="F133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99" i="1"/>
  <c r="F98" i="1"/>
  <c r="F97" i="1"/>
  <c r="F96" i="1"/>
  <c r="F95" i="1"/>
  <c r="F94" i="1"/>
  <c r="F91" i="1"/>
  <c r="F90" i="1"/>
  <c r="F89" i="1"/>
  <c r="F88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70" i="1"/>
  <c r="F69" i="1"/>
  <c r="F68" i="1"/>
  <c r="F63" i="1"/>
  <c r="F60" i="1"/>
  <c r="F59" i="1"/>
  <c r="F58" i="1"/>
  <c r="F56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4" i="1"/>
  <c r="F23" i="1"/>
  <c r="F22" i="1"/>
  <c r="F20" i="1"/>
  <c r="F19" i="1"/>
  <c r="F18" i="1"/>
  <c r="F17" i="1"/>
  <c r="F16" i="1"/>
  <c r="F15" i="1"/>
  <c r="F14" i="1"/>
  <c r="AY13" i="1"/>
  <c r="AZ13" i="1"/>
  <c r="BA13" i="1"/>
  <c r="BB13" i="1"/>
  <c r="BD13" i="1"/>
  <c r="BE13" i="1"/>
  <c r="BE27" i="1"/>
  <c r="AY27" i="1"/>
  <c r="AZ27" i="1"/>
  <c r="BA27" i="1"/>
  <c r="BB27" i="1"/>
  <c r="BD27" i="1"/>
  <c r="AZ35" i="1"/>
  <c r="BA35" i="1"/>
  <c r="BD35" i="1"/>
  <c r="BE35" i="1"/>
  <c r="BB67" i="1"/>
  <c r="AY67" i="1"/>
  <c r="AZ67" i="1"/>
  <c r="BA67" i="1"/>
  <c r="BD67" i="1"/>
  <c r="BE67" i="1"/>
  <c r="AY80" i="1"/>
  <c r="AZ80" i="1"/>
  <c r="BA80" i="1"/>
  <c r="BB80" i="1"/>
  <c r="BD80" i="1"/>
  <c r="BE80" i="1"/>
  <c r="AY93" i="1"/>
  <c r="AZ93" i="1"/>
  <c r="BA93" i="1"/>
  <c r="BB93" i="1"/>
  <c r="BD93" i="1"/>
  <c r="BE93" i="1"/>
  <c r="AY101" i="1"/>
  <c r="AZ101" i="1"/>
  <c r="BA101" i="1"/>
  <c r="BB101" i="1"/>
  <c r="BD101" i="1"/>
  <c r="BE101" i="1"/>
  <c r="AY141" i="1"/>
  <c r="AZ141" i="1"/>
  <c r="BA141" i="1"/>
  <c r="BB141" i="1"/>
  <c r="BD141" i="1"/>
  <c r="BE141" i="1"/>
  <c r="AV141" i="1"/>
  <c r="AY231" i="1"/>
  <c r="AZ231" i="1"/>
  <c r="BA231" i="1"/>
  <c r="BB231" i="1"/>
  <c r="BD231" i="1"/>
  <c r="BE231" i="1"/>
  <c r="AY260" i="1"/>
  <c r="AZ260" i="1"/>
  <c r="AZ264" i="1" s="1"/>
  <c r="BA260" i="1"/>
  <c r="BA264" i="1" s="1"/>
  <c r="BB260" i="1"/>
  <c r="BD260" i="1"/>
  <c r="BD264" i="1" s="1"/>
  <c r="BE260" i="1"/>
  <c r="BE264" i="1" s="1"/>
  <c r="AX261" i="1"/>
  <c r="AX260" i="1" s="1"/>
  <c r="AX258" i="1"/>
  <c r="AW258" i="1" s="1"/>
  <c r="AX257" i="1"/>
  <c r="AW257" i="1" s="1"/>
  <c r="AX256" i="1"/>
  <c r="AW256" i="1" s="1"/>
  <c r="AX255" i="1"/>
  <c r="AW255" i="1" s="1"/>
  <c r="AX254" i="1"/>
  <c r="AW254" i="1" s="1"/>
  <c r="AX253" i="1"/>
  <c r="AW253" i="1" s="1"/>
  <c r="AX252" i="1"/>
  <c r="AW252" i="1" s="1"/>
  <c r="AX251" i="1"/>
  <c r="AW251" i="1" s="1"/>
  <c r="AX250" i="1"/>
  <c r="AW250" i="1" s="1"/>
  <c r="AX249" i="1"/>
  <c r="AW249" i="1" s="1"/>
  <c r="AX248" i="1"/>
  <c r="AW248" i="1" s="1"/>
  <c r="AX247" i="1"/>
  <c r="AW247" i="1" s="1"/>
  <c r="AX246" i="1"/>
  <c r="AW246" i="1" s="1"/>
  <c r="AX245" i="1"/>
  <c r="AW245" i="1" s="1"/>
  <c r="AX244" i="1"/>
  <c r="AW244" i="1" s="1"/>
  <c r="AX242" i="1"/>
  <c r="AW242" i="1" s="1"/>
  <c r="AX241" i="1"/>
  <c r="AW241" i="1" s="1"/>
  <c r="AX240" i="1"/>
  <c r="AW240" i="1" s="1"/>
  <c r="AX239" i="1"/>
  <c r="AW239" i="1" s="1"/>
  <c r="AX238" i="1"/>
  <c r="AW238" i="1" s="1"/>
  <c r="AX237" i="1"/>
  <c r="AW237" i="1" s="1"/>
  <c r="AX236" i="1"/>
  <c r="AW236" i="1" s="1"/>
  <c r="AX235" i="1"/>
  <c r="AW235" i="1" s="1"/>
  <c r="AX233" i="1"/>
  <c r="AW233" i="1" s="1"/>
  <c r="AX232" i="1"/>
  <c r="AW232" i="1" s="1"/>
  <c r="AX229" i="1"/>
  <c r="AW229" i="1" s="1"/>
  <c r="AX228" i="1"/>
  <c r="AW228" i="1" s="1"/>
  <c r="AX227" i="1"/>
  <c r="AW227" i="1" s="1"/>
  <c r="AX226" i="1"/>
  <c r="AW226" i="1" s="1"/>
  <c r="AX225" i="1"/>
  <c r="AW225" i="1" s="1"/>
  <c r="AX224" i="1"/>
  <c r="AW224" i="1" s="1"/>
  <c r="AX223" i="1"/>
  <c r="AW223" i="1" s="1"/>
  <c r="AX222" i="1"/>
  <c r="AW222" i="1" s="1"/>
  <c r="AX221" i="1"/>
  <c r="AW221" i="1" s="1"/>
  <c r="AX220" i="1"/>
  <c r="AW220" i="1" s="1"/>
  <c r="AX219" i="1"/>
  <c r="AW219" i="1" s="1"/>
  <c r="AX218" i="1"/>
  <c r="AW218" i="1" s="1"/>
  <c r="AX217" i="1"/>
  <c r="AW217" i="1" s="1"/>
  <c r="AX216" i="1"/>
  <c r="AW216" i="1" s="1"/>
  <c r="AX214" i="1"/>
  <c r="AW214" i="1" s="1"/>
  <c r="AX213" i="1"/>
  <c r="AW213" i="1" s="1"/>
  <c r="AX212" i="1"/>
  <c r="AW212" i="1" s="1"/>
  <c r="AX211" i="1"/>
  <c r="AW211" i="1" s="1"/>
  <c r="AX210" i="1"/>
  <c r="AW210" i="1" s="1"/>
  <c r="AX209" i="1"/>
  <c r="AW209" i="1" s="1"/>
  <c r="AX208" i="1"/>
  <c r="AW208" i="1" s="1"/>
  <c r="AX207" i="1"/>
  <c r="AW207" i="1" s="1"/>
  <c r="AX206" i="1"/>
  <c r="AW206" i="1" s="1"/>
  <c r="AX205" i="1"/>
  <c r="AW205" i="1" s="1"/>
  <c r="AX204" i="1"/>
  <c r="AW204" i="1" s="1"/>
  <c r="AX203" i="1"/>
  <c r="AW203" i="1" s="1"/>
  <c r="AX202" i="1"/>
  <c r="AW202" i="1" s="1"/>
  <c r="AX201" i="1"/>
  <c r="AW201" i="1" s="1"/>
  <c r="AX200" i="1"/>
  <c r="AW200" i="1" s="1"/>
  <c r="AX199" i="1"/>
  <c r="AW199" i="1" s="1"/>
  <c r="AX198" i="1"/>
  <c r="AW198" i="1" s="1"/>
  <c r="AX197" i="1"/>
  <c r="AW197" i="1" s="1"/>
  <c r="AX196" i="1"/>
  <c r="AW196" i="1" s="1"/>
  <c r="AX195" i="1"/>
  <c r="AW195" i="1" s="1"/>
  <c r="AX194" i="1"/>
  <c r="AW194" i="1" s="1"/>
  <c r="AX193" i="1"/>
  <c r="AW193" i="1" s="1"/>
  <c r="AX192" i="1"/>
  <c r="AW192" i="1" s="1"/>
  <c r="AX191" i="1"/>
  <c r="AW191" i="1" s="1"/>
  <c r="AX190" i="1"/>
  <c r="AW190" i="1" s="1"/>
  <c r="AX189" i="1"/>
  <c r="AW189" i="1" s="1"/>
  <c r="AX188" i="1"/>
  <c r="AW188" i="1" s="1"/>
  <c r="AX187" i="1"/>
  <c r="AW187" i="1" s="1"/>
  <c r="AX186" i="1"/>
  <c r="AW186" i="1" s="1"/>
  <c r="AX185" i="1"/>
  <c r="AW185" i="1" s="1"/>
  <c r="AX184" i="1"/>
  <c r="AW184" i="1" s="1"/>
  <c r="AX183" i="1"/>
  <c r="AW183" i="1" s="1"/>
  <c r="AX180" i="1"/>
  <c r="AW180" i="1" s="1"/>
  <c r="AX179" i="1"/>
  <c r="AW179" i="1" s="1"/>
  <c r="AX178" i="1"/>
  <c r="AW178" i="1" s="1"/>
  <c r="AX177" i="1"/>
  <c r="AW177" i="1" s="1"/>
  <c r="AX176" i="1"/>
  <c r="AW176" i="1" s="1"/>
  <c r="AX175" i="1"/>
  <c r="AW175" i="1" s="1"/>
  <c r="AX174" i="1"/>
  <c r="AW174" i="1" s="1"/>
  <c r="AX173" i="1"/>
  <c r="AW173" i="1" s="1"/>
  <c r="AX172" i="1"/>
  <c r="AW172" i="1" s="1"/>
  <c r="AX171" i="1"/>
  <c r="AW171" i="1" s="1"/>
  <c r="AX170" i="1"/>
  <c r="AW170" i="1" s="1"/>
  <c r="AX168" i="1"/>
  <c r="AW168" i="1" s="1"/>
  <c r="AX167" i="1"/>
  <c r="AW167" i="1" s="1"/>
  <c r="AX166" i="1"/>
  <c r="AW166" i="1" s="1"/>
  <c r="AX165" i="1"/>
  <c r="AW165" i="1" s="1"/>
  <c r="AX164" i="1"/>
  <c r="AW164" i="1" s="1"/>
  <c r="AX163" i="1"/>
  <c r="AW163" i="1" s="1"/>
  <c r="AX160" i="1"/>
  <c r="AW160" i="1" s="1"/>
  <c r="AX159" i="1"/>
  <c r="AW159" i="1" s="1"/>
  <c r="AX158" i="1"/>
  <c r="AW158" i="1" s="1"/>
  <c r="AX157" i="1"/>
  <c r="AW157" i="1" s="1"/>
  <c r="AX156" i="1"/>
  <c r="AW156" i="1" s="1"/>
  <c r="AX155" i="1"/>
  <c r="AW155" i="1" s="1"/>
  <c r="AX153" i="1"/>
  <c r="AW153" i="1" s="1"/>
  <c r="AX152" i="1"/>
  <c r="AW152" i="1" s="1"/>
  <c r="AX150" i="1"/>
  <c r="AW150" i="1" s="1"/>
  <c r="AX149" i="1"/>
  <c r="AW149" i="1" s="1"/>
  <c r="AX148" i="1"/>
  <c r="AW148" i="1" s="1"/>
  <c r="AX147" i="1"/>
  <c r="AW147" i="1" s="1"/>
  <c r="AX146" i="1"/>
  <c r="AW146" i="1" s="1"/>
  <c r="AX145" i="1"/>
  <c r="AW145" i="1" s="1"/>
  <c r="AX144" i="1"/>
  <c r="AW144" i="1" s="1"/>
  <c r="AX143" i="1"/>
  <c r="AW143" i="1" s="1"/>
  <c r="AX142" i="1"/>
  <c r="AW142" i="1" s="1"/>
  <c r="AX139" i="1"/>
  <c r="AW139" i="1" s="1"/>
  <c r="AX138" i="1"/>
  <c r="AW138" i="1" s="1"/>
  <c r="AX137" i="1"/>
  <c r="AW137" i="1" s="1"/>
  <c r="AX136" i="1"/>
  <c r="AW136" i="1" s="1"/>
  <c r="AX135" i="1"/>
  <c r="AW135" i="1" s="1"/>
  <c r="AX134" i="1"/>
  <c r="AW134" i="1" s="1"/>
  <c r="AX133" i="1"/>
  <c r="AW133" i="1" s="1"/>
  <c r="AX131" i="1"/>
  <c r="AW131" i="1" s="1"/>
  <c r="AX130" i="1"/>
  <c r="AW130" i="1" s="1"/>
  <c r="AX129" i="1"/>
  <c r="AW129" i="1" s="1"/>
  <c r="AX127" i="1"/>
  <c r="AW127" i="1" s="1"/>
  <c r="AX126" i="1"/>
  <c r="AW126" i="1" s="1"/>
  <c r="AX125" i="1"/>
  <c r="AW125" i="1" s="1"/>
  <c r="AX124" i="1"/>
  <c r="AW124" i="1" s="1"/>
  <c r="AX123" i="1"/>
  <c r="AW123" i="1" s="1"/>
  <c r="AX122" i="1"/>
  <c r="AW122" i="1" s="1"/>
  <c r="AX121" i="1"/>
  <c r="AW121" i="1" s="1"/>
  <c r="AX120" i="1"/>
  <c r="AW120" i="1" s="1"/>
  <c r="AX119" i="1"/>
  <c r="AW119" i="1" s="1"/>
  <c r="AX118" i="1"/>
  <c r="AW118" i="1" s="1"/>
  <c r="AX117" i="1"/>
  <c r="AW117" i="1" s="1"/>
  <c r="AX116" i="1"/>
  <c r="AW116" i="1" s="1"/>
  <c r="AX115" i="1"/>
  <c r="AW115" i="1" s="1"/>
  <c r="AX114" i="1"/>
  <c r="AW114" i="1" s="1"/>
  <c r="AX113" i="1"/>
  <c r="AW113" i="1" s="1"/>
  <c r="AX112" i="1"/>
  <c r="AW112" i="1" s="1"/>
  <c r="AX111" i="1"/>
  <c r="AW111" i="1" s="1"/>
  <c r="AX110" i="1"/>
  <c r="AW110" i="1" s="1"/>
  <c r="AX109" i="1"/>
  <c r="AW109" i="1" s="1"/>
  <c r="AX108" i="1"/>
  <c r="AW108" i="1" s="1"/>
  <c r="AX107" i="1"/>
  <c r="AW107" i="1" s="1"/>
  <c r="AX106" i="1"/>
  <c r="AW106" i="1" s="1"/>
  <c r="AX105" i="1"/>
  <c r="AW105" i="1" s="1"/>
  <c r="AX104" i="1"/>
  <c r="AW104" i="1" s="1"/>
  <c r="AX103" i="1"/>
  <c r="AW103" i="1" s="1"/>
  <c r="AX102" i="1"/>
  <c r="AW102" i="1" s="1"/>
  <c r="AX99" i="1"/>
  <c r="AW99" i="1" s="1"/>
  <c r="AX98" i="1"/>
  <c r="AW98" i="1" s="1"/>
  <c r="AX97" i="1"/>
  <c r="AW97" i="1" s="1"/>
  <c r="AX96" i="1"/>
  <c r="AW96" i="1" s="1"/>
  <c r="AX95" i="1"/>
  <c r="AW95" i="1" s="1"/>
  <c r="AX94" i="1"/>
  <c r="AW94" i="1" s="1"/>
  <c r="AX91" i="1"/>
  <c r="AW91" i="1" s="1"/>
  <c r="AX90" i="1"/>
  <c r="AW90" i="1" s="1"/>
  <c r="AX89" i="1"/>
  <c r="AW89" i="1" s="1"/>
  <c r="AX88" i="1"/>
  <c r="AW88" i="1" s="1"/>
  <c r="AX87" i="1"/>
  <c r="AW87" i="1" s="1"/>
  <c r="AX86" i="1"/>
  <c r="AW86" i="1" s="1"/>
  <c r="AX85" i="1"/>
  <c r="AX84" i="1"/>
  <c r="AW84" i="1" s="1"/>
  <c r="AX83" i="1"/>
  <c r="AW83" i="1" s="1"/>
  <c r="AX82" i="1"/>
  <c r="AW82" i="1" s="1"/>
  <c r="AX81" i="1"/>
  <c r="AW81" i="1" s="1"/>
  <c r="AX78" i="1"/>
  <c r="AW78" i="1" s="1"/>
  <c r="AX77" i="1"/>
  <c r="AW77" i="1" s="1"/>
  <c r="AX76" i="1"/>
  <c r="AW76" i="1" s="1"/>
  <c r="AX75" i="1"/>
  <c r="AX74" i="1"/>
  <c r="AW74" i="1" s="1"/>
  <c r="AX73" i="1"/>
  <c r="AW73" i="1" s="1"/>
  <c r="AX72" i="1"/>
  <c r="AW72" i="1" s="1"/>
  <c r="AX71" i="1"/>
  <c r="AW71" i="1" s="1"/>
  <c r="AX70" i="1"/>
  <c r="AW70" i="1" s="1"/>
  <c r="AX69" i="1"/>
  <c r="AW69" i="1" s="1"/>
  <c r="AX68" i="1"/>
  <c r="AW68" i="1" s="1"/>
  <c r="AX64" i="1"/>
  <c r="AW64" i="1" s="1"/>
  <c r="AX63" i="1"/>
  <c r="AW63" i="1" s="1"/>
  <c r="AX62" i="1"/>
  <c r="AW62" i="1" s="1"/>
  <c r="AX60" i="1"/>
  <c r="AW60" i="1" s="1"/>
  <c r="AX59" i="1"/>
  <c r="AW59" i="1" s="1"/>
  <c r="AX58" i="1"/>
  <c r="AW58" i="1" s="1"/>
  <c r="AX56" i="1"/>
  <c r="AW56" i="1" s="1"/>
  <c r="AX51" i="1"/>
  <c r="AW51" i="1" s="1"/>
  <c r="AX50" i="1"/>
  <c r="AW50" i="1" s="1"/>
  <c r="AX47" i="1"/>
  <c r="AW47" i="1" s="1"/>
  <c r="AX46" i="1"/>
  <c r="AW46" i="1" s="1"/>
  <c r="AX45" i="1"/>
  <c r="AW45" i="1" s="1"/>
  <c r="AX44" i="1"/>
  <c r="AW44" i="1" s="1"/>
  <c r="AX43" i="1"/>
  <c r="AW43" i="1" s="1"/>
  <c r="AX42" i="1"/>
  <c r="AW42" i="1" s="1"/>
  <c r="AX41" i="1"/>
  <c r="AW41" i="1" s="1"/>
  <c r="AX40" i="1"/>
  <c r="AW40" i="1" s="1"/>
  <c r="AX39" i="1"/>
  <c r="AW39" i="1" s="1"/>
  <c r="AX38" i="1"/>
  <c r="AX37" i="1"/>
  <c r="AW37" i="1" s="1"/>
  <c r="AX36" i="1"/>
  <c r="AW36" i="1" s="1"/>
  <c r="AX33" i="1"/>
  <c r="AW33" i="1" s="1"/>
  <c r="AX32" i="1"/>
  <c r="AW32" i="1" s="1"/>
  <c r="AX31" i="1"/>
  <c r="AW31" i="1" s="1"/>
  <c r="AX30" i="1"/>
  <c r="AW30" i="1" s="1"/>
  <c r="AX29" i="1"/>
  <c r="AW29" i="1" s="1"/>
  <c r="AX28" i="1"/>
  <c r="AW28" i="1" s="1"/>
  <c r="AX15" i="1"/>
  <c r="AX16" i="1"/>
  <c r="AW16" i="1" s="1"/>
  <c r="AX17" i="1"/>
  <c r="AW17" i="1" s="1"/>
  <c r="AX18" i="1"/>
  <c r="AW18" i="1" s="1"/>
  <c r="AX19" i="1"/>
  <c r="AW19" i="1" s="1"/>
  <c r="AX20" i="1"/>
  <c r="AW20" i="1" s="1"/>
  <c r="AX21" i="1"/>
  <c r="AW21" i="1" s="1"/>
  <c r="AX22" i="1"/>
  <c r="AW22" i="1" s="1"/>
  <c r="AX23" i="1"/>
  <c r="AW23" i="1" s="1"/>
  <c r="AX24" i="1"/>
  <c r="AW24" i="1" s="1"/>
  <c r="AX14" i="1"/>
  <c r="AW14" i="1" s="1"/>
  <c r="AS13" i="1"/>
  <c r="AT13" i="1"/>
  <c r="AU13" i="1"/>
  <c r="AS27" i="1"/>
  <c r="AT27" i="1"/>
  <c r="AU27" i="1"/>
  <c r="AS35" i="1"/>
  <c r="AT35" i="1"/>
  <c r="AU35" i="1"/>
  <c r="AS67" i="1"/>
  <c r="AT67" i="1"/>
  <c r="AU67" i="1"/>
  <c r="AS80" i="1"/>
  <c r="AT80" i="1"/>
  <c r="AU80" i="1"/>
  <c r="AS93" i="1"/>
  <c r="AT93" i="1"/>
  <c r="AU93" i="1"/>
  <c r="AS101" i="1"/>
  <c r="AT101" i="1"/>
  <c r="AU101" i="1"/>
  <c r="AT141" i="1"/>
  <c r="AU141" i="1"/>
  <c r="AS231" i="1"/>
  <c r="AT231" i="1"/>
  <c r="AU231" i="1"/>
  <c r="AS260" i="1"/>
  <c r="AS264" i="1" s="1"/>
  <c r="AT260" i="1"/>
  <c r="AT264" i="1" s="1"/>
  <c r="AU260" i="1"/>
  <c r="AU264" i="1" s="1"/>
  <c r="AR261" i="1"/>
  <c r="AR260" i="1" s="1"/>
  <c r="AR256" i="1"/>
  <c r="AQ256" i="1" s="1"/>
  <c r="AR255" i="1"/>
  <c r="AQ255" i="1" s="1"/>
  <c r="AR254" i="1"/>
  <c r="AQ254" i="1" s="1"/>
  <c r="AR253" i="1"/>
  <c r="AQ253" i="1" s="1"/>
  <c r="AR252" i="1"/>
  <c r="AQ252" i="1" s="1"/>
  <c r="AR251" i="1"/>
  <c r="AQ251" i="1" s="1"/>
  <c r="AR250" i="1"/>
  <c r="AQ250" i="1" s="1"/>
  <c r="AR249" i="1"/>
  <c r="AQ249" i="1" s="1"/>
  <c r="AR248" i="1"/>
  <c r="AQ248" i="1" s="1"/>
  <c r="AR247" i="1"/>
  <c r="AQ247" i="1" s="1"/>
  <c r="AR246" i="1"/>
  <c r="AQ246" i="1" s="1"/>
  <c r="AR245" i="1"/>
  <c r="AQ245" i="1" s="1"/>
  <c r="AR244" i="1"/>
  <c r="AQ244" i="1" s="1"/>
  <c r="AR242" i="1"/>
  <c r="AQ242" i="1" s="1"/>
  <c r="AR241" i="1"/>
  <c r="AQ241" i="1" s="1"/>
  <c r="AR240" i="1"/>
  <c r="AQ240" i="1" s="1"/>
  <c r="AR239" i="1"/>
  <c r="AQ239" i="1" s="1"/>
  <c r="AR238" i="1"/>
  <c r="AQ238" i="1" s="1"/>
  <c r="AR237" i="1"/>
  <c r="AQ237" i="1" s="1"/>
  <c r="AR236" i="1"/>
  <c r="AQ236" i="1" s="1"/>
  <c r="AR235" i="1"/>
  <c r="AQ235" i="1" s="1"/>
  <c r="AR233" i="1"/>
  <c r="AQ233" i="1" s="1"/>
  <c r="AR232" i="1"/>
  <c r="AQ232" i="1" s="1"/>
  <c r="AR224" i="1"/>
  <c r="AQ224" i="1" s="1"/>
  <c r="AR223" i="1"/>
  <c r="AQ223" i="1" s="1"/>
  <c r="AR222" i="1"/>
  <c r="AQ222" i="1" s="1"/>
  <c r="AR221" i="1"/>
  <c r="AQ221" i="1" s="1"/>
  <c r="AR220" i="1"/>
  <c r="AQ220" i="1" s="1"/>
  <c r="AR219" i="1"/>
  <c r="AQ219" i="1" s="1"/>
  <c r="AR218" i="1"/>
  <c r="AQ218" i="1" s="1"/>
  <c r="AR217" i="1"/>
  <c r="AQ217" i="1" s="1"/>
  <c r="AR216" i="1"/>
  <c r="AQ216" i="1" s="1"/>
  <c r="AR214" i="1"/>
  <c r="AQ214" i="1" s="1"/>
  <c r="AR213" i="1"/>
  <c r="AQ213" i="1" s="1"/>
  <c r="AR212" i="1"/>
  <c r="AQ212" i="1" s="1"/>
  <c r="AR211" i="1"/>
  <c r="AQ211" i="1" s="1"/>
  <c r="AR210" i="1"/>
  <c r="AQ210" i="1" s="1"/>
  <c r="AR209" i="1"/>
  <c r="AQ209" i="1" s="1"/>
  <c r="AR208" i="1"/>
  <c r="AQ208" i="1" s="1"/>
  <c r="AR207" i="1"/>
  <c r="AQ207" i="1" s="1"/>
  <c r="AR206" i="1"/>
  <c r="AQ206" i="1" s="1"/>
  <c r="AR205" i="1"/>
  <c r="AQ205" i="1" s="1"/>
  <c r="AR204" i="1"/>
  <c r="AQ204" i="1" s="1"/>
  <c r="AR203" i="1"/>
  <c r="AQ203" i="1" s="1"/>
  <c r="AR202" i="1"/>
  <c r="AQ202" i="1" s="1"/>
  <c r="AR201" i="1"/>
  <c r="AQ201" i="1" s="1"/>
  <c r="AR200" i="1"/>
  <c r="AQ200" i="1" s="1"/>
  <c r="AR199" i="1"/>
  <c r="AQ199" i="1" s="1"/>
  <c r="AR198" i="1"/>
  <c r="AQ198" i="1" s="1"/>
  <c r="AR197" i="1"/>
  <c r="AQ197" i="1" s="1"/>
  <c r="AR196" i="1"/>
  <c r="AQ196" i="1" s="1"/>
  <c r="AR195" i="1"/>
  <c r="AQ195" i="1" s="1"/>
  <c r="AR194" i="1"/>
  <c r="AQ194" i="1" s="1"/>
  <c r="AR193" i="1"/>
  <c r="AQ193" i="1" s="1"/>
  <c r="AR192" i="1"/>
  <c r="AQ192" i="1" s="1"/>
  <c r="AR191" i="1"/>
  <c r="AQ191" i="1" s="1"/>
  <c r="AR190" i="1"/>
  <c r="AQ190" i="1" s="1"/>
  <c r="AR189" i="1"/>
  <c r="AQ189" i="1" s="1"/>
  <c r="AR188" i="1"/>
  <c r="AQ188" i="1" s="1"/>
  <c r="AR187" i="1"/>
  <c r="AQ187" i="1" s="1"/>
  <c r="AR186" i="1"/>
  <c r="AQ186" i="1" s="1"/>
  <c r="AR185" i="1"/>
  <c r="AQ185" i="1" s="1"/>
  <c r="AR184" i="1"/>
  <c r="AQ184" i="1" s="1"/>
  <c r="AR183" i="1"/>
  <c r="AQ183" i="1" s="1"/>
  <c r="AR180" i="1"/>
  <c r="AQ180" i="1" s="1"/>
  <c r="AR179" i="1"/>
  <c r="AQ179" i="1" s="1"/>
  <c r="AR178" i="1"/>
  <c r="AQ178" i="1" s="1"/>
  <c r="AR177" i="1"/>
  <c r="AQ177" i="1" s="1"/>
  <c r="AR175" i="1"/>
  <c r="AQ175" i="1" s="1"/>
  <c r="AR174" i="1"/>
  <c r="AQ174" i="1" s="1"/>
  <c r="AR173" i="1"/>
  <c r="AQ173" i="1" s="1"/>
  <c r="AR172" i="1"/>
  <c r="AQ172" i="1" s="1"/>
  <c r="AR171" i="1"/>
  <c r="AQ171" i="1" s="1"/>
  <c r="AR170" i="1"/>
  <c r="AQ170" i="1" s="1"/>
  <c r="AR168" i="1"/>
  <c r="AQ168" i="1" s="1"/>
  <c r="AR167" i="1"/>
  <c r="AQ167" i="1" s="1"/>
  <c r="AR166" i="1"/>
  <c r="AQ166" i="1" s="1"/>
  <c r="AR165" i="1"/>
  <c r="AQ165" i="1" s="1"/>
  <c r="AR164" i="1"/>
  <c r="AQ164" i="1" s="1"/>
  <c r="AR163" i="1"/>
  <c r="AQ163" i="1" s="1"/>
  <c r="AR160" i="1"/>
  <c r="AQ160" i="1" s="1"/>
  <c r="AR159" i="1"/>
  <c r="AQ159" i="1" s="1"/>
  <c r="AR158" i="1"/>
  <c r="AQ158" i="1" s="1"/>
  <c r="AR157" i="1"/>
  <c r="AQ157" i="1" s="1"/>
  <c r="AR156" i="1"/>
  <c r="AQ156" i="1" s="1"/>
  <c r="AR155" i="1"/>
  <c r="AQ155" i="1" s="1"/>
  <c r="AR153" i="1"/>
  <c r="AQ153" i="1" s="1"/>
  <c r="AR152" i="1"/>
  <c r="AQ152" i="1" s="1"/>
  <c r="AR150" i="1"/>
  <c r="AQ150" i="1" s="1"/>
  <c r="AR149" i="1"/>
  <c r="AQ149" i="1" s="1"/>
  <c r="AR148" i="1"/>
  <c r="AQ148" i="1" s="1"/>
  <c r="AR147" i="1"/>
  <c r="AQ147" i="1" s="1"/>
  <c r="AR146" i="1"/>
  <c r="AQ146" i="1" s="1"/>
  <c r="AR145" i="1"/>
  <c r="AQ145" i="1" s="1"/>
  <c r="AR144" i="1"/>
  <c r="AQ144" i="1" s="1"/>
  <c r="AR143" i="1"/>
  <c r="AQ143" i="1" s="1"/>
  <c r="AR142" i="1"/>
  <c r="AQ142" i="1" s="1"/>
  <c r="AR135" i="1"/>
  <c r="AQ135" i="1" s="1"/>
  <c r="AR134" i="1"/>
  <c r="AQ134" i="1" s="1"/>
  <c r="AR133" i="1"/>
  <c r="AQ133" i="1" s="1"/>
  <c r="AR131" i="1"/>
  <c r="AQ131" i="1" s="1"/>
  <c r="AR130" i="1"/>
  <c r="AQ130" i="1" s="1"/>
  <c r="AR129" i="1"/>
  <c r="AQ129" i="1" s="1"/>
  <c r="AR127" i="1"/>
  <c r="AQ127" i="1" s="1"/>
  <c r="AR126" i="1"/>
  <c r="AQ126" i="1" s="1"/>
  <c r="AR125" i="1"/>
  <c r="AQ125" i="1" s="1"/>
  <c r="AR124" i="1"/>
  <c r="AQ124" i="1" s="1"/>
  <c r="AR123" i="1"/>
  <c r="AQ123" i="1" s="1"/>
  <c r="AR122" i="1"/>
  <c r="AQ122" i="1" s="1"/>
  <c r="AR121" i="1"/>
  <c r="AQ121" i="1" s="1"/>
  <c r="AR120" i="1"/>
  <c r="AQ120" i="1" s="1"/>
  <c r="AR119" i="1"/>
  <c r="AQ119" i="1" s="1"/>
  <c r="AR118" i="1"/>
  <c r="AQ118" i="1" s="1"/>
  <c r="AR117" i="1"/>
  <c r="AQ117" i="1" s="1"/>
  <c r="AR116" i="1"/>
  <c r="AQ116" i="1" s="1"/>
  <c r="AR115" i="1"/>
  <c r="AQ115" i="1" s="1"/>
  <c r="AR114" i="1"/>
  <c r="AQ114" i="1" s="1"/>
  <c r="AR113" i="1"/>
  <c r="AQ113" i="1" s="1"/>
  <c r="AR112" i="1"/>
  <c r="AQ112" i="1" s="1"/>
  <c r="AR111" i="1"/>
  <c r="AQ111" i="1" s="1"/>
  <c r="AR110" i="1"/>
  <c r="AQ110" i="1" s="1"/>
  <c r="AR109" i="1"/>
  <c r="AQ109" i="1" s="1"/>
  <c r="AR108" i="1"/>
  <c r="AQ108" i="1" s="1"/>
  <c r="AR107" i="1"/>
  <c r="AQ107" i="1" s="1"/>
  <c r="AR106" i="1"/>
  <c r="AQ106" i="1" s="1"/>
  <c r="AR105" i="1"/>
  <c r="AQ105" i="1" s="1"/>
  <c r="AR104" i="1"/>
  <c r="AR103" i="1"/>
  <c r="AQ103" i="1" s="1"/>
  <c r="AR102" i="1"/>
  <c r="AQ102" i="1" s="1"/>
  <c r="AR99" i="1"/>
  <c r="AQ99" i="1" s="1"/>
  <c r="AR98" i="1"/>
  <c r="AQ98" i="1" s="1"/>
  <c r="AR97" i="1"/>
  <c r="AQ97" i="1" s="1"/>
  <c r="AR96" i="1"/>
  <c r="AQ96" i="1" s="1"/>
  <c r="AR95" i="1"/>
  <c r="AQ95" i="1" s="1"/>
  <c r="AR94" i="1"/>
  <c r="AQ94" i="1" s="1"/>
  <c r="AR88" i="1"/>
  <c r="AQ88" i="1" s="1"/>
  <c r="AR87" i="1"/>
  <c r="AQ87" i="1" s="1"/>
  <c r="AR86" i="1"/>
  <c r="AQ86" i="1" s="1"/>
  <c r="AR85" i="1"/>
  <c r="AQ85" i="1" s="1"/>
  <c r="AR84" i="1"/>
  <c r="AQ84" i="1" s="1"/>
  <c r="AR83" i="1"/>
  <c r="AQ83" i="1" s="1"/>
  <c r="AR82" i="1"/>
  <c r="AQ82" i="1" s="1"/>
  <c r="AR81" i="1"/>
  <c r="AR77" i="1"/>
  <c r="AQ77" i="1" s="1"/>
  <c r="AR76" i="1"/>
  <c r="AQ76" i="1" s="1"/>
  <c r="AR75" i="1"/>
  <c r="AQ75" i="1" s="1"/>
  <c r="AR74" i="1"/>
  <c r="AQ74" i="1" s="1"/>
  <c r="AR73" i="1"/>
  <c r="AQ73" i="1" s="1"/>
  <c r="AR72" i="1"/>
  <c r="AQ72" i="1" s="1"/>
  <c r="AR71" i="1"/>
  <c r="AQ71" i="1" s="1"/>
  <c r="AR70" i="1"/>
  <c r="AR69" i="1"/>
  <c r="AQ69" i="1" s="1"/>
  <c r="AR68" i="1"/>
  <c r="AQ68" i="1" s="1"/>
  <c r="AR56" i="1"/>
  <c r="AQ56" i="1" s="1"/>
  <c r="AR51" i="1"/>
  <c r="AQ51" i="1" s="1"/>
  <c r="AR50" i="1"/>
  <c r="AQ50" i="1" s="1"/>
  <c r="AR49" i="1"/>
  <c r="AQ49" i="1" s="1"/>
  <c r="AR48" i="1"/>
  <c r="AQ48" i="1" s="1"/>
  <c r="AR47" i="1"/>
  <c r="AQ47" i="1" s="1"/>
  <c r="AR46" i="1"/>
  <c r="AQ46" i="1" s="1"/>
  <c r="AR45" i="1"/>
  <c r="AQ45" i="1" s="1"/>
  <c r="AR44" i="1"/>
  <c r="AQ44" i="1" s="1"/>
  <c r="AR43" i="1"/>
  <c r="AQ43" i="1" s="1"/>
  <c r="AR42" i="1"/>
  <c r="AQ42" i="1" s="1"/>
  <c r="AR41" i="1"/>
  <c r="AQ41" i="1" s="1"/>
  <c r="AR40" i="1"/>
  <c r="AQ40" i="1" s="1"/>
  <c r="AR39" i="1"/>
  <c r="AQ39" i="1" s="1"/>
  <c r="AR38" i="1"/>
  <c r="AQ38" i="1" s="1"/>
  <c r="AR37" i="1"/>
  <c r="AQ37" i="1" s="1"/>
  <c r="AR36" i="1"/>
  <c r="AQ36" i="1" s="1"/>
  <c r="AR33" i="1"/>
  <c r="AQ33" i="1" s="1"/>
  <c r="AR32" i="1"/>
  <c r="AQ32" i="1" s="1"/>
  <c r="AR31" i="1"/>
  <c r="AQ31" i="1" s="1"/>
  <c r="AR30" i="1"/>
  <c r="AQ30" i="1" s="1"/>
  <c r="AR29" i="1"/>
  <c r="AQ29" i="1" s="1"/>
  <c r="AR28" i="1"/>
  <c r="AQ28" i="1" s="1"/>
  <c r="AR15" i="1"/>
  <c r="AR16" i="1"/>
  <c r="AQ16" i="1" s="1"/>
  <c r="AR17" i="1"/>
  <c r="AQ17" i="1" s="1"/>
  <c r="AR18" i="1"/>
  <c r="AQ18" i="1" s="1"/>
  <c r="AR19" i="1"/>
  <c r="AQ19" i="1" s="1"/>
  <c r="AR20" i="1"/>
  <c r="AQ20" i="1" s="1"/>
  <c r="AR14" i="1"/>
  <c r="AQ14" i="1" s="1"/>
  <c r="AI13" i="1"/>
  <c r="AJ13" i="1"/>
  <c r="AK13" i="1"/>
  <c r="AL13" i="1"/>
  <c r="AM13" i="1"/>
  <c r="AN13" i="1"/>
  <c r="AI27" i="1"/>
  <c r="AJ27" i="1"/>
  <c r="AK27" i="1"/>
  <c r="AL27" i="1"/>
  <c r="AM27" i="1"/>
  <c r="AN27" i="1"/>
  <c r="AI35" i="1"/>
  <c r="AJ35" i="1"/>
  <c r="AK35" i="1"/>
  <c r="AL35" i="1"/>
  <c r="AM35" i="1"/>
  <c r="AN35" i="1"/>
  <c r="AI67" i="1"/>
  <c r="AJ67" i="1"/>
  <c r="AK67" i="1"/>
  <c r="AL67" i="1"/>
  <c r="AM67" i="1"/>
  <c r="AN67" i="1"/>
  <c r="AI80" i="1"/>
  <c r="AJ80" i="1"/>
  <c r="AK80" i="1"/>
  <c r="AL80" i="1"/>
  <c r="AM80" i="1"/>
  <c r="AN80" i="1"/>
  <c r="AI93" i="1"/>
  <c r="AJ93" i="1"/>
  <c r="AK93" i="1"/>
  <c r="AL93" i="1"/>
  <c r="AM93" i="1"/>
  <c r="AN93" i="1"/>
  <c r="AI101" i="1"/>
  <c r="AJ101" i="1"/>
  <c r="AK101" i="1"/>
  <c r="AL101" i="1"/>
  <c r="AM101" i="1"/>
  <c r="AN101" i="1"/>
  <c r="AI141" i="1"/>
  <c r="AJ141" i="1"/>
  <c r="AK141" i="1"/>
  <c r="AL141" i="1"/>
  <c r="AM141" i="1"/>
  <c r="AN141" i="1"/>
  <c r="AI231" i="1"/>
  <c r="AJ231" i="1"/>
  <c r="AK231" i="1"/>
  <c r="AL231" i="1"/>
  <c r="AM231" i="1"/>
  <c r="AN231" i="1"/>
  <c r="AH261" i="1"/>
  <c r="AG261" i="1" s="1"/>
  <c r="AG260" i="1" s="1"/>
  <c r="Y261" i="1"/>
  <c r="X261" i="1" s="1"/>
  <c r="X260" i="1" s="1"/>
  <c r="AI260" i="1"/>
  <c r="AI264" i="1" s="1"/>
  <c r="AJ260" i="1"/>
  <c r="AJ264" i="1" s="1"/>
  <c r="AK260" i="1"/>
  <c r="AK264" i="1" s="1"/>
  <c r="AL260" i="1"/>
  <c r="AL264" i="1" s="1"/>
  <c r="AM260" i="1"/>
  <c r="AM264" i="1" s="1"/>
  <c r="AN260" i="1"/>
  <c r="AN264" i="1" s="1"/>
  <c r="AH256" i="1"/>
  <c r="AG256" i="1" s="1"/>
  <c r="AH255" i="1"/>
  <c r="AG255" i="1" s="1"/>
  <c r="AH254" i="1"/>
  <c r="AG254" i="1" s="1"/>
  <c r="AH253" i="1"/>
  <c r="AG253" i="1" s="1"/>
  <c r="AH252" i="1"/>
  <c r="AG252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2" i="1"/>
  <c r="AG242" i="1" s="1"/>
  <c r="AH241" i="1"/>
  <c r="AG241" i="1" s="1"/>
  <c r="AH240" i="1"/>
  <c r="AG240" i="1" s="1"/>
  <c r="AH239" i="1"/>
  <c r="AG239" i="1" s="1"/>
  <c r="AH238" i="1"/>
  <c r="AG238" i="1" s="1"/>
  <c r="AH237" i="1"/>
  <c r="AH236" i="1"/>
  <c r="AG236" i="1" s="1"/>
  <c r="AH235" i="1"/>
  <c r="AG235" i="1" s="1"/>
  <c r="AH233" i="1"/>
  <c r="AG233" i="1" s="1"/>
  <c r="AH232" i="1"/>
  <c r="AG232" i="1" s="1"/>
  <c r="AH224" i="1"/>
  <c r="AG224" i="1" s="1"/>
  <c r="AH223" i="1"/>
  <c r="AG223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4" i="1"/>
  <c r="AG214" i="1" s="1"/>
  <c r="AH213" i="1"/>
  <c r="AG213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3" i="1"/>
  <c r="AG153" i="1" s="1"/>
  <c r="AH152" i="1"/>
  <c r="AG152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3" i="1"/>
  <c r="AG143" i="1" s="1"/>
  <c r="AH142" i="1"/>
  <c r="AH135" i="1"/>
  <c r="AG135" i="1" s="1"/>
  <c r="AH134" i="1"/>
  <c r="AG134" i="1" s="1"/>
  <c r="AH133" i="1"/>
  <c r="AG133" i="1" s="1"/>
  <c r="AH131" i="1"/>
  <c r="AG131" i="1" s="1"/>
  <c r="AH130" i="1"/>
  <c r="AG130" i="1" s="1"/>
  <c r="AH129" i="1"/>
  <c r="AG129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H88" i="1"/>
  <c r="AG88" i="1" s="1"/>
  <c r="AH87" i="1"/>
  <c r="AG87" i="1" s="1"/>
  <c r="AH86" i="1"/>
  <c r="AG86" i="1" s="1"/>
  <c r="AH85" i="1"/>
  <c r="AG85" i="1" s="1"/>
  <c r="AH84" i="1"/>
  <c r="AG84" i="1" s="1"/>
  <c r="AH83" i="1"/>
  <c r="AG83" i="1" s="1"/>
  <c r="AH82" i="1"/>
  <c r="AG82" i="1" s="1"/>
  <c r="AH81" i="1"/>
  <c r="AG81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70" i="1"/>
  <c r="AG70" i="1" s="1"/>
  <c r="AH69" i="1"/>
  <c r="AG69" i="1" s="1"/>
  <c r="AH68" i="1"/>
  <c r="AH56" i="1"/>
  <c r="AG56" i="1" s="1"/>
  <c r="AH51" i="1"/>
  <c r="AG51" i="1" s="1"/>
  <c r="AH50" i="1"/>
  <c r="AG50" i="1" s="1"/>
  <c r="AH49" i="1"/>
  <c r="AG49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H38" i="1"/>
  <c r="AG38" i="1" s="1"/>
  <c r="AH37" i="1"/>
  <c r="AH36" i="1"/>
  <c r="AG36" i="1" s="1"/>
  <c r="AH33" i="1"/>
  <c r="AG33" i="1" s="1"/>
  <c r="AH32" i="1"/>
  <c r="AG32" i="1" s="1"/>
  <c r="AH31" i="1"/>
  <c r="AG31" i="1" s="1"/>
  <c r="AH30" i="1"/>
  <c r="AG30" i="1" s="1"/>
  <c r="AH29" i="1"/>
  <c r="AG29" i="1" s="1"/>
  <c r="AH28" i="1"/>
  <c r="AH15" i="1"/>
  <c r="AG15" i="1" s="1"/>
  <c r="AH16" i="1"/>
  <c r="AG16" i="1" s="1"/>
  <c r="AH17" i="1"/>
  <c r="AG17" i="1" s="1"/>
  <c r="AH18" i="1"/>
  <c r="AG18" i="1" s="1"/>
  <c r="AH19" i="1"/>
  <c r="AG19" i="1" s="1"/>
  <c r="AH20" i="1"/>
  <c r="AG20" i="1" s="1"/>
  <c r="Z27" i="1"/>
  <c r="AA27" i="1"/>
  <c r="AB27" i="1"/>
  <c r="AC27" i="1"/>
  <c r="AD27" i="1"/>
  <c r="AE27" i="1"/>
  <c r="Z35" i="1"/>
  <c r="AA35" i="1"/>
  <c r="AB35" i="1"/>
  <c r="AC35" i="1"/>
  <c r="AD35" i="1"/>
  <c r="AE35" i="1"/>
  <c r="Z67" i="1"/>
  <c r="AA67" i="1"/>
  <c r="AB67" i="1"/>
  <c r="AC67" i="1"/>
  <c r="AD67" i="1"/>
  <c r="AE67" i="1"/>
  <c r="Z80" i="1"/>
  <c r="AA80" i="1"/>
  <c r="AB80" i="1"/>
  <c r="AC80" i="1"/>
  <c r="AD80" i="1"/>
  <c r="AE80" i="1"/>
  <c r="Z93" i="1"/>
  <c r="AA93" i="1"/>
  <c r="AB93" i="1"/>
  <c r="AC93" i="1"/>
  <c r="AD93" i="1"/>
  <c r="AE93" i="1"/>
  <c r="Z101" i="1"/>
  <c r="AA101" i="1"/>
  <c r="AB101" i="1"/>
  <c r="AC101" i="1"/>
  <c r="AD101" i="1"/>
  <c r="AE101" i="1"/>
  <c r="Z141" i="1"/>
  <c r="AA141" i="1"/>
  <c r="AB141" i="1"/>
  <c r="AC141" i="1"/>
  <c r="AD141" i="1"/>
  <c r="AE141" i="1"/>
  <c r="Z231" i="1"/>
  <c r="AA231" i="1"/>
  <c r="AB231" i="1"/>
  <c r="AC231" i="1"/>
  <c r="AD231" i="1"/>
  <c r="AE231" i="1"/>
  <c r="AA260" i="1"/>
  <c r="AB260" i="1"/>
  <c r="AB264" i="1" s="1"/>
  <c r="AC260" i="1"/>
  <c r="AC264" i="1" s="1"/>
  <c r="AD260" i="1"/>
  <c r="AD264" i="1" s="1"/>
  <c r="AE260" i="1"/>
  <c r="AE264" i="1" s="1"/>
  <c r="Y256" i="1"/>
  <c r="X256" i="1" s="1"/>
  <c r="Y255" i="1"/>
  <c r="X255" i="1" s="1"/>
  <c r="Y254" i="1"/>
  <c r="X254" i="1" s="1"/>
  <c r="Y253" i="1"/>
  <c r="X253" i="1" s="1"/>
  <c r="Y252" i="1"/>
  <c r="X252" i="1" s="1"/>
  <c r="Y251" i="1"/>
  <c r="X251" i="1" s="1"/>
  <c r="Y250" i="1"/>
  <c r="X250" i="1" s="1"/>
  <c r="Y249" i="1"/>
  <c r="X249" i="1" s="1"/>
  <c r="Y248" i="1"/>
  <c r="X248" i="1" s="1"/>
  <c r="Y247" i="1"/>
  <c r="X247" i="1" s="1"/>
  <c r="Y246" i="1"/>
  <c r="X246" i="1" s="1"/>
  <c r="Y245" i="1"/>
  <c r="X245" i="1" s="1"/>
  <c r="Y244" i="1"/>
  <c r="X244" i="1" s="1"/>
  <c r="Y242" i="1"/>
  <c r="X242" i="1" s="1"/>
  <c r="Y241" i="1"/>
  <c r="X241" i="1" s="1"/>
  <c r="Y240" i="1"/>
  <c r="X240" i="1" s="1"/>
  <c r="Y239" i="1"/>
  <c r="X239" i="1" s="1"/>
  <c r="Y238" i="1"/>
  <c r="X238" i="1" s="1"/>
  <c r="Y237" i="1"/>
  <c r="X237" i="1" s="1"/>
  <c r="Y236" i="1"/>
  <c r="X236" i="1" s="1"/>
  <c r="Y235" i="1"/>
  <c r="X235" i="1" s="1"/>
  <c r="Y233" i="1"/>
  <c r="X233" i="1" s="1"/>
  <c r="Y232" i="1"/>
  <c r="X232" i="1" s="1"/>
  <c r="Y224" i="1"/>
  <c r="X224" i="1" s="1"/>
  <c r="Y223" i="1"/>
  <c r="X223" i="1" s="1"/>
  <c r="Y222" i="1"/>
  <c r="X222" i="1" s="1"/>
  <c r="Y221" i="1"/>
  <c r="X221" i="1" s="1"/>
  <c r="Y220" i="1"/>
  <c r="X220" i="1" s="1"/>
  <c r="Y219" i="1"/>
  <c r="X219" i="1" s="1"/>
  <c r="Y218" i="1"/>
  <c r="X218" i="1" s="1"/>
  <c r="Y217" i="1"/>
  <c r="X217" i="1" s="1"/>
  <c r="Y216" i="1"/>
  <c r="X216" i="1" s="1"/>
  <c r="Y214" i="1"/>
  <c r="X214" i="1" s="1"/>
  <c r="Y213" i="1"/>
  <c r="X213" i="1" s="1"/>
  <c r="Y212" i="1"/>
  <c r="X212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 s="1"/>
  <c r="Y174" i="1"/>
  <c r="X174" i="1" s="1"/>
  <c r="Y173" i="1"/>
  <c r="X173" i="1" s="1"/>
  <c r="Y172" i="1"/>
  <c r="X172" i="1" s="1"/>
  <c r="Y171" i="1"/>
  <c r="X171" i="1" s="1"/>
  <c r="Y170" i="1"/>
  <c r="X170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0" i="1"/>
  <c r="X160" i="1" s="1"/>
  <c r="Y159" i="1"/>
  <c r="X159" i="1" s="1"/>
  <c r="Y158" i="1"/>
  <c r="X158" i="1" s="1"/>
  <c r="Y157" i="1"/>
  <c r="X157" i="1" s="1"/>
  <c r="Y156" i="1"/>
  <c r="X156" i="1" s="1"/>
  <c r="Y155" i="1"/>
  <c r="X155" i="1" s="1"/>
  <c r="Y153" i="1"/>
  <c r="X153" i="1" s="1"/>
  <c r="Y152" i="1"/>
  <c r="X152" i="1" s="1"/>
  <c r="Y150" i="1"/>
  <c r="X150" i="1" s="1"/>
  <c r="Y149" i="1"/>
  <c r="X149" i="1" s="1"/>
  <c r="Y148" i="1"/>
  <c r="X148" i="1" s="1"/>
  <c r="Y147" i="1"/>
  <c r="X147" i="1" s="1"/>
  <c r="Y146" i="1"/>
  <c r="X146" i="1" s="1"/>
  <c r="Y145" i="1"/>
  <c r="X145" i="1" s="1"/>
  <c r="Y144" i="1"/>
  <c r="X144" i="1" s="1"/>
  <c r="Y143" i="1"/>
  <c r="X143" i="1" s="1"/>
  <c r="Y142" i="1"/>
  <c r="X142" i="1" s="1"/>
  <c r="Y135" i="1"/>
  <c r="X135" i="1" s="1"/>
  <c r="Y134" i="1"/>
  <c r="X134" i="1" s="1"/>
  <c r="Y133" i="1"/>
  <c r="X133" i="1" s="1"/>
  <c r="Y131" i="1"/>
  <c r="X131" i="1" s="1"/>
  <c r="Y130" i="1"/>
  <c r="X130" i="1" s="1"/>
  <c r="Y129" i="1"/>
  <c r="X129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5" i="1"/>
  <c r="X105" i="1" s="1"/>
  <c r="Y104" i="1"/>
  <c r="X104" i="1" s="1"/>
  <c r="Y103" i="1"/>
  <c r="X103" i="1" s="1"/>
  <c r="Y102" i="1"/>
  <c r="X102" i="1" s="1"/>
  <c r="Y99" i="1"/>
  <c r="X99" i="1" s="1"/>
  <c r="Y98" i="1"/>
  <c r="X98" i="1" s="1"/>
  <c r="Y97" i="1"/>
  <c r="X97" i="1" s="1"/>
  <c r="Y96" i="1"/>
  <c r="X96" i="1" s="1"/>
  <c r="Y95" i="1"/>
  <c r="X95" i="1" s="1"/>
  <c r="Y94" i="1"/>
  <c r="Y88" i="1"/>
  <c r="X88" i="1" s="1"/>
  <c r="Y87" i="1"/>
  <c r="X87" i="1" s="1"/>
  <c r="Y86" i="1"/>
  <c r="X86" i="1" s="1"/>
  <c r="Y85" i="1"/>
  <c r="X85" i="1" s="1"/>
  <c r="Y84" i="1"/>
  <c r="X84" i="1" s="1"/>
  <c r="Y83" i="1"/>
  <c r="X83" i="1" s="1"/>
  <c r="Y82" i="1"/>
  <c r="X82" i="1" s="1"/>
  <c r="Y81" i="1"/>
  <c r="Y77" i="1"/>
  <c r="X77" i="1" s="1"/>
  <c r="Y76" i="1"/>
  <c r="X76" i="1" s="1"/>
  <c r="Y75" i="1"/>
  <c r="X75" i="1" s="1"/>
  <c r="Y74" i="1"/>
  <c r="X74" i="1" s="1"/>
  <c r="Y73" i="1"/>
  <c r="X73" i="1" s="1"/>
  <c r="Y72" i="1"/>
  <c r="X72" i="1" s="1"/>
  <c r="Y71" i="1"/>
  <c r="X71" i="1" s="1"/>
  <c r="Y70" i="1"/>
  <c r="X70" i="1" s="1"/>
  <c r="Y69" i="1"/>
  <c r="X69" i="1" s="1"/>
  <c r="Y68" i="1"/>
  <c r="X68" i="1" s="1"/>
  <c r="Y56" i="1"/>
  <c r="X56" i="1" s="1"/>
  <c r="Y51" i="1"/>
  <c r="X51" i="1" s="1"/>
  <c r="Y50" i="1"/>
  <c r="X50" i="1" s="1"/>
  <c r="Y49" i="1"/>
  <c r="X49" i="1" s="1"/>
  <c r="Y48" i="1"/>
  <c r="X48" i="1" s="1"/>
  <c r="Y47" i="1"/>
  <c r="X47" i="1" s="1"/>
  <c r="Y46" i="1"/>
  <c r="X46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3" i="1"/>
  <c r="X33" i="1" s="1"/>
  <c r="Y32" i="1"/>
  <c r="X32" i="1" s="1"/>
  <c r="Y31" i="1"/>
  <c r="X31" i="1" s="1"/>
  <c r="Y30" i="1"/>
  <c r="X30" i="1" s="1"/>
  <c r="Y29" i="1"/>
  <c r="X29" i="1" s="1"/>
  <c r="Y28" i="1"/>
  <c r="X28" i="1" s="1"/>
  <c r="Y15" i="1"/>
  <c r="X15" i="1" s="1"/>
  <c r="Y16" i="1"/>
  <c r="X16" i="1" s="1"/>
  <c r="Y17" i="1"/>
  <c r="X17" i="1" s="1"/>
  <c r="Y18" i="1"/>
  <c r="X18" i="1" s="1"/>
  <c r="Y19" i="1"/>
  <c r="X19" i="1" s="1"/>
  <c r="Y20" i="1"/>
  <c r="X20" i="1" s="1"/>
  <c r="Y21" i="1"/>
  <c r="X21" i="1" s="1"/>
  <c r="Y22" i="1"/>
  <c r="X22" i="1" s="1"/>
  <c r="Y23" i="1"/>
  <c r="X23" i="1" s="1"/>
  <c r="Y24" i="1"/>
  <c r="X24" i="1" s="1"/>
  <c r="Y14" i="1"/>
  <c r="X14" i="1" s="1"/>
  <c r="AD13" i="1"/>
  <c r="Z13" i="1"/>
  <c r="AB13" i="1"/>
  <c r="AC13" i="1"/>
  <c r="AE13" i="1"/>
  <c r="L35" i="1"/>
  <c r="M35" i="1"/>
  <c r="N35" i="1"/>
  <c r="P35" i="1"/>
  <c r="R35" i="1"/>
  <c r="S35" i="1"/>
  <c r="T35" i="1"/>
  <c r="U35" i="1"/>
  <c r="V35" i="1"/>
  <c r="L67" i="1"/>
  <c r="M67" i="1"/>
  <c r="N67" i="1"/>
  <c r="O67" i="1"/>
  <c r="P67" i="1"/>
  <c r="Q67" i="1"/>
  <c r="R67" i="1"/>
  <c r="S67" i="1"/>
  <c r="T67" i="1"/>
  <c r="U67" i="1"/>
  <c r="V67" i="1"/>
  <c r="L80" i="1"/>
  <c r="M80" i="1"/>
  <c r="N80" i="1"/>
  <c r="O80" i="1"/>
  <c r="P80" i="1"/>
  <c r="Q80" i="1"/>
  <c r="R80" i="1"/>
  <c r="S80" i="1"/>
  <c r="T80" i="1"/>
  <c r="U80" i="1"/>
  <c r="V80" i="1"/>
  <c r="K93" i="1"/>
  <c r="L93" i="1"/>
  <c r="M93" i="1"/>
  <c r="N93" i="1"/>
  <c r="O93" i="1"/>
  <c r="P93" i="1"/>
  <c r="Q93" i="1"/>
  <c r="R93" i="1"/>
  <c r="S93" i="1"/>
  <c r="T93" i="1"/>
  <c r="U93" i="1"/>
  <c r="V93" i="1"/>
  <c r="L101" i="1"/>
  <c r="M101" i="1"/>
  <c r="N101" i="1"/>
  <c r="O101" i="1"/>
  <c r="P101" i="1"/>
  <c r="Q101" i="1"/>
  <c r="R101" i="1"/>
  <c r="S101" i="1"/>
  <c r="T101" i="1"/>
  <c r="U101" i="1"/>
  <c r="V101" i="1"/>
  <c r="L141" i="1"/>
  <c r="O141" i="1"/>
  <c r="P141" i="1"/>
  <c r="Q141" i="1"/>
  <c r="R141" i="1"/>
  <c r="S141" i="1"/>
  <c r="T141" i="1"/>
  <c r="U141" i="1"/>
  <c r="V141" i="1"/>
  <c r="L231" i="1"/>
  <c r="M231" i="1"/>
  <c r="N231" i="1"/>
  <c r="O231" i="1"/>
  <c r="P231" i="1"/>
  <c r="Q231" i="1"/>
  <c r="R231" i="1"/>
  <c r="S231" i="1"/>
  <c r="T231" i="1"/>
  <c r="U231" i="1"/>
  <c r="V231" i="1"/>
  <c r="V260" i="1"/>
  <c r="V264" i="1" s="1"/>
  <c r="U260" i="1"/>
  <c r="U264" i="1" s="1"/>
  <c r="T260" i="1"/>
  <c r="T264" i="1" s="1"/>
  <c r="S260" i="1"/>
  <c r="S264" i="1" s="1"/>
  <c r="R260" i="1"/>
  <c r="R264" i="1" s="1"/>
  <c r="Q260" i="1"/>
  <c r="Q264" i="1" s="1"/>
  <c r="P260" i="1"/>
  <c r="P264" i="1" s="1"/>
  <c r="O260" i="1"/>
  <c r="O264" i="1" s="1"/>
  <c r="N260" i="1"/>
  <c r="N264" i="1" s="1"/>
  <c r="M260" i="1"/>
  <c r="M264" i="1" s="1"/>
  <c r="L260" i="1"/>
  <c r="L264" i="1" s="1"/>
  <c r="K260" i="1"/>
  <c r="K264" i="1" s="1"/>
  <c r="H260" i="1"/>
  <c r="H264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3" i="1"/>
  <c r="I233" i="1" s="1"/>
  <c r="J232" i="1"/>
  <c r="I232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0" i="1"/>
  <c r="I160" i="1" s="1"/>
  <c r="J159" i="1"/>
  <c r="I159" i="1" s="1"/>
  <c r="J158" i="1"/>
  <c r="I158" i="1" s="1"/>
  <c r="J157" i="1"/>
  <c r="I157" i="1" s="1"/>
  <c r="J156" i="1"/>
  <c r="I156" i="1" s="1"/>
  <c r="J155" i="1"/>
  <c r="I155" i="1" s="1"/>
  <c r="J153" i="1"/>
  <c r="I153" i="1" s="1"/>
  <c r="J152" i="1"/>
  <c r="I152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3" i="1"/>
  <c r="I133" i="1" s="1"/>
  <c r="J131" i="1"/>
  <c r="I131" i="1" s="1"/>
  <c r="J130" i="1"/>
  <c r="I130" i="1" s="1"/>
  <c r="J129" i="1"/>
  <c r="I129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99" i="1"/>
  <c r="I99" i="1" s="1"/>
  <c r="J98" i="1"/>
  <c r="I98" i="1" s="1"/>
  <c r="J97" i="1"/>
  <c r="I97" i="1" s="1"/>
  <c r="J96" i="1"/>
  <c r="I96" i="1" s="1"/>
  <c r="J95" i="1"/>
  <c r="I95" i="1" s="1"/>
  <c r="J94" i="1"/>
  <c r="I94" i="1" s="1"/>
  <c r="J91" i="1"/>
  <c r="I91" i="1" s="1"/>
  <c r="J90" i="1"/>
  <c r="I90" i="1" s="1"/>
  <c r="J89" i="1"/>
  <c r="I89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J81" i="1"/>
  <c r="I81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 s="1"/>
  <c r="J68" i="1"/>
  <c r="I68" i="1" s="1"/>
  <c r="J64" i="1"/>
  <c r="I64" i="1" s="1"/>
  <c r="J63" i="1"/>
  <c r="I63" i="1" s="1"/>
  <c r="J62" i="1"/>
  <c r="I62" i="1" s="1"/>
  <c r="J60" i="1"/>
  <c r="I60" i="1" s="1"/>
  <c r="J59" i="1"/>
  <c r="I59" i="1" s="1"/>
  <c r="J58" i="1"/>
  <c r="I58" i="1" s="1"/>
  <c r="J56" i="1"/>
  <c r="I56" i="1" s="1"/>
  <c r="J51" i="1"/>
  <c r="I51" i="1" s="1"/>
  <c r="J50" i="1"/>
  <c r="I50" i="1" s="1"/>
  <c r="J49" i="1"/>
  <c r="I49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J32" i="1"/>
  <c r="I32" i="1" s="1"/>
  <c r="J31" i="1"/>
  <c r="I31" i="1" s="1"/>
  <c r="J30" i="1"/>
  <c r="I30" i="1" s="1"/>
  <c r="J29" i="1"/>
  <c r="I29" i="1" s="1"/>
  <c r="J28" i="1"/>
  <c r="I28" i="1" s="1"/>
  <c r="L27" i="1"/>
  <c r="M27" i="1"/>
  <c r="N27" i="1"/>
  <c r="O27" i="1"/>
  <c r="P27" i="1"/>
  <c r="Q27" i="1"/>
  <c r="R27" i="1"/>
  <c r="S27" i="1"/>
  <c r="T27" i="1"/>
  <c r="U27" i="1"/>
  <c r="V27" i="1"/>
  <c r="J15" i="1"/>
  <c r="I15" i="1" s="1"/>
  <c r="J16" i="1"/>
  <c r="I16" i="1" s="1"/>
  <c r="J17" i="1"/>
  <c r="I17" i="1" s="1"/>
  <c r="J18" i="1"/>
  <c r="I18" i="1" s="1"/>
  <c r="J19" i="1"/>
  <c r="I19" i="1" s="1"/>
  <c r="J20" i="1"/>
  <c r="I20" i="1" s="1"/>
  <c r="J21" i="1"/>
  <c r="J22" i="1"/>
  <c r="I22" i="1" s="1"/>
  <c r="J23" i="1"/>
  <c r="I23" i="1" s="1"/>
  <c r="J24" i="1"/>
  <c r="I24" i="1" s="1"/>
  <c r="J14" i="1"/>
  <c r="I14" i="1" s="1"/>
  <c r="L13" i="1"/>
  <c r="M13" i="1"/>
  <c r="N13" i="1"/>
  <c r="O13" i="1"/>
  <c r="P13" i="1"/>
  <c r="Q13" i="1"/>
  <c r="R13" i="1"/>
  <c r="S13" i="1"/>
  <c r="T13" i="1"/>
  <c r="U13" i="1"/>
  <c r="V13" i="1"/>
  <c r="T67" i="4"/>
  <c r="T66" i="4" s="1"/>
  <c r="AF69" i="4"/>
  <c r="W67" i="1"/>
  <c r="AF67" i="1"/>
  <c r="E116" i="4"/>
  <c r="AF116" i="4" s="1"/>
  <c r="AV231" i="1"/>
  <c r="H21" i="1"/>
  <c r="H13" i="1" s="1"/>
  <c r="F21" i="1"/>
  <c r="E131" i="4"/>
  <c r="AV261" i="1"/>
  <c r="E64" i="4"/>
  <c r="E94" i="4"/>
  <c r="E49" i="4"/>
  <c r="E34" i="4"/>
  <c r="E65" i="4"/>
  <c r="E135" i="4"/>
  <c r="E117" i="4"/>
  <c r="AO64" i="1"/>
  <c r="F64" i="1" s="1"/>
  <c r="E118" i="4"/>
  <c r="AF150" i="4"/>
  <c r="AF149" i="4"/>
  <c r="AF144" i="4"/>
  <c r="AF143" i="4"/>
  <c r="AF136" i="4"/>
  <c r="AF134" i="4"/>
  <c r="AF132" i="4"/>
  <c r="AF131" i="4"/>
  <c r="AF130" i="4"/>
  <c r="AF129" i="4"/>
  <c r="AF128" i="4"/>
  <c r="AF127" i="4"/>
  <c r="AF126" i="4"/>
  <c r="AF125" i="4"/>
  <c r="AF123" i="4"/>
  <c r="AF122" i="4"/>
  <c r="AF121" i="4"/>
  <c r="AF120" i="4"/>
  <c r="AF119" i="4"/>
  <c r="AF118" i="4"/>
  <c r="AF117" i="4"/>
  <c r="AF111" i="4"/>
  <c r="AF110" i="4"/>
  <c r="AF109" i="4"/>
  <c r="AF108" i="4"/>
  <c r="AF107" i="4"/>
  <c r="AF106" i="4"/>
  <c r="AF105" i="4"/>
  <c r="AF93" i="4"/>
  <c r="AF92" i="4" s="1"/>
  <c r="AF90" i="4"/>
  <c r="AF89" i="4"/>
  <c r="AF88" i="4"/>
  <c r="AF86" i="4"/>
  <c r="AF85" i="4"/>
  <c r="AF83" i="4"/>
  <c r="AF82" i="4" s="1"/>
  <c r="AF81" i="4"/>
  <c r="AF80" i="4"/>
  <c r="AF79" i="4"/>
  <c r="AF65" i="4"/>
  <c r="AF64" i="4"/>
  <c r="AF63" i="4"/>
  <c r="AF60" i="4"/>
  <c r="AF59" i="4"/>
  <c r="AF58" i="4"/>
  <c r="AF56" i="4"/>
  <c r="AF55" i="4" s="1"/>
  <c r="AF53" i="4"/>
  <c r="AF52" i="4"/>
  <c r="AF49" i="4"/>
  <c r="AF48" i="4" s="1"/>
  <c r="AF46" i="4"/>
  <c r="AF45" i="4" s="1"/>
  <c r="AF44" i="4" s="1"/>
  <c r="AF43" i="4"/>
  <c r="AF42" i="4"/>
  <c r="AF41" i="4"/>
  <c r="AF40" i="4"/>
  <c r="AF38" i="4"/>
  <c r="AF37" i="4"/>
  <c r="AF31" i="4"/>
  <c r="AF30" i="4" s="1"/>
  <c r="AF28" i="4"/>
  <c r="AF27" i="4"/>
  <c r="AF25" i="4"/>
  <c r="AF24" i="4"/>
  <c r="AF22" i="4"/>
  <c r="AF21" i="4"/>
  <c r="AF17" i="4"/>
  <c r="E133" i="4"/>
  <c r="AF133" i="4"/>
  <c r="AV260" i="1"/>
  <c r="AV264" i="1" s="1"/>
  <c r="AF102" i="4"/>
  <c r="T148" i="4"/>
  <c r="T147" i="4" s="1"/>
  <c r="T142" i="4"/>
  <c r="T115" i="4"/>
  <c r="T104" i="4"/>
  <c r="T102" i="4"/>
  <c r="T92" i="4"/>
  <c r="T91" i="4" s="1"/>
  <c r="T87" i="4"/>
  <c r="T84" i="4"/>
  <c r="T82" i="4"/>
  <c r="T78" i="4"/>
  <c r="T62" i="4"/>
  <c r="T61" i="4" s="1"/>
  <c r="T57" i="4"/>
  <c r="T55" i="4"/>
  <c r="T51" i="4"/>
  <c r="T50" i="4" s="1"/>
  <c r="T48" i="4"/>
  <c r="T45" i="4"/>
  <c r="T44" i="4" s="1"/>
  <c r="T39" i="4"/>
  <c r="T36" i="4"/>
  <c r="T33" i="4"/>
  <c r="T32" i="4" s="1"/>
  <c r="T30" i="4"/>
  <c r="T26" i="4"/>
  <c r="T23" i="4"/>
  <c r="T20" i="4"/>
  <c r="T15" i="4"/>
  <c r="T14" i="4" s="1"/>
  <c r="T13" i="4" s="1"/>
  <c r="AV13" i="1"/>
  <c r="AV27" i="1"/>
  <c r="AV35" i="1"/>
  <c r="AV67" i="1"/>
  <c r="AV80" i="1"/>
  <c r="AV93" i="1"/>
  <c r="AV101" i="1"/>
  <c r="AF124" i="4"/>
  <c r="AP261" i="1"/>
  <c r="AP260" i="1" s="1"/>
  <c r="AP264" i="1" s="1"/>
  <c r="AO62" i="1"/>
  <c r="F62" i="1" s="1"/>
  <c r="AP231" i="1"/>
  <c r="E26" i="4"/>
  <c r="E23" i="4"/>
  <c r="E20" i="4"/>
  <c r="E45" i="4"/>
  <c r="E44" i="4" s="1"/>
  <c r="AP141" i="1"/>
  <c r="AO141" i="1"/>
  <c r="AF141" i="1"/>
  <c r="W141" i="1"/>
  <c r="AP80" i="1"/>
  <c r="AO80" i="1"/>
  <c r="AF80" i="1"/>
  <c r="W80" i="1"/>
  <c r="AP13" i="1"/>
  <c r="AO13" i="1"/>
  <c r="AF13" i="1"/>
  <c r="W13" i="1"/>
  <c r="AO260" i="1"/>
  <c r="AO231" i="1"/>
  <c r="AO101" i="1"/>
  <c r="AO93" i="1"/>
  <c r="AO67" i="1"/>
  <c r="AO27" i="1"/>
  <c r="E51" i="4"/>
  <c r="E50" i="4" s="1"/>
  <c r="E148" i="4"/>
  <c r="E147" i="4" s="1"/>
  <c r="E142" i="4"/>
  <c r="E102" i="4"/>
  <c r="E92" i="4"/>
  <c r="E82" i="4"/>
  <c r="E57" i="4"/>
  <c r="E55" i="4"/>
  <c r="E48" i="4"/>
  <c r="E39" i="4"/>
  <c r="E36" i="4"/>
  <c r="E30" i="4"/>
  <c r="E15" i="4"/>
  <c r="E14" i="4" s="1"/>
  <c r="E13" i="4" s="1"/>
  <c r="E84" i="4"/>
  <c r="E115" i="4"/>
  <c r="E87" i="4"/>
  <c r="E62" i="4"/>
  <c r="E61" i="4" s="1"/>
  <c r="E78" i="4"/>
  <c r="W231" i="1"/>
  <c r="AF231" i="1"/>
  <c r="W101" i="1"/>
  <c r="W93" i="1"/>
  <c r="AF93" i="1"/>
  <c r="AP93" i="1"/>
  <c r="AF35" i="1"/>
  <c r="W27" i="1"/>
  <c r="AF27" i="1"/>
  <c r="AP27" i="1"/>
  <c r="W260" i="1"/>
  <c r="W264" i="1" s="1"/>
  <c r="AF260" i="1"/>
  <c r="AF264" i="1" s="1"/>
  <c r="BF266" i="1"/>
  <c r="H93" i="1"/>
  <c r="AP101" i="1"/>
  <c r="AP67" i="1"/>
  <c r="AP35" i="1"/>
  <c r="W35" i="1"/>
  <c r="AF101" i="1"/>
  <c r="H67" i="1"/>
  <c r="H27" i="1"/>
  <c r="H231" i="1"/>
  <c r="H141" i="1"/>
  <c r="H101" i="1"/>
  <c r="H80" i="1"/>
  <c r="H35" i="1"/>
  <c r="H101" i="4" l="1"/>
  <c r="H100" i="4" s="1"/>
  <c r="F135" i="4"/>
  <c r="G92" i="4"/>
  <c r="Z19" i="4"/>
  <c r="Z18" i="4" s="1"/>
  <c r="G84" i="4"/>
  <c r="V92" i="4"/>
  <c r="AG27" i="4"/>
  <c r="Y101" i="4"/>
  <c r="Y100" i="4" s="1"/>
  <c r="G36" i="4"/>
  <c r="AG111" i="4"/>
  <c r="AG119" i="4"/>
  <c r="V82" i="4"/>
  <c r="G48" i="4"/>
  <c r="G51" i="4"/>
  <c r="G50" i="4" s="1"/>
  <c r="V48" i="4"/>
  <c r="W140" i="4"/>
  <c r="Z101" i="4"/>
  <c r="Z100" i="4" s="1"/>
  <c r="T140" i="4"/>
  <c r="AF26" i="4"/>
  <c r="S54" i="4"/>
  <c r="AE19" i="4"/>
  <c r="AE18" i="4" s="1"/>
  <c r="AG38" i="4"/>
  <c r="F83" i="4"/>
  <c r="F82" i="4" s="1"/>
  <c r="AF15" i="4"/>
  <c r="AF14" i="4" s="1"/>
  <c r="AF13" i="4" s="1"/>
  <c r="X35" i="4"/>
  <c r="AE101" i="4"/>
  <c r="AE100" i="4" s="1"/>
  <c r="J101" i="4"/>
  <c r="J100" i="4" s="1"/>
  <c r="AF78" i="4"/>
  <c r="O101" i="4"/>
  <c r="O100" i="4" s="1"/>
  <c r="AF142" i="4"/>
  <c r="G67" i="4"/>
  <c r="G66" i="4" s="1"/>
  <c r="G57" i="4"/>
  <c r="G54" i="4" s="1"/>
  <c r="AG49" i="4"/>
  <c r="AG48" i="4" s="1"/>
  <c r="F34" i="4"/>
  <c r="F33" i="4" s="1"/>
  <c r="F32" i="4" s="1"/>
  <c r="AG68" i="4"/>
  <c r="AG67" i="4" s="1"/>
  <c r="R54" i="4"/>
  <c r="G91" i="4"/>
  <c r="G148" i="4"/>
  <c r="G147" i="4" s="1"/>
  <c r="N54" i="4"/>
  <c r="E101" i="4"/>
  <c r="E100" i="4" s="1"/>
  <c r="F56" i="4"/>
  <c r="F55" i="4" s="1"/>
  <c r="G23" i="4"/>
  <c r="G139" i="1"/>
  <c r="AL263" i="1"/>
  <c r="AG133" i="4"/>
  <c r="AF84" i="4"/>
  <c r="AG105" i="4"/>
  <c r="F94" i="4"/>
  <c r="F91" i="4" s="1"/>
  <c r="G62" i="4"/>
  <c r="G61" i="4" s="1"/>
  <c r="F31" i="4"/>
  <c r="F30" i="4" s="1"/>
  <c r="V67" i="4"/>
  <c r="V66" i="4" s="1"/>
  <c r="G45" i="4"/>
  <c r="G44" i="4" s="1"/>
  <c r="G78" i="4"/>
  <c r="AG108" i="4"/>
  <c r="S47" i="4"/>
  <c r="J54" i="4"/>
  <c r="AG43" i="4"/>
  <c r="AG60" i="4"/>
  <c r="U36" i="4"/>
  <c r="E47" i="4"/>
  <c r="R47" i="4"/>
  <c r="K101" i="4"/>
  <c r="K100" i="4" s="1"/>
  <c r="S101" i="4"/>
  <c r="S100" i="4" s="1"/>
  <c r="F36" i="4"/>
  <c r="F84" i="4"/>
  <c r="Y35" i="4"/>
  <c r="W54" i="4"/>
  <c r="Z54" i="4"/>
  <c r="AF23" i="4"/>
  <c r="Z29" i="4"/>
  <c r="V55" i="4"/>
  <c r="G178" i="1"/>
  <c r="L101" i="4"/>
  <c r="L100" i="4" s="1"/>
  <c r="Y19" i="4"/>
  <c r="Y18" i="4" s="1"/>
  <c r="T101" i="4"/>
  <c r="T100" i="4" s="1"/>
  <c r="F20" i="4"/>
  <c r="G254" i="1"/>
  <c r="G23" i="1"/>
  <c r="G159" i="1"/>
  <c r="U263" i="1"/>
  <c r="M262" i="1"/>
  <c r="G175" i="1"/>
  <c r="G196" i="1"/>
  <c r="G212" i="1"/>
  <c r="G225" i="1"/>
  <c r="G229" i="1"/>
  <c r="AH260" i="1"/>
  <c r="AH264" i="1" s="1"/>
  <c r="G257" i="1"/>
  <c r="G114" i="1"/>
  <c r="G199" i="1"/>
  <c r="G88" i="1"/>
  <c r="G41" i="1"/>
  <c r="G45" i="1"/>
  <c r="E35" i="4"/>
  <c r="E140" i="4"/>
  <c r="E19" i="4"/>
  <c r="E18" i="4" s="1"/>
  <c r="Q47" i="4"/>
  <c r="F148" i="4"/>
  <c r="F147" i="4" s="1"/>
  <c r="D9" i="5" s="1"/>
  <c r="X19" i="4"/>
  <c r="X18" i="4" s="1"/>
  <c r="AG65" i="4"/>
  <c r="F15" i="4"/>
  <c r="F14" i="4" s="1"/>
  <c r="F13" i="4" s="1"/>
  <c r="O47" i="4"/>
  <c r="P140" i="4"/>
  <c r="AG150" i="4"/>
  <c r="AF20" i="4"/>
  <c r="P101" i="4"/>
  <c r="P100" i="4" s="1"/>
  <c r="AG129" i="4"/>
  <c r="AG113" i="4"/>
  <c r="F78" i="4"/>
  <c r="Z35" i="4"/>
  <c r="Z140" i="4"/>
  <c r="AG85" i="4"/>
  <c r="AZ263" i="1"/>
  <c r="G219" i="1"/>
  <c r="AH67" i="1"/>
  <c r="G236" i="1"/>
  <c r="AE265" i="1"/>
  <c r="G98" i="1"/>
  <c r="G117" i="1"/>
  <c r="AN262" i="1"/>
  <c r="J101" i="1"/>
  <c r="G184" i="1"/>
  <c r="G208" i="1"/>
  <c r="G124" i="1"/>
  <c r="G227" i="1"/>
  <c r="G251" i="1"/>
  <c r="G258" i="1"/>
  <c r="G121" i="1"/>
  <c r="G83" i="1"/>
  <c r="G97" i="1"/>
  <c r="G137" i="1"/>
  <c r="G146" i="1"/>
  <c r="G170" i="1"/>
  <c r="G188" i="1"/>
  <c r="G204" i="1"/>
  <c r="G221" i="1"/>
  <c r="G125" i="1"/>
  <c r="AG68" i="1"/>
  <c r="G68" i="1" s="1"/>
  <c r="G119" i="1"/>
  <c r="G198" i="1"/>
  <c r="G206" i="1"/>
  <c r="N265" i="1"/>
  <c r="G77" i="1"/>
  <c r="G91" i="1"/>
  <c r="G173" i="1"/>
  <c r="G233" i="1"/>
  <c r="Y260" i="1"/>
  <c r="Y264" i="1" s="1"/>
  <c r="V262" i="1"/>
  <c r="G69" i="1"/>
  <c r="G72" i="1"/>
  <c r="G174" i="1"/>
  <c r="G192" i="1"/>
  <c r="G242" i="1"/>
  <c r="G253" i="1"/>
  <c r="AR93" i="1"/>
  <c r="F57" i="4"/>
  <c r="AG40" i="4"/>
  <c r="AG118" i="4"/>
  <c r="T54" i="4"/>
  <c r="V15" i="4"/>
  <c r="V14" i="4" s="1"/>
  <c r="V13" i="4" s="1"/>
  <c r="G142" i="4"/>
  <c r="V84" i="4"/>
  <c r="J35" i="4"/>
  <c r="N35" i="4"/>
  <c r="N140" i="4"/>
  <c r="W19" i="4"/>
  <c r="W18" i="4" s="1"/>
  <c r="AE54" i="4"/>
  <c r="Z77" i="4"/>
  <c r="Z70" i="4" s="1"/>
  <c r="AG17" i="4"/>
  <c r="AG25" i="4"/>
  <c r="AG81" i="4"/>
  <c r="AF72" i="4"/>
  <c r="AF71" i="4" s="1"/>
  <c r="AG53" i="4"/>
  <c r="AG143" i="4"/>
  <c r="E77" i="4"/>
  <c r="E54" i="4"/>
  <c r="T19" i="4"/>
  <c r="T18" i="4" s="1"/>
  <c r="G39" i="4"/>
  <c r="G20" i="4"/>
  <c r="G87" i="4"/>
  <c r="G15" i="4"/>
  <c r="G14" i="4" s="1"/>
  <c r="G13" i="4" s="1"/>
  <c r="M29" i="4"/>
  <c r="AE29" i="4"/>
  <c r="X77" i="4"/>
  <c r="X70" i="4" s="1"/>
  <c r="AG149" i="4"/>
  <c r="G72" i="4"/>
  <c r="G71" i="4" s="1"/>
  <c r="F142" i="4"/>
  <c r="D4" i="5" s="1"/>
  <c r="AG122" i="4"/>
  <c r="T35" i="4"/>
  <c r="AF36" i="4"/>
  <c r="AF51" i="4"/>
  <c r="AF50" i="4" s="1"/>
  <c r="AF47" i="4" s="1"/>
  <c r="F26" i="4"/>
  <c r="AG24" i="4"/>
  <c r="I35" i="4"/>
  <c r="M35" i="4"/>
  <c r="Q35" i="4"/>
  <c r="K47" i="4"/>
  <c r="K54" i="4"/>
  <c r="O54" i="4"/>
  <c r="G115" i="4"/>
  <c r="W101" i="4"/>
  <c r="W100" i="4" s="1"/>
  <c r="AG22" i="4"/>
  <c r="AG28" i="4"/>
  <c r="AG26" i="4" s="1"/>
  <c r="AG59" i="4"/>
  <c r="AG64" i="4"/>
  <c r="AG79" i="4"/>
  <c r="V87" i="4"/>
  <c r="AG109" i="4"/>
  <c r="AG117" i="4"/>
  <c r="AG128" i="4"/>
  <c r="AG132" i="4"/>
  <c r="AG136" i="4"/>
  <c r="AL262" i="1"/>
  <c r="G147" i="1"/>
  <c r="I101" i="1"/>
  <c r="X101" i="1"/>
  <c r="I93" i="1"/>
  <c r="G149" i="1"/>
  <c r="G152" i="1"/>
  <c r="G239" i="1"/>
  <c r="J67" i="1"/>
  <c r="G73" i="1"/>
  <c r="G103" i="1"/>
  <c r="G111" i="1"/>
  <c r="G127" i="1"/>
  <c r="T262" i="1"/>
  <c r="P265" i="1"/>
  <c r="L262" i="1"/>
  <c r="S263" i="1"/>
  <c r="AG94" i="1"/>
  <c r="AG93" i="1" s="1"/>
  <c r="AH93" i="1"/>
  <c r="AQ70" i="1"/>
  <c r="AQ67" i="1" s="1"/>
  <c r="AR67" i="1"/>
  <c r="G74" i="1"/>
  <c r="G78" i="1"/>
  <c r="G86" i="1"/>
  <c r="G126" i="1"/>
  <c r="G136" i="1"/>
  <c r="AY35" i="1"/>
  <c r="AY265" i="1" s="1"/>
  <c r="BD265" i="1"/>
  <c r="BD262" i="1"/>
  <c r="G54" i="1"/>
  <c r="K141" i="1"/>
  <c r="AQ234" i="1"/>
  <c r="G234" i="1" s="1"/>
  <c r="AR231" i="1"/>
  <c r="G105" i="1"/>
  <c r="X141" i="1"/>
  <c r="G82" i="1"/>
  <c r="AQ261" i="1"/>
  <c r="AV263" i="1"/>
  <c r="I21" i="1"/>
  <c r="G21" i="1" s="1"/>
  <c r="G71" i="1"/>
  <c r="G109" i="1"/>
  <c r="G135" i="1"/>
  <c r="G200" i="1"/>
  <c r="G167" i="1"/>
  <c r="AN265" i="1"/>
  <c r="AN263" i="1"/>
  <c r="AJ263" i="1"/>
  <c r="AJ262" i="1"/>
  <c r="AL265" i="1"/>
  <c r="G95" i="1"/>
  <c r="G130" i="1"/>
  <c r="G217" i="1"/>
  <c r="G120" i="1"/>
  <c r="G168" i="1"/>
  <c r="H263" i="1"/>
  <c r="Y231" i="1"/>
  <c r="G63" i="1"/>
  <c r="J93" i="1"/>
  <c r="G245" i="1"/>
  <c r="AG102" i="1"/>
  <c r="G102" i="1" s="1"/>
  <c r="AH101" i="1"/>
  <c r="AG237" i="1"/>
  <c r="AG231" i="1" s="1"/>
  <c r="AH231" i="1"/>
  <c r="AQ81" i="1"/>
  <c r="AQ80" i="1" s="1"/>
  <c r="AR80" i="1"/>
  <c r="AQ104" i="1"/>
  <c r="G104" i="1" s="1"/>
  <c r="AR101" i="1"/>
  <c r="G156" i="1"/>
  <c r="AS141" i="1"/>
  <c r="AS262" i="1" s="1"/>
  <c r="AR176" i="1"/>
  <c r="AQ176" i="1" s="1"/>
  <c r="G176" i="1" s="1"/>
  <c r="G87" i="1"/>
  <c r="G247" i="1"/>
  <c r="G255" i="1"/>
  <c r="G108" i="1"/>
  <c r="G220" i="1"/>
  <c r="G248" i="1"/>
  <c r="G252" i="1"/>
  <c r="G132" i="1"/>
  <c r="G186" i="1"/>
  <c r="G202" i="1"/>
  <c r="G210" i="1"/>
  <c r="G249" i="1"/>
  <c r="AA264" i="1"/>
  <c r="AC263" i="1"/>
  <c r="AH27" i="1"/>
  <c r="G76" i="1"/>
  <c r="G177" i="1"/>
  <c r="G193" i="1"/>
  <c r="G218" i="1"/>
  <c r="G241" i="1"/>
  <c r="G246" i="1"/>
  <c r="G256" i="1"/>
  <c r="BB264" i="1"/>
  <c r="AY264" i="1"/>
  <c r="BE265" i="1"/>
  <c r="BA262" i="1"/>
  <c r="F67" i="1"/>
  <c r="F80" i="1"/>
  <c r="F93" i="1"/>
  <c r="F101" i="1"/>
  <c r="F141" i="1"/>
  <c r="F231" i="1"/>
  <c r="G181" i="1"/>
  <c r="G123" i="1"/>
  <c r="G187" i="1"/>
  <c r="G203" i="1"/>
  <c r="G31" i="1"/>
  <c r="I35" i="1"/>
  <c r="G36" i="1"/>
  <c r="G40" i="1"/>
  <c r="G48" i="1"/>
  <c r="G42" i="1"/>
  <c r="F13" i="1"/>
  <c r="F35" i="1"/>
  <c r="G50" i="1"/>
  <c r="G46" i="1"/>
  <c r="X35" i="1"/>
  <c r="AR27" i="1"/>
  <c r="AH13" i="1"/>
  <c r="G43" i="1"/>
  <c r="G51" i="1"/>
  <c r="G53" i="1"/>
  <c r="G19" i="1"/>
  <c r="G44" i="1"/>
  <c r="G56" i="1"/>
  <c r="AR35" i="1"/>
  <c r="AG28" i="1"/>
  <c r="AG27" i="1" s="1"/>
  <c r="G58" i="1"/>
  <c r="G106" i="1"/>
  <c r="G131" i="1"/>
  <c r="G207" i="1"/>
  <c r="G216" i="1"/>
  <c r="G32" i="1"/>
  <c r="G60" i="1"/>
  <c r="G84" i="1"/>
  <c r="G89" i="1"/>
  <c r="G99" i="1"/>
  <c r="AX93" i="1"/>
  <c r="AX27" i="1"/>
  <c r="G110" i="1"/>
  <c r="G197" i="1"/>
  <c r="G205" i="1"/>
  <c r="G213" i="1"/>
  <c r="G250" i="1"/>
  <c r="G122" i="1"/>
  <c r="G153" i="1"/>
  <c r="G164" i="1"/>
  <c r="G191" i="1"/>
  <c r="G224" i="1"/>
  <c r="AW231" i="1"/>
  <c r="G17" i="1"/>
  <c r="G107" i="1"/>
  <c r="G115" i="1"/>
  <c r="G118" i="1"/>
  <c r="G133" i="1"/>
  <c r="G148" i="1"/>
  <c r="G158" i="1"/>
  <c r="G195" i="1"/>
  <c r="G211" i="1"/>
  <c r="G129" i="1"/>
  <c r="G244" i="1"/>
  <c r="AX231" i="1"/>
  <c r="AX101" i="1"/>
  <c r="AW93" i="1"/>
  <c r="G14" i="1"/>
  <c r="G96" i="1"/>
  <c r="G144" i="1"/>
  <c r="G183" i="1"/>
  <c r="AW261" i="1"/>
  <c r="AW260" i="1" s="1"/>
  <c r="G59" i="1"/>
  <c r="G90" i="1"/>
  <c r="G116" i="1"/>
  <c r="G134" i="1"/>
  <c r="G138" i="1"/>
  <c r="G143" i="1"/>
  <c r="G163" i="1"/>
  <c r="G166" i="1"/>
  <c r="G172" i="1"/>
  <c r="G180" i="1"/>
  <c r="G185" i="1"/>
  <c r="G190" i="1"/>
  <c r="G201" i="1"/>
  <c r="G209" i="1"/>
  <c r="G214" i="1"/>
  <c r="G223" i="1"/>
  <c r="G226" i="1"/>
  <c r="G228" i="1"/>
  <c r="AW101" i="1"/>
  <c r="G243" i="1"/>
  <c r="W262" i="1"/>
  <c r="L265" i="1"/>
  <c r="AC262" i="1"/>
  <c r="BE263" i="1"/>
  <c r="BA263" i="1"/>
  <c r="BE262" i="1"/>
  <c r="P262" i="1"/>
  <c r="P263" i="1"/>
  <c r="AJ265" i="1"/>
  <c r="AC265" i="1"/>
  <c r="AF262" i="1"/>
  <c r="X81" i="1"/>
  <c r="Y80" i="1"/>
  <c r="G235" i="1"/>
  <c r="X231" i="1"/>
  <c r="I261" i="1"/>
  <c r="I260" i="1" s="1"/>
  <c r="J260" i="1"/>
  <c r="J264" i="1" s="1"/>
  <c r="AQ151" i="1"/>
  <c r="AW215" i="1"/>
  <c r="G215" i="1" s="1"/>
  <c r="AX141" i="1"/>
  <c r="AP265" i="1"/>
  <c r="AO35" i="1"/>
  <c r="AO262" i="1" s="1"/>
  <c r="F261" i="1"/>
  <c r="F260" i="1" s="1"/>
  <c r="F264" i="1" s="1"/>
  <c r="J80" i="1"/>
  <c r="Y101" i="1"/>
  <c r="J141" i="1"/>
  <c r="I231" i="1"/>
  <c r="I80" i="1"/>
  <c r="G112" i="1"/>
  <c r="I141" i="1"/>
  <c r="G150" i="1"/>
  <c r="G157" i="1"/>
  <c r="G160" i="1"/>
  <c r="G171" i="1"/>
  <c r="G179" i="1"/>
  <c r="G189" i="1"/>
  <c r="G194" i="1"/>
  <c r="G222" i="1"/>
  <c r="G240" i="1"/>
  <c r="X67" i="1"/>
  <c r="AQ93" i="1"/>
  <c r="AG39" i="1"/>
  <c r="G39" i="1" s="1"/>
  <c r="AG142" i="1"/>
  <c r="AH141" i="1"/>
  <c r="AQ101" i="1"/>
  <c r="H265" i="1"/>
  <c r="G64" i="1"/>
  <c r="J231" i="1"/>
  <c r="G232" i="1"/>
  <c r="Y67" i="1"/>
  <c r="G145" i="1"/>
  <c r="G155" i="1"/>
  <c r="G165" i="1"/>
  <c r="G238" i="1"/>
  <c r="X94" i="1"/>
  <c r="Y93" i="1"/>
  <c r="AP262" i="1"/>
  <c r="W265" i="1"/>
  <c r="G62" i="1"/>
  <c r="AO264" i="1"/>
  <c r="Y35" i="1"/>
  <c r="Y141" i="1"/>
  <c r="G47" i="1"/>
  <c r="I67" i="1"/>
  <c r="G113" i="1"/>
  <c r="S265" i="1"/>
  <c r="O263" i="1"/>
  <c r="L263" i="1"/>
  <c r="AA13" i="1"/>
  <c r="AA262" i="1" s="1"/>
  <c r="U265" i="1"/>
  <c r="Q263" i="1"/>
  <c r="V263" i="1"/>
  <c r="R263" i="1"/>
  <c r="N263" i="1"/>
  <c r="G29" i="1"/>
  <c r="G33" i="1"/>
  <c r="G20" i="1"/>
  <c r="G16" i="1"/>
  <c r="AH80" i="1"/>
  <c r="AT262" i="1"/>
  <c r="AW15" i="1"/>
  <c r="AX13" i="1"/>
  <c r="AW38" i="1"/>
  <c r="G38" i="1" s="1"/>
  <c r="AW75" i="1"/>
  <c r="AX67" i="1"/>
  <c r="AW85" i="1"/>
  <c r="AW80" i="1" s="1"/>
  <c r="AX80" i="1"/>
  <c r="AV262" i="1"/>
  <c r="M265" i="1"/>
  <c r="U262" i="1"/>
  <c r="J35" i="1"/>
  <c r="AG80" i="1"/>
  <c r="AG37" i="1"/>
  <c r="AH35" i="1"/>
  <c r="AK262" i="1"/>
  <c r="AM263" i="1"/>
  <c r="AI263" i="1"/>
  <c r="AI265" i="1"/>
  <c r="AQ35" i="1"/>
  <c r="AB263" i="1"/>
  <c r="AD263" i="1"/>
  <c r="Z263" i="1"/>
  <c r="AE263" i="1"/>
  <c r="AG13" i="1"/>
  <c r="AZ262" i="1"/>
  <c r="BD263" i="1"/>
  <c r="K101" i="1"/>
  <c r="G128" i="1"/>
  <c r="AQ27" i="1"/>
  <c r="AU263" i="1"/>
  <c r="AW27" i="1"/>
  <c r="BA265" i="1"/>
  <c r="G52" i="1"/>
  <c r="G161" i="1"/>
  <c r="G25" i="1"/>
  <c r="G162" i="1"/>
  <c r="AX49" i="1"/>
  <c r="AW49" i="1" s="1"/>
  <c r="G49" i="1" s="1"/>
  <c r="BB35" i="1"/>
  <c r="BB263" i="1" s="1"/>
  <c r="G55" i="1"/>
  <c r="F27" i="1"/>
  <c r="AT263" i="1"/>
  <c r="H262" i="1"/>
  <c r="AF263" i="1"/>
  <c r="AP263" i="1"/>
  <c r="AV265" i="1"/>
  <c r="T263" i="1"/>
  <c r="R262" i="1"/>
  <c r="Q262" i="1"/>
  <c r="M263" i="1"/>
  <c r="R265" i="1"/>
  <c r="O262" i="1"/>
  <c r="AE262" i="1"/>
  <c r="AK265" i="1"/>
  <c r="AM265" i="1"/>
  <c r="AT265" i="1"/>
  <c r="AU262" i="1"/>
  <c r="AM262" i="1"/>
  <c r="AI262" i="1"/>
  <c r="AF265" i="1"/>
  <c r="W263" i="1"/>
  <c r="N262" i="1"/>
  <c r="Q265" i="1"/>
  <c r="S262" i="1"/>
  <c r="V265" i="1"/>
  <c r="O265" i="1"/>
  <c r="AB262" i="1"/>
  <c r="Z262" i="1"/>
  <c r="AB265" i="1"/>
  <c r="AD265" i="1"/>
  <c r="Z265" i="1"/>
  <c r="AU265" i="1"/>
  <c r="AZ265" i="1"/>
  <c r="AK263" i="1"/>
  <c r="T265" i="1"/>
  <c r="AD262" i="1"/>
  <c r="AG144" i="4"/>
  <c r="U142" i="4"/>
  <c r="AG76" i="4"/>
  <c r="AG135" i="4"/>
  <c r="AG46" i="4"/>
  <c r="AG45" i="4" s="1"/>
  <c r="AG44" i="4" s="1"/>
  <c r="AG127" i="4"/>
  <c r="V23" i="4"/>
  <c r="V91" i="4"/>
  <c r="U51" i="4"/>
  <c r="U50" i="4" s="1"/>
  <c r="U47" i="4" s="1"/>
  <c r="AG42" i="4"/>
  <c r="U39" i="4"/>
  <c r="U35" i="4" s="1"/>
  <c r="U89" i="4"/>
  <c r="AG89" i="4" s="1"/>
  <c r="AG87" i="4" s="1"/>
  <c r="V62" i="4"/>
  <c r="V61" i="4" s="1"/>
  <c r="V148" i="4"/>
  <c r="V147" i="4" s="1"/>
  <c r="U23" i="4"/>
  <c r="AG137" i="4"/>
  <c r="V57" i="4"/>
  <c r="AG52" i="4"/>
  <c r="U57" i="4"/>
  <c r="U54" i="4" s="1"/>
  <c r="U62" i="4"/>
  <c r="U61" i="4" s="1"/>
  <c r="U104" i="4"/>
  <c r="U101" i="4" s="1"/>
  <c r="U100" i="4" s="1"/>
  <c r="U20" i="4"/>
  <c r="AG80" i="4"/>
  <c r="AG78" i="4" s="1"/>
  <c r="U78" i="4"/>
  <c r="AG130" i="4"/>
  <c r="AG134" i="4"/>
  <c r="AG63" i="4"/>
  <c r="AG58" i="4"/>
  <c r="U84" i="4"/>
  <c r="V26" i="4"/>
  <c r="V20" i="4"/>
  <c r="AG21" i="4"/>
  <c r="U148" i="4"/>
  <c r="U147" i="4" s="1"/>
  <c r="V78" i="4"/>
  <c r="V36" i="4"/>
  <c r="V39" i="4"/>
  <c r="AG126" i="4"/>
  <c r="V45" i="4"/>
  <c r="V44" i="4" s="1"/>
  <c r="U26" i="4"/>
  <c r="U115" i="4"/>
  <c r="V51" i="4"/>
  <c r="V50" i="4" s="1"/>
  <c r="V115" i="4"/>
  <c r="V142" i="4"/>
  <c r="AG106" i="4"/>
  <c r="AG37" i="4"/>
  <c r="AG36" i="4" s="1"/>
  <c r="AG110" i="4"/>
  <c r="AG121" i="4"/>
  <c r="AG124" i="4"/>
  <c r="AG74" i="4"/>
  <c r="N70" i="4"/>
  <c r="O29" i="4"/>
  <c r="I47" i="4"/>
  <c r="I54" i="4"/>
  <c r="X47" i="4"/>
  <c r="S70" i="4"/>
  <c r="H70" i="4"/>
  <c r="W47" i="4"/>
  <c r="AE77" i="4"/>
  <c r="AE70" i="4" s="1"/>
  <c r="Y77" i="4"/>
  <c r="Y70" i="4" s="1"/>
  <c r="X140" i="4"/>
  <c r="T29" i="4"/>
  <c r="T47" i="4"/>
  <c r="T77" i="4"/>
  <c r="T70" i="4" s="1"/>
  <c r="J70" i="4"/>
  <c r="I29" i="4"/>
  <c r="L29" i="4"/>
  <c r="N47" i="4"/>
  <c r="P47" i="4"/>
  <c r="Y29" i="4"/>
  <c r="Z47" i="4"/>
  <c r="AE140" i="4"/>
  <c r="AG93" i="4"/>
  <c r="AG92" i="4" s="1"/>
  <c r="U92" i="4"/>
  <c r="U91" i="4" s="1"/>
  <c r="U34" i="4"/>
  <c r="U33" i="4" s="1"/>
  <c r="U32" i="4" s="1"/>
  <c r="V33" i="4"/>
  <c r="V32" i="4" s="1"/>
  <c r="E91" i="4"/>
  <c r="AF66" i="4"/>
  <c r="F104" i="4"/>
  <c r="F87" i="4"/>
  <c r="U15" i="4"/>
  <c r="U14" i="4" s="1"/>
  <c r="U13" i="4" s="1"/>
  <c r="G29" i="4"/>
  <c r="M70" i="4"/>
  <c r="AG112" i="4"/>
  <c r="F115" i="4"/>
  <c r="V72" i="4"/>
  <c r="V71" i="4" s="1"/>
  <c r="U75" i="4"/>
  <c r="U72" i="4" s="1"/>
  <c r="U71" i="4" s="1"/>
  <c r="F23" i="4"/>
  <c r="F51" i="4"/>
  <c r="F50" i="4" s="1"/>
  <c r="F47" i="4" s="1"/>
  <c r="F39" i="4"/>
  <c r="G104" i="4"/>
  <c r="G101" i="4" s="1"/>
  <c r="G100" i="4" s="1"/>
  <c r="N19" i="4"/>
  <c r="N18" i="4" s="1"/>
  <c r="I140" i="4"/>
  <c r="M140" i="4"/>
  <c r="AG107" i="4"/>
  <c r="AG125" i="4"/>
  <c r="AG16" i="4"/>
  <c r="K70" i="4"/>
  <c r="AG116" i="4"/>
  <c r="E33" i="4"/>
  <c r="E32" i="4" s="1"/>
  <c r="E29" i="4" s="1"/>
  <c r="AF34" i="4"/>
  <c r="AF33" i="4" s="1"/>
  <c r="AF32" i="4" s="1"/>
  <c r="AF29" i="4" s="1"/>
  <c r="AF39" i="4"/>
  <c r="AF57" i="4"/>
  <c r="AF54" i="4" s="1"/>
  <c r="AF62" i="4"/>
  <c r="AF61" i="4" s="1"/>
  <c r="AF87" i="4"/>
  <c r="AF94" i="4"/>
  <c r="AF104" i="4"/>
  <c r="AF101" i="4" s="1"/>
  <c r="AF100" i="4" s="1"/>
  <c r="AF135" i="4"/>
  <c r="AF115" i="4" s="1"/>
  <c r="AF148" i="4"/>
  <c r="AF147" i="4" s="1"/>
  <c r="AG86" i="4"/>
  <c r="L70" i="4"/>
  <c r="V104" i="4"/>
  <c r="V101" i="4" s="1"/>
  <c r="V100" i="4" s="1"/>
  <c r="G26" i="4"/>
  <c r="H47" i="4"/>
  <c r="AG120" i="4"/>
  <c r="Y140" i="4"/>
  <c r="U31" i="4"/>
  <c r="V30" i="4"/>
  <c r="I70" i="4"/>
  <c r="F72" i="4"/>
  <c r="F71" i="4" s="1"/>
  <c r="AG73" i="4"/>
  <c r="L19" i="4"/>
  <c r="L18" i="4" s="1"/>
  <c r="J140" i="4"/>
  <c r="Q140" i="4"/>
  <c r="AE47" i="4"/>
  <c r="X54" i="4"/>
  <c r="U66" i="4"/>
  <c r="P70" i="4"/>
  <c r="K29" i="4"/>
  <c r="P29" i="4"/>
  <c r="S29" i="4"/>
  <c r="L47" i="4"/>
  <c r="M101" i="4"/>
  <c r="M100" i="4" s="1"/>
  <c r="Q101" i="4"/>
  <c r="Q100" i="4" s="1"/>
  <c r="N101" i="4"/>
  <c r="N100" i="4" s="1"/>
  <c r="R101" i="4"/>
  <c r="R100" i="4" s="1"/>
  <c r="O140" i="4"/>
  <c r="R140" i="4"/>
  <c r="W35" i="4"/>
  <c r="AE35" i="4"/>
  <c r="J19" i="4"/>
  <c r="J18" i="4" s="1"/>
  <c r="N29" i="4"/>
  <c r="M54" i="4"/>
  <c r="Q54" i="4"/>
  <c r="H54" i="4"/>
  <c r="L54" i="4"/>
  <c r="P54" i="4"/>
  <c r="L140" i="4"/>
  <c r="W29" i="4"/>
  <c r="Y47" i="4"/>
  <c r="W77" i="4"/>
  <c r="W70" i="4" s="1"/>
  <c r="S140" i="4"/>
  <c r="J29" i="4"/>
  <c r="R29" i="4"/>
  <c r="R35" i="4"/>
  <c r="Q70" i="4"/>
  <c r="I101" i="4"/>
  <c r="I100" i="4" s="1"/>
  <c r="R70" i="4"/>
  <c r="O70" i="4"/>
  <c r="F66" i="4"/>
  <c r="AG69" i="4"/>
  <c r="F62" i="4"/>
  <c r="F61" i="4" s="1"/>
  <c r="G24" i="1"/>
  <c r="G18" i="1"/>
  <c r="X13" i="1"/>
  <c r="I27" i="1"/>
  <c r="G30" i="1"/>
  <c r="X27" i="1"/>
  <c r="G22" i="1"/>
  <c r="J13" i="1"/>
  <c r="J27" i="1"/>
  <c r="Y27" i="1"/>
  <c r="AQ15" i="1"/>
  <c r="Y13" i="1"/>
  <c r="AR13" i="1"/>
  <c r="G47" i="4" l="1"/>
  <c r="G35" i="4"/>
  <c r="V47" i="4"/>
  <c r="AG66" i="4"/>
  <c r="AG83" i="4"/>
  <c r="AG82" i="4" s="1"/>
  <c r="AG51" i="4"/>
  <c r="AG50" i="4" s="1"/>
  <c r="AG47" i="4" s="1"/>
  <c r="AF19" i="4"/>
  <c r="AF18" i="4" s="1"/>
  <c r="AG56" i="4"/>
  <c r="AG55" i="4" s="1"/>
  <c r="AG15" i="4"/>
  <c r="AG14" i="4" s="1"/>
  <c r="AG13" i="4" s="1"/>
  <c r="F77" i="4"/>
  <c r="F70" i="4" s="1"/>
  <c r="F29" i="4"/>
  <c r="AF140" i="4"/>
  <c r="AF77" i="4"/>
  <c r="G77" i="4"/>
  <c r="G70" i="4" s="1"/>
  <c r="F54" i="4"/>
  <c r="V140" i="4"/>
  <c r="S98" i="4"/>
  <c r="S11" i="4" s="1"/>
  <c r="S154" i="4" s="1"/>
  <c r="AG84" i="4"/>
  <c r="E70" i="4"/>
  <c r="E98" i="4" s="1"/>
  <c r="V77" i="4"/>
  <c r="V70" i="4" s="1"/>
  <c r="K98" i="4"/>
  <c r="K153" i="4" s="1"/>
  <c r="AG94" i="4"/>
  <c r="I98" i="4"/>
  <c r="I11" i="4" s="1"/>
  <c r="I154" i="4" s="1"/>
  <c r="V54" i="4"/>
  <c r="U140" i="4"/>
  <c r="AG142" i="4"/>
  <c r="G140" i="4"/>
  <c r="G19" i="4"/>
  <c r="G18" i="4" s="1"/>
  <c r="AF35" i="4"/>
  <c r="AG57" i="4"/>
  <c r="Z98" i="4"/>
  <c r="AF91" i="4"/>
  <c r="M98" i="4"/>
  <c r="M11" i="4" s="1"/>
  <c r="F35" i="4"/>
  <c r="F19" i="4"/>
  <c r="F18" i="4" s="1"/>
  <c r="AG148" i="4"/>
  <c r="AG147" i="4" s="1"/>
  <c r="I264" i="1"/>
  <c r="K263" i="1"/>
  <c r="G28" i="1"/>
  <c r="G27" i="1" s="1"/>
  <c r="I13" i="1"/>
  <c r="I263" i="1" s="1"/>
  <c r="AY262" i="1"/>
  <c r="G237" i="1"/>
  <c r="AR264" i="1"/>
  <c r="AR141" i="1"/>
  <c r="AR262" i="1" s="1"/>
  <c r="AQ141" i="1"/>
  <c r="AY263" i="1"/>
  <c r="AX264" i="1"/>
  <c r="G151" i="1"/>
  <c r="AS265" i="1"/>
  <c r="BB265" i="1"/>
  <c r="AS263" i="1"/>
  <c r="W266" i="1"/>
  <c r="AQ231" i="1"/>
  <c r="AE98" i="4"/>
  <c r="AE11" i="4" s="1"/>
  <c r="AE154" i="4" s="1"/>
  <c r="AG91" i="4"/>
  <c r="AG23" i="4"/>
  <c r="AG39" i="4"/>
  <c r="AG35" i="4" s="1"/>
  <c r="AG35" i="1"/>
  <c r="AG101" i="1"/>
  <c r="AG67" i="1"/>
  <c r="F265" i="1"/>
  <c r="AO265" i="1"/>
  <c r="H98" i="4"/>
  <c r="H153" i="4" s="1"/>
  <c r="X98" i="4"/>
  <c r="AG20" i="4"/>
  <c r="L98" i="4"/>
  <c r="AG62" i="4"/>
  <c r="AG61" i="4" s="1"/>
  <c r="Q98" i="4"/>
  <c r="Q153" i="4" s="1"/>
  <c r="W98" i="4"/>
  <c r="F140" i="4"/>
  <c r="AW264" i="1"/>
  <c r="X264" i="1"/>
  <c r="AG264" i="1"/>
  <c r="F262" i="1"/>
  <c r="G70" i="1"/>
  <c r="AH265" i="1"/>
  <c r="H266" i="1"/>
  <c r="D10" i="5"/>
  <c r="D8" i="5" s="1"/>
  <c r="AQ260" i="1"/>
  <c r="AQ264" i="1" s="1"/>
  <c r="G15" i="1"/>
  <c r="G13" i="1" s="1"/>
  <c r="AW13" i="1"/>
  <c r="AW141" i="1"/>
  <c r="G101" i="1"/>
  <c r="G261" i="1"/>
  <c r="G260" i="1" s="1"/>
  <c r="AH262" i="1"/>
  <c r="AW67" i="1"/>
  <c r="G75" i="1"/>
  <c r="B13" i="5" s="1"/>
  <c r="AW35" i="1"/>
  <c r="G231" i="1"/>
  <c r="G37" i="1"/>
  <c r="G35" i="1" s="1"/>
  <c r="AA263" i="1"/>
  <c r="AA265" i="1"/>
  <c r="K262" i="1"/>
  <c r="X93" i="1"/>
  <c r="G94" i="1"/>
  <c r="G93" i="1" s="1"/>
  <c r="G81" i="1"/>
  <c r="X80" i="1"/>
  <c r="K265" i="1"/>
  <c r="AP266" i="1"/>
  <c r="BB262" i="1"/>
  <c r="AH263" i="1"/>
  <c r="AX35" i="1"/>
  <c r="AX262" i="1" s="1"/>
  <c r="G85" i="1"/>
  <c r="AG141" i="1"/>
  <c r="G142" i="1"/>
  <c r="AO263" i="1"/>
  <c r="F263" i="1" s="1"/>
  <c r="AF266" i="1"/>
  <c r="U19" i="4"/>
  <c r="U18" i="4" s="1"/>
  <c r="U87" i="4"/>
  <c r="U77" i="4" s="1"/>
  <c r="U70" i="4" s="1"/>
  <c r="V19" i="4"/>
  <c r="V18" i="4" s="1"/>
  <c r="AG115" i="4"/>
  <c r="B9" i="5" s="1"/>
  <c r="AG75" i="4"/>
  <c r="AG72" i="4" s="1"/>
  <c r="AG71" i="4" s="1"/>
  <c r="AG104" i="4"/>
  <c r="AG101" i="4" s="1"/>
  <c r="AG100" i="4" s="1"/>
  <c r="AG34" i="4"/>
  <c r="AG33" i="4" s="1"/>
  <c r="AG32" i="4" s="1"/>
  <c r="V35" i="4"/>
  <c r="J98" i="4"/>
  <c r="J153" i="4" s="1"/>
  <c r="N98" i="4"/>
  <c r="Y98" i="4"/>
  <c r="P98" i="4"/>
  <c r="T98" i="4"/>
  <c r="O98" i="4"/>
  <c r="V29" i="4"/>
  <c r="F101" i="4"/>
  <c r="F100" i="4" s="1"/>
  <c r="B11" i="5"/>
  <c r="U30" i="4"/>
  <c r="U29" i="4" s="1"/>
  <c r="AG31" i="4"/>
  <c r="AG30" i="4" s="1"/>
  <c r="R98" i="4"/>
  <c r="AE153" i="4"/>
  <c r="I153" i="4"/>
  <c r="AQ13" i="1"/>
  <c r="Y263" i="1"/>
  <c r="Y262" i="1"/>
  <c r="Y265" i="1"/>
  <c r="J263" i="1"/>
  <c r="J262" i="1"/>
  <c r="J265" i="1"/>
  <c r="AR263" i="1" l="1"/>
  <c r="AG54" i="4"/>
  <c r="S153" i="4"/>
  <c r="AG77" i="4"/>
  <c r="AG70" i="4" s="1"/>
  <c r="AF70" i="4"/>
  <c r="AF98" i="4" s="1"/>
  <c r="AF11" i="4" s="1"/>
  <c r="AF154" i="4" s="1"/>
  <c r="G98" i="4"/>
  <c r="G153" i="4" s="1"/>
  <c r="AG19" i="4"/>
  <c r="AG18" i="4" s="1"/>
  <c r="AG29" i="4"/>
  <c r="O11" i="4"/>
  <c r="O154" i="4" s="1"/>
  <c r="Y153" i="4"/>
  <c r="Y11" i="4"/>
  <c r="Y154" i="4" s="1"/>
  <c r="Q11" i="4"/>
  <c r="Q154" i="4" s="1"/>
  <c r="X11" i="4"/>
  <c r="X154" i="4" s="1"/>
  <c r="M153" i="4"/>
  <c r="W153" i="4"/>
  <c r="W11" i="4"/>
  <c r="W154" i="4" s="1"/>
  <c r="R11" i="4"/>
  <c r="R154" i="4" s="1"/>
  <c r="T153" i="4"/>
  <c r="T11" i="4"/>
  <c r="T154" i="4" s="1"/>
  <c r="N11" i="4"/>
  <c r="N154" i="4" s="1"/>
  <c r="K11" i="4"/>
  <c r="K154" i="4" s="1"/>
  <c r="P153" i="4"/>
  <c r="P11" i="4"/>
  <c r="P154" i="4" s="1"/>
  <c r="L153" i="4"/>
  <c r="L11" i="4"/>
  <c r="L154" i="4" s="1"/>
  <c r="Z153" i="4"/>
  <c r="Z11" i="4"/>
  <c r="Z154" i="4" s="1"/>
  <c r="E153" i="4"/>
  <c r="E11" i="4"/>
  <c r="E154" i="4" s="1"/>
  <c r="M154" i="4"/>
  <c r="N153" i="4"/>
  <c r="AG140" i="4"/>
  <c r="F98" i="4"/>
  <c r="F153" i="4" s="1"/>
  <c r="H11" i="4"/>
  <c r="H154" i="4" s="1"/>
  <c r="X153" i="4"/>
  <c r="I265" i="1"/>
  <c r="AR265" i="1"/>
  <c r="I262" i="1"/>
  <c r="G141" i="1"/>
  <c r="X262" i="1"/>
  <c r="AG262" i="1"/>
  <c r="AW262" i="1"/>
  <c r="G11" i="4"/>
  <c r="G154" i="4" s="1"/>
  <c r="B10" i="5"/>
  <c r="AG263" i="1"/>
  <c r="AW265" i="1"/>
  <c r="AW263" i="1"/>
  <c r="X265" i="1"/>
  <c r="AG265" i="1"/>
  <c r="G80" i="1"/>
  <c r="X263" i="1"/>
  <c r="G264" i="1"/>
  <c r="AX265" i="1"/>
  <c r="G67" i="1"/>
  <c r="B12" i="5"/>
  <c r="AO266" i="1"/>
  <c r="AX263" i="1"/>
  <c r="U98" i="4"/>
  <c r="J11" i="4"/>
  <c r="J154" i="4" s="1"/>
  <c r="O153" i="4"/>
  <c r="V98" i="4"/>
  <c r="V11" i="4" s="1"/>
  <c r="R153" i="4"/>
  <c r="AQ265" i="1"/>
  <c r="AQ262" i="1"/>
  <c r="D5" i="5" s="1"/>
  <c r="D7" i="5" s="1"/>
  <c r="AQ263" i="1"/>
  <c r="AF153" i="4" l="1"/>
  <c r="AG98" i="4"/>
  <c r="AG11" i="4" s="1"/>
  <c r="AG154" i="4" s="1"/>
  <c r="F11" i="4"/>
  <c r="F154" i="4" s="1"/>
  <c r="U153" i="4"/>
  <c r="U11" i="4"/>
  <c r="U154" i="4" s="1"/>
  <c r="G265" i="1"/>
  <c r="B8" i="5"/>
  <c r="G263" i="1"/>
  <c r="V153" i="4"/>
  <c r="V154" i="4"/>
  <c r="G262" i="1"/>
  <c r="B5" i="5" s="1"/>
  <c r="B4" i="5" l="1"/>
  <c r="B7" i="5" s="1"/>
  <c r="AG153" i="4"/>
  <c r="G266" i="1"/>
  <c r="G269" i="1"/>
</calcChain>
</file>

<file path=xl/comments1.xml><?xml version="1.0" encoding="utf-8"?>
<comments xmlns="http://schemas.openxmlformats.org/spreadsheetml/2006/main">
  <authors>
    <author>Elina Markaine</author>
  </authors>
  <commentList>
    <comment ref="K4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  <comment ref="K261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Izlabota kļūda pēc SN apstiprināšanas (uz atskaiti)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Algoti darbi 2016</t>
        </r>
      </text>
    </comment>
    <comment ref="H6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Projekts: P128 (-354901), Ābelītes projekts (-1)</t>
        </r>
      </text>
    </comment>
    <comment ref="H90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tāmes Nr.01.1.1.</t>
        </r>
      </text>
    </comment>
    <comment ref="I90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tāmē 06.1.1. un 09.4.1.</t>
        </r>
      </text>
    </comment>
    <comment ref="H9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izstādes 2016, tāme Nr.04.1.16.</t>
        </r>
      </text>
    </comment>
    <comment ref="L94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53 EUR ir projekta ieņēmumi (Tāme 04.1.16.), tāpēc nesakrīt ar kopējām izmaiņām MP</t>
        </r>
      </text>
    </comment>
    <comment ref="E119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24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Starpt.skola par 2015. g. decembri 54.30 €, decembrī ieskaitīts par janvāri 54 386 €</t>
        </r>
      </text>
    </comment>
    <comment ref="E133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- 9 987 €; ūdenstilpj.noma 36 206 €</t>
        </r>
      </text>
    </comment>
  </commentList>
</comments>
</file>

<file path=xl/sharedStrings.xml><?xml version="1.0" encoding="utf-8"?>
<sst xmlns="http://schemas.openxmlformats.org/spreadsheetml/2006/main" count="925" uniqueCount="760">
  <si>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</si>
  <si>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</si>
  <si>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</si>
  <si>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</si>
  <si>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</si>
  <si>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</si>
  <si>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</si>
  <si>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</si>
  <si>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</si>
  <si>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</si>
  <si>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</si>
  <si>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</si>
  <si>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</si>
  <si>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</si>
  <si>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</si>
  <si>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</si>
  <si>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</si>
  <si>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</si>
  <si>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</si>
  <si>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</si>
  <si>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</si>
  <si>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</si>
  <si>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</si>
  <si>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</si>
  <si>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</si>
  <si>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</si>
  <si>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</si>
  <si>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</si>
  <si>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</si>
  <si>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</si>
  <si>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</si>
  <si>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</si>
  <si>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</si>
  <si>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</si>
  <si>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</si>
  <si>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</si>
  <si>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</si>
  <si>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</si>
  <si>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</si>
  <si>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</si>
  <si>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</si>
  <si>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</si>
  <si>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</si>
  <si>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</si>
  <si>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</si>
  <si>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</si>
  <si>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</si>
  <si>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</si>
  <si>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</si>
  <si>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</si>
  <si>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</si>
  <si>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</si>
  <si>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</si>
  <si>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</si>
  <si>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</si>
  <si>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</si>
  <si>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</si>
  <si>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</si>
  <si>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</si>
  <si>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</si>
  <si>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</si>
  <si>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</si>
  <si>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</si>
  <si>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</si>
  <si>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</si>
  <si>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</si>
  <si>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</si>
  <si>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</si>
  <si>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</si>
  <si>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</si>
  <si>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</si>
  <si>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</si>
  <si>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</si>
  <si>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</si>
  <si>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</si>
  <si>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</si>
  <si>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</si>
  <si>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</si>
  <si>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</si>
  <si>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</si>
  <si>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</si>
  <si>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</si>
  <si>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</si>
  <si>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</si>
  <si>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</si>
  <si>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</si>
  <si>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</si>
  <si>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</si>
  <si>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</si>
  <si>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</si>
  <si>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</si>
  <si>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</si>
  <si>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</si>
  <si>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</si>
  <si>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</si>
  <si>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</si>
  <si>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</si>
  <si>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</si>
  <si>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</si>
  <si>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</si>
  <si>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</si>
  <si>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</si>
  <si>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</si>
  <si>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</si>
  <si>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</si>
  <si>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</si>
  <si>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</si>
  <si>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</si>
  <si>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</si>
  <si>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</si>
  <si>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</si>
  <si>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</si>
  <si>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</si>
  <si>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</si>
  <si>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</si>
  <si>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</si>
  <si>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</si>
  <si>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</si>
  <si>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</si>
  <si>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</si>
  <si>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</si>
  <si>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</si>
  <si>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</si>
  <si>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</si>
  <si>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</si>
  <si>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</si>
  <si>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</si>
  <si>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</si>
  <si>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</si>
  <si>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</si>
  <si>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</si>
  <si>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</si>
  <si>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</si>
  <si>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</si>
  <si>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</si>
  <si>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</si>
  <si>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</si>
  <si>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</si>
  <si>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</si>
  <si>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</si>
  <si>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</si>
  <si>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</si>
  <si>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</si>
  <si>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</si>
  <si>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</si>
  <si>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</si>
  <si>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</si>
  <si>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</si>
  <si>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</si>
  <si>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</si>
  <si>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</si>
  <si>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</si>
  <si>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</si>
  <si>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</si>
  <si>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</si>
  <si>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</si>
  <si>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</si>
  <si>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</si>
  <si>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</si>
  <si>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</si>
  <si>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</si>
  <si>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</si>
  <si>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</si>
  <si>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</si>
  <si>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</si>
  <si>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</si>
  <si>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</si>
  <si>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</si>
  <si>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</si>
  <si>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</si>
  <si>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</si>
  <si>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</si>
  <si>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</si>
  <si>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</si>
  <si>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</si>
  <si>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</si>
  <si>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</si>
  <si>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</si>
  <si>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</si>
  <si>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</si>
  <si>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</si>
  <si>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</si>
  <si>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</si>
  <si>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</si>
  <si>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</si>
  <si>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</si>
  <si>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</si>
  <si>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</si>
  <si>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</si>
  <si>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</si>
  <si>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</si>
  <si>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</si>
  <si>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</si>
  <si>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</si>
  <si>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</si>
  <si>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</si>
  <si>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</si>
  <si>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</si>
  <si>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</si>
  <si>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</si>
  <si>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</si>
  <si>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</si>
  <si>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</si>
  <si>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</si>
  <si>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</si>
  <si>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</si>
  <si>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</si>
  <si>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</si>
  <si>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</si>
  <si>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</si>
  <si>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</si>
  <si>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</si>
  <si>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</si>
  <si>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</si>
  <si>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</si>
  <si>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</si>
  <si>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</si>
  <si>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</si>
  <si>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</si>
  <si>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</si>
  <si>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</si>
  <si>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</si>
  <si>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</si>
  <si>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</si>
  <si>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</si>
  <si>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</si>
  <si>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</si>
  <si>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</si>
  <si>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</si>
  <si>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</si>
  <si>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</si>
  <si>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</si>
  <si>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</si>
  <si>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</si>
  <si>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</si>
  <si>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</si>
  <si>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</si>
  <si>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</si>
  <si>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</si>
  <si>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</si>
  <si>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</si>
  <si>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</si>
  <si>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</si>
  <si>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</si>
  <si>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</si>
  <si>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</si>
  <si>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</si>
  <si>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</si>
  <si>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</si>
  <si>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</si>
  <si>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</si>
  <si>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</si>
  <si>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</si>
  <si>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</si>
  <si>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</si>
  <si>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</si>
  <si>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</si>
  <si>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</si>
  <si>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</si>
  <si>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</si>
  <si>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</si>
  <si>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</si>
  <si>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</si>
  <si>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</si>
  <si>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</si>
  <si>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</si>
  <si>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</si>
  <si>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</si>
  <si>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</si>
  <si>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</si>
  <si>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</si>
  <si>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</si>
  <si>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21.4.9.9.</t>
  </si>
  <si>
    <t>Pārējie iepriekš neklasificētie pašu ieņēmumi</t>
  </si>
  <si>
    <t>21.4.0.0.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</si>
  <si>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</si>
  <si>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</si>
  <si>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</si>
  <si>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</si>
  <si>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</si>
  <si>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</si>
  <si>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Budžeta finansētas institūcijas reģistrācijas  Nr.</t>
  </si>
  <si>
    <t>Pirmsskolas izglītības iestāde "Austras koks"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</si>
  <si>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</si>
  <si>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</si>
  <si>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</si>
  <si>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</si>
  <si>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Projekts "Jūrmalas pilsētas tranzītielas P128 (Talsu šoseja/Kolkas iela) izbūve"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</si>
  <si>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</si>
  <si>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</si>
  <si>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</si>
  <si>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</si>
  <si>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</si>
  <si>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</si>
  <si>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</si>
  <si>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Pamatkapitāla palielināšana, projekts "Jūrmalas ūdenssaimniecības attīstība III kārta"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</si>
  <si>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</si>
  <si>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</si>
  <si>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</si>
  <si>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</si>
  <si>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</si>
  <si>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</si>
  <si>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>Saņemts  no Valsts kases sadales konta pārskata gadā ieskaitītais iedzīvotāju ienākuma nodoklis</t>
  </si>
  <si>
    <t>F55 01 00 20</t>
  </si>
  <si>
    <t>Akcijas un cita līdzdalība komersantu pašu kapitālā, neskaitot kopieguldījumu fondu akcijas (pārdošana)</t>
  </si>
  <si>
    <t>Ielu asfalta seguma kapitālajam remontam</t>
  </si>
  <si>
    <t xml:space="preserve">Mērķdotācija tautas tērpu un to detaļu vai mūzikas instrumentu iegādei </t>
  </si>
  <si>
    <t>Mērķdotācija pedagogu atalgojumam profesionālās ievirzes izglītības programmu finansēšanai</t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</si>
  <si>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</si>
  <si>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</si>
  <si>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</si>
  <si>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</si>
  <si>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</si>
  <si>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</si>
  <si>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</si>
  <si>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</si>
  <si>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</si>
  <si>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</si>
  <si>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</si>
  <si>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</si>
  <si>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</si>
  <si>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</si>
  <si>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5.5.3.1.</t>
  </si>
  <si>
    <t>Dabas resursu nodoklis par dabas resursu ieguvi un vides piesārņošanu</t>
  </si>
  <si>
    <t>Pilsētas ekonomiskās attīstības pasākumi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</si>
  <si>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</si>
  <si>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</si>
  <si>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</si>
  <si>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</si>
  <si>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</si>
  <si>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</si>
  <si>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</si>
  <si>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</si>
  <si>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</si>
  <si>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</si>
  <si>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</si>
  <si>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</si>
  <si>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</si>
  <si>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</si>
  <si>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</si>
  <si>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Sabiedrisko attiecību veidošanas pasākumi</t>
  </si>
  <si>
    <t>Zivju resursu atjaunošana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</si>
  <si>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</si>
  <si>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</si>
  <si>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</si>
  <si>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</si>
  <si>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</si>
  <si>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</si>
  <si>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</si>
  <si>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</si>
  <si>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</si>
  <si>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</si>
  <si>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</si>
  <si>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</si>
  <si>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</si>
  <si>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</si>
  <si>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</si>
  <si>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</si>
  <si>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</si>
  <si>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</si>
  <si>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</si>
  <si>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Pirmsskolas izglītības iestāde "Podziņa"</t>
  </si>
  <si>
    <t>Dienas aprūpe bērniem ar funkcionāliem traucējumiem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</si>
  <si>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</si>
  <si>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</si>
  <si>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</si>
  <si>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</si>
  <si>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</si>
  <si>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</si>
  <si>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</si>
  <si>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</si>
  <si>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</si>
  <si>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</si>
  <si>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</si>
  <si>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</si>
  <si>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</si>
  <si>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r>
      <t>Jūrmalas pilsētas pašvaldības 2016.gada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</si>
  <si>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</si>
  <si>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</si>
  <si>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</si>
  <si>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</si>
  <si>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</si>
  <si>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</si>
  <si>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Asignējumu apjoms 2016.gadam</t>
  </si>
  <si>
    <t>Ostas būvniecība, atjaunošana un uzlabošana</t>
  </si>
  <si>
    <t>Projekts "Algoti pagaidu sabiedriskie darbi"</t>
  </si>
  <si>
    <t>Jūrmalas ostas pārvalde</t>
  </si>
  <si>
    <t>Sabiedrība ar ierobežotu atbildību "Jūrmalas gaisma"</t>
  </si>
  <si>
    <t>p/a "Jūrmalas sociālās aprūpes centrs"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</si>
  <si>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</si>
  <si>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</si>
  <si>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</si>
  <si>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</si>
  <si>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"Lietpratīga pārvaldība un Latvijas pašvaldību veiktspējas uzlabošana"</t>
  </si>
  <si>
    <t>Projekts "PROTI un DARI"</t>
  </si>
  <si>
    <t>Projekts "Kreatīva pieeja mūzikas mācīšanā pirmsskolā un sākumskolā"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</si>
  <si>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</si>
  <si>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</si>
  <si>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</si>
  <si>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</si>
  <si>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</si>
  <si>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</si>
  <si>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Projekts  "Dažādu metožu izmantošana dabaszinātņu mācīšanā, lai veicinātu skolēnu motivāciju un uzlabotu viņu izglītības līmeni"</t>
  </si>
  <si>
    <t>Grupu dzīvokļa pakalpojuma izveide un nodrošināšana Jūrmalā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</si>
  <si>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</si>
  <si>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</si>
  <si>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</si>
  <si>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 xml:space="preserve">Projekts "Iedvesmojies. Mācies. Radi!" </t>
  </si>
  <si>
    <t>Projekts "IN !"</t>
  </si>
  <si>
    <t>Jūrmalas pilsētas pašvaldības 2016.-2018.gada Ceļu fonda izlietojuma programma</t>
  </si>
  <si>
    <t>01.1.1.</t>
  </si>
  <si>
    <t>01.1.2.,
01.1.3.</t>
  </si>
  <si>
    <t>01.1.4.</t>
  </si>
  <si>
    <t>01.1.5.</t>
  </si>
  <si>
    <t>01.1.6.</t>
  </si>
  <si>
    <t>01.1.7.</t>
  </si>
  <si>
    <t>01.2.1.</t>
  </si>
  <si>
    <t>01.2.2.</t>
  </si>
  <si>
    <t>01.2.3.</t>
  </si>
  <si>
    <t>01.2.4.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</si>
  <si>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</si>
  <si>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</si>
  <si>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</si>
  <si>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</si>
  <si>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</si>
  <si>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</si>
  <si>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</si>
  <si>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</si>
  <si>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</si>
  <si>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</si>
  <si>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</si>
  <si>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</si>
  <si>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04.1.11.</t>
  </si>
  <si>
    <t>04.1.12.</t>
  </si>
  <si>
    <t>04.1.13.</t>
  </si>
  <si>
    <t>04.1.14.</t>
  </si>
  <si>
    <t>04.1.15.</t>
  </si>
  <si>
    <t>04.1.16.</t>
  </si>
  <si>
    <t>04.1.17.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</si>
  <si>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</si>
  <si>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</si>
  <si>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</si>
  <si>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</si>
  <si>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</si>
  <si>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</si>
  <si>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</si>
  <si>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</si>
  <si>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</si>
  <si>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</si>
  <si>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</si>
  <si>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</si>
  <si>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</si>
  <si>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</si>
  <si>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</si>
  <si>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</si>
  <si>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</si>
  <si>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</si>
  <si>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</si>
  <si>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08.1.14.</t>
  </si>
  <si>
    <t>09.1.1.</t>
  </si>
  <si>
    <t>09.1.2.</t>
  </si>
  <si>
    <t>09.1.3.</t>
  </si>
  <si>
    <t>09.1.4.</t>
  </si>
  <si>
    <t>09.1.5.</t>
  </si>
  <si>
    <t>09.1.6.,
09.1.7.,
09.1.8.</t>
  </si>
  <si>
    <t>09.1.9.</t>
  </si>
  <si>
    <t>09.1.10.</t>
  </si>
  <si>
    <t>10.1.1.</t>
  </si>
  <si>
    <t>10.1.2.</t>
  </si>
  <si>
    <t>03.2.1.</t>
  </si>
  <si>
    <t>03.3.1.</t>
  </si>
  <si>
    <t>05.2.2.</t>
  </si>
  <si>
    <t>05.2.3.</t>
  </si>
  <si>
    <t>05.2.4.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</si>
  <si>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</si>
  <si>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</si>
  <si>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</si>
  <si>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</si>
  <si>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</si>
  <si>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</si>
  <si>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</si>
  <si>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</si>
  <si>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</si>
  <si>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</si>
  <si>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</si>
  <si>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</si>
  <si>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</si>
  <si>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</si>
  <si>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</si>
  <si>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</si>
  <si>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</si>
  <si>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</si>
  <si>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</si>
  <si>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</si>
  <si>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</si>
  <si>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</si>
  <si>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</si>
  <si>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</si>
  <si>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</si>
  <si>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</si>
  <si>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</si>
  <si>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09.1.11.</t>
  </si>
  <si>
    <t>09.2.1.</t>
  </si>
  <si>
    <t>09.2.2.</t>
  </si>
  <si>
    <t>09.3.1.</t>
  </si>
  <si>
    <t>09.3.2.</t>
  </si>
  <si>
    <t>09.3.3.</t>
  </si>
  <si>
    <t>09.4.1.</t>
  </si>
  <si>
    <t>09.4.2.</t>
  </si>
  <si>
    <t>09.4.3.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</si>
  <si>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</si>
  <si>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</si>
  <si>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</si>
  <si>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</si>
  <si>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</si>
  <si>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</si>
  <si>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</si>
  <si>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</si>
  <si>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</si>
  <si>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</si>
  <si>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</si>
  <si>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</si>
  <si>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</si>
  <si>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</si>
  <si>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</si>
  <si>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</si>
  <si>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</si>
  <si>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</si>
  <si>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</si>
  <si>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</si>
  <si>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</si>
  <si>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</si>
  <si>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</si>
  <si>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</si>
  <si>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</si>
  <si>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</si>
  <si>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</si>
  <si>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</si>
  <si>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</si>
  <si>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</si>
  <si>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</si>
  <si>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</si>
  <si>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</si>
  <si>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</si>
  <si>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</si>
  <si>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</si>
  <si>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</si>
  <si>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</si>
  <si>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</si>
  <si>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</si>
  <si>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</si>
  <si>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</si>
  <si>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</si>
  <si>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09.25.3.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</si>
  <si>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</si>
  <si>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</si>
  <si>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</si>
  <si>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</si>
  <si>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</si>
  <si>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</si>
  <si>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</si>
  <si>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</si>
  <si>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</si>
  <si>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</si>
  <si>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09.31.3.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</si>
  <si>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</si>
  <si>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</si>
  <si>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</si>
  <si>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</si>
  <si>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</si>
  <si>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</si>
  <si>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</si>
  <si>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</si>
  <si>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</si>
  <si>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</si>
  <si>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</si>
  <si>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</si>
  <si>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</si>
  <si>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</si>
  <si>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</si>
  <si>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</si>
  <si>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</si>
  <si>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</si>
  <si>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10.3.8.</t>
  </si>
  <si>
    <t>10.3.9.</t>
  </si>
  <si>
    <t>10.3.10.</t>
  </si>
  <si>
    <t>10.4.1.</t>
  </si>
  <si>
    <t>10.4.2.</t>
  </si>
  <si>
    <t>10.5.1.</t>
  </si>
  <si>
    <t>Konsolidējamie izdevumi</t>
  </si>
  <si>
    <t>16</t>
  </si>
  <si>
    <t>4.pielikums</t>
  </si>
  <si>
    <t>5.pielikums</t>
  </si>
  <si>
    <t>6.pielikums</t>
  </si>
  <si>
    <t>7.pielikums</t>
  </si>
  <si>
    <t>17.pielikums</t>
  </si>
  <si>
    <t>13.pielikums</t>
  </si>
  <si>
    <t>8.pielikums</t>
  </si>
  <si>
    <t>3.pielikums</t>
  </si>
  <si>
    <t>21.pielikums</t>
  </si>
  <si>
    <t>22.pielikums</t>
  </si>
  <si>
    <t>8.pielikums, 11.pielikums, 14.pielikums</t>
  </si>
  <si>
    <t>15.pielikums</t>
  </si>
  <si>
    <t>12.pielikums</t>
  </si>
  <si>
    <t xml:space="preserve">19., 22.pielikums, </t>
  </si>
  <si>
    <t>12., 15., 20.pielikums</t>
  </si>
  <si>
    <t>4., 15.pielikums</t>
  </si>
  <si>
    <t>9.pielikums</t>
  </si>
  <si>
    <t>16.pielikums</t>
  </si>
  <si>
    <t>10.pielikums</t>
  </si>
  <si>
    <t>18.pielikums</t>
  </si>
  <si>
    <t>30.pielikums</t>
  </si>
  <si>
    <t>04.2.1.</t>
  </si>
  <si>
    <t>26.pielikums</t>
  </si>
  <si>
    <t>27.pielikums</t>
  </si>
  <si>
    <t>24.pielikums</t>
  </si>
  <si>
    <t>Jūrmalas Valsts ģimnāzijas sporta halles uzturēšana</t>
  </si>
  <si>
    <t>23.pielikums</t>
  </si>
  <si>
    <t>Jūrmalas Sporta servisa centrs</t>
  </si>
  <si>
    <t>25.pielikums</t>
  </si>
  <si>
    <t>29., 30.pielikums</t>
  </si>
  <si>
    <t>28., 29.pielikums</t>
  </si>
  <si>
    <t>28., 29., 30.pielikums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</si>
  <si>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</si>
  <si>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</si>
  <si>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</si>
  <si>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</si>
  <si>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</si>
  <si>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</si>
  <si>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</si>
  <si>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Pašvaldību iestāžu saņemtie transferti no augstākas iestādes</t>
  </si>
  <si>
    <t>Projekts „Atbalsts integrētu teritoriālo investīciju īstenošanai Jūrmalas pilsētas pašvaldībā”</t>
  </si>
  <si>
    <t>01.1.8.</t>
  </si>
  <si>
    <t>Jūrmalas ūdenssaimniecības projekts IV kārta</t>
  </si>
  <si>
    <t>Sabiedriskā kompleksa būvniecība (Mūzikas skola)</t>
  </si>
  <si>
    <t>Jūrmalas kapi</t>
  </si>
  <si>
    <t>Procentu maksājumi Valsts kasei</t>
  </si>
  <si>
    <t>Pamatkapitāla palielināšana, projekts "Jūrmalas ūdenssaimniecības attīstība IV kārta"</t>
  </si>
  <si>
    <t>05.2.5.</t>
  </si>
  <si>
    <t>Sociālo iestāžu, kurās tiek nodrošināta ilgstoša aprūpe gados veciem cilvēkiem, būvniecība, atjaunošana un uzlabošana</t>
  </si>
  <si>
    <t>Pārējo sociālo iestāžu būvniecība, atjaunošana un uzlabošana</t>
  </si>
  <si>
    <t>Pamatkapitāla palielināšana</t>
  </si>
  <si>
    <t>07.3.1.</t>
  </si>
  <si>
    <t>Pašvaldības sabiedrība ar ierobežotu atbildību "Kauguru veselības centrs"</t>
  </si>
  <si>
    <t>06.1.7.,
06.1.8.</t>
  </si>
  <si>
    <t>08.1.8.,
08.1.9.</t>
  </si>
  <si>
    <t>08.1.10.</t>
  </si>
  <si>
    <t>08.1.11.,
08.1.12.</t>
  </si>
  <si>
    <t>08.1.13.</t>
  </si>
  <si>
    <t>Sporta attīstības un publicitātes pasākumi</t>
  </si>
  <si>
    <t>04.1.8., 04.1.18.</t>
  </si>
  <si>
    <t>08.7.3.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</si>
  <si>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</si>
  <si>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</si>
  <si>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</si>
  <si>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</si>
  <si>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</si>
  <si>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</si>
  <si>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</si>
  <si>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</si>
  <si>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</si>
  <si>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</si>
  <si>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</si>
  <si>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</si>
  <si>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</si>
  <si>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</si>
  <si>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2016.gadam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</si>
  <si>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2016.gada budžets</t>
  </si>
  <si>
    <t>2016.gada budžets kopā ar konsolidāciju</t>
  </si>
  <si>
    <t>2015.gada 16.decembra saistošajiem noteikumiem Nr. 47</t>
  </si>
  <si>
    <t>(protokols Nr.22, 3.punkts)</t>
  </si>
  <si>
    <t>2.pielikums Jūrmalas pilsētas domes</t>
  </si>
  <si>
    <t>Kopā, apstiprināts</t>
  </si>
  <si>
    <t>Pamatbudžets, apstiprināts</t>
  </si>
  <si>
    <t>Pamatbudžets, izmaiņas kopā</t>
  </si>
  <si>
    <t>Valsts budžeta transferti, apstiprināti</t>
  </si>
  <si>
    <t>SN/Rīkojuma Nr.</t>
  </si>
  <si>
    <t>Valsts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</si>
  <si>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</si>
  <si>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</si>
  <si>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</si>
  <si>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</si>
  <si>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</si>
  <si>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</si>
  <si>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2016.gada budžets, apstiprināts</t>
  </si>
  <si>
    <t>2016.gada budžets, izmaiņas kopā</t>
  </si>
  <si>
    <t>Konsolidē-jamie ieņēmumi, apstiprināts</t>
  </si>
  <si>
    <t>Konsolidē-jamie ieņēmumi, izmaiņas kopā</t>
  </si>
  <si>
    <t>2016.gada budžets kopā ar konsolidāciju, apstiprināts</t>
  </si>
  <si>
    <t>Algoti pagaidu sabiedriskie darbi 2016</t>
  </si>
  <si>
    <t>04.1.19.</t>
  </si>
  <si>
    <t>Projekts "Pašvaldību dalība starptautiskās izstādēs"</t>
  </si>
  <si>
    <t>Projekts "Jūrmalas kūrortpilsētas dalība ārvalstu starptautiskajās tūrisma izstādēs, gadatirgos un konferencēs - 2015"</t>
  </si>
  <si>
    <t>04.1.20.</t>
  </si>
  <si>
    <t>04.1.21.</t>
  </si>
  <si>
    <t>Pašvaldības budžeta norēķini ar valsts budžetu</t>
  </si>
  <si>
    <t>01.2.5.</t>
  </si>
  <si>
    <t>Mērķdotācija pansionāta iemītniekiem</t>
  </si>
  <si>
    <t>1.pielikums Jūrmalas pilsētas domes</t>
  </si>
  <si>
    <t>SN 21.01.2016. Nr.2</t>
  </si>
  <si>
    <t>Projekts "Solis ilgtspējīgā uzņēmējdarbībā"</t>
  </si>
  <si>
    <t>09.4.4.</t>
  </si>
  <si>
    <t xml:space="preserve">Projekts „Moderns un pievilcīgs mazo ostu tīkls ar interaktīvu pārrobežu informācijas sistēmu, kopēju mārketingu un uzlabotiem ostu pakalpojumiem” </t>
  </si>
  <si>
    <t>04.2.2.</t>
  </si>
  <si>
    <t>R 09.02.2016. Nr.1.1-14/43, R 16.02.2016. Nr.1.1-14/54, R 29.02.2016. Nr.1.1-14/69</t>
  </si>
  <si>
    <t>Projekts "Eurodesk reģionālā koordinatora pakalpojumi 2016.gadā"</t>
  </si>
  <si>
    <t>09.4.5.</t>
  </si>
  <si>
    <t>Projekts “17. starptautiskais akadēmiskās mūzikas konkurss "JŪRMALA 2016" klavieru specialitātē”</t>
  </si>
  <si>
    <t>09.12.2.</t>
  </si>
  <si>
    <t>SN 10.03.2016. Nr.6</t>
  </si>
  <si>
    <t>Projekts "Kopā esam"</t>
  </si>
  <si>
    <t>09.1.12.</t>
  </si>
  <si>
    <t>Projekts "Sniegt iespēju bērniem/EmpowerKids"</t>
  </si>
  <si>
    <t>10.2.9.</t>
  </si>
  <si>
    <t>21.1.9.1.</t>
  </si>
  <si>
    <t>Ieņēmumi no citu Eiropas Savienības politiku instrumentu līdzfinansēto projektu un pasākumu īstenošanas un saņemtās ārvalstu finanšu palīdzības, kas nav Eiropas Savienības struktūrfondi</t>
  </si>
  <si>
    <t>21.1.0.0.</t>
  </si>
  <si>
    <t>Iestādes ieņēmumi no ārvalstu finanšu palīdzības</t>
  </si>
  <si>
    <t>21.1.9.0.</t>
  </si>
  <si>
    <t>Ieņēmumi no citu Eiropas Savienības politiku instrumentu līdzfinansēto projektu un pasākumu īstenošanas un citu valstu finanšu palīdzības programmu īstenošanas, saņemtā ārvalstu finanšu palīdzība</t>
  </si>
  <si>
    <t>21.1.9.2.</t>
  </si>
  <si>
    <t>21.1.9.3.</t>
  </si>
  <si>
    <t>21.1.9.4.</t>
  </si>
  <si>
    <t>Ieņēmumi no citu valstu finanšu palīdzības programmu īstenošanas</t>
  </si>
  <si>
    <t>Ieņēmumi no saņemtajām atmaksām par iepriekšējos saimnieciskajos gados pārskaitītajiem līdzekļiem Eiropas Savienības politiku instrumentu un pārējās ārvalstu finanšu palīdzības līdzfinansēto projektu (pasākumu) īstenošanai</t>
  </si>
  <si>
    <t>Ieņēmumi no vadošā partnera partneru grupas īstenotajiem Eiropas Savienības politiku instrumentu projektiem</t>
  </si>
  <si>
    <t>Projekts "Pētīsim un izzināsim Latvijas vēsturi"</t>
  </si>
  <si>
    <t>09.28.2.</t>
  </si>
  <si>
    <t>Līdzfinansējuma nodrošināšana konferenču, semināru un starpnozaru pasākumu īstenošanai</t>
  </si>
  <si>
    <t>04.3.4.</t>
  </si>
  <si>
    <t>Ceļu un to kompleksa investīciju projektiem</t>
  </si>
  <si>
    <t>Jūrmalas pludmales centra uzturēšana</t>
  </si>
  <si>
    <t>08.5.6.</t>
  </si>
  <si>
    <t>Projekts “Mūzikas instrumentu iegāde Jūrmalas Mūzikas vidusskolai"</t>
  </si>
  <si>
    <t>09.12.3.</t>
  </si>
  <si>
    <t>Projekts "Urban music workshop/Pilsētas mūzikas darbnīca"</t>
  </si>
  <si>
    <t>Projekts "Jūrmalas pilsētas muzeja izstāde "Bērns kūrortā""</t>
  </si>
  <si>
    <t>08.6.4.</t>
  </si>
  <si>
    <t>Dubultu kultūras un izglītības centra Strēlnieku prospektā 30, Jūrmalā būvniecībai</t>
  </si>
  <si>
    <t>R 18.04.2016. Nr.1.1-14/117, R 26.04.2016. Nr.1.1-14/127</t>
  </si>
  <si>
    <t>SN 19.05.2016. Nr.13</t>
  </si>
  <si>
    <t>F22010010</t>
  </si>
  <si>
    <t>Ķemeru pamatskola</t>
  </si>
  <si>
    <t>Jūrmalas pilsētas Lielupes pamatskola</t>
  </si>
  <si>
    <t>Projekts "Labās prakses pārņemšana interaktīva dabas tūrisma objekta izveidei"</t>
  </si>
  <si>
    <t>04.1.22.</t>
  </si>
  <si>
    <t>Sociālo iestāžu, kurās tiek nodrošināts atbalsts ģimenēm ar bērniem, būvniecība, atjaunošana un uzlabošana</t>
  </si>
  <si>
    <t>10.1.3.</t>
  </si>
  <si>
    <t>Projekts "Zivju resursu aizsardzība Jūrmalas pilsētas administratīvajā teritorijā - 2"</t>
  </si>
  <si>
    <t>04.4.1.</t>
  </si>
  <si>
    <t>R 10.06.2016. Nr.1.1-14/182, R 17.06.2016. Nr.1.1-14/187, R 08.07.2016. Nr.1.1-14/204</t>
  </si>
  <si>
    <t>Projekts "Jūrmalas kūrortpilsētas dalība ārvalstu starptautiskajās tūrisma izstādēs, gadatirgos un konferencēs - 2016"/"Latvijas starptautiskās konkurētspējas veicināšana tūrismā"</t>
  </si>
  <si>
    <t>SN 14.07.2016. Nr.16</t>
  </si>
  <si>
    <t>R 10.06.2016. Nr.1.1-14/182, R 17.06.2016. Nr.1.1-14/187</t>
  </si>
  <si>
    <t>R 28.07.2016. Nr.1.1-14/221</t>
  </si>
  <si>
    <t>SN 18.08.2016. Nr.20</t>
  </si>
  <si>
    <t>Ārkārtas DS</t>
  </si>
  <si>
    <t>Ārkārtas</t>
  </si>
  <si>
    <t>09.2.3.</t>
  </si>
  <si>
    <t>Projekts "Skolotāja profesionālā pilnveide"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</si>
</sst>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3"/>
      <color theme="0"/>
      <name val="Times New Roman"/>
      <family val="1"/>
      <charset val="186"/>
    </font>
    <font>
      <u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8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right" vertical="center" wrapText="1"/>
    </xf>
    <xf numFmtId="0" fontId="8" fillId="3" borderId="30" xfId="2" applyFont="1" applyFill="1" applyBorder="1" applyAlignment="1">
      <alignment horizontal="left" vertical="center" wrapText="1"/>
    </xf>
    <xf numFmtId="3" fontId="8" fillId="3" borderId="30" xfId="2" applyNumberFormat="1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 wrapText="1"/>
    </xf>
    <xf numFmtId="3" fontId="5" fillId="0" borderId="30" xfId="2" applyNumberFormat="1" applyFont="1" applyFill="1" applyBorder="1" applyAlignment="1">
      <alignment horizontal="right" vertical="center" wrapText="1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4" fillId="0" borderId="32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3" fontId="4" fillId="0" borderId="34" xfId="2" applyNumberFormat="1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 wrapText="1"/>
    </xf>
    <xf numFmtId="3" fontId="4" fillId="0" borderId="36" xfId="2" applyNumberFormat="1" applyFont="1" applyFill="1" applyBorder="1" applyAlignment="1">
      <alignment vertical="center"/>
    </xf>
    <xf numFmtId="3" fontId="8" fillId="3" borderId="30" xfId="2" applyNumberFormat="1" applyFont="1" applyFill="1" applyBorder="1" applyAlignment="1">
      <alignment vertical="center"/>
    </xf>
    <xf numFmtId="3" fontId="5" fillId="0" borderId="30" xfId="2" applyNumberFormat="1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3" fontId="4" fillId="0" borderId="30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9" xfId="2" applyFont="1" applyFill="1" applyBorder="1"/>
    <xf numFmtId="0" fontId="4" fillId="0" borderId="30" xfId="2" applyFont="1" applyFill="1" applyBorder="1" applyAlignment="1">
      <alignment wrapText="1"/>
    </xf>
    <xf numFmtId="0" fontId="8" fillId="3" borderId="30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0" fontId="4" fillId="0" borderId="39" xfId="2" applyFont="1" applyFill="1" applyBorder="1" applyAlignment="1">
      <alignment vertical="center" wrapText="1"/>
    </xf>
    <xf numFmtId="3" fontId="4" fillId="0" borderId="39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30" xfId="2" applyFont="1" applyFill="1" applyBorder="1" applyAlignment="1">
      <alignment vertical="top" wrapText="1"/>
    </xf>
    <xf numFmtId="0" fontId="5" fillId="0" borderId="29" xfId="2" applyFont="1" applyFill="1" applyBorder="1"/>
    <xf numFmtId="0" fontId="5" fillId="0" borderId="30" xfId="2" applyFont="1" applyFill="1" applyBorder="1" applyAlignment="1">
      <alignment wrapText="1"/>
    </xf>
    <xf numFmtId="0" fontId="4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6" xfId="2" applyFont="1" applyFill="1" applyBorder="1"/>
    <xf numFmtId="0" fontId="4" fillId="0" borderId="27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0" fontId="4" fillId="0" borderId="30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3" xfId="2" applyFont="1" applyFill="1" applyBorder="1"/>
    <xf numFmtId="3" fontId="5" fillId="0" borderId="44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6" xfId="2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right" wrapText="1"/>
    </xf>
    <xf numFmtId="0" fontId="4" fillId="0" borderId="47" xfId="2" applyFont="1" applyFill="1" applyBorder="1" applyAlignment="1">
      <alignment vertical="center" wrapText="1"/>
    </xf>
    <xf numFmtId="3" fontId="4" fillId="0" borderId="47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Fill="1" applyBorder="1" applyAlignment="1">
      <alignment horizontal="right" vertical="center" wrapText="1"/>
    </xf>
    <xf numFmtId="0" fontId="5" fillId="0" borderId="36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0" xfId="2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lef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horizontal="right" vertical="center" wrapText="1"/>
    </xf>
    <xf numFmtId="0" fontId="4" fillId="0" borderId="31" xfId="2" applyFont="1" applyFill="1" applyBorder="1"/>
    <xf numFmtId="0" fontId="4" fillId="0" borderId="41" xfId="2" applyFont="1" applyFill="1" applyBorder="1"/>
    <xf numFmtId="0" fontId="5" fillId="0" borderId="41" xfId="0" applyFont="1" applyBorder="1" applyAlignment="1">
      <alignment horizontal="center"/>
    </xf>
    <xf numFmtId="0" fontId="4" fillId="0" borderId="32" xfId="2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10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0" fontId="5" fillId="0" borderId="31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7" borderId="31" xfId="2" applyFont="1" applyFill="1" applyBorder="1"/>
    <xf numFmtId="0" fontId="5" fillId="7" borderId="26" xfId="0" applyFont="1" applyFill="1" applyBorder="1"/>
    <xf numFmtId="0" fontId="5" fillId="7" borderId="27" xfId="2" applyFont="1" applyFill="1" applyBorder="1" applyAlignment="1">
      <alignment horizontal="center"/>
    </xf>
    <xf numFmtId="0" fontId="5" fillId="7" borderId="26" xfId="0" applyFont="1" applyFill="1" applyBorder="1" applyAlignment="1">
      <alignment wrapText="1"/>
    </xf>
    <xf numFmtId="3" fontId="5" fillId="7" borderId="30" xfId="2" applyNumberFormat="1" applyFont="1" applyFill="1" applyBorder="1" applyAlignment="1">
      <alignment horizontal="right" vertical="center"/>
    </xf>
    <xf numFmtId="3" fontId="11" fillId="0" borderId="30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6" xfId="2" applyFont="1" applyFill="1" applyBorder="1" applyAlignment="1">
      <alignment horizontal="center" vertical="center" wrapText="1"/>
    </xf>
    <xf numFmtId="0" fontId="4" fillId="0" borderId="95" xfId="2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vertical="center" wrapText="1"/>
    </xf>
    <xf numFmtId="0" fontId="4" fillId="0" borderId="26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3" fontId="16" fillId="0" borderId="50" xfId="0" applyNumberFormat="1" applyFont="1" applyFill="1" applyBorder="1" applyAlignment="1">
      <alignment horizontal="right" vertical="center" wrapText="1"/>
    </xf>
    <xf numFmtId="3" fontId="16" fillId="0" borderId="39" xfId="0" applyNumberFormat="1" applyFont="1" applyFill="1" applyBorder="1" applyAlignment="1">
      <alignment horizontal="right" vertical="center" wrapText="1"/>
    </xf>
    <xf numFmtId="3" fontId="16" fillId="0" borderId="69" xfId="0" applyNumberFormat="1" applyFont="1" applyFill="1" applyBorder="1" applyAlignment="1">
      <alignment horizontal="right" vertical="center" wrapText="1"/>
    </xf>
    <xf numFmtId="49" fontId="16" fillId="0" borderId="51" xfId="0" applyNumberFormat="1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17" xfId="0" applyNumberFormat="1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4" fillId="0" borderId="98" xfId="0" applyFont="1" applyFill="1" applyBorder="1"/>
    <xf numFmtId="0" fontId="4" fillId="0" borderId="119" xfId="2" applyFont="1" applyFill="1" applyBorder="1" applyAlignment="1">
      <alignment horizontal="center" vertical="center" wrapText="1"/>
    </xf>
    <xf numFmtId="3" fontId="14" fillId="0" borderId="32" xfId="2" applyNumberFormat="1" applyFont="1" applyFill="1" applyBorder="1" applyAlignment="1">
      <alignment vertical="center"/>
    </xf>
    <xf numFmtId="3" fontId="5" fillId="7" borderId="32" xfId="2" applyNumberFormat="1" applyFont="1" applyFill="1" applyBorder="1" applyAlignment="1">
      <alignment horizontal="right" vertical="center"/>
    </xf>
    <xf numFmtId="3" fontId="5" fillId="0" borderId="121" xfId="2" applyNumberFormat="1" applyFont="1" applyFill="1" applyBorder="1" applyAlignment="1">
      <alignment vertical="center"/>
    </xf>
    <xf numFmtId="0" fontId="5" fillId="0" borderId="122" xfId="2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90" xfId="2" applyFont="1" applyFill="1" applyBorder="1" applyAlignment="1">
      <alignment horizontal="center" vertical="center" wrapText="1"/>
    </xf>
    <xf numFmtId="0" fontId="9" fillId="0" borderId="123" xfId="2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3" fontId="7" fillId="0" borderId="124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5" fillId="7" borderId="125" xfId="2" applyNumberFormat="1" applyFont="1" applyFill="1" applyBorder="1" applyAlignment="1">
      <alignment horizontal="right" vertical="center"/>
    </xf>
    <xf numFmtId="3" fontId="11" fillId="0" borderId="124" xfId="2" applyNumberFormat="1" applyFont="1" applyFill="1" applyBorder="1" applyAlignment="1">
      <alignment vertical="center"/>
    </xf>
    <xf numFmtId="3" fontId="4" fillId="0" borderId="118" xfId="2" applyNumberFormat="1" applyFont="1" applyFill="1" applyBorder="1" applyAlignment="1">
      <alignment vertical="center"/>
    </xf>
    <xf numFmtId="3" fontId="20" fillId="5" borderId="16" xfId="2" applyNumberFormat="1" applyFont="1" applyFill="1" applyBorder="1" applyAlignment="1">
      <alignment horizontal="right" vertical="center"/>
    </xf>
    <xf numFmtId="3" fontId="4" fillId="0" borderId="16" xfId="2" applyNumberFormat="1" applyFont="1" applyFill="1" applyBorder="1" applyAlignment="1">
      <alignment horizontal="right" vertical="center"/>
    </xf>
    <xf numFmtId="3" fontId="8" fillId="4" borderId="16" xfId="2" applyNumberFormat="1" applyFont="1" applyFill="1" applyBorder="1" applyAlignment="1">
      <alignment horizontal="right" vertical="center"/>
    </xf>
    <xf numFmtId="3" fontId="5" fillId="0" borderId="1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vertical="center"/>
    </xf>
    <xf numFmtId="3" fontId="5" fillId="0" borderId="129" xfId="2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right" vertical="center"/>
    </xf>
    <xf numFmtId="0" fontId="4" fillId="0" borderId="63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 textRotation="90" wrapText="1"/>
    </xf>
    <xf numFmtId="0" fontId="9" fillId="0" borderId="132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116" xfId="0" applyNumberFormat="1" applyFont="1" applyFill="1" applyBorder="1" applyAlignment="1">
      <alignment horizontal="right" vertical="center" wrapText="1"/>
    </xf>
    <xf numFmtId="3" fontId="4" fillId="0" borderId="88" xfId="0" applyNumberFormat="1" applyFont="1" applyFill="1" applyBorder="1" applyAlignment="1">
      <alignment horizontal="righ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35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16" fillId="0" borderId="11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7" fillId="2" borderId="66" xfId="2" applyNumberFormat="1" applyFont="1" applyFill="1" applyBorder="1" applyAlignment="1">
      <alignment horizontal="right" vertical="center" wrapText="1"/>
    </xf>
    <xf numFmtId="3" fontId="7" fillId="0" borderId="122" xfId="2" applyNumberFormat="1" applyFont="1" applyFill="1" applyBorder="1" applyAlignment="1">
      <alignment horizontal="right" vertical="center" wrapText="1"/>
    </xf>
    <xf numFmtId="3" fontId="8" fillId="3" borderId="122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4" fillId="0" borderId="139" xfId="2" applyNumberFormat="1" applyFont="1" applyFill="1" applyBorder="1" applyAlignment="1">
      <alignment vertical="center"/>
    </xf>
    <xf numFmtId="3" fontId="4" fillId="0" borderId="71" xfId="2" applyNumberFormat="1" applyFont="1" applyFill="1" applyBorder="1" applyAlignment="1">
      <alignment vertical="center"/>
    </xf>
    <xf numFmtId="3" fontId="4" fillId="0" borderId="66" xfId="2" applyNumberFormat="1" applyFont="1" applyFill="1" applyBorder="1" applyAlignment="1">
      <alignment vertical="center"/>
    </xf>
    <xf numFmtId="3" fontId="8" fillId="3" borderId="122" xfId="2" applyNumberFormat="1" applyFont="1" applyFill="1" applyBorder="1" applyAlignment="1">
      <alignment vertical="center"/>
    </xf>
    <xf numFmtId="3" fontId="5" fillId="0" borderId="122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vertical="center"/>
    </xf>
    <xf numFmtId="3" fontId="4" fillId="0" borderId="140" xfId="2" applyNumberFormat="1" applyFont="1" applyFill="1" applyBorder="1" applyAlignment="1">
      <alignment vertical="center"/>
    </xf>
    <xf numFmtId="3" fontId="5" fillId="0" borderId="139" xfId="2" applyNumberFormat="1" applyFont="1" applyFill="1" applyBorder="1" applyAlignment="1">
      <alignment vertical="center"/>
    </xf>
    <xf numFmtId="3" fontId="4" fillId="0" borderId="69" xfId="2" applyNumberFormat="1" applyFont="1" applyFill="1" applyBorder="1" applyAlignment="1">
      <alignment vertical="center"/>
    </xf>
    <xf numFmtId="3" fontId="4" fillId="0" borderId="141" xfId="2" applyNumberFormat="1" applyFont="1" applyFill="1" applyBorder="1" applyAlignment="1">
      <alignment vertical="center"/>
    </xf>
    <xf numFmtId="3" fontId="4" fillId="0" borderId="72" xfId="2" applyNumberFormat="1" applyFont="1" applyFill="1" applyBorder="1" applyAlignment="1">
      <alignment vertical="center"/>
    </xf>
    <xf numFmtId="3" fontId="14" fillId="0" borderId="139" xfId="2" applyNumberFormat="1" applyFont="1" applyFill="1" applyBorder="1" applyAlignment="1">
      <alignment vertical="center"/>
    </xf>
    <xf numFmtId="3" fontId="4" fillId="0" borderId="122" xfId="2" applyNumberFormat="1" applyFont="1" applyFill="1" applyBorder="1" applyAlignment="1">
      <alignment horizontal="right" vertical="center"/>
    </xf>
    <xf numFmtId="3" fontId="4" fillId="0" borderId="139" xfId="2" applyNumberFormat="1" applyFont="1" applyFill="1" applyBorder="1" applyAlignment="1">
      <alignment horizontal="right" vertical="center"/>
    </xf>
    <xf numFmtId="3" fontId="5" fillId="7" borderId="139" xfId="2" applyNumberFormat="1" applyFont="1" applyFill="1" applyBorder="1" applyAlignment="1">
      <alignment horizontal="right" vertical="center"/>
    </xf>
    <xf numFmtId="3" fontId="11" fillId="0" borderId="122" xfId="2" applyNumberFormat="1" applyFont="1" applyFill="1" applyBorder="1" applyAlignment="1">
      <alignment vertical="center"/>
    </xf>
    <xf numFmtId="3" fontId="4" fillId="0" borderId="117" xfId="2" applyNumberFormat="1" applyFont="1" applyFill="1" applyBorder="1" applyAlignment="1">
      <alignment vertical="center"/>
    </xf>
    <xf numFmtId="3" fontId="20" fillId="5" borderId="72" xfId="2" applyNumberFormat="1" applyFont="1" applyFill="1" applyBorder="1" applyAlignment="1">
      <alignment horizontal="right" vertical="center"/>
    </xf>
    <xf numFmtId="3" fontId="4" fillId="0" borderId="72" xfId="2" applyNumberFormat="1" applyFont="1" applyFill="1" applyBorder="1" applyAlignment="1">
      <alignment horizontal="right" vertical="center"/>
    </xf>
    <xf numFmtId="3" fontId="8" fillId="4" borderId="72" xfId="2" applyNumberFormat="1" applyFont="1" applyFill="1" applyBorder="1" applyAlignment="1">
      <alignment horizontal="right" vertical="center"/>
    </xf>
    <xf numFmtId="3" fontId="5" fillId="0" borderId="72" xfId="2" applyNumberFormat="1" applyFont="1" applyFill="1" applyBorder="1" applyAlignment="1">
      <alignment horizontal="right" vertical="center"/>
    </xf>
    <xf numFmtId="3" fontId="5" fillId="0" borderId="142" xfId="2" applyNumberFormat="1" applyFont="1" applyFill="1" applyBorder="1" applyAlignment="1">
      <alignment vertical="center"/>
    </xf>
    <xf numFmtId="3" fontId="5" fillId="0" borderId="143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24" fillId="8" borderId="0" xfId="0" applyNumberFormat="1" applyFont="1" applyFill="1" applyBorder="1" applyAlignment="1">
      <alignment horizontal="right"/>
    </xf>
    <xf numFmtId="3" fontId="21" fillId="8" borderId="0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right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19" xfId="2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left" vertical="center"/>
    </xf>
    <xf numFmtId="0" fontId="4" fillId="0" borderId="115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vertical="center" wrapText="1"/>
    </xf>
    <xf numFmtId="0" fontId="5" fillId="0" borderId="102" xfId="2" applyFont="1" applyFill="1" applyBorder="1" applyAlignment="1">
      <alignment horizontal="left" vertical="center"/>
    </xf>
    <xf numFmtId="0" fontId="5" fillId="0" borderId="103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vertical="center" wrapText="1"/>
    </xf>
    <xf numFmtId="3" fontId="31" fillId="0" borderId="30" xfId="2" applyNumberFormat="1" applyFont="1" applyFill="1" applyBorder="1" applyAlignment="1">
      <alignment vertical="center"/>
    </xf>
    <xf numFmtId="3" fontId="31" fillId="0" borderId="122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textRotation="90" wrapText="1"/>
    </xf>
    <xf numFmtId="0" fontId="4" fillId="0" borderId="46" xfId="2" applyFont="1" applyFill="1" applyBorder="1" applyAlignment="1">
      <alignment horizontal="center" vertical="center" textRotation="90" wrapText="1"/>
    </xf>
    <xf numFmtId="0" fontId="9" fillId="0" borderId="120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3" fontId="21" fillId="0" borderId="0" xfId="0" applyNumberFormat="1" applyFont="1"/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8" fillId="4" borderId="30" xfId="2" applyNumberFormat="1" applyFont="1" applyFill="1" applyBorder="1" applyAlignment="1">
      <alignment horizontal="right" vertical="center" wrapText="1"/>
    </xf>
    <xf numFmtId="3" fontId="8" fillId="4" borderId="122" xfId="2" applyNumberFormat="1" applyFont="1" applyFill="1" applyBorder="1" applyAlignment="1">
      <alignment horizontal="right" vertical="center" wrapText="1"/>
    </xf>
    <xf numFmtId="3" fontId="8" fillId="4" borderId="30" xfId="2" applyNumberFormat="1" applyFont="1" applyFill="1" applyBorder="1" applyAlignment="1">
      <alignment vertical="center"/>
    </xf>
    <xf numFmtId="3" fontId="8" fillId="4" borderId="122" xfId="2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textRotation="90" wrapText="1"/>
    </xf>
    <xf numFmtId="0" fontId="9" fillId="9" borderId="2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3" fontId="4" fillId="9" borderId="11" xfId="0" applyNumberFormat="1" applyFont="1" applyFill="1" applyBorder="1" applyAlignment="1">
      <alignment horizontal="right" vertical="center" wrapText="1"/>
    </xf>
    <xf numFmtId="3" fontId="4" fillId="9" borderId="39" xfId="0" applyNumberFormat="1" applyFont="1" applyFill="1" applyBorder="1" applyAlignment="1">
      <alignment horizontal="right" vertical="center" wrapText="1"/>
    </xf>
    <xf numFmtId="3" fontId="4" fillId="9" borderId="3" xfId="0" applyNumberFormat="1" applyFont="1" applyFill="1" applyBorder="1" applyAlignment="1">
      <alignment horizontal="right" vertical="center" wrapText="1"/>
    </xf>
    <xf numFmtId="3" fontId="4" fillId="9" borderId="34" xfId="0" applyNumberFormat="1" applyFont="1" applyFill="1" applyBorder="1" applyAlignment="1">
      <alignment horizontal="right" vertical="center" wrapText="1"/>
    </xf>
    <xf numFmtId="3" fontId="4" fillId="9" borderId="36" xfId="0" applyNumberFormat="1" applyFont="1" applyFill="1" applyBorder="1" applyAlignment="1">
      <alignment horizontal="right" vertical="center" wrapText="1"/>
    </xf>
    <xf numFmtId="3" fontId="4" fillId="9" borderId="53" xfId="0" applyNumberFormat="1" applyFont="1" applyFill="1" applyBorder="1" applyAlignment="1">
      <alignment horizontal="right" vertical="center" wrapText="1"/>
    </xf>
    <xf numFmtId="3" fontId="16" fillId="9" borderId="39" xfId="0" applyNumberFormat="1" applyFont="1" applyFill="1" applyBorder="1" applyAlignment="1">
      <alignment horizontal="right" vertical="center" wrapText="1"/>
    </xf>
    <xf numFmtId="3" fontId="4" fillId="9" borderId="68" xfId="0" applyNumberFormat="1" applyFont="1" applyFill="1" applyBorder="1" applyAlignment="1">
      <alignment horizontal="right" vertical="center" wrapText="1"/>
    </xf>
    <xf numFmtId="4" fontId="4" fillId="9" borderId="39" xfId="0" applyNumberFormat="1" applyFont="1" applyFill="1" applyBorder="1" applyAlignment="1">
      <alignment horizontal="right" vertical="center" wrapText="1"/>
    </xf>
    <xf numFmtId="3" fontId="4" fillId="9" borderId="24" xfId="0" applyNumberFormat="1" applyFont="1" applyFill="1" applyBorder="1" applyAlignment="1">
      <alignment horizontal="right" vertical="center" wrapText="1"/>
    </xf>
    <xf numFmtId="3" fontId="4" fillId="9" borderId="15" xfId="0" applyNumberFormat="1" applyFont="1" applyFill="1" applyBorder="1" applyAlignment="1">
      <alignment horizontal="right" vertical="center" wrapText="1"/>
    </xf>
    <xf numFmtId="3" fontId="5" fillId="9" borderId="0" xfId="0" applyNumberFormat="1" applyFont="1" applyFill="1" applyBorder="1" applyAlignment="1">
      <alignment horizontal="right" vertical="center" wrapText="1"/>
    </xf>
    <xf numFmtId="0" fontId="5" fillId="9" borderId="26" xfId="0" applyFont="1" applyFill="1" applyBorder="1" applyAlignment="1">
      <alignment horizontal="center" vertical="center" wrapText="1"/>
    </xf>
    <xf numFmtId="3" fontId="6" fillId="9" borderId="0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9" fillId="9" borderId="52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  <xf numFmtId="3" fontId="4" fillId="9" borderId="69" xfId="0" applyNumberFormat="1" applyFont="1" applyFill="1" applyBorder="1" applyAlignment="1">
      <alignment horizontal="right" vertical="center" wrapText="1"/>
    </xf>
    <xf numFmtId="3" fontId="4" fillId="9" borderId="66" xfId="0" applyNumberFormat="1" applyFont="1" applyFill="1" applyBorder="1" applyAlignment="1">
      <alignment horizontal="right" vertical="center" wrapText="1"/>
    </xf>
    <xf numFmtId="3" fontId="4" fillId="9" borderId="71" xfId="0" applyNumberFormat="1" applyFont="1" applyFill="1" applyBorder="1" applyAlignment="1">
      <alignment horizontal="right" vertical="center" wrapText="1"/>
    </xf>
    <xf numFmtId="3" fontId="4" fillId="9" borderId="117" xfId="0" applyNumberFormat="1" applyFont="1" applyFill="1" applyBorder="1" applyAlignment="1">
      <alignment horizontal="right" vertical="center" wrapText="1"/>
    </xf>
    <xf numFmtId="3" fontId="4" fillId="9" borderId="70" xfId="0" applyNumberFormat="1" applyFont="1" applyFill="1" applyBorder="1" applyAlignment="1">
      <alignment horizontal="right" vertical="center" wrapText="1"/>
    </xf>
    <xf numFmtId="3" fontId="16" fillId="9" borderId="69" xfId="0" applyNumberFormat="1" applyFont="1" applyFill="1" applyBorder="1" applyAlignment="1">
      <alignment horizontal="right" vertical="center" wrapText="1"/>
    </xf>
    <xf numFmtId="3" fontId="4" fillId="9" borderId="72" xfId="0" applyNumberFormat="1" applyFont="1" applyFill="1" applyBorder="1" applyAlignment="1">
      <alignment horizontal="right" vertical="center" wrapText="1"/>
    </xf>
    <xf numFmtId="3" fontId="5" fillId="1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9" borderId="120" xfId="0" applyFont="1" applyFill="1" applyBorder="1" applyAlignment="1">
      <alignment horizontal="center" vertical="center" textRotation="90" wrapText="1"/>
    </xf>
    <xf numFmtId="3" fontId="7" fillId="5" borderId="3" xfId="2" applyNumberFormat="1" applyFont="1" applyFill="1" applyBorder="1" applyAlignment="1">
      <alignment horizontal="right" vertical="center" wrapText="1"/>
    </xf>
    <xf numFmtId="3" fontId="5" fillId="10" borderId="32" xfId="2" applyNumberFormat="1" applyFont="1" applyFill="1" applyBorder="1" applyAlignment="1">
      <alignment horizontal="right" vertical="center"/>
    </xf>
    <xf numFmtId="3" fontId="7" fillId="5" borderId="66" xfId="2" applyNumberFormat="1" applyFont="1" applyFill="1" applyBorder="1" applyAlignment="1">
      <alignment horizontal="right" vertical="center" wrapText="1"/>
    </xf>
    <xf numFmtId="3" fontId="5" fillId="10" borderId="139" xfId="2" applyNumberFormat="1" applyFont="1" applyFill="1" applyBorder="1" applyAlignment="1">
      <alignment horizontal="right" vertical="center"/>
    </xf>
    <xf numFmtId="0" fontId="4" fillId="9" borderId="0" xfId="2" applyFont="1" applyFill="1"/>
    <xf numFmtId="0" fontId="4" fillId="9" borderId="0" xfId="2" applyFont="1" applyFill="1" applyBorder="1"/>
    <xf numFmtId="0" fontId="4" fillId="9" borderId="119" xfId="2" applyFont="1" applyFill="1" applyBorder="1" applyAlignment="1">
      <alignment horizontal="center" vertical="center" wrapText="1"/>
    </xf>
    <xf numFmtId="0" fontId="9" fillId="9" borderId="96" xfId="2" applyFont="1" applyFill="1" applyBorder="1" applyAlignment="1">
      <alignment horizontal="center" vertical="center" wrapText="1"/>
    </xf>
    <xf numFmtId="3" fontId="7" fillId="9" borderId="3" xfId="2" applyNumberFormat="1" applyFont="1" applyFill="1" applyBorder="1" applyAlignment="1">
      <alignment horizontal="right" vertical="center" wrapText="1"/>
    </xf>
    <xf numFmtId="3" fontId="7" fillId="9" borderId="30" xfId="2" applyNumberFormat="1" applyFont="1" applyFill="1" applyBorder="1" applyAlignment="1">
      <alignment horizontal="right" vertical="center" wrapText="1"/>
    </xf>
    <xf numFmtId="3" fontId="8" fillId="9" borderId="30" xfId="2" applyNumberFormat="1" applyFont="1" applyFill="1" applyBorder="1" applyAlignment="1">
      <alignment horizontal="right" vertical="center" wrapText="1"/>
    </xf>
    <xf numFmtId="3" fontId="5" fillId="9" borderId="30" xfId="2" applyNumberFormat="1" applyFont="1" applyFill="1" applyBorder="1" applyAlignment="1">
      <alignment horizontal="right" vertical="center" wrapText="1"/>
    </xf>
    <xf numFmtId="3" fontId="4" fillId="9" borderId="32" xfId="2" applyNumberFormat="1" applyFont="1" applyFill="1" applyBorder="1" applyAlignment="1">
      <alignment vertical="center"/>
    </xf>
    <xf numFmtId="3" fontId="4" fillId="9" borderId="34" xfId="2" applyNumberFormat="1" applyFont="1" applyFill="1" applyBorder="1" applyAlignment="1">
      <alignment vertical="center"/>
    </xf>
    <xf numFmtId="3" fontId="4" fillId="9" borderId="3" xfId="2" applyNumberFormat="1" applyFont="1" applyFill="1" applyBorder="1" applyAlignment="1">
      <alignment vertical="center"/>
    </xf>
    <xf numFmtId="3" fontId="8" fillId="9" borderId="30" xfId="2" applyNumberFormat="1" applyFont="1" applyFill="1" applyBorder="1" applyAlignment="1">
      <alignment vertical="center"/>
    </xf>
    <xf numFmtId="3" fontId="5" fillId="9" borderId="30" xfId="2" applyNumberFormat="1" applyFont="1" applyFill="1" applyBorder="1" applyAlignment="1">
      <alignment vertical="center"/>
    </xf>
    <xf numFmtId="3" fontId="4" fillId="9" borderId="30" xfId="2" applyNumberFormat="1" applyFont="1" applyFill="1" applyBorder="1" applyAlignment="1">
      <alignment vertical="center"/>
    </xf>
    <xf numFmtId="3" fontId="4" fillId="9" borderId="47" xfId="2" applyNumberFormat="1" applyFont="1" applyFill="1" applyBorder="1" applyAlignment="1">
      <alignment vertical="center"/>
    </xf>
    <xf numFmtId="3" fontId="4" fillId="9" borderId="39" xfId="2" applyNumberFormat="1" applyFont="1" applyFill="1" applyBorder="1" applyAlignment="1">
      <alignment vertical="center"/>
    </xf>
    <xf numFmtId="3" fontId="4" fillId="9" borderId="15" xfId="2" applyNumberFormat="1" applyFont="1" applyFill="1" applyBorder="1" applyAlignment="1">
      <alignment vertical="center"/>
    </xf>
    <xf numFmtId="3" fontId="4" fillId="9" borderId="60" xfId="2" applyNumberFormat="1" applyFont="1" applyFill="1" applyBorder="1" applyAlignment="1">
      <alignment vertical="center"/>
    </xf>
    <xf numFmtId="3" fontId="4" fillId="9" borderId="30" xfId="2" applyNumberFormat="1" applyFont="1" applyFill="1" applyBorder="1" applyAlignment="1">
      <alignment horizontal="right" vertical="center"/>
    </xf>
    <xf numFmtId="3" fontId="5" fillId="9" borderId="32" xfId="2" applyNumberFormat="1" applyFont="1" applyFill="1" applyBorder="1" applyAlignment="1">
      <alignment horizontal="right" vertical="center"/>
    </xf>
    <xf numFmtId="3" fontId="11" fillId="9" borderId="30" xfId="2" applyNumberFormat="1" applyFont="1" applyFill="1" applyBorder="1" applyAlignment="1">
      <alignment vertical="center"/>
    </xf>
    <xf numFmtId="3" fontId="4" fillId="9" borderId="36" xfId="2" applyNumberFormat="1" applyFont="1" applyFill="1" applyBorder="1" applyAlignment="1">
      <alignment vertical="center"/>
    </xf>
    <xf numFmtId="3" fontId="20" fillId="9" borderId="15" xfId="2" applyNumberFormat="1" applyFont="1" applyFill="1" applyBorder="1" applyAlignment="1">
      <alignment horizontal="right" vertical="center"/>
    </xf>
    <xf numFmtId="3" fontId="4" fillId="9" borderId="15" xfId="2" applyNumberFormat="1" applyFont="1" applyFill="1" applyBorder="1" applyAlignment="1">
      <alignment horizontal="right" vertical="center"/>
    </xf>
    <xf numFmtId="3" fontId="8" fillId="9" borderId="15" xfId="2" applyNumberFormat="1" applyFont="1" applyFill="1" applyBorder="1" applyAlignment="1">
      <alignment horizontal="right" vertical="center"/>
    </xf>
    <xf numFmtId="3" fontId="5" fillId="9" borderId="15" xfId="2" applyNumberFormat="1" applyFont="1" applyFill="1" applyBorder="1" applyAlignment="1">
      <alignment horizontal="right" vertical="center"/>
    </xf>
    <xf numFmtId="3" fontId="5" fillId="9" borderId="44" xfId="2" applyNumberFormat="1" applyFont="1" applyFill="1" applyBorder="1" applyAlignment="1">
      <alignment vertical="center"/>
    </xf>
    <xf numFmtId="3" fontId="5" fillId="9" borderId="121" xfId="2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left" vertical="center" wrapText="1"/>
    </xf>
    <xf numFmtId="49" fontId="12" fillId="0" borderId="104" xfId="0" applyNumberFormat="1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64" xfId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textRotation="90" wrapText="1"/>
    </xf>
    <xf numFmtId="0" fontId="4" fillId="0" borderId="101" xfId="0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/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5" fillId="0" borderId="91" xfId="2" applyFont="1" applyFill="1" applyBorder="1" applyAlignment="1">
      <alignment horizontal="center"/>
    </xf>
    <xf numFmtId="0" fontId="5" fillId="0" borderId="92" xfId="2" applyFont="1" applyFill="1" applyBorder="1" applyAlignment="1">
      <alignment horizontal="center"/>
    </xf>
    <xf numFmtId="0" fontId="5" fillId="0" borderId="110" xfId="2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4" fillId="0" borderId="105" xfId="2" applyFont="1" applyFill="1" applyBorder="1" applyAlignment="1">
      <alignment horizontal="right" vertical="center"/>
    </xf>
    <xf numFmtId="0" fontId="4" fillId="0" borderId="106" xfId="2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right" vertical="center"/>
    </xf>
    <xf numFmtId="0" fontId="4" fillId="0" borderId="104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11" fillId="0" borderId="29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9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20" fillId="5" borderId="29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0" fillId="5" borderId="27" xfId="2" applyFont="1" applyFill="1" applyBorder="1" applyAlignment="1">
      <alignment horizontal="center"/>
    </xf>
    <xf numFmtId="0" fontId="8" fillId="4" borderId="29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8" fillId="3" borderId="29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8" fillId="3" borderId="27" xfId="2" applyFont="1" applyFill="1" applyBorder="1" applyAlignment="1">
      <alignment horizontal="lef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5" fillId="0" borderId="111" xfId="2" applyFont="1" applyFill="1" applyBorder="1" applyAlignment="1">
      <alignment horizontal="center" vertical="center" wrapText="1"/>
    </xf>
    <xf numFmtId="0" fontId="5" fillId="0" borderId="112" xfId="2" applyFont="1" applyFill="1" applyBorder="1" applyAlignment="1">
      <alignment horizontal="center" vertical="center" wrapText="1"/>
    </xf>
    <xf numFmtId="0" fontId="5" fillId="0" borderId="113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right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3" xfId="2" applyFont="1" applyFill="1" applyBorder="1" applyAlignment="1">
      <alignment horizontal="left" vertical="top"/>
    </xf>
    <xf numFmtId="0" fontId="4" fillId="0" borderId="26" xfId="2" applyFont="1" applyFill="1" applyBorder="1" applyAlignment="1">
      <alignment horizontal="center" vertical="top"/>
    </xf>
    <xf numFmtId="0" fontId="4" fillId="0" borderId="27" xfId="2" applyFont="1" applyFill="1" applyBorder="1" applyAlignment="1">
      <alignment horizontal="center" vertical="top"/>
    </xf>
    <xf numFmtId="0" fontId="4" fillId="0" borderId="10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3" xfId="2" applyFont="1" applyFill="1" applyBorder="1" applyAlignment="1">
      <alignment horizontal="left"/>
    </xf>
    <xf numFmtId="0" fontId="4" fillId="0" borderId="61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100" xfId="2" applyFont="1" applyFill="1" applyBorder="1" applyAlignment="1">
      <alignment horizontal="center" vertical="center" wrapText="1"/>
    </xf>
    <xf numFmtId="0" fontId="9" fillId="0" borderId="107" xfId="2" applyFont="1" applyFill="1" applyBorder="1" applyAlignment="1">
      <alignment horizontal="center" vertical="center" wrapText="1"/>
    </xf>
    <xf numFmtId="0" fontId="9" fillId="0" borderId="108" xfId="2" applyFont="1" applyFill="1" applyBorder="1" applyAlignment="1">
      <alignment horizontal="center" vertical="center" wrapText="1"/>
    </xf>
    <xf numFmtId="0" fontId="9" fillId="0" borderId="109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2 3" xfId="3"/>
    <cellStyle name="Normal 6" xfId="4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G1400"/>
  <sheetViews>
    <sheetView view="pageLayout" zoomScaleNormal="100" workbookViewId="0">
      <selection activeCell="E4" sqref="E4"/>
    </sheetView>
  </sheetViews>
  <sheetFormatPr defaultColWidth="8.42578125" defaultRowHeight="12" outlineLevelRow="1" outlineLevelCol="1" x14ac:dyDescent="0.2"/>
  <cols>
    <col min="1" max="1" width="11" style="143" customWidth="1"/>
    <col min="2" max="2" width="4.140625" style="1" customWidth="1"/>
    <col min="3" max="3" width="2.140625" style="2" customWidth="1"/>
    <col min="4" max="4" width="21.140625" style="1" customWidth="1"/>
    <col min="5" max="5" width="24.85546875" style="1" customWidth="1"/>
    <col min="6" max="6" width="9.7109375" style="349" hidden="1" customWidth="1" outlineLevel="1"/>
    <col min="7" max="7" width="10.42578125" style="3" bestFit="1" customWidth="1" collapsed="1"/>
    <col min="8" max="8" width="9.140625" style="1" hidden="1" customWidth="1" outlineLevel="1"/>
    <col min="9" max="9" width="9.140625" style="349" customWidth="1" collapsed="1"/>
    <col min="10" max="10" width="9.140625" style="349" hidden="1" customWidth="1" outlineLevel="1"/>
    <col min="11" max="11" width="7.140625" style="349" hidden="1" customWidth="1" outlineLevel="1"/>
    <col min="12" max="12" width="15.140625" style="349" hidden="1" customWidth="1" outlineLevel="1"/>
    <col min="13" max="13" width="8.140625" style="349" hidden="1" customWidth="1" outlineLevel="1"/>
    <col min="14" max="14" width="10.42578125" style="440" hidden="1" customWidth="1" outlineLevel="1"/>
    <col min="15" max="15" width="7.140625" style="440" hidden="1" customWidth="1" outlineLevel="1"/>
    <col min="16" max="16" width="15.140625" style="453" hidden="1" customWidth="1" outlineLevel="1"/>
    <col min="17" max="17" width="7.140625" style="453" hidden="1" customWidth="1" outlineLevel="1"/>
    <col min="18" max="18" width="6.42578125" style="489" hidden="1" customWidth="1" outlineLevel="1"/>
    <col min="19" max="19" width="9.140625" style="489" hidden="1" customWidth="1" outlineLevel="1"/>
    <col min="20" max="20" width="9.140625" style="458" hidden="1" customWidth="1" outlineLevel="1"/>
    <col min="21" max="22" width="9.140625" style="349" hidden="1" customWidth="1" outlineLevel="1"/>
    <col min="23" max="23" width="9.42578125" style="1" hidden="1" customWidth="1" outlineLevel="1"/>
    <col min="24" max="24" width="9.42578125" style="349" customWidth="1" collapsed="1"/>
    <col min="25" max="25" width="9.42578125" style="349" hidden="1" customWidth="1" outlineLevel="1"/>
    <col min="26" max="27" width="6.7109375" style="349" hidden="1" customWidth="1" outlineLevel="1"/>
    <col min="28" max="31" width="9.42578125" style="349" hidden="1" customWidth="1" outlineLevel="1"/>
    <col min="32" max="32" width="8.42578125" style="1" hidden="1" customWidth="1" outlineLevel="1"/>
    <col min="33" max="33" width="8.42578125" style="349" customWidth="1" collapsed="1"/>
    <col min="34" max="34" width="8.42578125" style="349" hidden="1" customWidth="1" outlineLevel="1"/>
    <col min="35" max="35" width="6.42578125" style="349" hidden="1" customWidth="1" outlineLevel="1"/>
    <col min="36" max="36" width="5.85546875" style="349" hidden="1" customWidth="1" outlineLevel="1"/>
    <col min="37" max="37" width="5.85546875" style="440" hidden="1" customWidth="1" outlineLevel="1"/>
    <col min="38" max="38" width="5.85546875" style="453" hidden="1" customWidth="1" outlineLevel="1"/>
    <col min="39" max="39" width="8.42578125" style="489" hidden="1" customWidth="1" outlineLevel="1"/>
    <col min="40" max="40" width="8.42578125" style="458" hidden="1" customWidth="1" outlineLevel="1"/>
    <col min="41" max="41" width="8.42578125" style="1" customWidth="1" collapsed="1"/>
    <col min="42" max="42" width="6.7109375" style="1" hidden="1" customWidth="1" outlineLevel="1"/>
    <col min="43" max="43" width="6.7109375" style="349" customWidth="1" collapsed="1"/>
    <col min="44" max="44" width="6.7109375" style="349" hidden="1" customWidth="1" outlineLevel="1"/>
    <col min="45" max="45" width="5.7109375" style="349" hidden="1" customWidth="1" outlineLevel="1"/>
    <col min="46" max="47" width="6.7109375" style="349" hidden="1" customWidth="1" outlineLevel="1"/>
    <col min="48" max="48" width="8.28515625" style="268" hidden="1" customWidth="1" outlineLevel="1"/>
    <col min="49" max="49" width="8.28515625" style="349" customWidth="1" collapsed="1"/>
    <col min="50" max="50" width="8.28515625" style="349" hidden="1" customWidth="1" outlineLevel="1"/>
    <col min="51" max="51" width="7.140625" style="349" hidden="1" customWidth="1" outlineLevel="1"/>
    <col min="52" max="52" width="5.7109375" style="349" hidden="1" customWidth="1" outlineLevel="1"/>
    <col min="53" max="53" width="6.42578125" style="440" hidden="1" customWidth="1" outlineLevel="1"/>
    <col min="54" max="54" width="10.42578125" style="453" hidden="1" customWidth="1" outlineLevel="1"/>
    <col min="55" max="55" width="6.42578125" style="453" hidden="1" customWidth="1" outlineLevel="1"/>
    <col min="56" max="56" width="8.28515625" style="489" hidden="1" customWidth="1" outlineLevel="1"/>
    <col min="57" max="57" width="8.28515625" style="349" hidden="1" customWidth="1" outlineLevel="1"/>
    <col min="58" max="58" width="6.7109375" style="2" customWidth="1" collapsed="1"/>
    <col min="59" max="59" width="10.140625" style="1" customWidth="1"/>
    <col min="60" max="60" width="8.42578125" style="1" customWidth="1"/>
    <col min="61" max="16384" width="8.42578125" style="1"/>
  </cols>
  <sheetData>
    <row r="1" spans="1:59" s="487" customFormat="1" x14ac:dyDescent="0.2">
      <c r="C1" s="2"/>
      <c r="G1" s="3"/>
      <c r="R1" s="489"/>
      <c r="S1" s="489"/>
      <c r="T1" s="458"/>
      <c r="AM1" s="489"/>
      <c r="AN1" s="458"/>
      <c r="BD1" s="489"/>
      <c r="BF1" s="2"/>
    </row>
    <row r="2" spans="1:59" s="487" customFormat="1" x14ac:dyDescent="0.2">
      <c r="C2" s="2"/>
      <c r="G2" s="3"/>
      <c r="R2" s="489"/>
      <c r="S2" s="489"/>
      <c r="T2" s="458"/>
      <c r="AM2" s="489"/>
      <c r="AN2" s="458"/>
      <c r="BD2" s="489"/>
      <c r="BF2" s="2"/>
    </row>
    <row r="3" spans="1:59" s="349" customFormat="1" x14ac:dyDescent="0.2">
      <c r="C3" s="2"/>
      <c r="G3" s="3"/>
      <c r="N3" s="440"/>
      <c r="O3" s="440"/>
      <c r="P3" s="453"/>
      <c r="Q3" s="453"/>
      <c r="R3" s="489"/>
      <c r="S3" s="489"/>
      <c r="T3" s="458"/>
      <c r="AK3" s="440"/>
      <c r="AL3" s="453"/>
      <c r="AM3" s="489"/>
      <c r="AN3" s="458"/>
      <c r="BA3" s="440"/>
      <c r="BB3" s="453"/>
      <c r="BC3" s="453"/>
      <c r="BD3" s="489"/>
      <c r="BF3" s="2"/>
      <c r="BG3" s="353" t="s">
        <v>671</v>
      </c>
    </row>
    <row r="4" spans="1:59" s="349" customFormat="1" x14ac:dyDescent="0.2">
      <c r="C4" s="2"/>
      <c r="G4" s="3"/>
      <c r="N4" s="440"/>
      <c r="O4" s="440"/>
      <c r="P4" s="453"/>
      <c r="Q4" s="453"/>
      <c r="R4" s="489"/>
      <c r="S4" s="489"/>
      <c r="T4" s="458"/>
      <c r="AK4" s="440"/>
      <c r="AL4" s="453"/>
      <c r="AM4" s="489"/>
      <c r="AN4" s="458"/>
      <c r="BA4" s="440"/>
      <c r="BB4" s="453"/>
      <c r="BC4" s="453"/>
      <c r="BD4" s="489"/>
      <c r="BF4" s="2"/>
      <c r="BG4" s="353" t="s">
        <v>669</v>
      </c>
    </row>
    <row r="5" spans="1:59" s="349" customFormat="1" x14ac:dyDescent="0.2">
      <c r="C5" s="2"/>
      <c r="G5" s="3"/>
      <c r="N5" s="440"/>
      <c r="O5" s="440"/>
      <c r="P5" s="453"/>
      <c r="Q5" s="453"/>
      <c r="R5" s="489"/>
      <c r="S5" s="489"/>
      <c r="T5" s="458"/>
      <c r="AK5" s="440"/>
      <c r="AL5" s="453"/>
      <c r="AM5" s="489"/>
      <c r="AN5" s="458"/>
      <c r="BA5" s="440"/>
      <c r="BB5" s="453"/>
      <c r="BC5" s="453"/>
      <c r="BD5" s="489"/>
      <c r="BF5" s="2"/>
      <c r="BG5" s="353" t="s">
        <v>670</v>
      </c>
    </row>
    <row r="6" spans="1:59" ht="18.75" customHeight="1" x14ac:dyDescent="0.2">
      <c r="B6" s="570" t="s">
        <v>666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</row>
    <row r="7" spans="1:59" ht="12.75" thickBot="1" x14ac:dyDescent="0.25"/>
    <row r="8" spans="1:59" ht="13.5" customHeight="1" thickBot="1" x14ac:dyDescent="0.25">
      <c r="A8" s="568" t="s">
        <v>281</v>
      </c>
      <c r="B8" s="578" t="s">
        <v>174</v>
      </c>
      <c r="C8" s="579"/>
      <c r="D8" s="580"/>
      <c r="E8" s="584" t="s">
        <v>173</v>
      </c>
      <c r="F8" s="348"/>
      <c r="G8" s="571" t="s">
        <v>383</v>
      </c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573" t="s">
        <v>172</v>
      </c>
      <c r="BG8" s="573" t="s">
        <v>221</v>
      </c>
    </row>
    <row r="9" spans="1:59" ht="13.5" customHeight="1" thickBot="1" x14ac:dyDescent="0.25">
      <c r="A9" s="569"/>
      <c r="B9" s="581"/>
      <c r="C9" s="582"/>
      <c r="D9" s="583"/>
      <c r="E9" s="585"/>
      <c r="F9" s="526" t="s">
        <v>672</v>
      </c>
      <c r="G9" s="526" t="s">
        <v>0</v>
      </c>
      <c r="H9" s="558" t="s">
        <v>673</v>
      </c>
      <c r="I9" s="558" t="s">
        <v>1</v>
      </c>
      <c r="J9" s="558" t="s">
        <v>674</v>
      </c>
      <c r="K9" s="560" t="s">
        <v>676</v>
      </c>
      <c r="L9" s="561"/>
      <c r="M9" s="579"/>
      <c r="N9" s="579"/>
      <c r="O9" s="579"/>
      <c r="P9" s="561"/>
      <c r="Q9" s="561"/>
      <c r="R9" s="561"/>
      <c r="S9" s="561"/>
      <c r="T9" s="561"/>
      <c r="U9" s="561"/>
      <c r="V9" s="562"/>
      <c r="W9" s="558" t="s">
        <v>675</v>
      </c>
      <c r="X9" s="558" t="s">
        <v>137</v>
      </c>
      <c r="Y9" s="558" t="s">
        <v>677</v>
      </c>
      <c r="Z9" s="560" t="s">
        <v>676</v>
      </c>
      <c r="AA9" s="561"/>
      <c r="AB9" s="561"/>
      <c r="AC9" s="561"/>
      <c r="AD9" s="561"/>
      <c r="AE9" s="562"/>
      <c r="AF9" s="563" t="s">
        <v>678</v>
      </c>
      <c r="AG9" s="563" t="s">
        <v>2</v>
      </c>
      <c r="AH9" s="563" t="s">
        <v>679</v>
      </c>
      <c r="AI9" s="560" t="s">
        <v>676</v>
      </c>
      <c r="AJ9" s="561"/>
      <c r="AK9" s="561"/>
      <c r="AL9" s="561"/>
      <c r="AM9" s="561"/>
      <c r="AN9" s="562"/>
      <c r="AO9" s="576" t="s">
        <v>320</v>
      </c>
      <c r="AP9" s="565" t="s">
        <v>680</v>
      </c>
      <c r="AQ9" s="565" t="s">
        <v>3</v>
      </c>
      <c r="AR9" s="565" t="s">
        <v>681</v>
      </c>
      <c r="AS9" s="560" t="s">
        <v>676</v>
      </c>
      <c r="AT9" s="561"/>
      <c r="AU9" s="562"/>
      <c r="AV9" s="565" t="s">
        <v>682</v>
      </c>
      <c r="AW9" s="565" t="s">
        <v>589</v>
      </c>
      <c r="AX9" s="565" t="s">
        <v>683</v>
      </c>
      <c r="AY9" s="560" t="s">
        <v>676</v>
      </c>
      <c r="AZ9" s="561"/>
      <c r="BA9" s="561"/>
      <c r="BB9" s="561"/>
      <c r="BC9" s="561"/>
      <c r="BD9" s="561"/>
      <c r="BE9" s="567"/>
      <c r="BF9" s="574"/>
      <c r="BG9" s="574"/>
    </row>
    <row r="10" spans="1:59" ht="66" customHeight="1" thickBot="1" x14ac:dyDescent="0.25">
      <c r="A10" s="569"/>
      <c r="B10" s="581"/>
      <c r="C10" s="582"/>
      <c r="D10" s="583"/>
      <c r="E10" s="586"/>
      <c r="F10" s="527"/>
      <c r="G10" s="527"/>
      <c r="H10" s="559"/>
      <c r="I10" s="559"/>
      <c r="J10" s="559"/>
      <c r="K10" s="401" t="s">
        <v>699</v>
      </c>
      <c r="L10" s="410" t="s">
        <v>704</v>
      </c>
      <c r="M10" s="441" t="s">
        <v>709</v>
      </c>
      <c r="N10" s="439" t="s">
        <v>739</v>
      </c>
      <c r="O10" s="442" t="s">
        <v>740</v>
      </c>
      <c r="P10" s="452" t="s">
        <v>750</v>
      </c>
      <c r="Q10" s="442" t="s">
        <v>752</v>
      </c>
      <c r="R10" s="488" t="s">
        <v>754</v>
      </c>
      <c r="S10" s="488" t="s">
        <v>755</v>
      </c>
      <c r="T10" s="459" t="s">
        <v>756</v>
      </c>
      <c r="U10" s="346"/>
      <c r="V10" s="346"/>
      <c r="W10" s="559"/>
      <c r="X10" s="559"/>
      <c r="Y10" s="559"/>
      <c r="Z10" s="401" t="s">
        <v>699</v>
      </c>
      <c r="AA10" s="411" t="s">
        <v>709</v>
      </c>
      <c r="AB10" s="350"/>
      <c r="AC10" s="350"/>
      <c r="AD10" s="350"/>
      <c r="AE10" s="350"/>
      <c r="AF10" s="564"/>
      <c r="AG10" s="564"/>
      <c r="AH10" s="564"/>
      <c r="AI10" s="401" t="s">
        <v>699</v>
      </c>
      <c r="AJ10" s="411" t="s">
        <v>709</v>
      </c>
      <c r="AK10" s="442" t="s">
        <v>740</v>
      </c>
      <c r="AL10" s="442" t="s">
        <v>752</v>
      </c>
      <c r="AM10" s="488" t="s">
        <v>755</v>
      </c>
      <c r="AN10" s="490" t="s">
        <v>756</v>
      </c>
      <c r="AO10" s="577"/>
      <c r="AP10" s="566"/>
      <c r="AQ10" s="566"/>
      <c r="AR10" s="566"/>
      <c r="AS10" s="411" t="s">
        <v>709</v>
      </c>
      <c r="AT10" s="347"/>
      <c r="AU10" s="347"/>
      <c r="AV10" s="566"/>
      <c r="AW10" s="566"/>
      <c r="AX10" s="566"/>
      <c r="AY10" s="401" t="s">
        <v>699</v>
      </c>
      <c r="AZ10" s="411" t="s">
        <v>709</v>
      </c>
      <c r="BA10" s="442" t="s">
        <v>740</v>
      </c>
      <c r="BB10" s="452" t="s">
        <v>753</v>
      </c>
      <c r="BC10" s="442" t="s">
        <v>752</v>
      </c>
      <c r="BD10" s="488" t="s">
        <v>755</v>
      </c>
      <c r="BE10" s="356"/>
      <c r="BF10" s="575"/>
      <c r="BG10" s="575"/>
    </row>
    <row r="11" spans="1:59" s="144" customFormat="1" ht="12.75" thickTop="1" thickBot="1" x14ac:dyDescent="0.25">
      <c r="A11" s="250">
        <v>1</v>
      </c>
      <c r="B11" s="537">
        <v>2</v>
      </c>
      <c r="C11" s="538"/>
      <c r="D11" s="539"/>
      <c r="E11" s="308">
        <v>3</v>
      </c>
      <c r="F11" s="352"/>
      <c r="G11" s="314">
        <v>9</v>
      </c>
      <c r="H11" s="315">
        <v>10</v>
      </c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460"/>
      <c r="U11" s="315"/>
      <c r="V11" s="315"/>
      <c r="W11" s="315">
        <v>11</v>
      </c>
      <c r="X11" s="315"/>
      <c r="Y11" s="315"/>
      <c r="Z11" s="315"/>
      <c r="AA11" s="315"/>
      <c r="AB11" s="315"/>
      <c r="AC11" s="315"/>
      <c r="AD11" s="315"/>
      <c r="AE11" s="315"/>
      <c r="AF11" s="315">
        <v>12</v>
      </c>
      <c r="AG11" s="316"/>
      <c r="AH11" s="316"/>
      <c r="AI11" s="316"/>
      <c r="AJ11" s="316"/>
      <c r="AK11" s="316"/>
      <c r="AL11" s="316"/>
      <c r="AM11" s="316"/>
      <c r="AN11" s="477"/>
      <c r="AO11" s="316">
        <v>13</v>
      </c>
      <c r="AP11" s="316">
        <v>14</v>
      </c>
      <c r="AQ11" s="316"/>
      <c r="AR11" s="316"/>
      <c r="AS11" s="316"/>
      <c r="AT11" s="316"/>
      <c r="AU11" s="316"/>
      <c r="AV11" s="316">
        <v>15</v>
      </c>
      <c r="AW11" s="315"/>
      <c r="AX11" s="315"/>
      <c r="AY11" s="315"/>
      <c r="AZ11" s="315"/>
      <c r="BA11" s="315"/>
      <c r="BB11" s="315"/>
      <c r="BC11" s="315"/>
      <c r="BD11" s="315"/>
      <c r="BE11" s="357"/>
      <c r="BF11" s="317" t="s">
        <v>590</v>
      </c>
      <c r="BG11" s="250">
        <v>17</v>
      </c>
    </row>
    <row r="12" spans="1:59" ht="13.5" thickTop="1" thickBot="1" x14ac:dyDescent="0.25">
      <c r="A12" s="122"/>
      <c r="B12" s="528"/>
      <c r="C12" s="529"/>
      <c r="D12" s="530"/>
      <c r="E12" s="4"/>
      <c r="F12" s="351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6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30"/>
      <c r="AH12" s="130"/>
      <c r="AI12" s="130"/>
      <c r="AJ12" s="130"/>
      <c r="AK12" s="130"/>
      <c r="AL12" s="130"/>
      <c r="AM12" s="130"/>
      <c r="AN12" s="478"/>
      <c r="AO12" s="130"/>
      <c r="AP12" s="130"/>
      <c r="AQ12" s="130"/>
      <c r="AR12" s="130"/>
      <c r="AS12" s="130"/>
      <c r="AT12" s="130"/>
      <c r="AU12" s="130"/>
      <c r="AV12" s="130"/>
      <c r="AW12" s="6"/>
      <c r="AX12" s="6"/>
      <c r="AY12" s="6"/>
      <c r="AZ12" s="6"/>
      <c r="BA12" s="6"/>
      <c r="BB12" s="6"/>
      <c r="BC12" s="6"/>
      <c r="BD12" s="6"/>
      <c r="BE12" s="358"/>
      <c r="BF12" s="7"/>
      <c r="BG12" s="114"/>
    </row>
    <row r="13" spans="1:59" ht="24.75" thickBot="1" x14ac:dyDescent="0.25">
      <c r="A13" s="115"/>
      <c r="B13" s="535" t="s">
        <v>4</v>
      </c>
      <c r="C13" s="536"/>
      <c r="D13" s="217" t="s">
        <v>182</v>
      </c>
      <c r="E13" s="8"/>
      <c r="F13" s="9">
        <f>SUM(F14:F26)</f>
        <v>16246208</v>
      </c>
      <c r="G13" s="9">
        <f t="shared" ref="G13" si="0">SUM(G14:G26)</f>
        <v>15648347</v>
      </c>
      <c r="H13" s="9">
        <f>SUM(H14:H26)</f>
        <v>16215722</v>
      </c>
      <c r="I13" s="9">
        <f t="shared" ref="I13:V13" si="1">SUM(I14:I26)</f>
        <v>15627336</v>
      </c>
      <c r="J13" s="9">
        <f t="shared" si="1"/>
        <v>-588386</v>
      </c>
      <c r="K13" s="9">
        <f>SUM(K14:K26)</f>
        <v>-88108</v>
      </c>
      <c r="L13" s="9">
        <f t="shared" si="1"/>
        <v>-4100</v>
      </c>
      <c r="M13" s="9">
        <f t="shared" si="1"/>
        <v>-53928</v>
      </c>
      <c r="N13" s="9">
        <f t="shared" si="1"/>
        <v>-4394</v>
      </c>
      <c r="O13" s="9">
        <f t="shared" si="1"/>
        <v>-7081</v>
      </c>
      <c r="P13" s="9">
        <f t="shared" si="1"/>
        <v>2241</v>
      </c>
      <c r="Q13" s="9">
        <f t="shared" si="1"/>
        <v>-131686</v>
      </c>
      <c r="R13" s="9">
        <f t="shared" si="1"/>
        <v>2000</v>
      </c>
      <c r="S13" s="9">
        <f t="shared" si="1"/>
        <v>-5637</v>
      </c>
      <c r="T13" s="462">
        <f t="shared" si="1"/>
        <v>-297693</v>
      </c>
      <c r="U13" s="9">
        <f t="shared" si="1"/>
        <v>0</v>
      </c>
      <c r="V13" s="9">
        <f t="shared" si="1"/>
        <v>0</v>
      </c>
      <c r="W13" s="9">
        <f t="shared" ref="W13:BE13" si="2">SUM(W14:W26)</f>
        <v>0</v>
      </c>
      <c r="X13" s="9">
        <f t="shared" si="2"/>
        <v>965</v>
      </c>
      <c r="Y13" s="9">
        <f t="shared" si="2"/>
        <v>965</v>
      </c>
      <c r="Z13" s="9">
        <f t="shared" si="2"/>
        <v>0</v>
      </c>
      <c r="AA13" s="9">
        <f t="shared" si="2"/>
        <v>965</v>
      </c>
      <c r="AB13" s="9">
        <f t="shared" si="2"/>
        <v>0</v>
      </c>
      <c r="AC13" s="9">
        <f t="shared" si="2"/>
        <v>0</v>
      </c>
      <c r="AD13" s="9">
        <f t="shared" si="2"/>
        <v>0</v>
      </c>
      <c r="AE13" s="9">
        <f t="shared" si="2"/>
        <v>0</v>
      </c>
      <c r="AF13" s="9">
        <f t="shared" si="2"/>
        <v>30486</v>
      </c>
      <c r="AG13" s="9">
        <f t="shared" si="2"/>
        <v>20046</v>
      </c>
      <c r="AH13" s="9">
        <f t="shared" si="2"/>
        <v>-10440</v>
      </c>
      <c r="AI13" s="9">
        <f t="shared" si="2"/>
        <v>-10440</v>
      </c>
      <c r="AJ13" s="9">
        <f t="shared" si="2"/>
        <v>0</v>
      </c>
      <c r="AK13" s="9">
        <f t="shared" si="2"/>
        <v>0</v>
      </c>
      <c r="AL13" s="9">
        <f t="shared" si="2"/>
        <v>0</v>
      </c>
      <c r="AM13" s="9">
        <f t="shared" si="2"/>
        <v>0</v>
      </c>
      <c r="AN13" s="462">
        <f t="shared" si="2"/>
        <v>0</v>
      </c>
      <c r="AO13" s="9">
        <f t="shared" si="2"/>
        <v>0</v>
      </c>
      <c r="AP13" s="131">
        <f t="shared" si="2"/>
        <v>0</v>
      </c>
      <c r="AQ13" s="131">
        <f t="shared" si="2"/>
        <v>0</v>
      </c>
      <c r="AR13" s="131">
        <f t="shared" si="2"/>
        <v>0</v>
      </c>
      <c r="AS13" s="131">
        <f t="shared" si="2"/>
        <v>0</v>
      </c>
      <c r="AT13" s="131">
        <f t="shared" si="2"/>
        <v>0</v>
      </c>
      <c r="AU13" s="131">
        <f t="shared" si="2"/>
        <v>0</v>
      </c>
      <c r="AV13" s="131">
        <f t="shared" si="2"/>
        <v>0</v>
      </c>
      <c r="AW13" s="131">
        <f t="shared" si="2"/>
        <v>0</v>
      </c>
      <c r="AX13" s="131">
        <f t="shared" si="2"/>
        <v>0</v>
      </c>
      <c r="AY13" s="131">
        <f t="shared" si="2"/>
        <v>0</v>
      </c>
      <c r="AZ13" s="131">
        <f t="shared" si="2"/>
        <v>0</v>
      </c>
      <c r="BA13" s="131">
        <f t="shared" si="2"/>
        <v>0</v>
      </c>
      <c r="BB13" s="131">
        <f t="shared" si="2"/>
        <v>0</v>
      </c>
      <c r="BC13" s="131">
        <f t="shared" ref="BC13" si="3">SUM(BC14:BC26)</f>
        <v>0</v>
      </c>
      <c r="BD13" s="131">
        <f t="shared" si="2"/>
        <v>0</v>
      </c>
      <c r="BE13" s="131">
        <f t="shared" si="2"/>
        <v>0</v>
      </c>
      <c r="BF13" s="10"/>
      <c r="BG13" s="115"/>
    </row>
    <row r="14" spans="1:59" ht="13.5" thickTop="1" x14ac:dyDescent="0.2">
      <c r="A14" s="211">
        <v>90000056357</v>
      </c>
      <c r="B14" s="231"/>
      <c r="C14" s="531" t="s">
        <v>5</v>
      </c>
      <c r="D14" s="532"/>
      <c r="E14" s="106" t="s">
        <v>209</v>
      </c>
      <c r="F14" s="107">
        <f>H14+W14+AF14+AO14+AP14+AV14</f>
        <v>853246</v>
      </c>
      <c r="G14" s="107">
        <f>I14+X14+AG14+AO14+AQ14+AW14</f>
        <v>854382</v>
      </c>
      <c r="H14" s="108">
        <v>822760</v>
      </c>
      <c r="I14" s="108">
        <f>H14+J14</f>
        <v>834336</v>
      </c>
      <c r="J14" s="108">
        <f>SUM(K14:V14)</f>
        <v>11576</v>
      </c>
      <c r="K14" s="108">
        <v>10440</v>
      </c>
      <c r="L14" s="108">
        <v>-4100</v>
      </c>
      <c r="M14" s="108">
        <v>752</v>
      </c>
      <c r="N14" s="108"/>
      <c r="O14" s="108">
        <v>2500</v>
      </c>
      <c r="P14" s="108"/>
      <c r="Q14" s="108">
        <v>-16</v>
      </c>
      <c r="R14" s="108">
        <v>2000</v>
      </c>
      <c r="S14" s="108"/>
      <c r="T14" s="463"/>
      <c r="U14" s="108"/>
      <c r="V14" s="108"/>
      <c r="W14" s="108">
        <v>0</v>
      </c>
      <c r="X14" s="108">
        <f>W14+Y14</f>
        <v>0</v>
      </c>
      <c r="Y14" s="108">
        <f>SUM(Z14:AE14)</f>
        <v>0</v>
      </c>
      <c r="Z14" s="108"/>
      <c r="AA14" s="108"/>
      <c r="AB14" s="108"/>
      <c r="AC14" s="108"/>
      <c r="AD14" s="108"/>
      <c r="AE14" s="108"/>
      <c r="AF14" s="108">
        <v>30486</v>
      </c>
      <c r="AG14" s="133">
        <f>AH14+AF14</f>
        <v>20046</v>
      </c>
      <c r="AH14" s="133">
        <f>SUM(AI14:AN14)</f>
        <v>-10440</v>
      </c>
      <c r="AI14" s="133">
        <v>-10440</v>
      </c>
      <c r="AJ14" s="133"/>
      <c r="AK14" s="133"/>
      <c r="AL14" s="133"/>
      <c r="AM14" s="133"/>
      <c r="AN14" s="479"/>
      <c r="AO14" s="133"/>
      <c r="AP14" s="133">
        <v>0</v>
      </c>
      <c r="AQ14" s="133">
        <f>AR14+AP14</f>
        <v>0</v>
      </c>
      <c r="AR14" s="133">
        <f>SUM(AS14:AU14)</f>
        <v>0</v>
      </c>
      <c r="AS14" s="133"/>
      <c r="AT14" s="133"/>
      <c r="AU14" s="133"/>
      <c r="AV14" s="133"/>
      <c r="AW14" s="108">
        <f>AX14+AV14</f>
        <v>0</v>
      </c>
      <c r="AX14" s="108">
        <f t="shared" ref="AX14:AX25" si="4">SUM(AY14:BE14)</f>
        <v>0</v>
      </c>
      <c r="AY14" s="108"/>
      <c r="AZ14" s="108"/>
      <c r="BA14" s="108"/>
      <c r="BB14" s="108"/>
      <c r="BC14" s="108"/>
      <c r="BD14" s="108"/>
      <c r="BE14" s="359"/>
      <c r="BF14" s="109" t="s">
        <v>410</v>
      </c>
      <c r="BG14" s="116"/>
    </row>
    <row r="15" spans="1:59" s="210" customFormat="1" ht="24" x14ac:dyDescent="0.2">
      <c r="A15" s="216"/>
      <c r="C15" s="214"/>
      <c r="D15" s="215"/>
      <c r="E15" s="106" t="s">
        <v>327</v>
      </c>
      <c r="F15" s="107">
        <f t="shared" ref="F15:F25" si="5">H15+W15+AF15+AO15+AP15+AV15</f>
        <v>164472</v>
      </c>
      <c r="G15" s="107">
        <f t="shared" ref="G15:G25" si="6">I15+X15+AG15+AO15+AQ15+AW15</f>
        <v>164472</v>
      </c>
      <c r="H15" s="108">
        <v>164472</v>
      </c>
      <c r="I15" s="108">
        <f t="shared" ref="I15:I24" si="7">H15+J15</f>
        <v>164472</v>
      </c>
      <c r="J15" s="108">
        <f t="shared" ref="J15:J24" si="8">SUM(K15:V15)</f>
        <v>0</v>
      </c>
      <c r="K15" s="108"/>
      <c r="L15" s="108"/>
      <c r="M15" s="108"/>
      <c r="N15" s="108"/>
      <c r="O15" s="108"/>
      <c r="P15" s="108"/>
      <c r="Q15" s="108"/>
      <c r="R15" s="108"/>
      <c r="S15" s="108"/>
      <c r="T15" s="463"/>
      <c r="U15" s="108"/>
      <c r="V15" s="108"/>
      <c r="W15" s="108">
        <v>0</v>
      </c>
      <c r="X15" s="108">
        <f t="shared" ref="X15:X24" si="9">W15+Y15</f>
        <v>0</v>
      </c>
      <c r="Y15" s="108">
        <f t="shared" ref="Y15:Y24" si="10">SUM(Z15:AE15)</f>
        <v>0</v>
      </c>
      <c r="Z15" s="108"/>
      <c r="AA15" s="108"/>
      <c r="AB15" s="108"/>
      <c r="AC15" s="108"/>
      <c r="AD15" s="108"/>
      <c r="AE15" s="108"/>
      <c r="AF15" s="108">
        <v>0</v>
      </c>
      <c r="AG15" s="133">
        <f t="shared" ref="AG15:AG20" si="11">AH15+AF15</f>
        <v>0</v>
      </c>
      <c r="AH15" s="133">
        <f t="shared" ref="AH15:AH20" si="12">SUM(AI15:AN15)</f>
        <v>0</v>
      </c>
      <c r="AI15" s="133"/>
      <c r="AJ15" s="133"/>
      <c r="AK15" s="133"/>
      <c r="AL15" s="133"/>
      <c r="AM15" s="133"/>
      <c r="AN15" s="479"/>
      <c r="AO15" s="133"/>
      <c r="AP15" s="133">
        <v>0</v>
      </c>
      <c r="AQ15" s="133">
        <f t="shared" ref="AQ15:AQ20" si="13">AR15+AP15</f>
        <v>0</v>
      </c>
      <c r="AR15" s="133">
        <f t="shared" ref="AR15:AR20" si="14">SUM(AS15:AU15)</f>
        <v>0</v>
      </c>
      <c r="AS15" s="133"/>
      <c r="AT15" s="133"/>
      <c r="AU15" s="133"/>
      <c r="AV15" s="133"/>
      <c r="AW15" s="108">
        <f t="shared" ref="AW15:AW24" si="15">AX15+AV15</f>
        <v>0</v>
      </c>
      <c r="AX15" s="108">
        <f t="shared" si="4"/>
        <v>0</v>
      </c>
      <c r="AY15" s="108"/>
      <c r="AZ15" s="108"/>
      <c r="BA15" s="108"/>
      <c r="BB15" s="108"/>
      <c r="BC15" s="108"/>
      <c r="BD15" s="108"/>
      <c r="BE15" s="359"/>
      <c r="BF15" s="109" t="s">
        <v>411</v>
      </c>
      <c r="BG15" s="116"/>
    </row>
    <row r="16" spans="1:59" ht="24" x14ac:dyDescent="0.2">
      <c r="A16" s="167"/>
      <c r="B16" s="127"/>
      <c r="C16" s="161"/>
      <c r="D16" s="162"/>
      <c r="E16" s="106" t="s">
        <v>328</v>
      </c>
      <c r="F16" s="107">
        <f t="shared" si="5"/>
        <v>100957</v>
      </c>
      <c r="G16" s="107">
        <f t="shared" si="6"/>
        <v>116598</v>
      </c>
      <c r="H16" s="108">
        <v>100957</v>
      </c>
      <c r="I16" s="108">
        <f t="shared" si="7"/>
        <v>116598</v>
      </c>
      <c r="J16" s="108">
        <f t="shared" si="8"/>
        <v>15641</v>
      </c>
      <c r="K16" s="108"/>
      <c r="L16" s="108"/>
      <c r="M16" s="108"/>
      <c r="N16" s="108"/>
      <c r="O16" s="108"/>
      <c r="P16" s="108">
        <v>15641</v>
      </c>
      <c r="Q16" s="108"/>
      <c r="R16" s="108"/>
      <c r="S16" s="108"/>
      <c r="T16" s="463"/>
      <c r="U16" s="108"/>
      <c r="V16" s="108"/>
      <c r="W16" s="108">
        <v>0</v>
      </c>
      <c r="X16" s="108">
        <f t="shared" si="9"/>
        <v>0</v>
      </c>
      <c r="Y16" s="108">
        <f t="shared" si="10"/>
        <v>0</v>
      </c>
      <c r="Z16" s="108"/>
      <c r="AA16" s="108"/>
      <c r="AB16" s="108"/>
      <c r="AC16" s="108"/>
      <c r="AD16" s="108"/>
      <c r="AE16" s="108"/>
      <c r="AF16" s="108">
        <v>0</v>
      </c>
      <c r="AG16" s="133">
        <f t="shared" si="11"/>
        <v>0</v>
      </c>
      <c r="AH16" s="133">
        <f t="shared" si="12"/>
        <v>0</v>
      </c>
      <c r="AI16" s="133"/>
      <c r="AJ16" s="133"/>
      <c r="AK16" s="133"/>
      <c r="AL16" s="133"/>
      <c r="AM16" s="133"/>
      <c r="AN16" s="479"/>
      <c r="AO16" s="133"/>
      <c r="AP16" s="133">
        <v>0</v>
      </c>
      <c r="AQ16" s="133">
        <f t="shared" si="13"/>
        <v>0</v>
      </c>
      <c r="AR16" s="133">
        <f t="shared" si="14"/>
        <v>0</v>
      </c>
      <c r="AS16" s="133"/>
      <c r="AT16" s="133"/>
      <c r="AU16" s="133"/>
      <c r="AV16" s="133"/>
      <c r="AW16" s="108">
        <f t="shared" si="15"/>
        <v>0</v>
      </c>
      <c r="AX16" s="108">
        <f t="shared" si="4"/>
        <v>0</v>
      </c>
      <c r="AY16" s="108"/>
      <c r="AZ16" s="108"/>
      <c r="BA16" s="108"/>
      <c r="BB16" s="108"/>
      <c r="BC16" s="108"/>
      <c r="BD16" s="108"/>
      <c r="BE16" s="359"/>
      <c r="BF16" s="109" t="s">
        <v>412</v>
      </c>
      <c r="BG16" s="116" t="s">
        <v>591</v>
      </c>
    </row>
    <row r="17" spans="1:59" ht="36" x14ac:dyDescent="0.2">
      <c r="A17" s="167"/>
      <c r="B17" s="127"/>
      <c r="C17" s="161"/>
      <c r="D17" s="162"/>
      <c r="E17" s="106" t="s">
        <v>258</v>
      </c>
      <c r="F17" s="107">
        <f t="shared" si="5"/>
        <v>600804</v>
      </c>
      <c r="G17" s="107">
        <f t="shared" si="6"/>
        <v>600804</v>
      </c>
      <c r="H17" s="108">
        <v>600804</v>
      </c>
      <c r="I17" s="108">
        <f t="shared" si="7"/>
        <v>600804</v>
      </c>
      <c r="J17" s="108">
        <f t="shared" si="8"/>
        <v>0</v>
      </c>
      <c r="K17" s="108"/>
      <c r="L17" s="108"/>
      <c r="M17" s="108"/>
      <c r="N17" s="108"/>
      <c r="O17" s="108"/>
      <c r="P17" s="108"/>
      <c r="Q17" s="108"/>
      <c r="R17" s="108"/>
      <c r="S17" s="108"/>
      <c r="T17" s="463"/>
      <c r="U17" s="108"/>
      <c r="V17" s="108"/>
      <c r="W17" s="108">
        <v>0</v>
      </c>
      <c r="X17" s="108">
        <f t="shared" si="9"/>
        <v>0</v>
      </c>
      <c r="Y17" s="108">
        <f t="shared" si="10"/>
        <v>0</v>
      </c>
      <c r="Z17" s="108"/>
      <c r="AA17" s="108"/>
      <c r="AB17" s="108"/>
      <c r="AC17" s="108"/>
      <c r="AD17" s="108"/>
      <c r="AE17" s="108"/>
      <c r="AF17" s="108">
        <v>0</v>
      </c>
      <c r="AG17" s="133">
        <f t="shared" si="11"/>
        <v>0</v>
      </c>
      <c r="AH17" s="133">
        <f t="shared" si="12"/>
        <v>0</v>
      </c>
      <c r="AI17" s="133"/>
      <c r="AJ17" s="133"/>
      <c r="AK17" s="133"/>
      <c r="AL17" s="133"/>
      <c r="AM17" s="133"/>
      <c r="AN17" s="479"/>
      <c r="AO17" s="133"/>
      <c r="AP17" s="133">
        <v>0</v>
      </c>
      <c r="AQ17" s="133">
        <f t="shared" si="13"/>
        <v>0</v>
      </c>
      <c r="AR17" s="133">
        <f t="shared" si="14"/>
        <v>0</v>
      </c>
      <c r="AS17" s="133"/>
      <c r="AT17" s="133"/>
      <c r="AU17" s="133"/>
      <c r="AV17" s="133"/>
      <c r="AW17" s="108">
        <f t="shared" si="15"/>
        <v>0</v>
      </c>
      <c r="AX17" s="108">
        <f t="shared" si="4"/>
        <v>0</v>
      </c>
      <c r="AY17" s="108"/>
      <c r="AZ17" s="108"/>
      <c r="BA17" s="108"/>
      <c r="BB17" s="108"/>
      <c r="BC17" s="108"/>
      <c r="BD17" s="108"/>
      <c r="BE17" s="359"/>
      <c r="BF17" s="109" t="s">
        <v>413</v>
      </c>
      <c r="BG17" s="116"/>
    </row>
    <row r="18" spans="1:59" s="210" customFormat="1" ht="24" x14ac:dyDescent="0.2">
      <c r="A18" s="167"/>
      <c r="B18" s="127"/>
      <c r="C18" s="208"/>
      <c r="D18" s="209"/>
      <c r="E18" s="106" t="s">
        <v>344</v>
      </c>
      <c r="F18" s="107">
        <f t="shared" si="5"/>
        <v>1086333</v>
      </c>
      <c r="G18" s="107">
        <f t="shared" si="6"/>
        <v>986333</v>
      </c>
      <c r="H18" s="108">
        <v>1086333</v>
      </c>
      <c r="I18" s="108">
        <f t="shared" si="7"/>
        <v>986333</v>
      </c>
      <c r="J18" s="108">
        <f t="shared" si="8"/>
        <v>-100000</v>
      </c>
      <c r="K18" s="108">
        <v>-100000</v>
      </c>
      <c r="L18" s="108"/>
      <c r="M18" s="108"/>
      <c r="N18" s="108"/>
      <c r="O18" s="108"/>
      <c r="P18" s="108"/>
      <c r="Q18" s="108"/>
      <c r="R18" s="108"/>
      <c r="S18" s="108"/>
      <c r="T18" s="463"/>
      <c r="U18" s="108"/>
      <c r="V18" s="108"/>
      <c r="W18" s="108">
        <v>0</v>
      </c>
      <c r="X18" s="108">
        <f t="shared" si="9"/>
        <v>0</v>
      </c>
      <c r="Y18" s="108">
        <f t="shared" si="10"/>
        <v>0</v>
      </c>
      <c r="Z18" s="108"/>
      <c r="AA18" s="108"/>
      <c r="AB18" s="108"/>
      <c r="AC18" s="108"/>
      <c r="AD18" s="108"/>
      <c r="AE18" s="108"/>
      <c r="AF18" s="108">
        <v>0</v>
      </c>
      <c r="AG18" s="133">
        <f t="shared" si="11"/>
        <v>0</v>
      </c>
      <c r="AH18" s="133">
        <f t="shared" si="12"/>
        <v>0</v>
      </c>
      <c r="AI18" s="133"/>
      <c r="AJ18" s="133"/>
      <c r="AK18" s="133"/>
      <c r="AL18" s="133"/>
      <c r="AM18" s="133"/>
      <c r="AN18" s="479"/>
      <c r="AO18" s="133"/>
      <c r="AP18" s="133">
        <v>0</v>
      </c>
      <c r="AQ18" s="133">
        <f t="shared" si="13"/>
        <v>0</v>
      </c>
      <c r="AR18" s="133">
        <f t="shared" si="14"/>
        <v>0</v>
      </c>
      <c r="AS18" s="133"/>
      <c r="AT18" s="133"/>
      <c r="AU18" s="133"/>
      <c r="AV18" s="133"/>
      <c r="AW18" s="108">
        <f t="shared" si="15"/>
        <v>0</v>
      </c>
      <c r="AX18" s="108">
        <f t="shared" si="4"/>
        <v>0</v>
      </c>
      <c r="AY18" s="108"/>
      <c r="AZ18" s="108"/>
      <c r="BA18" s="108"/>
      <c r="BB18" s="108"/>
      <c r="BC18" s="108"/>
      <c r="BD18" s="108"/>
      <c r="BE18" s="359"/>
      <c r="BF18" s="109" t="s">
        <v>414</v>
      </c>
      <c r="BG18" s="116" t="s">
        <v>594</v>
      </c>
    </row>
    <row r="19" spans="1:59" s="210" customFormat="1" ht="36" x14ac:dyDescent="0.2">
      <c r="A19" s="167"/>
      <c r="B19" s="127"/>
      <c r="C19" s="208"/>
      <c r="D19" s="209"/>
      <c r="E19" s="223" t="s">
        <v>345</v>
      </c>
      <c r="F19" s="107">
        <f t="shared" si="5"/>
        <v>4000</v>
      </c>
      <c r="G19" s="107">
        <f t="shared" si="6"/>
        <v>2000</v>
      </c>
      <c r="H19" s="108">
        <v>4000</v>
      </c>
      <c r="I19" s="108">
        <f t="shared" si="7"/>
        <v>2000</v>
      </c>
      <c r="J19" s="108">
        <f t="shared" si="8"/>
        <v>-2000</v>
      </c>
      <c r="K19" s="108"/>
      <c r="L19" s="108"/>
      <c r="M19" s="108"/>
      <c r="N19" s="108"/>
      <c r="O19" s="108"/>
      <c r="P19" s="108"/>
      <c r="Q19" s="108">
        <v>-2000</v>
      </c>
      <c r="R19" s="108"/>
      <c r="S19" s="108"/>
      <c r="T19" s="463"/>
      <c r="U19" s="108"/>
      <c r="V19" s="108"/>
      <c r="W19" s="108">
        <v>0</v>
      </c>
      <c r="X19" s="108">
        <f t="shared" si="9"/>
        <v>0</v>
      </c>
      <c r="Y19" s="108">
        <f t="shared" si="10"/>
        <v>0</v>
      </c>
      <c r="Z19" s="108"/>
      <c r="AA19" s="108"/>
      <c r="AB19" s="108"/>
      <c r="AC19" s="108"/>
      <c r="AD19" s="108"/>
      <c r="AE19" s="108"/>
      <c r="AF19" s="108">
        <v>0</v>
      </c>
      <c r="AG19" s="133">
        <f t="shared" si="11"/>
        <v>0</v>
      </c>
      <c r="AH19" s="133">
        <f t="shared" si="12"/>
        <v>0</v>
      </c>
      <c r="AI19" s="133"/>
      <c r="AJ19" s="133"/>
      <c r="AK19" s="133"/>
      <c r="AL19" s="133"/>
      <c r="AM19" s="133"/>
      <c r="AN19" s="479"/>
      <c r="AO19" s="133"/>
      <c r="AP19" s="133">
        <v>0</v>
      </c>
      <c r="AQ19" s="133">
        <f t="shared" si="13"/>
        <v>0</v>
      </c>
      <c r="AR19" s="133">
        <f t="shared" si="14"/>
        <v>0</v>
      </c>
      <c r="AS19" s="133"/>
      <c r="AT19" s="133"/>
      <c r="AU19" s="133"/>
      <c r="AV19" s="133"/>
      <c r="AW19" s="108">
        <f t="shared" si="15"/>
        <v>0</v>
      </c>
      <c r="AX19" s="108">
        <f t="shared" si="4"/>
        <v>0</v>
      </c>
      <c r="AY19" s="108"/>
      <c r="AZ19" s="108"/>
      <c r="BA19" s="108"/>
      <c r="BB19" s="108"/>
      <c r="BC19" s="108"/>
      <c r="BD19" s="108"/>
      <c r="BE19" s="359"/>
      <c r="BF19" s="109" t="s">
        <v>415</v>
      </c>
      <c r="BG19" s="117" t="s">
        <v>595</v>
      </c>
    </row>
    <row r="20" spans="1:59" s="283" customFormat="1" ht="36" x14ac:dyDescent="0.2">
      <c r="A20" s="167"/>
      <c r="B20" s="127"/>
      <c r="C20" s="281"/>
      <c r="D20" s="282"/>
      <c r="E20" s="222" t="s">
        <v>631</v>
      </c>
      <c r="F20" s="94">
        <f t="shared" si="5"/>
        <v>15555</v>
      </c>
      <c r="G20" s="94">
        <f t="shared" si="6"/>
        <v>15555</v>
      </c>
      <c r="H20" s="95">
        <v>15555</v>
      </c>
      <c r="I20" s="108">
        <f t="shared" si="7"/>
        <v>15555</v>
      </c>
      <c r="J20" s="108">
        <f t="shared" si="8"/>
        <v>0</v>
      </c>
      <c r="K20" s="95"/>
      <c r="L20" s="95"/>
      <c r="M20" s="95"/>
      <c r="N20" s="95"/>
      <c r="O20" s="95"/>
      <c r="P20" s="95"/>
      <c r="Q20" s="95"/>
      <c r="R20" s="95"/>
      <c r="S20" s="95"/>
      <c r="T20" s="464"/>
      <c r="U20" s="95"/>
      <c r="V20" s="95"/>
      <c r="W20" s="95">
        <v>0</v>
      </c>
      <c r="X20" s="108">
        <f t="shared" si="9"/>
        <v>0</v>
      </c>
      <c r="Y20" s="108">
        <f t="shared" si="10"/>
        <v>0</v>
      </c>
      <c r="Z20" s="95"/>
      <c r="AA20" s="95"/>
      <c r="AB20" s="95"/>
      <c r="AC20" s="95"/>
      <c r="AD20" s="95"/>
      <c r="AE20" s="95"/>
      <c r="AF20" s="95">
        <v>0</v>
      </c>
      <c r="AG20" s="133">
        <f t="shared" si="11"/>
        <v>0</v>
      </c>
      <c r="AH20" s="133">
        <f t="shared" si="12"/>
        <v>0</v>
      </c>
      <c r="AI20" s="132"/>
      <c r="AJ20" s="132"/>
      <c r="AK20" s="132"/>
      <c r="AL20" s="132"/>
      <c r="AM20" s="132"/>
      <c r="AN20" s="480"/>
      <c r="AO20" s="132"/>
      <c r="AP20" s="132">
        <v>0</v>
      </c>
      <c r="AQ20" s="133">
        <f t="shared" si="13"/>
        <v>0</v>
      </c>
      <c r="AR20" s="133">
        <f t="shared" si="14"/>
        <v>0</v>
      </c>
      <c r="AS20" s="132"/>
      <c r="AT20" s="132"/>
      <c r="AU20" s="132"/>
      <c r="AV20" s="132"/>
      <c r="AW20" s="108">
        <f t="shared" si="15"/>
        <v>0</v>
      </c>
      <c r="AX20" s="108">
        <f t="shared" si="4"/>
        <v>0</v>
      </c>
      <c r="AY20" s="95"/>
      <c r="AZ20" s="95"/>
      <c r="BA20" s="95"/>
      <c r="BB20" s="95"/>
      <c r="BC20" s="95"/>
      <c r="BD20" s="95"/>
      <c r="BE20" s="360"/>
      <c r="BF20" s="109" t="s">
        <v>632</v>
      </c>
      <c r="BG20" s="117"/>
    </row>
    <row r="21" spans="1:59" ht="12.75" x14ac:dyDescent="0.2">
      <c r="A21" s="167"/>
      <c r="B21" s="127"/>
      <c r="C21" s="533" t="s">
        <v>185</v>
      </c>
      <c r="D21" s="534"/>
      <c r="E21" s="106" t="s">
        <v>128</v>
      </c>
      <c r="F21" s="107">
        <f t="shared" si="5"/>
        <v>277490</v>
      </c>
      <c r="G21" s="107">
        <f t="shared" si="6"/>
        <v>277490</v>
      </c>
      <c r="H21" s="108">
        <f>341490-64000</f>
        <v>277490</v>
      </c>
      <c r="I21" s="108">
        <f t="shared" si="7"/>
        <v>277490</v>
      </c>
      <c r="J21" s="108">
        <f t="shared" si="8"/>
        <v>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463"/>
      <c r="U21" s="108"/>
      <c r="V21" s="108"/>
      <c r="W21" s="108"/>
      <c r="X21" s="108">
        <f t="shared" si="9"/>
        <v>0</v>
      </c>
      <c r="Y21" s="108">
        <f t="shared" si="10"/>
        <v>0</v>
      </c>
      <c r="Z21" s="108"/>
      <c r="AA21" s="108"/>
      <c r="AB21" s="108"/>
      <c r="AC21" s="108"/>
      <c r="AD21" s="108"/>
      <c r="AE21" s="108"/>
      <c r="AF21" s="108"/>
      <c r="AG21" s="133"/>
      <c r="AH21" s="133"/>
      <c r="AI21" s="133"/>
      <c r="AJ21" s="133"/>
      <c r="AK21" s="133"/>
      <c r="AL21" s="133"/>
      <c r="AM21" s="133"/>
      <c r="AN21" s="479"/>
      <c r="AO21" s="133"/>
      <c r="AP21" s="133"/>
      <c r="AQ21" s="133"/>
      <c r="AR21" s="133"/>
      <c r="AS21" s="133"/>
      <c r="AT21" s="133"/>
      <c r="AU21" s="133"/>
      <c r="AV21" s="133"/>
      <c r="AW21" s="108">
        <f t="shared" si="15"/>
        <v>0</v>
      </c>
      <c r="AX21" s="108">
        <f t="shared" si="4"/>
        <v>0</v>
      </c>
      <c r="AY21" s="108"/>
      <c r="AZ21" s="108"/>
      <c r="BA21" s="108"/>
      <c r="BB21" s="108"/>
      <c r="BC21" s="108"/>
      <c r="BD21" s="108"/>
      <c r="BE21" s="359"/>
      <c r="BF21" s="109" t="s">
        <v>416</v>
      </c>
      <c r="BG21" s="116"/>
    </row>
    <row r="22" spans="1:59" ht="24" x14ac:dyDescent="0.2">
      <c r="A22" s="167"/>
      <c r="B22" s="127"/>
      <c r="C22" s="225"/>
      <c r="D22" s="227"/>
      <c r="E22" s="106" t="s">
        <v>210</v>
      </c>
      <c r="F22" s="107">
        <f t="shared" si="5"/>
        <v>11735219</v>
      </c>
      <c r="G22" s="107">
        <f t="shared" si="6"/>
        <v>11735219</v>
      </c>
      <c r="H22" s="108">
        <v>11735219</v>
      </c>
      <c r="I22" s="108">
        <f t="shared" si="7"/>
        <v>11735219</v>
      </c>
      <c r="J22" s="108">
        <f t="shared" si="8"/>
        <v>0</v>
      </c>
      <c r="K22" s="108"/>
      <c r="L22" s="108"/>
      <c r="M22" s="108"/>
      <c r="N22" s="108"/>
      <c r="O22" s="108"/>
      <c r="P22" s="108"/>
      <c r="Q22" s="108"/>
      <c r="R22" s="108"/>
      <c r="S22" s="108"/>
      <c r="T22" s="463"/>
      <c r="U22" s="108"/>
      <c r="V22" s="108"/>
      <c r="W22" s="108"/>
      <c r="X22" s="108">
        <f t="shared" si="9"/>
        <v>0</v>
      </c>
      <c r="Y22" s="108">
        <f t="shared" si="10"/>
        <v>0</v>
      </c>
      <c r="Z22" s="108"/>
      <c r="AA22" s="108"/>
      <c r="AB22" s="108"/>
      <c r="AC22" s="108"/>
      <c r="AD22" s="108"/>
      <c r="AE22" s="108"/>
      <c r="AF22" s="108"/>
      <c r="AG22" s="133"/>
      <c r="AH22" s="133"/>
      <c r="AI22" s="133"/>
      <c r="AJ22" s="133"/>
      <c r="AK22" s="133"/>
      <c r="AL22" s="133"/>
      <c r="AM22" s="133"/>
      <c r="AN22" s="479"/>
      <c r="AO22" s="133"/>
      <c r="AP22" s="133"/>
      <c r="AQ22" s="133"/>
      <c r="AR22" s="133"/>
      <c r="AS22" s="133"/>
      <c r="AT22" s="133"/>
      <c r="AU22" s="133"/>
      <c r="AV22" s="133"/>
      <c r="AW22" s="108">
        <f t="shared" si="15"/>
        <v>0</v>
      </c>
      <c r="AX22" s="108">
        <f t="shared" si="4"/>
        <v>0</v>
      </c>
      <c r="AY22" s="108"/>
      <c r="AZ22" s="108"/>
      <c r="BA22" s="108"/>
      <c r="BB22" s="108"/>
      <c r="BC22" s="108"/>
      <c r="BD22" s="108"/>
      <c r="BE22" s="359"/>
      <c r="BF22" s="109" t="s">
        <v>417</v>
      </c>
      <c r="BG22" s="116"/>
    </row>
    <row r="23" spans="1:59" ht="24" x14ac:dyDescent="0.2">
      <c r="A23" s="167"/>
      <c r="B23" s="127"/>
      <c r="C23" s="225"/>
      <c r="D23" s="227"/>
      <c r="E23" s="106" t="s">
        <v>211</v>
      </c>
      <c r="F23" s="107">
        <f t="shared" si="5"/>
        <v>200000</v>
      </c>
      <c r="G23" s="107">
        <f t="shared" si="6"/>
        <v>106184</v>
      </c>
      <c r="H23" s="108">
        <v>200000</v>
      </c>
      <c r="I23" s="108">
        <f t="shared" si="7"/>
        <v>106184</v>
      </c>
      <c r="J23" s="108">
        <f t="shared" si="8"/>
        <v>-93816</v>
      </c>
      <c r="K23" s="108"/>
      <c r="L23" s="108"/>
      <c r="M23" s="108">
        <f>-42000-12680</f>
        <v>-54680</v>
      </c>
      <c r="N23" s="108">
        <f>-3838-556</f>
        <v>-4394</v>
      </c>
      <c r="O23" s="108">
        <f>2968-5814-4235-2500</f>
        <v>-9581</v>
      </c>
      <c r="P23" s="108">
        <f>-6234-2070-498-4598</f>
        <v>-13400</v>
      </c>
      <c r="Q23" s="108">
        <v>-6124</v>
      </c>
      <c r="R23" s="108"/>
      <c r="S23" s="108">
        <f>-4723-914</f>
        <v>-5637</v>
      </c>
      <c r="T23" s="463"/>
      <c r="U23" s="108"/>
      <c r="V23" s="108"/>
      <c r="W23" s="108"/>
      <c r="X23" s="108">
        <f t="shared" si="9"/>
        <v>0</v>
      </c>
      <c r="Y23" s="108">
        <f t="shared" si="10"/>
        <v>0</v>
      </c>
      <c r="Z23" s="108"/>
      <c r="AA23" s="108"/>
      <c r="AB23" s="108"/>
      <c r="AC23" s="108"/>
      <c r="AD23" s="108"/>
      <c r="AE23" s="108"/>
      <c r="AF23" s="108"/>
      <c r="AG23" s="133"/>
      <c r="AH23" s="133"/>
      <c r="AI23" s="133"/>
      <c r="AJ23" s="133"/>
      <c r="AK23" s="133"/>
      <c r="AL23" s="133"/>
      <c r="AM23" s="133"/>
      <c r="AN23" s="479"/>
      <c r="AO23" s="133"/>
      <c r="AP23" s="133"/>
      <c r="AQ23" s="133"/>
      <c r="AR23" s="133"/>
      <c r="AS23" s="133"/>
      <c r="AT23" s="133"/>
      <c r="AU23" s="133"/>
      <c r="AV23" s="133"/>
      <c r="AW23" s="108">
        <f t="shared" si="15"/>
        <v>0</v>
      </c>
      <c r="AX23" s="108">
        <f t="shared" si="4"/>
        <v>0</v>
      </c>
      <c r="AY23" s="108"/>
      <c r="AZ23" s="108"/>
      <c r="BA23" s="108"/>
      <c r="BB23" s="108"/>
      <c r="BC23" s="108"/>
      <c r="BD23" s="108"/>
      <c r="BE23" s="359"/>
      <c r="BF23" s="109" t="s">
        <v>418</v>
      </c>
      <c r="BG23" s="116"/>
    </row>
    <row r="24" spans="1:59" s="249" customFormat="1" ht="12.75" x14ac:dyDescent="0.2">
      <c r="A24" s="167"/>
      <c r="B24" s="127"/>
      <c r="C24" s="247"/>
      <c r="D24" s="227"/>
      <c r="E24" s="106" t="s">
        <v>636</v>
      </c>
      <c r="F24" s="107">
        <f t="shared" si="5"/>
        <v>1208132</v>
      </c>
      <c r="G24" s="107">
        <f t="shared" si="6"/>
        <v>786893</v>
      </c>
      <c r="H24" s="108">
        <v>1208132</v>
      </c>
      <c r="I24" s="108">
        <f t="shared" si="7"/>
        <v>786893</v>
      </c>
      <c r="J24" s="108">
        <f t="shared" si="8"/>
        <v>-421239</v>
      </c>
      <c r="K24" s="108"/>
      <c r="L24" s="108"/>
      <c r="M24" s="108"/>
      <c r="N24" s="108"/>
      <c r="O24" s="108"/>
      <c r="P24" s="108"/>
      <c r="Q24" s="108">
        <f>-70000-19911-22744-9186-1705</f>
        <v>-123546</v>
      </c>
      <c r="R24" s="108"/>
      <c r="S24" s="108"/>
      <c r="T24" s="463">
        <v>-297693</v>
      </c>
      <c r="U24" s="108"/>
      <c r="V24" s="108"/>
      <c r="W24" s="108"/>
      <c r="X24" s="108">
        <f t="shared" si="9"/>
        <v>0</v>
      </c>
      <c r="Y24" s="108">
        <f t="shared" si="10"/>
        <v>0</v>
      </c>
      <c r="Z24" s="108"/>
      <c r="AA24" s="108"/>
      <c r="AB24" s="108"/>
      <c r="AC24" s="108"/>
      <c r="AD24" s="108"/>
      <c r="AE24" s="108"/>
      <c r="AF24" s="108"/>
      <c r="AG24" s="133"/>
      <c r="AH24" s="133"/>
      <c r="AI24" s="133"/>
      <c r="AJ24" s="133"/>
      <c r="AK24" s="133"/>
      <c r="AL24" s="133"/>
      <c r="AM24" s="133"/>
      <c r="AN24" s="479"/>
      <c r="AO24" s="133"/>
      <c r="AP24" s="133"/>
      <c r="AQ24" s="133"/>
      <c r="AR24" s="133"/>
      <c r="AS24" s="133"/>
      <c r="AT24" s="133"/>
      <c r="AU24" s="133"/>
      <c r="AV24" s="133"/>
      <c r="AW24" s="108">
        <f t="shared" si="15"/>
        <v>0</v>
      </c>
      <c r="AX24" s="108">
        <f t="shared" si="4"/>
        <v>0</v>
      </c>
      <c r="AY24" s="108"/>
      <c r="AZ24" s="108"/>
      <c r="BA24" s="108"/>
      <c r="BB24" s="108"/>
      <c r="BC24" s="108"/>
      <c r="BD24" s="108"/>
      <c r="BE24" s="359"/>
      <c r="BF24" s="109" t="s">
        <v>419</v>
      </c>
      <c r="BG24" s="116"/>
    </row>
    <row r="25" spans="1:59" s="396" customFormat="1" ht="24" x14ac:dyDescent="0.2">
      <c r="A25" s="167"/>
      <c r="B25" s="127"/>
      <c r="C25" s="397"/>
      <c r="D25" s="227"/>
      <c r="E25" s="106" t="s">
        <v>695</v>
      </c>
      <c r="F25" s="107">
        <f t="shared" si="5"/>
        <v>0</v>
      </c>
      <c r="G25" s="107">
        <f t="shared" si="6"/>
        <v>2417</v>
      </c>
      <c r="H25" s="108"/>
      <c r="I25" s="108">
        <f t="shared" ref="I25" si="16">H25+J25</f>
        <v>1452</v>
      </c>
      <c r="J25" s="108">
        <f t="shared" ref="J25" si="17">SUM(K25:V25)</f>
        <v>1452</v>
      </c>
      <c r="K25" s="108">
        <v>1452</v>
      </c>
      <c r="L25" s="108"/>
      <c r="M25" s="108"/>
      <c r="N25" s="108"/>
      <c r="O25" s="108"/>
      <c r="P25" s="108"/>
      <c r="Q25" s="108"/>
      <c r="R25" s="108"/>
      <c r="S25" s="108"/>
      <c r="T25" s="463"/>
      <c r="U25" s="108"/>
      <c r="V25" s="108"/>
      <c r="W25" s="108"/>
      <c r="X25" s="108">
        <f t="shared" ref="X25" si="18">W25+Y25</f>
        <v>965</v>
      </c>
      <c r="Y25" s="108">
        <f t="shared" ref="Y25" si="19">SUM(Z25:AE25)</f>
        <v>965</v>
      </c>
      <c r="Z25" s="108"/>
      <c r="AA25" s="108">
        <f>609+356</f>
        <v>965</v>
      </c>
      <c r="AB25" s="108"/>
      <c r="AC25" s="108"/>
      <c r="AD25" s="108"/>
      <c r="AE25" s="108"/>
      <c r="AF25" s="108"/>
      <c r="AG25" s="133"/>
      <c r="AH25" s="133"/>
      <c r="AI25" s="133"/>
      <c r="AJ25" s="133"/>
      <c r="AK25" s="133"/>
      <c r="AL25" s="133"/>
      <c r="AM25" s="133"/>
      <c r="AN25" s="479"/>
      <c r="AO25" s="133"/>
      <c r="AP25" s="133"/>
      <c r="AQ25" s="133"/>
      <c r="AR25" s="133"/>
      <c r="AS25" s="133"/>
      <c r="AT25" s="133"/>
      <c r="AU25" s="133"/>
      <c r="AV25" s="133"/>
      <c r="AW25" s="108">
        <f t="shared" ref="AW25" si="20">AX25+AV25</f>
        <v>0</v>
      </c>
      <c r="AX25" s="108">
        <f t="shared" si="4"/>
        <v>0</v>
      </c>
      <c r="AY25" s="108"/>
      <c r="AZ25" s="108"/>
      <c r="BA25" s="108"/>
      <c r="BB25" s="108"/>
      <c r="BC25" s="108"/>
      <c r="BD25" s="108"/>
      <c r="BE25" s="359"/>
      <c r="BF25" s="109" t="s">
        <v>696</v>
      </c>
      <c r="BG25" s="116"/>
    </row>
    <row r="26" spans="1:59" ht="12.75" thickBot="1" x14ac:dyDescent="0.25">
      <c r="A26" s="251"/>
      <c r="B26" s="145"/>
      <c r="C26" s="542"/>
      <c r="D26" s="543"/>
      <c r="E26" s="2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46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132"/>
      <c r="AH26" s="132"/>
      <c r="AI26" s="132"/>
      <c r="AJ26" s="132"/>
      <c r="AK26" s="132"/>
      <c r="AL26" s="132"/>
      <c r="AM26" s="132"/>
      <c r="AN26" s="480"/>
      <c r="AO26" s="132"/>
      <c r="AP26" s="132"/>
      <c r="AQ26" s="132"/>
      <c r="AR26" s="132"/>
      <c r="AS26" s="132"/>
      <c r="AT26" s="132"/>
      <c r="AU26" s="132"/>
      <c r="AV26" s="132"/>
      <c r="AW26" s="95"/>
      <c r="AX26" s="95"/>
      <c r="AY26" s="95"/>
      <c r="AZ26" s="95"/>
      <c r="BA26" s="95"/>
      <c r="BB26" s="95"/>
      <c r="BC26" s="95"/>
      <c r="BD26" s="95"/>
      <c r="BE26" s="360"/>
      <c r="BF26" s="105"/>
      <c r="BG26" s="117"/>
    </row>
    <row r="27" spans="1:59" ht="24.75" thickBot="1" x14ac:dyDescent="0.25">
      <c r="A27" s="220"/>
      <c r="B27" s="536" t="s">
        <v>6</v>
      </c>
      <c r="C27" s="536"/>
      <c r="D27" s="217" t="s">
        <v>183</v>
      </c>
      <c r="E27" s="15"/>
      <c r="F27" s="9">
        <f t="shared" ref="F27:AK27" si="21">SUM(F28:F34)</f>
        <v>1996351</v>
      </c>
      <c r="G27" s="9">
        <f t="shared" si="21"/>
        <v>1997633</v>
      </c>
      <c r="H27" s="9">
        <f t="shared" si="21"/>
        <v>1918490</v>
      </c>
      <c r="I27" s="9">
        <f t="shared" si="21"/>
        <v>1918001</v>
      </c>
      <c r="J27" s="9">
        <f t="shared" si="21"/>
        <v>-489</v>
      </c>
      <c r="K27" s="9">
        <f t="shared" si="21"/>
        <v>-1771</v>
      </c>
      <c r="L27" s="9">
        <f t="shared" si="21"/>
        <v>4100</v>
      </c>
      <c r="M27" s="9">
        <f t="shared" si="21"/>
        <v>0</v>
      </c>
      <c r="N27" s="9">
        <f t="shared" si="21"/>
        <v>0</v>
      </c>
      <c r="O27" s="9">
        <f t="shared" si="21"/>
        <v>0</v>
      </c>
      <c r="P27" s="9">
        <f t="shared" si="21"/>
        <v>0</v>
      </c>
      <c r="Q27" s="9">
        <f t="shared" si="21"/>
        <v>0</v>
      </c>
      <c r="R27" s="9">
        <f t="shared" si="21"/>
        <v>0</v>
      </c>
      <c r="S27" s="9">
        <f t="shared" si="21"/>
        <v>-2818</v>
      </c>
      <c r="T27" s="462">
        <f t="shared" si="21"/>
        <v>0</v>
      </c>
      <c r="U27" s="9">
        <f t="shared" si="21"/>
        <v>0</v>
      </c>
      <c r="V27" s="9">
        <f t="shared" si="21"/>
        <v>0</v>
      </c>
      <c r="W27" s="9">
        <f t="shared" si="21"/>
        <v>0</v>
      </c>
      <c r="X27" s="9">
        <f t="shared" si="21"/>
        <v>0</v>
      </c>
      <c r="Y27" s="9">
        <f t="shared" si="21"/>
        <v>0</v>
      </c>
      <c r="Z27" s="9">
        <f t="shared" si="21"/>
        <v>0</v>
      </c>
      <c r="AA27" s="9">
        <f t="shared" si="21"/>
        <v>0</v>
      </c>
      <c r="AB27" s="9">
        <f t="shared" si="21"/>
        <v>0</v>
      </c>
      <c r="AC27" s="9">
        <f t="shared" si="21"/>
        <v>0</v>
      </c>
      <c r="AD27" s="9">
        <f t="shared" si="21"/>
        <v>0</v>
      </c>
      <c r="AE27" s="9">
        <f t="shared" si="21"/>
        <v>0</v>
      </c>
      <c r="AF27" s="9">
        <f t="shared" si="21"/>
        <v>106658</v>
      </c>
      <c r="AG27" s="9">
        <f t="shared" si="21"/>
        <v>132141</v>
      </c>
      <c r="AH27" s="9">
        <f t="shared" si="21"/>
        <v>25483</v>
      </c>
      <c r="AI27" s="9">
        <f t="shared" si="21"/>
        <v>1771</v>
      </c>
      <c r="AJ27" s="9">
        <f t="shared" si="21"/>
        <v>0</v>
      </c>
      <c r="AK27" s="9">
        <f t="shared" si="21"/>
        <v>23712</v>
      </c>
      <c r="AL27" s="9">
        <f t="shared" ref="AL27:BE27" si="22">SUM(AL28:AL34)</f>
        <v>0</v>
      </c>
      <c r="AM27" s="9">
        <f t="shared" si="22"/>
        <v>0</v>
      </c>
      <c r="AN27" s="462">
        <f t="shared" si="22"/>
        <v>0</v>
      </c>
      <c r="AO27" s="9">
        <f t="shared" si="22"/>
        <v>0</v>
      </c>
      <c r="AP27" s="131">
        <f t="shared" si="22"/>
        <v>0</v>
      </c>
      <c r="AQ27" s="131">
        <f t="shared" si="22"/>
        <v>0</v>
      </c>
      <c r="AR27" s="131">
        <f t="shared" si="22"/>
        <v>0</v>
      </c>
      <c r="AS27" s="131">
        <f t="shared" si="22"/>
        <v>0</v>
      </c>
      <c r="AT27" s="131">
        <f t="shared" si="22"/>
        <v>0</v>
      </c>
      <c r="AU27" s="131">
        <f t="shared" si="22"/>
        <v>0</v>
      </c>
      <c r="AV27" s="131">
        <f t="shared" si="22"/>
        <v>-28797</v>
      </c>
      <c r="AW27" s="131">
        <f t="shared" si="22"/>
        <v>-52509</v>
      </c>
      <c r="AX27" s="131">
        <f t="shared" si="22"/>
        <v>-23712</v>
      </c>
      <c r="AY27" s="131">
        <f t="shared" si="22"/>
        <v>0</v>
      </c>
      <c r="AZ27" s="131">
        <f t="shared" si="22"/>
        <v>0</v>
      </c>
      <c r="BA27" s="131">
        <f t="shared" si="22"/>
        <v>-23712</v>
      </c>
      <c r="BB27" s="131">
        <f t="shared" si="22"/>
        <v>0</v>
      </c>
      <c r="BC27" s="131">
        <f t="shared" si="22"/>
        <v>0</v>
      </c>
      <c r="BD27" s="131">
        <f t="shared" si="22"/>
        <v>0</v>
      </c>
      <c r="BE27" s="131">
        <f t="shared" si="22"/>
        <v>0</v>
      </c>
      <c r="BF27" s="17"/>
      <c r="BG27" s="118"/>
    </row>
    <row r="28" spans="1:59" ht="13.5" thickTop="1" x14ac:dyDescent="0.2">
      <c r="A28" s="232">
        <v>90000056357</v>
      </c>
      <c r="B28" s="219"/>
      <c r="C28" s="531" t="s">
        <v>5</v>
      </c>
      <c r="D28" s="532"/>
      <c r="E28" s="106" t="s">
        <v>209</v>
      </c>
      <c r="F28" s="107">
        <f t="shared" ref="F28:F33" si="23">H28+W28+AF28+AO28+AP28+AV28</f>
        <v>205829</v>
      </c>
      <c r="G28" s="107">
        <f t="shared" ref="G28:G33" si="24">I28+X28+AG28+AO28+AQ28+AW28</f>
        <v>209929</v>
      </c>
      <c r="H28" s="108">
        <v>205829</v>
      </c>
      <c r="I28" s="108">
        <f t="shared" ref="I28:I33" si="25">H28+J28</f>
        <v>209929</v>
      </c>
      <c r="J28" s="108">
        <f t="shared" ref="J28:J33" si="26">SUM(K28:V28)</f>
        <v>4100</v>
      </c>
      <c r="K28" s="108"/>
      <c r="L28" s="108">
        <v>4100</v>
      </c>
      <c r="M28" s="108"/>
      <c r="N28" s="108"/>
      <c r="O28" s="108"/>
      <c r="P28" s="108"/>
      <c r="Q28" s="108"/>
      <c r="R28" s="108"/>
      <c r="S28" s="108"/>
      <c r="T28" s="463"/>
      <c r="U28" s="108"/>
      <c r="V28" s="108"/>
      <c r="W28" s="108">
        <v>0</v>
      </c>
      <c r="X28" s="108">
        <f t="shared" ref="X28:X33" si="27">W28+Y28</f>
        <v>0</v>
      </c>
      <c r="Y28" s="108">
        <f t="shared" ref="Y28:Y33" si="28">SUM(Z28:AE28)</f>
        <v>0</v>
      </c>
      <c r="Z28" s="108"/>
      <c r="AA28" s="108"/>
      <c r="AB28" s="108"/>
      <c r="AC28" s="108"/>
      <c r="AD28" s="108"/>
      <c r="AE28" s="108"/>
      <c r="AF28" s="108">
        <v>0</v>
      </c>
      <c r="AG28" s="133">
        <f t="shared" ref="AG28:AG33" si="29">AH28+AF28</f>
        <v>0</v>
      </c>
      <c r="AH28" s="133">
        <f t="shared" ref="AH28:AH33" si="30">SUM(AI28:AN28)</f>
        <v>0</v>
      </c>
      <c r="AI28" s="133"/>
      <c r="AJ28" s="133"/>
      <c r="AK28" s="133"/>
      <c r="AL28" s="133"/>
      <c r="AM28" s="133"/>
      <c r="AN28" s="479"/>
      <c r="AO28" s="133"/>
      <c r="AP28" s="133">
        <v>0</v>
      </c>
      <c r="AQ28" s="133">
        <f t="shared" ref="AQ28:AQ33" si="31">AR28+AP28</f>
        <v>0</v>
      </c>
      <c r="AR28" s="133">
        <f t="shared" ref="AR28:AR33" si="32">SUM(AS28:AU28)</f>
        <v>0</v>
      </c>
      <c r="AS28" s="133"/>
      <c r="AT28" s="133"/>
      <c r="AU28" s="133"/>
      <c r="AV28" s="133"/>
      <c r="AW28" s="108">
        <f t="shared" ref="AW28:AW33" si="33">AX28+AV28</f>
        <v>0</v>
      </c>
      <c r="AX28" s="108">
        <f t="shared" ref="AX28:AX33" si="34">SUM(AY28:BE28)</f>
        <v>0</v>
      </c>
      <c r="AY28" s="108"/>
      <c r="AZ28" s="108"/>
      <c r="BA28" s="108"/>
      <c r="BB28" s="108"/>
      <c r="BC28" s="108"/>
      <c r="BD28" s="108"/>
      <c r="BE28" s="359"/>
      <c r="BF28" s="109" t="s">
        <v>420</v>
      </c>
      <c r="BG28" s="116"/>
    </row>
    <row r="29" spans="1:59" s="210" customFormat="1" ht="24" x14ac:dyDescent="0.2">
      <c r="A29" s="218"/>
      <c r="C29" s="214"/>
      <c r="D29" s="215"/>
      <c r="E29" s="106" t="s">
        <v>212</v>
      </c>
      <c r="F29" s="107">
        <f t="shared" si="23"/>
        <v>105911</v>
      </c>
      <c r="G29" s="107">
        <f t="shared" si="24"/>
        <v>103093</v>
      </c>
      <c r="H29" s="108">
        <v>43750</v>
      </c>
      <c r="I29" s="108">
        <f t="shared" si="25"/>
        <v>39270</v>
      </c>
      <c r="J29" s="108">
        <f t="shared" si="26"/>
        <v>-4480</v>
      </c>
      <c r="K29" s="108">
        <v>-1662</v>
      </c>
      <c r="L29" s="108"/>
      <c r="M29" s="108"/>
      <c r="N29" s="108"/>
      <c r="O29" s="108"/>
      <c r="P29" s="108"/>
      <c r="Q29" s="108"/>
      <c r="R29" s="108"/>
      <c r="S29" s="108">
        <v>-2818</v>
      </c>
      <c r="T29" s="463"/>
      <c r="U29" s="108"/>
      <c r="V29" s="108"/>
      <c r="W29" s="108">
        <v>0</v>
      </c>
      <c r="X29" s="108">
        <f t="shared" si="27"/>
        <v>0</v>
      </c>
      <c r="Y29" s="108">
        <f t="shared" si="28"/>
        <v>0</v>
      </c>
      <c r="Z29" s="108"/>
      <c r="AA29" s="108"/>
      <c r="AB29" s="108"/>
      <c r="AC29" s="108"/>
      <c r="AD29" s="108"/>
      <c r="AE29" s="108"/>
      <c r="AF29" s="108">
        <v>62161</v>
      </c>
      <c r="AG29" s="133">
        <f t="shared" si="29"/>
        <v>63823</v>
      </c>
      <c r="AH29" s="133">
        <f t="shared" si="30"/>
        <v>1662</v>
      </c>
      <c r="AI29" s="133">
        <v>1662</v>
      </c>
      <c r="AJ29" s="133"/>
      <c r="AK29" s="133"/>
      <c r="AL29" s="133"/>
      <c r="AM29" s="133"/>
      <c r="AN29" s="479"/>
      <c r="AO29" s="133"/>
      <c r="AP29" s="133">
        <v>0</v>
      </c>
      <c r="AQ29" s="133">
        <f t="shared" si="31"/>
        <v>0</v>
      </c>
      <c r="AR29" s="133">
        <f t="shared" si="32"/>
        <v>0</v>
      </c>
      <c r="AS29" s="133"/>
      <c r="AT29" s="133"/>
      <c r="AU29" s="133"/>
      <c r="AV29" s="133"/>
      <c r="AW29" s="108">
        <f t="shared" si="33"/>
        <v>0</v>
      </c>
      <c r="AX29" s="108">
        <f t="shared" si="34"/>
        <v>0</v>
      </c>
      <c r="AY29" s="108"/>
      <c r="AZ29" s="108"/>
      <c r="BA29" s="108"/>
      <c r="BB29" s="108"/>
      <c r="BC29" s="108"/>
      <c r="BD29" s="108"/>
      <c r="BE29" s="359"/>
      <c r="BF29" s="109" t="s">
        <v>421</v>
      </c>
      <c r="BG29" s="116"/>
    </row>
    <row r="30" spans="1:59" ht="24" x14ac:dyDescent="0.2">
      <c r="A30" s="167"/>
      <c r="B30" s="127"/>
      <c r="C30" s="206"/>
      <c r="D30" s="207"/>
      <c r="E30" s="106" t="s">
        <v>329</v>
      </c>
      <c r="F30" s="94">
        <f t="shared" si="23"/>
        <v>20050</v>
      </c>
      <c r="G30" s="94">
        <f t="shared" si="24"/>
        <v>20050</v>
      </c>
      <c r="H30" s="95">
        <v>20050</v>
      </c>
      <c r="I30" s="95">
        <f t="shared" si="25"/>
        <v>20050</v>
      </c>
      <c r="J30" s="95">
        <f t="shared" si="26"/>
        <v>0</v>
      </c>
      <c r="K30" s="95"/>
      <c r="L30" s="95"/>
      <c r="M30" s="95"/>
      <c r="N30" s="95"/>
      <c r="O30" s="95"/>
      <c r="P30" s="95"/>
      <c r="Q30" s="95"/>
      <c r="R30" s="95"/>
      <c r="S30" s="95"/>
      <c r="T30" s="464"/>
      <c r="U30" s="95"/>
      <c r="V30" s="95"/>
      <c r="W30" s="95">
        <v>0</v>
      </c>
      <c r="X30" s="95">
        <f t="shared" si="27"/>
        <v>0</v>
      </c>
      <c r="Y30" s="95">
        <f t="shared" si="28"/>
        <v>0</v>
      </c>
      <c r="Z30" s="95"/>
      <c r="AA30" s="95"/>
      <c r="AB30" s="95"/>
      <c r="AC30" s="95"/>
      <c r="AD30" s="95"/>
      <c r="AE30" s="95"/>
      <c r="AF30" s="95">
        <v>0</v>
      </c>
      <c r="AG30" s="132">
        <f t="shared" si="29"/>
        <v>0</v>
      </c>
      <c r="AH30" s="132">
        <f t="shared" si="30"/>
        <v>0</v>
      </c>
      <c r="AI30" s="132"/>
      <c r="AJ30" s="132"/>
      <c r="AK30" s="132"/>
      <c r="AL30" s="132"/>
      <c r="AM30" s="132"/>
      <c r="AN30" s="480"/>
      <c r="AO30" s="132"/>
      <c r="AP30" s="132">
        <v>0</v>
      </c>
      <c r="AQ30" s="132">
        <f t="shared" si="31"/>
        <v>0</v>
      </c>
      <c r="AR30" s="132">
        <f t="shared" si="32"/>
        <v>0</v>
      </c>
      <c r="AS30" s="132"/>
      <c r="AT30" s="132"/>
      <c r="AU30" s="132"/>
      <c r="AV30" s="132"/>
      <c r="AW30" s="95">
        <f t="shared" si="33"/>
        <v>0</v>
      </c>
      <c r="AX30" s="95">
        <f t="shared" si="34"/>
        <v>0</v>
      </c>
      <c r="AY30" s="95"/>
      <c r="AZ30" s="95"/>
      <c r="BA30" s="95"/>
      <c r="BB30" s="95"/>
      <c r="BC30" s="95"/>
      <c r="BD30" s="95"/>
      <c r="BE30" s="360"/>
      <c r="BF30" s="109" t="s">
        <v>422</v>
      </c>
      <c r="BG30" s="116" t="s">
        <v>591</v>
      </c>
    </row>
    <row r="31" spans="1:59" ht="12.75" x14ac:dyDescent="0.2">
      <c r="A31" s="167">
        <v>90000594245</v>
      </c>
      <c r="B31" s="127"/>
      <c r="C31" s="533" t="s">
        <v>23</v>
      </c>
      <c r="D31" s="534"/>
      <c r="E31" s="106" t="s">
        <v>213</v>
      </c>
      <c r="F31" s="107">
        <f t="shared" si="23"/>
        <v>143</v>
      </c>
      <c r="G31" s="107">
        <f t="shared" si="24"/>
        <v>143</v>
      </c>
      <c r="H31" s="108">
        <v>143</v>
      </c>
      <c r="I31" s="108">
        <f t="shared" si="25"/>
        <v>143</v>
      </c>
      <c r="J31" s="108">
        <f t="shared" si="26"/>
        <v>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463"/>
      <c r="U31" s="108"/>
      <c r="V31" s="108"/>
      <c r="W31" s="108">
        <v>0</v>
      </c>
      <c r="X31" s="108">
        <f t="shared" si="27"/>
        <v>0</v>
      </c>
      <c r="Y31" s="108">
        <f t="shared" si="28"/>
        <v>0</v>
      </c>
      <c r="Z31" s="108"/>
      <c r="AA31" s="108"/>
      <c r="AB31" s="108"/>
      <c r="AC31" s="108"/>
      <c r="AD31" s="108"/>
      <c r="AE31" s="108"/>
      <c r="AF31" s="108">
        <v>0</v>
      </c>
      <c r="AG31" s="133">
        <f t="shared" si="29"/>
        <v>0</v>
      </c>
      <c r="AH31" s="133">
        <f t="shared" si="30"/>
        <v>0</v>
      </c>
      <c r="AI31" s="133"/>
      <c r="AJ31" s="133"/>
      <c r="AK31" s="133"/>
      <c r="AL31" s="133"/>
      <c r="AM31" s="133"/>
      <c r="AN31" s="479"/>
      <c r="AO31" s="133"/>
      <c r="AP31" s="133">
        <v>0</v>
      </c>
      <c r="AQ31" s="133">
        <f t="shared" si="31"/>
        <v>0</v>
      </c>
      <c r="AR31" s="133">
        <f t="shared" si="32"/>
        <v>0</v>
      </c>
      <c r="AS31" s="133"/>
      <c r="AT31" s="133"/>
      <c r="AU31" s="133"/>
      <c r="AV31" s="133"/>
      <c r="AW31" s="108">
        <f t="shared" si="33"/>
        <v>0</v>
      </c>
      <c r="AX31" s="108">
        <f t="shared" si="34"/>
        <v>0</v>
      </c>
      <c r="AY31" s="108"/>
      <c r="AZ31" s="108"/>
      <c r="BA31" s="108"/>
      <c r="BB31" s="108"/>
      <c r="BC31" s="108"/>
      <c r="BD31" s="108"/>
      <c r="BE31" s="359"/>
      <c r="BF31" s="109" t="s">
        <v>469</v>
      </c>
      <c r="BG31" s="116" t="s">
        <v>611</v>
      </c>
    </row>
    <row r="32" spans="1:59" ht="36" x14ac:dyDescent="0.2">
      <c r="A32" s="167">
        <v>90000056554</v>
      </c>
      <c r="B32" s="127"/>
      <c r="C32" s="533" t="s">
        <v>624</v>
      </c>
      <c r="D32" s="534"/>
      <c r="E32" s="106" t="s">
        <v>291</v>
      </c>
      <c r="F32" s="107">
        <f t="shared" si="23"/>
        <v>1634418</v>
      </c>
      <c r="G32" s="107">
        <f t="shared" si="24"/>
        <v>1634418</v>
      </c>
      <c r="H32" s="108">
        <v>1618718</v>
      </c>
      <c r="I32" s="108">
        <f t="shared" si="25"/>
        <v>1618609</v>
      </c>
      <c r="J32" s="108">
        <f t="shared" si="26"/>
        <v>-109</v>
      </c>
      <c r="K32" s="108">
        <v>-109</v>
      </c>
      <c r="L32" s="108"/>
      <c r="M32" s="108"/>
      <c r="N32" s="108"/>
      <c r="O32" s="108"/>
      <c r="P32" s="108"/>
      <c r="Q32" s="108"/>
      <c r="R32" s="108"/>
      <c r="S32" s="108"/>
      <c r="T32" s="463"/>
      <c r="U32" s="108"/>
      <c r="V32" s="108"/>
      <c r="W32" s="108">
        <v>0</v>
      </c>
      <c r="X32" s="108">
        <f t="shared" si="27"/>
        <v>0</v>
      </c>
      <c r="Y32" s="108">
        <f t="shared" si="28"/>
        <v>0</v>
      </c>
      <c r="Z32" s="108"/>
      <c r="AA32" s="108"/>
      <c r="AB32" s="108"/>
      <c r="AC32" s="108"/>
      <c r="AD32" s="108"/>
      <c r="AE32" s="108"/>
      <c r="AF32" s="108">
        <v>44497</v>
      </c>
      <c r="AG32" s="133">
        <f t="shared" si="29"/>
        <v>68318</v>
      </c>
      <c r="AH32" s="133">
        <f t="shared" si="30"/>
        <v>23821</v>
      </c>
      <c r="AI32" s="133">
        <v>109</v>
      </c>
      <c r="AJ32" s="133"/>
      <c r="AK32" s="133">
        <v>23712</v>
      </c>
      <c r="AL32" s="133"/>
      <c r="AM32" s="133"/>
      <c r="AN32" s="479"/>
      <c r="AO32" s="133"/>
      <c r="AP32" s="133">
        <v>0</v>
      </c>
      <c r="AQ32" s="133">
        <f t="shared" si="31"/>
        <v>0</v>
      </c>
      <c r="AR32" s="133">
        <f t="shared" si="32"/>
        <v>0</v>
      </c>
      <c r="AS32" s="133"/>
      <c r="AT32" s="133"/>
      <c r="AU32" s="133"/>
      <c r="AV32" s="133">
        <v>-28797</v>
      </c>
      <c r="AW32" s="108">
        <f t="shared" si="33"/>
        <v>-52509</v>
      </c>
      <c r="AX32" s="108">
        <f t="shared" si="34"/>
        <v>-23712</v>
      </c>
      <c r="AY32" s="108"/>
      <c r="AZ32" s="108"/>
      <c r="BA32" s="108">
        <v>-23712</v>
      </c>
      <c r="BB32" s="108"/>
      <c r="BC32" s="108"/>
      <c r="BD32" s="108"/>
      <c r="BE32" s="359"/>
      <c r="BF32" s="109" t="s">
        <v>470</v>
      </c>
      <c r="BG32" s="116"/>
    </row>
    <row r="33" spans="1:59" ht="48" x14ac:dyDescent="0.2">
      <c r="A33" s="167"/>
      <c r="B33" s="127"/>
      <c r="C33" s="533" t="s">
        <v>185</v>
      </c>
      <c r="D33" s="534"/>
      <c r="E33" s="198" t="s">
        <v>259</v>
      </c>
      <c r="F33" s="107">
        <f t="shared" si="23"/>
        <v>30000</v>
      </c>
      <c r="G33" s="107">
        <f t="shared" si="24"/>
        <v>30000</v>
      </c>
      <c r="H33" s="108">
        <v>30000</v>
      </c>
      <c r="I33" s="108">
        <f t="shared" si="25"/>
        <v>30000</v>
      </c>
      <c r="J33" s="108">
        <f t="shared" si="26"/>
        <v>0</v>
      </c>
      <c r="K33" s="108"/>
      <c r="L33" s="108"/>
      <c r="M33" s="108"/>
      <c r="N33" s="108"/>
      <c r="O33" s="108"/>
      <c r="P33" s="108"/>
      <c r="Q33" s="108"/>
      <c r="R33" s="108"/>
      <c r="S33" s="108"/>
      <c r="T33" s="463"/>
      <c r="U33" s="108"/>
      <c r="V33" s="108"/>
      <c r="W33" s="108">
        <v>0</v>
      </c>
      <c r="X33" s="108">
        <f t="shared" si="27"/>
        <v>0</v>
      </c>
      <c r="Y33" s="108">
        <f t="shared" si="28"/>
        <v>0</v>
      </c>
      <c r="Z33" s="108"/>
      <c r="AA33" s="108"/>
      <c r="AB33" s="108"/>
      <c r="AC33" s="108"/>
      <c r="AD33" s="108"/>
      <c r="AE33" s="108"/>
      <c r="AF33" s="108">
        <v>0</v>
      </c>
      <c r="AG33" s="133">
        <f t="shared" si="29"/>
        <v>0</v>
      </c>
      <c r="AH33" s="133">
        <f t="shared" si="30"/>
        <v>0</v>
      </c>
      <c r="AI33" s="133"/>
      <c r="AJ33" s="133"/>
      <c r="AK33" s="133"/>
      <c r="AL33" s="133"/>
      <c r="AM33" s="133"/>
      <c r="AN33" s="479"/>
      <c r="AO33" s="133"/>
      <c r="AP33" s="133">
        <v>0</v>
      </c>
      <c r="AQ33" s="133">
        <f t="shared" si="31"/>
        <v>0</v>
      </c>
      <c r="AR33" s="133">
        <f t="shared" si="32"/>
        <v>0</v>
      </c>
      <c r="AS33" s="133"/>
      <c r="AT33" s="133"/>
      <c r="AU33" s="133"/>
      <c r="AV33" s="133"/>
      <c r="AW33" s="108">
        <f t="shared" si="33"/>
        <v>0</v>
      </c>
      <c r="AX33" s="108">
        <f t="shared" si="34"/>
        <v>0</v>
      </c>
      <c r="AY33" s="108"/>
      <c r="AZ33" s="108"/>
      <c r="BA33" s="108"/>
      <c r="BB33" s="108"/>
      <c r="BC33" s="108"/>
      <c r="BD33" s="108"/>
      <c r="BE33" s="359"/>
      <c r="BF33" s="109" t="s">
        <v>423</v>
      </c>
      <c r="BG33" s="116"/>
    </row>
    <row r="34" spans="1:59" ht="12.75" thickBot="1" x14ac:dyDescent="0.25">
      <c r="A34" s="167"/>
      <c r="B34" s="145"/>
      <c r="C34" s="540"/>
      <c r="D34" s="541"/>
      <c r="E34" s="163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464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132"/>
      <c r="AH34" s="132"/>
      <c r="AI34" s="132"/>
      <c r="AJ34" s="132"/>
      <c r="AK34" s="132"/>
      <c r="AL34" s="132"/>
      <c r="AM34" s="132"/>
      <c r="AN34" s="480"/>
      <c r="AO34" s="132"/>
      <c r="AP34" s="132"/>
      <c r="AQ34" s="132"/>
      <c r="AR34" s="132"/>
      <c r="AS34" s="132"/>
      <c r="AT34" s="132"/>
      <c r="AU34" s="132"/>
      <c r="AV34" s="132"/>
      <c r="AW34" s="95"/>
      <c r="AX34" s="95"/>
      <c r="AY34" s="95"/>
      <c r="AZ34" s="95"/>
      <c r="BA34" s="95"/>
      <c r="BB34" s="95"/>
      <c r="BC34" s="95"/>
      <c r="BD34" s="95"/>
      <c r="BE34" s="360"/>
      <c r="BF34" s="96"/>
      <c r="BG34" s="117"/>
    </row>
    <row r="35" spans="1:59" ht="12.75" thickBot="1" x14ac:dyDescent="0.25">
      <c r="A35" s="220"/>
      <c r="B35" s="536" t="s">
        <v>7</v>
      </c>
      <c r="C35" s="536"/>
      <c r="D35" s="217" t="s">
        <v>8</v>
      </c>
      <c r="E35" s="15"/>
      <c r="F35" s="9">
        <f t="shared" ref="F35:AK35" si="35">SUM(F36:F66)</f>
        <v>17171074</v>
      </c>
      <c r="G35" s="9">
        <f t="shared" si="35"/>
        <v>16889495</v>
      </c>
      <c r="H35" s="9">
        <f t="shared" si="35"/>
        <v>15375010</v>
      </c>
      <c r="I35" s="9">
        <f t="shared" si="35"/>
        <v>15288360</v>
      </c>
      <c r="J35" s="9">
        <f t="shared" si="35"/>
        <v>-86650</v>
      </c>
      <c r="K35" s="9">
        <f t="shared" si="35"/>
        <v>29712</v>
      </c>
      <c r="L35" s="9">
        <f t="shared" si="35"/>
        <v>0</v>
      </c>
      <c r="M35" s="9">
        <f t="shared" si="35"/>
        <v>19772</v>
      </c>
      <c r="N35" s="9">
        <f t="shared" si="35"/>
        <v>-18167</v>
      </c>
      <c r="O35" s="9">
        <f t="shared" si="35"/>
        <v>-47957</v>
      </c>
      <c r="P35" s="9">
        <f t="shared" si="35"/>
        <v>15024</v>
      </c>
      <c r="Q35" s="9">
        <f>SUM(Q36:Q66)</f>
        <v>3387</v>
      </c>
      <c r="R35" s="9">
        <f t="shared" si="35"/>
        <v>-11460</v>
      </c>
      <c r="S35" s="9">
        <f t="shared" si="35"/>
        <v>-76961</v>
      </c>
      <c r="T35" s="462">
        <f t="shared" si="35"/>
        <v>0</v>
      </c>
      <c r="U35" s="9">
        <f t="shared" si="35"/>
        <v>0</v>
      </c>
      <c r="V35" s="9">
        <f t="shared" si="35"/>
        <v>0</v>
      </c>
      <c r="W35" s="9">
        <f t="shared" si="35"/>
        <v>1527681</v>
      </c>
      <c r="X35" s="9">
        <f t="shared" si="35"/>
        <v>1533151</v>
      </c>
      <c r="Y35" s="9">
        <f t="shared" si="35"/>
        <v>5470</v>
      </c>
      <c r="Z35" s="9">
        <f t="shared" si="35"/>
        <v>5470</v>
      </c>
      <c r="AA35" s="9">
        <f t="shared" si="35"/>
        <v>0</v>
      </c>
      <c r="AB35" s="9">
        <f t="shared" si="35"/>
        <v>0</v>
      </c>
      <c r="AC35" s="9">
        <f t="shared" si="35"/>
        <v>0</v>
      </c>
      <c r="AD35" s="9">
        <f t="shared" si="35"/>
        <v>0</v>
      </c>
      <c r="AE35" s="9">
        <f t="shared" si="35"/>
        <v>0</v>
      </c>
      <c r="AF35" s="9">
        <f t="shared" si="35"/>
        <v>10380</v>
      </c>
      <c r="AG35" s="9">
        <f t="shared" si="35"/>
        <v>12129</v>
      </c>
      <c r="AH35" s="9">
        <f t="shared" si="35"/>
        <v>1749</v>
      </c>
      <c r="AI35" s="9">
        <f t="shared" si="35"/>
        <v>335</v>
      </c>
      <c r="AJ35" s="9">
        <f t="shared" si="35"/>
        <v>0</v>
      </c>
      <c r="AK35" s="9">
        <f t="shared" si="35"/>
        <v>0</v>
      </c>
      <c r="AL35" s="9">
        <f t="shared" ref="AL35:BE35" si="36">SUM(AL36:AL66)</f>
        <v>0</v>
      </c>
      <c r="AM35" s="9">
        <f t="shared" si="36"/>
        <v>1414</v>
      </c>
      <c r="AN35" s="462">
        <f t="shared" si="36"/>
        <v>0</v>
      </c>
      <c r="AO35" s="9">
        <f t="shared" si="36"/>
        <v>1652764</v>
      </c>
      <c r="AP35" s="131">
        <f t="shared" si="36"/>
        <v>0</v>
      </c>
      <c r="AQ35" s="131">
        <f t="shared" si="36"/>
        <v>0</v>
      </c>
      <c r="AR35" s="131">
        <f t="shared" si="36"/>
        <v>0</v>
      </c>
      <c r="AS35" s="131">
        <f t="shared" si="36"/>
        <v>0</v>
      </c>
      <c r="AT35" s="131">
        <f t="shared" si="36"/>
        <v>0</v>
      </c>
      <c r="AU35" s="131">
        <f t="shared" si="36"/>
        <v>0</v>
      </c>
      <c r="AV35" s="131">
        <f t="shared" si="36"/>
        <v>-1394761</v>
      </c>
      <c r="AW35" s="131">
        <f t="shared" si="36"/>
        <v>-1596909</v>
      </c>
      <c r="AX35" s="131">
        <f t="shared" si="36"/>
        <v>-202148</v>
      </c>
      <c r="AY35" s="131">
        <f t="shared" si="36"/>
        <v>-204846</v>
      </c>
      <c r="AZ35" s="131">
        <f t="shared" si="36"/>
        <v>0</v>
      </c>
      <c r="BA35" s="131">
        <f t="shared" si="36"/>
        <v>0</v>
      </c>
      <c r="BB35" s="131">
        <f t="shared" si="36"/>
        <v>2698</v>
      </c>
      <c r="BC35" s="131">
        <f t="shared" ref="BC35" si="37">SUM(BC36:BC66)</f>
        <v>0</v>
      </c>
      <c r="BD35" s="131">
        <f t="shared" si="36"/>
        <v>0</v>
      </c>
      <c r="BE35" s="131">
        <f t="shared" si="36"/>
        <v>0</v>
      </c>
      <c r="BF35" s="17"/>
      <c r="BG35" s="118"/>
    </row>
    <row r="36" spans="1:59" ht="24.75" thickTop="1" x14ac:dyDescent="0.2">
      <c r="A36" s="167">
        <v>90000056357</v>
      </c>
      <c r="B36" s="219"/>
      <c r="C36" s="531" t="s">
        <v>5</v>
      </c>
      <c r="D36" s="532"/>
      <c r="E36" s="106" t="s">
        <v>209</v>
      </c>
      <c r="F36" s="107">
        <f t="shared" ref="F36:F64" si="38">H36+W36+AF36+AO36+AP36+AV36</f>
        <v>4251213</v>
      </c>
      <c r="G36" s="107">
        <f t="shared" ref="G36:G64" si="39">I36+X36+AG36+AO36+AQ36+AW36</f>
        <v>4189553</v>
      </c>
      <c r="H36" s="108">
        <v>4251213</v>
      </c>
      <c r="I36" s="108">
        <f t="shared" ref="I36:I64" si="40">H36+J36</f>
        <v>4189553</v>
      </c>
      <c r="J36" s="108">
        <f t="shared" ref="J36:J64" si="41">SUM(K36:V36)</f>
        <v>-61660</v>
      </c>
      <c r="K36" s="108"/>
      <c r="L36" s="108"/>
      <c r="M36" s="108"/>
      <c r="N36" s="108"/>
      <c r="O36" s="108"/>
      <c r="P36" s="108"/>
      <c r="Q36" s="108">
        <f>3000-60</f>
        <v>2940</v>
      </c>
      <c r="R36" s="108">
        <v>-600</v>
      </c>
      <c r="S36" s="108">
        <v>-64000</v>
      </c>
      <c r="T36" s="463"/>
      <c r="U36" s="108"/>
      <c r="V36" s="108"/>
      <c r="W36" s="108">
        <v>0</v>
      </c>
      <c r="X36" s="108">
        <f t="shared" ref="X36:X56" si="42">W36+Y36</f>
        <v>0</v>
      </c>
      <c r="Y36" s="108">
        <f t="shared" ref="Y36:Y56" si="43">SUM(Z36:AE36)</f>
        <v>0</v>
      </c>
      <c r="Z36" s="108"/>
      <c r="AA36" s="108"/>
      <c r="AB36" s="108"/>
      <c r="AC36" s="108"/>
      <c r="AD36" s="108"/>
      <c r="AE36" s="108"/>
      <c r="AF36" s="108">
        <v>0</v>
      </c>
      <c r="AG36" s="133">
        <f t="shared" ref="AG36:AG56" si="44">AH36+AF36</f>
        <v>0</v>
      </c>
      <c r="AH36" s="133">
        <f t="shared" ref="AH36:AH56" si="45">SUM(AI36:AN36)</f>
        <v>0</v>
      </c>
      <c r="AI36" s="133"/>
      <c r="AJ36" s="133"/>
      <c r="AK36" s="133"/>
      <c r="AL36" s="133"/>
      <c r="AM36" s="133"/>
      <c r="AN36" s="479"/>
      <c r="AO36" s="133"/>
      <c r="AP36" s="133">
        <v>0</v>
      </c>
      <c r="AQ36" s="133">
        <f t="shared" ref="AQ36:AQ56" si="46">AR36+AP36</f>
        <v>0</v>
      </c>
      <c r="AR36" s="133">
        <f t="shared" ref="AR36:AR56" si="47">SUM(AS36:AU36)</f>
        <v>0</v>
      </c>
      <c r="AS36" s="133"/>
      <c r="AT36" s="133"/>
      <c r="AU36" s="133"/>
      <c r="AV36" s="133"/>
      <c r="AW36" s="108">
        <f t="shared" ref="AW36:AW64" si="48">AX36+AV36</f>
        <v>0</v>
      </c>
      <c r="AX36" s="108">
        <f t="shared" ref="AX36:AX56" si="49">SUM(AY36:BE36)</f>
        <v>0</v>
      </c>
      <c r="AY36" s="108"/>
      <c r="AZ36" s="108"/>
      <c r="BA36" s="108"/>
      <c r="BB36" s="108"/>
      <c r="BC36" s="108"/>
      <c r="BD36" s="108"/>
      <c r="BE36" s="359"/>
      <c r="BF36" s="109" t="s">
        <v>424</v>
      </c>
      <c r="BG36" s="116"/>
    </row>
    <row r="37" spans="1:59" s="210" customFormat="1" ht="12.75" x14ac:dyDescent="0.2">
      <c r="A37" s="167"/>
      <c r="B37" s="129"/>
      <c r="C37" s="156"/>
      <c r="D37" s="157"/>
      <c r="E37" s="106" t="s">
        <v>327</v>
      </c>
      <c r="F37" s="107">
        <f t="shared" si="38"/>
        <v>736018</v>
      </c>
      <c r="G37" s="107">
        <f t="shared" si="39"/>
        <v>738018</v>
      </c>
      <c r="H37" s="108">
        <v>736018</v>
      </c>
      <c r="I37" s="108">
        <f t="shared" si="40"/>
        <v>738018</v>
      </c>
      <c r="J37" s="108">
        <f t="shared" si="41"/>
        <v>2000</v>
      </c>
      <c r="K37" s="108"/>
      <c r="L37" s="108"/>
      <c r="M37" s="108"/>
      <c r="N37" s="108"/>
      <c r="O37" s="108"/>
      <c r="P37" s="108"/>
      <c r="Q37" s="108">
        <v>2000</v>
      </c>
      <c r="R37" s="108"/>
      <c r="S37" s="108"/>
      <c r="T37" s="463"/>
      <c r="U37" s="108"/>
      <c r="V37" s="108"/>
      <c r="W37" s="108">
        <v>0</v>
      </c>
      <c r="X37" s="108">
        <f t="shared" si="42"/>
        <v>0</v>
      </c>
      <c r="Y37" s="108">
        <f t="shared" si="43"/>
        <v>0</v>
      </c>
      <c r="Z37" s="108"/>
      <c r="AA37" s="108"/>
      <c r="AB37" s="108"/>
      <c r="AC37" s="108"/>
      <c r="AD37" s="108"/>
      <c r="AE37" s="108"/>
      <c r="AF37" s="108">
        <v>0</v>
      </c>
      <c r="AG37" s="133">
        <f t="shared" si="44"/>
        <v>0</v>
      </c>
      <c r="AH37" s="133">
        <f t="shared" si="45"/>
        <v>0</v>
      </c>
      <c r="AI37" s="133"/>
      <c r="AJ37" s="133"/>
      <c r="AK37" s="133"/>
      <c r="AL37" s="133"/>
      <c r="AM37" s="133"/>
      <c r="AN37" s="479"/>
      <c r="AO37" s="133"/>
      <c r="AP37" s="133">
        <v>0</v>
      </c>
      <c r="AQ37" s="136">
        <f t="shared" si="46"/>
        <v>0</v>
      </c>
      <c r="AR37" s="136">
        <f t="shared" si="47"/>
        <v>0</v>
      </c>
      <c r="AS37" s="136"/>
      <c r="AT37" s="136"/>
      <c r="AU37" s="136"/>
      <c r="AV37" s="136"/>
      <c r="AW37" s="124">
        <f t="shared" si="48"/>
        <v>0</v>
      </c>
      <c r="AX37" s="124">
        <f t="shared" si="49"/>
        <v>0</v>
      </c>
      <c r="AY37" s="124"/>
      <c r="AZ37" s="124"/>
      <c r="BA37" s="124"/>
      <c r="BB37" s="124"/>
      <c r="BC37" s="124"/>
      <c r="BD37" s="124"/>
      <c r="BE37" s="361"/>
      <c r="BF37" s="271" t="s">
        <v>425</v>
      </c>
      <c r="BG37" s="116"/>
    </row>
    <row r="38" spans="1:59" s="268" customFormat="1" ht="24" x14ac:dyDescent="0.2">
      <c r="A38" s="167"/>
      <c r="B38" s="127"/>
      <c r="C38" s="208"/>
      <c r="D38" s="209"/>
      <c r="E38" s="106" t="s">
        <v>326</v>
      </c>
      <c r="F38" s="107">
        <f t="shared" si="38"/>
        <v>23823</v>
      </c>
      <c r="G38" s="107">
        <f t="shared" si="39"/>
        <v>28823</v>
      </c>
      <c r="H38" s="108">
        <v>18223</v>
      </c>
      <c r="I38" s="108">
        <f t="shared" si="40"/>
        <v>22888</v>
      </c>
      <c r="J38" s="108">
        <f t="shared" si="41"/>
        <v>4665</v>
      </c>
      <c r="K38" s="108">
        <v>-335</v>
      </c>
      <c r="L38" s="108"/>
      <c r="M38" s="108"/>
      <c r="N38" s="108"/>
      <c r="O38" s="108"/>
      <c r="P38" s="108"/>
      <c r="Q38" s="108"/>
      <c r="R38" s="108"/>
      <c r="S38" s="108">
        <v>5000</v>
      </c>
      <c r="T38" s="463"/>
      <c r="U38" s="108"/>
      <c r="V38" s="108"/>
      <c r="W38" s="108">
        <v>0</v>
      </c>
      <c r="X38" s="108">
        <f t="shared" si="42"/>
        <v>0</v>
      </c>
      <c r="Y38" s="108">
        <f t="shared" si="43"/>
        <v>0</v>
      </c>
      <c r="Z38" s="108"/>
      <c r="AA38" s="108"/>
      <c r="AB38" s="108"/>
      <c r="AC38" s="108"/>
      <c r="AD38" s="108"/>
      <c r="AE38" s="108"/>
      <c r="AF38" s="108">
        <v>5600</v>
      </c>
      <c r="AG38" s="133">
        <f t="shared" si="44"/>
        <v>5935</v>
      </c>
      <c r="AH38" s="133">
        <f t="shared" si="45"/>
        <v>335</v>
      </c>
      <c r="AI38" s="133">
        <v>335</v>
      </c>
      <c r="AJ38" s="133"/>
      <c r="AK38" s="133"/>
      <c r="AL38" s="133"/>
      <c r="AM38" s="133"/>
      <c r="AN38" s="479"/>
      <c r="AO38" s="133"/>
      <c r="AP38" s="133">
        <v>0</v>
      </c>
      <c r="AQ38" s="136">
        <f t="shared" si="46"/>
        <v>0</v>
      </c>
      <c r="AR38" s="136">
        <f t="shared" si="47"/>
        <v>0</v>
      </c>
      <c r="AS38" s="136"/>
      <c r="AT38" s="136"/>
      <c r="AU38" s="136"/>
      <c r="AV38" s="136"/>
      <c r="AW38" s="124">
        <f t="shared" si="48"/>
        <v>0</v>
      </c>
      <c r="AX38" s="124">
        <f t="shared" si="49"/>
        <v>0</v>
      </c>
      <c r="AY38" s="124"/>
      <c r="AZ38" s="124"/>
      <c r="BA38" s="124"/>
      <c r="BB38" s="124"/>
      <c r="BC38" s="124"/>
      <c r="BD38" s="124"/>
      <c r="BE38" s="361"/>
      <c r="BF38" s="271" t="s">
        <v>426</v>
      </c>
      <c r="BG38" s="116"/>
    </row>
    <row r="39" spans="1:59" s="210" customFormat="1" ht="12.75" x14ac:dyDescent="0.2">
      <c r="A39" s="167"/>
      <c r="B39" s="129"/>
      <c r="C39" s="156"/>
      <c r="D39" s="157"/>
      <c r="E39" s="106" t="s">
        <v>341</v>
      </c>
      <c r="F39" s="125">
        <f t="shared" si="38"/>
        <v>2500</v>
      </c>
      <c r="G39" s="125">
        <f t="shared" si="39"/>
        <v>2500</v>
      </c>
      <c r="H39" s="124">
        <v>2500</v>
      </c>
      <c r="I39" s="124">
        <f t="shared" si="40"/>
        <v>2500</v>
      </c>
      <c r="J39" s="124">
        <f t="shared" si="41"/>
        <v>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465"/>
      <c r="U39" s="124"/>
      <c r="V39" s="124"/>
      <c r="W39" s="124">
        <v>0</v>
      </c>
      <c r="X39" s="124">
        <f t="shared" si="42"/>
        <v>0</v>
      </c>
      <c r="Y39" s="124">
        <f t="shared" si="43"/>
        <v>0</v>
      </c>
      <c r="Z39" s="124"/>
      <c r="AA39" s="124"/>
      <c r="AB39" s="124"/>
      <c r="AC39" s="124"/>
      <c r="AD39" s="124"/>
      <c r="AE39" s="124"/>
      <c r="AF39" s="124">
        <v>0</v>
      </c>
      <c r="AG39" s="136">
        <f t="shared" si="44"/>
        <v>0</v>
      </c>
      <c r="AH39" s="136">
        <f t="shared" si="45"/>
        <v>0</v>
      </c>
      <c r="AI39" s="136"/>
      <c r="AJ39" s="136"/>
      <c r="AK39" s="136"/>
      <c r="AL39" s="136"/>
      <c r="AM39" s="136"/>
      <c r="AN39" s="481"/>
      <c r="AO39" s="136"/>
      <c r="AP39" s="136">
        <v>0</v>
      </c>
      <c r="AQ39" s="136">
        <f t="shared" si="46"/>
        <v>0</v>
      </c>
      <c r="AR39" s="136">
        <f t="shared" si="47"/>
        <v>0</v>
      </c>
      <c r="AS39" s="136"/>
      <c r="AT39" s="136"/>
      <c r="AU39" s="136"/>
      <c r="AV39" s="136"/>
      <c r="AW39" s="124">
        <f t="shared" si="48"/>
        <v>0</v>
      </c>
      <c r="AX39" s="124">
        <f t="shared" si="49"/>
        <v>0</v>
      </c>
      <c r="AY39" s="124"/>
      <c r="AZ39" s="124"/>
      <c r="BA39" s="124"/>
      <c r="BB39" s="124"/>
      <c r="BC39" s="124"/>
      <c r="BD39" s="124"/>
      <c r="BE39" s="361"/>
      <c r="BF39" s="271" t="s">
        <v>427</v>
      </c>
      <c r="BG39" s="116" t="s">
        <v>593</v>
      </c>
    </row>
    <row r="40" spans="1:59" s="210" customFormat="1" ht="36" x14ac:dyDescent="0.2">
      <c r="A40" s="167"/>
      <c r="B40" s="129"/>
      <c r="C40" s="156"/>
      <c r="D40" s="157"/>
      <c r="E40" s="106" t="s">
        <v>339</v>
      </c>
      <c r="F40" s="125">
        <f t="shared" si="38"/>
        <v>141950</v>
      </c>
      <c r="G40" s="125">
        <f t="shared" si="39"/>
        <v>101950</v>
      </c>
      <c r="H40" s="124">
        <v>141950</v>
      </c>
      <c r="I40" s="124">
        <f t="shared" si="40"/>
        <v>101950</v>
      </c>
      <c r="J40" s="124">
        <f t="shared" si="41"/>
        <v>-40000</v>
      </c>
      <c r="K40" s="124">
        <v>-40000</v>
      </c>
      <c r="L40" s="124"/>
      <c r="M40" s="124"/>
      <c r="N40" s="124"/>
      <c r="O40" s="124"/>
      <c r="P40" s="124"/>
      <c r="Q40" s="124"/>
      <c r="R40" s="124"/>
      <c r="S40" s="124"/>
      <c r="T40" s="465"/>
      <c r="U40" s="124"/>
      <c r="V40" s="124"/>
      <c r="W40" s="124">
        <v>0</v>
      </c>
      <c r="X40" s="124">
        <f t="shared" si="42"/>
        <v>0</v>
      </c>
      <c r="Y40" s="124">
        <f t="shared" si="43"/>
        <v>0</v>
      </c>
      <c r="Z40" s="124"/>
      <c r="AA40" s="124"/>
      <c r="AB40" s="124"/>
      <c r="AC40" s="124"/>
      <c r="AD40" s="124"/>
      <c r="AE40" s="124"/>
      <c r="AF40" s="124">
        <v>0</v>
      </c>
      <c r="AG40" s="136">
        <f t="shared" si="44"/>
        <v>0</v>
      </c>
      <c r="AH40" s="136">
        <f t="shared" si="45"/>
        <v>0</v>
      </c>
      <c r="AI40" s="136"/>
      <c r="AJ40" s="136"/>
      <c r="AK40" s="136"/>
      <c r="AL40" s="136"/>
      <c r="AM40" s="136"/>
      <c r="AN40" s="481"/>
      <c r="AO40" s="136"/>
      <c r="AP40" s="136">
        <v>0</v>
      </c>
      <c r="AQ40" s="136">
        <f t="shared" si="46"/>
        <v>0</v>
      </c>
      <c r="AR40" s="136">
        <f t="shared" si="47"/>
        <v>0</v>
      </c>
      <c r="AS40" s="136"/>
      <c r="AT40" s="136"/>
      <c r="AU40" s="136"/>
      <c r="AV40" s="136"/>
      <c r="AW40" s="124">
        <f t="shared" si="48"/>
        <v>0</v>
      </c>
      <c r="AX40" s="124">
        <f t="shared" si="49"/>
        <v>0</v>
      </c>
      <c r="AY40" s="124"/>
      <c r="AZ40" s="124"/>
      <c r="BA40" s="124"/>
      <c r="BB40" s="124"/>
      <c r="BC40" s="124"/>
      <c r="BD40" s="124"/>
      <c r="BE40" s="361"/>
      <c r="BF40" s="271" t="s">
        <v>428</v>
      </c>
      <c r="BG40" s="117" t="s">
        <v>596</v>
      </c>
    </row>
    <row r="41" spans="1:59" ht="24" x14ac:dyDescent="0.2">
      <c r="A41" s="167"/>
      <c r="B41" s="127"/>
      <c r="C41" s="161"/>
      <c r="D41" s="162"/>
      <c r="E41" s="106" t="s">
        <v>248</v>
      </c>
      <c r="F41" s="107">
        <f t="shared" si="38"/>
        <v>1696625</v>
      </c>
      <c r="G41" s="107">
        <f t="shared" si="39"/>
        <v>1702095</v>
      </c>
      <c r="H41" s="108">
        <v>1589425</v>
      </c>
      <c r="I41" s="108">
        <f t="shared" si="40"/>
        <v>1589425</v>
      </c>
      <c r="J41" s="108">
        <f t="shared" si="41"/>
        <v>0</v>
      </c>
      <c r="K41" s="108"/>
      <c r="L41" s="108"/>
      <c r="M41" s="108"/>
      <c r="N41" s="108"/>
      <c r="O41" s="108"/>
      <c r="P41" s="108"/>
      <c r="Q41" s="108"/>
      <c r="R41" s="108"/>
      <c r="S41" s="108"/>
      <c r="T41" s="463"/>
      <c r="U41" s="108"/>
      <c r="V41" s="108"/>
      <c r="W41" s="108">
        <v>107200</v>
      </c>
      <c r="X41" s="108">
        <f t="shared" si="42"/>
        <v>112670</v>
      </c>
      <c r="Y41" s="108">
        <f t="shared" si="43"/>
        <v>5470</v>
      </c>
      <c r="Z41" s="108">
        <v>5470</v>
      </c>
      <c r="AA41" s="108"/>
      <c r="AB41" s="108"/>
      <c r="AC41" s="108"/>
      <c r="AD41" s="108"/>
      <c r="AE41" s="108"/>
      <c r="AF41" s="108">
        <v>0</v>
      </c>
      <c r="AG41" s="133">
        <f t="shared" si="44"/>
        <v>0</v>
      </c>
      <c r="AH41" s="133">
        <f t="shared" si="45"/>
        <v>0</v>
      </c>
      <c r="AI41" s="133"/>
      <c r="AJ41" s="133"/>
      <c r="AK41" s="133"/>
      <c r="AL41" s="133"/>
      <c r="AM41" s="133"/>
      <c r="AN41" s="479"/>
      <c r="AO41" s="133"/>
      <c r="AP41" s="133">
        <v>0</v>
      </c>
      <c r="AQ41" s="136">
        <f t="shared" si="46"/>
        <v>0</v>
      </c>
      <c r="AR41" s="136">
        <f t="shared" si="47"/>
        <v>0</v>
      </c>
      <c r="AS41" s="136"/>
      <c r="AT41" s="136"/>
      <c r="AU41" s="136"/>
      <c r="AV41" s="136"/>
      <c r="AW41" s="124">
        <f t="shared" si="48"/>
        <v>0</v>
      </c>
      <c r="AX41" s="124">
        <f t="shared" si="49"/>
        <v>0</v>
      </c>
      <c r="AY41" s="124"/>
      <c r="AZ41" s="124"/>
      <c r="BA41" s="124"/>
      <c r="BB41" s="124"/>
      <c r="BC41" s="124"/>
      <c r="BD41" s="124"/>
      <c r="BE41" s="361"/>
      <c r="BF41" s="271" t="s">
        <v>429</v>
      </c>
      <c r="BG41" s="116" t="s">
        <v>597</v>
      </c>
    </row>
    <row r="42" spans="1:59" ht="36" x14ac:dyDescent="0.2">
      <c r="A42" s="167"/>
      <c r="B42" s="127"/>
      <c r="C42" s="161"/>
      <c r="D42" s="162"/>
      <c r="E42" s="106" t="s">
        <v>409</v>
      </c>
      <c r="F42" s="107">
        <f t="shared" si="38"/>
        <v>6300500</v>
      </c>
      <c r="G42" s="107">
        <f t="shared" si="39"/>
        <v>6305098</v>
      </c>
      <c r="H42" s="108">
        <v>4880019</v>
      </c>
      <c r="I42" s="108">
        <f t="shared" si="40"/>
        <v>4884617</v>
      </c>
      <c r="J42" s="108">
        <f t="shared" si="41"/>
        <v>4598</v>
      </c>
      <c r="K42" s="108"/>
      <c r="L42" s="108"/>
      <c r="M42" s="108"/>
      <c r="N42" s="108"/>
      <c r="O42" s="108"/>
      <c r="P42" s="108">
        <v>4598</v>
      </c>
      <c r="Q42" s="108"/>
      <c r="R42" s="108"/>
      <c r="S42" s="108"/>
      <c r="T42" s="463"/>
      <c r="U42" s="108"/>
      <c r="V42" s="108"/>
      <c r="W42" s="108">
        <v>1420481</v>
      </c>
      <c r="X42" s="108">
        <f t="shared" si="42"/>
        <v>1420481</v>
      </c>
      <c r="Y42" s="108">
        <f t="shared" si="43"/>
        <v>0</v>
      </c>
      <c r="Z42" s="108"/>
      <c r="AA42" s="108"/>
      <c r="AB42" s="108"/>
      <c r="AC42" s="108"/>
      <c r="AD42" s="108"/>
      <c r="AE42" s="108"/>
      <c r="AF42" s="108">
        <v>0</v>
      </c>
      <c r="AG42" s="133">
        <f t="shared" si="44"/>
        <v>0</v>
      </c>
      <c r="AH42" s="133">
        <f t="shared" si="45"/>
        <v>0</v>
      </c>
      <c r="AI42" s="133"/>
      <c r="AJ42" s="133"/>
      <c r="AK42" s="133"/>
      <c r="AL42" s="133"/>
      <c r="AM42" s="133"/>
      <c r="AN42" s="479"/>
      <c r="AO42" s="133"/>
      <c r="AP42" s="133">
        <v>0</v>
      </c>
      <c r="AQ42" s="136">
        <f t="shared" si="46"/>
        <v>0</v>
      </c>
      <c r="AR42" s="136">
        <f t="shared" si="47"/>
        <v>0</v>
      </c>
      <c r="AS42" s="136"/>
      <c r="AT42" s="136"/>
      <c r="AU42" s="136"/>
      <c r="AV42" s="136"/>
      <c r="AW42" s="124">
        <f t="shared" si="48"/>
        <v>0</v>
      </c>
      <c r="AX42" s="124">
        <f t="shared" si="49"/>
        <v>0</v>
      </c>
      <c r="AY42" s="124"/>
      <c r="AZ42" s="124"/>
      <c r="BA42" s="124"/>
      <c r="BB42" s="124"/>
      <c r="BC42" s="124"/>
      <c r="BD42" s="124"/>
      <c r="BE42" s="361"/>
      <c r="BF42" s="271" t="s">
        <v>650</v>
      </c>
      <c r="BG42" s="116" t="s">
        <v>598</v>
      </c>
    </row>
    <row r="43" spans="1:59" s="249" customFormat="1" ht="24" x14ac:dyDescent="0.2">
      <c r="A43" s="167"/>
      <c r="B43" s="127"/>
      <c r="C43" s="247"/>
      <c r="D43" s="248"/>
      <c r="E43" s="106" t="s">
        <v>384</v>
      </c>
      <c r="F43" s="107">
        <f t="shared" si="38"/>
        <v>28000</v>
      </c>
      <c r="G43" s="107">
        <f t="shared" si="39"/>
        <v>28000</v>
      </c>
      <c r="H43" s="108">
        <v>28000</v>
      </c>
      <c r="I43" s="108">
        <f t="shared" si="40"/>
        <v>28000</v>
      </c>
      <c r="J43" s="108">
        <f t="shared" si="41"/>
        <v>0</v>
      </c>
      <c r="K43" s="108"/>
      <c r="L43" s="108"/>
      <c r="M43" s="108"/>
      <c r="N43" s="108"/>
      <c r="O43" s="108"/>
      <c r="P43" s="108"/>
      <c r="Q43" s="108"/>
      <c r="R43" s="108"/>
      <c r="S43" s="108"/>
      <c r="T43" s="463"/>
      <c r="U43" s="108"/>
      <c r="V43" s="108"/>
      <c r="W43" s="108">
        <v>0</v>
      </c>
      <c r="X43" s="108">
        <f t="shared" si="42"/>
        <v>0</v>
      </c>
      <c r="Y43" s="108">
        <f t="shared" si="43"/>
        <v>0</v>
      </c>
      <c r="Z43" s="108"/>
      <c r="AA43" s="108"/>
      <c r="AB43" s="108"/>
      <c r="AC43" s="108"/>
      <c r="AD43" s="108"/>
      <c r="AE43" s="108"/>
      <c r="AF43" s="108">
        <v>0</v>
      </c>
      <c r="AG43" s="133">
        <f t="shared" si="44"/>
        <v>0</v>
      </c>
      <c r="AH43" s="133">
        <f t="shared" si="45"/>
        <v>0</v>
      </c>
      <c r="AI43" s="133"/>
      <c r="AJ43" s="133"/>
      <c r="AK43" s="133"/>
      <c r="AL43" s="133"/>
      <c r="AM43" s="133"/>
      <c r="AN43" s="479"/>
      <c r="AO43" s="133"/>
      <c r="AP43" s="133">
        <v>0</v>
      </c>
      <c r="AQ43" s="136">
        <f t="shared" si="46"/>
        <v>0</v>
      </c>
      <c r="AR43" s="136">
        <f t="shared" si="47"/>
        <v>0</v>
      </c>
      <c r="AS43" s="136"/>
      <c r="AT43" s="136"/>
      <c r="AU43" s="136"/>
      <c r="AV43" s="136"/>
      <c r="AW43" s="124">
        <f t="shared" si="48"/>
        <v>0</v>
      </c>
      <c r="AX43" s="124">
        <f t="shared" si="49"/>
        <v>0</v>
      </c>
      <c r="AY43" s="124"/>
      <c r="AZ43" s="124"/>
      <c r="BA43" s="124"/>
      <c r="BB43" s="124"/>
      <c r="BC43" s="124"/>
      <c r="BD43" s="124"/>
      <c r="BE43" s="361"/>
      <c r="BF43" s="271" t="s">
        <v>430</v>
      </c>
      <c r="BG43" s="116" t="s">
        <v>591</v>
      </c>
    </row>
    <row r="44" spans="1:59" s="158" customFormat="1" ht="36" x14ac:dyDescent="0.2">
      <c r="A44" s="167"/>
      <c r="B44" s="129"/>
      <c r="C44" s="156"/>
      <c r="D44" s="157"/>
      <c r="E44" s="106" t="s">
        <v>292</v>
      </c>
      <c r="F44" s="107">
        <f t="shared" si="38"/>
        <v>85275</v>
      </c>
      <c r="G44" s="107">
        <f t="shared" si="39"/>
        <v>85275</v>
      </c>
      <c r="H44" s="124">
        <v>85275</v>
      </c>
      <c r="I44" s="124">
        <f t="shared" si="40"/>
        <v>85275</v>
      </c>
      <c r="J44" s="124">
        <f t="shared" si="41"/>
        <v>0</v>
      </c>
      <c r="K44" s="124"/>
      <c r="L44" s="124"/>
      <c r="M44" s="124"/>
      <c r="N44" s="124"/>
      <c r="O44" s="124"/>
      <c r="P44" s="124"/>
      <c r="Q44" s="124"/>
      <c r="R44" s="124"/>
      <c r="S44" s="124"/>
      <c r="T44" s="465"/>
      <c r="U44" s="124"/>
      <c r="V44" s="124"/>
      <c r="W44" s="124">
        <v>0</v>
      </c>
      <c r="X44" s="124">
        <f t="shared" si="42"/>
        <v>0</v>
      </c>
      <c r="Y44" s="124">
        <f t="shared" si="43"/>
        <v>0</v>
      </c>
      <c r="Z44" s="124"/>
      <c r="AA44" s="124"/>
      <c r="AB44" s="124"/>
      <c r="AC44" s="124"/>
      <c r="AD44" s="124"/>
      <c r="AE44" s="124"/>
      <c r="AF44" s="124">
        <v>0</v>
      </c>
      <c r="AG44" s="136">
        <f t="shared" si="44"/>
        <v>0</v>
      </c>
      <c r="AH44" s="136">
        <f t="shared" si="45"/>
        <v>0</v>
      </c>
      <c r="AI44" s="136"/>
      <c r="AJ44" s="136"/>
      <c r="AK44" s="136"/>
      <c r="AL44" s="136"/>
      <c r="AM44" s="136"/>
      <c r="AN44" s="481"/>
      <c r="AO44" s="136"/>
      <c r="AP44" s="136">
        <v>0</v>
      </c>
      <c r="AQ44" s="136">
        <f t="shared" si="46"/>
        <v>0</v>
      </c>
      <c r="AR44" s="136">
        <f t="shared" si="47"/>
        <v>0</v>
      </c>
      <c r="AS44" s="136"/>
      <c r="AT44" s="136"/>
      <c r="AU44" s="136"/>
      <c r="AV44" s="136"/>
      <c r="AW44" s="124">
        <f t="shared" si="48"/>
        <v>0</v>
      </c>
      <c r="AX44" s="124">
        <f t="shared" si="49"/>
        <v>0</v>
      </c>
      <c r="AY44" s="124"/>
      <c r="AZ44" s="124"/>
      <c r="BA44" s="124"/>
      <c r="BB44" s="124"/>
      <c r="BC44" s="124"/>
      <c r="BD44" s="124"/>
      <c r="BE44" s="361"/>
      <c r="BF44" s="271" t="s">
        <v>431</v>
      </c>
      <c r="BG44" s="116" t="s">
        <v>599</v>
      </c>
    </row>
    <row r="45" spans="1:59" ht="12.75" x14ac:dyDescent="0.2">
      <c r="A45" s="167"/>
      <c r="B45" s="127"/>
      <c r="C45" s="161"/>
      <c r="D45" s="162"/>
      <c r="E45" s="106" t="s">
        <v>214</v>
      </c>
      <c r="F45" s="107">
        <f t="shared" si="38"/>
        <v>20502</v>
      </c>
      <c r="G45" s="107">
        <f t="shared" si="39"/>
        <v>0</v>
      </c>
      <c r="H45" s="108">
        <v>20502</v>
      </c>
      <c r="I45" s="108">
        <f t="shared" si="40"/>
        <v>0</v>
      </c>
      <c r="J45" s="108">
        <f t="shared" si="41"/>
        <v>-20502</v>
      </c>
      <c r="K45" s="108"/>
      <c r="L45" s="108"/>
      <c r="M45" s="108"/>
      <c r="N45" s="108"/>
      <c r="O45" s="108"/>
      <c r="P45" s="108"/>
      <c r="Q45" s="108"/>
      <c r="R45" s="108"/>
      <c r="S45" s="108">
        <v>-20502</v>
      </c>
      <c r="T45" s="463"/>
      <c r="U45" s="108"/>
      <c r="V45" s="108"/>
      <c r="W45" s="108">
        <v>0</v>
      </c>
      <c r="X45" s="108">
        <f t="shared" si="42"/>
        <v>0</v>
      </c>
      <c r="Y45" s="108">
        <f t="shared" si="43"/>
        <v>0</v>
      </c>
      <c r="Z45" s="108"/>
      <c r="AA45" s="108"/>
      <c r="AB45" s="108"/>
      <c r="AC45" s="108"/>
      <c r="AD45" s="108"/>
      <c r="AE45" s="108"/>
      <c r="AF45" s="108">
        <v>0</v>
      </c>
      <c r="AG45" s="133">
        <f t="shared" si="44"/>
        <v>0</v>
      </c>
      <c r="AH45" s="133">
        <f t="shared" si="45"/>
        <v>0</v>
      </c>
      <c r="AI45" s="133"/>
      <c r="AJ45" s="133"/>
      <c r="AK45" s="133"/>
      <c r="AL45" s="133"/>
      <c r="AM45" s="133"/>
      <c r="AN45" s="479"/>
      <c r="AO45" s="133"/>
      <c r="AP45" s="133">
        <v>0</v>
      </c>
      <c r="AQ45" s="136">
        <f t="shared" si="46"/>
        <v>0</v>
      </c>
      <c r="AR45" s="136">
        <f t="shared" si="47"/>
        <v>0</v>
      </c>
      <c r="AS45" s="136"/>
      <c r="AT45" s="136"/>
      <c r="AU45" s="136"/>
      <c r="AV45" s="136"/>
      <c r="AW45" s="124">
        <f t="shared" si="48"/>
        <v>0</v>
      </c>
      <c r="AX45" s="124">
        <f t="shared" si="49"/>
        <v>0</v>
      </c>
      <c r="AY45" s="124"/>
      <c r="AZ45" s="124"/>
      <c r="BA45" s="124"/>
      <c r="BB45" s="124"/>
      <c r="BC45" s="124"/>
      <c r="BD45" s="124"/>
      <c r="BE45" s="361"/>
      <c r="BF45" s="271" t="s">
        <v>432</v>
      </c>
      <c r="BG45" s="116" t="s">
        <v>600</v>
      </c>
    </row>
    <row r="46" spans="1:59" ht="24" x14ac:dyDescent="0.2">
      <c r="A46" s="167"/>
      <c r="B46" s="127"/>
      <c r="C46" s="161"/>
      <c r="D46" s="162"/>
      <c r="E46" s="106" t="s">
        <v>255</v>
      </c>
      <c r="F46" s="107">
        <f t="shared" si="38"/>
        <v>149488</v>
      </c>
      <c r="G46" s="107">
        <f t="shared" si="39"/>
        <v>161443</v>
      </c>
      <c r="H46" s="108">
        <v>144708</v>
      </c>
      <c r="I46" s="108">
        <f t="shared" si="40"/>
        <v>155249</v>
      </c>
      <c r="J46" s="108">
        <f t="shared" si="41"/>
        <v>10541</v>
      </c>
      <c r="K46" s="108"/>
      <c r="L46" s="108"/>
      <c r="M46" s="108"/>
      <c r="N46" s="108"/>
      <c r="O46" s="108"/>
      <c r="P46" s="108">
        <v>8000</v>
      </c>
      <c r="Q46" s="108"/>
      <c r="R46" s="108"/>
      <c r="S46" s="108">
        <v>2541</v>
      </c>
      <c r="T46" s="463"/>
      <c r="U46" s="108"/>
      <c r="V46" s="108"/>
      <c r="W46" s="108">
        <v>0</v>
      </c>
      <c r="X46" s="108">
        <f t="shared" si="42"/>
        <v>0</v>
      </c>
      <c r="Y46" s="108">
        <f t="shared" si="43"/>
        <v>0</v>
      </c>
      <c r="Z46" s="108"/>
      <c r="AA46" s="108"/>
      <c r="AB46" s="108"/>
      <c r="AC46" s="108"/>
      <c r="AD46" s="108"/>
      <c r="AE46" s="108"/>
      <c r="AF46" s="108">
        <v>4780</v>
      </c>
      <c r="AG46" s="133">
        <f t="shared" si="44"/>
        <v>6194</v>
      </c>
      <c r="AH46" s="133">
        <f t="shared" si="45"/>
        <v>1414</v>
      </c>
      <c r="AI46" s="133"/>
      <c r="AJ46" s="133"/>
      <c r="AK46" s="133"/>
      <c r="AL46" s="133"/>
      <c r="AM46" s="133">
        <f>900+514</f>
        <v>1414</v>
      </c>
      <c r="AN46" s="479"/>
      <c r="AO46" s="133"/>
      <c r="AP46" s="133">
        <v>0</v>
      </c>
      <c r="AQ46" s="136">
        <f t="shared" si="46"/>
        <v>0</v>
      </c>
      <c r="AR46" s="136">
        <f t="shared" si="47"/>
        <v>0</v>
      </c>
      <c r="AS46" s="136"/>
      <c r="AT46" s="136"/>
      <c r="AU46" s="136"/>
      <c r="AV46" s="136"/>
      <c r="AW46" s="124">
        <f t="shared" si="48"/>
        <v>0</v>
      </c>
      <c r="AX46" s="124">
        <f t="shared" si="49"/>
        <v>0</v>
      </c>
      <c r="AY46" s="124"/>
      <c r="AZ46" s="124"/>
      <c r="BA46" s="124"/>
      <c r="BB46" s="124"/>
      <c r="BC46" s="124"/>
      <c r="BD46" s="124"/>
      <c r="BE46" s="361"/>
      <c r="BF46" s="271" t="s">
        <v>433</v>
      </c>
      <c r="BG46" s="116" t="s">
        <v>592</v>
      </c>
    </row>
    <row r="47" spans="1:59" s="205" customFormat="1" ht="48" x14ac:dyDescent="0.2">
      <c r="A47" s="167"/>
      <c r="B47" s="127"/>
      <c r="C47" s="206"/>
      <c r="D47" s="207"/>
      <c r="E47" s="106" t="s">
        <v>324</v>
      </c>
      <c r="F47" s="107">
        <f t="shared" si="38"/>
        <v>1069097</v>
      </c>
      <c r="G47" s="107">
        <f t="shared" si="39"/>
        <v>998387</v>
      </c>
      <c r="H47" s="108">
        <v>1069097</v>
      </c>
      <c r="I47" s="108">
        <f t="shared" si="40"/>
        <v>998387</v>
      </c>
      <c r="J47" s="108">
        <f t="shared" si="41"/>
        <v>-70710</v>
      </c>
      <c r="K47" s="108"/>
      <c r="L47" s="108"/>
      <c r="M47" s="108">
        <v>42000</v>
      </c>
      <c r="N47" s="108"/>
      <c r="O47" s="108">
        <f>-42710-70000</f>
        <v>-112710</v>
      </c>
      <c r="P47" s="108"/>
      <c r="Q47" s="108"/>
      <c r="R47" s="108"/>
      <c r="S47" s="108"/>
      <c r="T47" s="463"/>
      <c r="U47" s="108"/>
      <c r="V47" s="108"/>
      <c r="W47" s="108">
        <v>0</v>
      </c>
      <c r="X47" s="108">
        <f t="shared" si="42"/>
        <v>0</v>
      </c>
      <c r="Y47" s="108">
        <f t="shared" si="43"/>
        <v>0</v>
      </c>
      <c r="Z47" s="108"/>
      <c r="AA47" s="108"/>
      <c r="AB47" s="108"/>
      <c r="AC47" s="108"/>
      <c r="AD47" s="108"/>
      <c r="AE47" s="108"/>
      <c r="AF47" s="108">
        <v>0</v>
      </c>
      <c r="AG47" s="133">
        <f t="shared" si="44"/>
        <v>0</v>
      </c>
      <c r="AH47" s="133">
        <f t="shared" si="45"/>
        <v>0</v>
      </c>
      <c r="AI47" s="133"/>
      <c r="AJ47" s="133"/>
      <c r="AK47" s="133"/>
      <c r="AL47" s="133"/>
      <c r="AM47" s="133"/>
      <c r="AN47" s="479"/>
      <c r="AO47" s="133"/>
      <c r="AP47" s="133">
        <v>0</v>
      </c>
      <c r="AQ47" s="136">
        <f t="shared" si="46"/>
        <v>0</v>
      </c>
      <c r="AR47" s="136">
        <f t="shared" si="47"/>
        <v>0</v>
      </c>
      <c r="AS47" s="136"/>
      <c r="AT47" s="136"/>
      <c r="AU47" s="136"/>
      <c r="AV47" s="136"/>
      <c r="AW47" s="124">
        <f t="shared" si="48"/>
        <v>0</v>
      </c>
      <c r="AX47" s="124">
        <f t="shared" si="49"/>
        <v>0</v>
      </c>
      <c r="AY47" s="124"/>
      <c r="AZ47" s="124"/>
      <c r="BA47" s="124"/>
      <c r="BB47" s="124"/>
      <c r="BC47" s="124"/>
      <c r="BD47" s="124"/>
      <c r="BE47" s="361"/>
      <c r="BF47" s="271" t="s">
        <v>434</v>
      </c>
      <c r="BG47" s="116" t="s">
        <v>601</v>
      </c>
    </row>
    <row r="48" spans="1:59" ht="36" x14ac:dyDescent="0.2">
      <c r="A48" s="167"/>
      <c r="B48" s="127"/>
      <c r="C48" s="161"/>
      <c r="D48" s="162"/>
      <c r="E48" s="106" t="s">
        <v>287</v>
      </c>
      <c r="F48" s="107">
        <f t="shared" si="38"/>
        <v>0</v>
      </c>
      <c r="G48" s="107">
        <f t="shared" si="39"/>
        <v>0</v>
      </c>
      <c r="H48" s="108">
        <v>1390689</v>
      </c>
      <c r="I48" s="108">
        <f t="shared" si="40"/>
        <v>1569762</v>
      </c>
      <c r="J48" s="108">
        <f t="shared" si="41"/>
        <v>179073</v>
      </c>
      <c r="K48" s="108">
        <v>179073</v>
      </c>
      <c r="L48" s="108"/>
      <c r="M48" s="108"/>
      <c r="N48" s="108"/>
      <c r="O48" s="108"/>
      <c r="P48" s="108"/>
      <c r="Q48" s="108"/>
      <c r="R48" s="108"/>
      <c r="S48" s="108"/>
      <c r="T48" s="463"/>
      <c r="U48" s="108"/>
      <c r="V48" s="108"/>
      <c r="W48" s="108">
        <v>0</v>
      </c>
      <c r="X48" s="108">
        <f t="shared" si="42"/>
        <v>0</v>
      </c>
      <c r="Y48" s="108">
        <f t="shared" si="43"/>
        <v>0</v>
      </c>
      <c r="Z48" s="108"/>
      <c r="AA48" s="108"/>
      <c r="AB48" s="108"/>
      <c r="AC48" s="108"/>
      <c r="AD48" s="108"/>
      <c r="AE48" s="108"/>
      <c r="AF48" s="108">
        <v>0</v>
      </c>
      <c r="AG48" s="133">
        <f t="shared" si="44"/>
        <v>0</v>
      </c>
      <c r="AH48" s="133">
        <f t="shared" si="45"/>
        <v>0</v>
      </c>
      <c r="AI48" s="133"/>
      <c r="AJ48" s="133"/>
      <c r="AK48" s="133"/>
      <c r="AL48" s="133"/>
      <c r="AM48" s="133"/>
      <c r="AN48" s="479"/>
      <c r="AO48" s="133"/>
      <c r="AP48" s="133">
        <v>0</v>
      </c>
      <c r="AQ48" s="136">
        <f t="shared" si="46"/>
        <v>0</v>
      </c>
      <c r="AR48" s="136">
        <f t="shared" si="47"/>
        <v>0</v>
      </c>
      <c r="AS48" s="136"/>
      <c r="AT48" s="136"/>
      <c r="AU48" s="136"/>
      <c r="AV48" s="136">
        <v>-1390689</v>
      </c>
      <c r="AW48" s="124">
        <f t="shared" si="48"/>
        <v>-1569762</v>
      </c>
      <c r="AX48" s="124">
        <f t="shared" si="49"/>
        <v>-179073</v>
      </c>
      <c r="AY48" s="124">
        <f>-179073</f>
        <v>-179073</v>
      </c>
      <c r="AZ48" s="124"/>
      <c r="BA48" s="124"/>
      <c r="BB48" s="124"/>
      <c r="BC48" s="124"/>
      <c r="BD48" s="124"/>
      <c r="BE48" s="361"/>
      <c r="BF48" s="271" t="s">
        <v>435</v>
      </c>
      <c r="BG48" s="116"/>
    </row>
    <row r="49" spans="1:59" ht="48" x14ac:dyDescent="0.2">
      <c r="A49" s="167"/>
      <c r="B49" s="127"/>
      <c r="C49" s="161"/>
      <c r="D49" s="162"/>
      <c r="E49" s="106" t="s">
        <v>325</v>
      </c>
      <c r="F49" s="107">
        <f t="shared" si="38"/>
        <v>6300</v>
      </c>
      <c r="G49" s="107">
        <f>I49+X49+AG49+AO49+AQ49+AW49</f>
        <v>6332</v>
      </c>
      <c r="H49" s="108">
        <v>10372</v>
      </c>
      <c r="I49" s="108">
        <f t="shared" si="40"/>
        <v>8506</v>
      </c>
      <c r="J49" s="108">
        <f t="shared" si="41"/>
        <v>-1866</v>
      </c>
      <c r="K49" s="108">
        <v>808</v>
      </c>
      <c r="L49" s="108"/>
      <c r="M49" s="108"/>
      <c r="N49" s="108"/>
      <c r="O49" s="108"/>
      <c r="P49" s="108">
        <v>-2674</v>
      </c>
      <c r="Q49" s="108"/>
      <c r="R49" s="108"/>
      <c r="S49" s="108"/>
      <c r="T49" s="463"/>
      <c r="U49" s="108"/>
      <c r="V49" s="108"/>
      <c r="W49" s="108">
        <v>0</v>
      </c>
      <c r="X49" s="108">
        <f t="shared" si="42"/>
        <v>0</v>
      </c>
      <c r="Y49" s="108">
        <f t="shared" si="43"/>
        <v>0</v>
      </c>
      <c r="Z49" s="108"/>
      <c r="AA49" s="108"/>
      <c r="AB49" s="108"/>
      <c r="AC49" s="108"/>
      <c r="AD49" s="108"/>
      <c r="AE49" s="108"/>
      <c r="AF49" s="108">
        <v>0</v>
      </c>
      <c r="AG49" s="133">
        <f t="shared" si="44"/>
        <v>0</v>
      </c>
      <c r="AH49" s="133">
        <f t="shared" si="45"/>
        <v>0</v>
      </c>
      <c r="AI49" s="133"/>
      <c r="AJ49" s="133"/>
      <c r="AK49" s="133"/>
      <c r="AL49" s="133"/>
      <c r="AM49" s="133"/>
      <c r="AN49" s="479"/>
      <c r="AO49" s="133"/>
      <c r="AP49" s="133">
        <v>0</v>
      </c>
      <c r="AQ49" s="136">
        <f t="shared" si="46"/>
        <v>0</v>
      </c>
      <c r="AR49" s="136">
        <f t="shared" si="47"/>
        <v>0</v>
      </c>
      <c r="AS49" s="136"/>
      <c r="AT49" s="136"/>
      <c r="AU49" s="136"/>
      <c r="AV49" s="136">
        <v>-4072</v>
      </c>
      <c r="AW49" s="124">
        <f t="shared" si="48"/>
        <v>-2174</v>
      </c>
      <c r="AX49" s="124">
        <f t="shared" si="49"/>
        <v>1898</v>
      </c>
      <c r="AY49" s="124">
        <v>-800</v>
      </c>
      <c r="AZ49" s="124"/>
      <c r="BA49" s="124"/>
      <c r="BB49" s="124">
        <f>1898+800</f>
        <v>2698</v>
      </c>
      <c r="BC49" s="124"/>
      <c r="BD49" s="124"/>
      <c r="BE49" s="361"/>
      <c r="BF49" s="271" t="s">
        <v>436</v>
      </c>
      <c r="BG49" s="116"/>
    </row>
    <row r="50" spans="1:59" s="267" customFormat="1" ht="72" x14ac:dyDescent="0.2">
      <c r="A50" s="167"/>
      <c r="B50" s="127"/>
      <c r="C50" s="265"/>
      <c r="D50" s="266"/>
      <c r="E50" s="106" t="s">
        <v>751</v>
      </c>
      <c r="F50" s="107">
        <f t="shared" si="38"/>
        <v>85236</v>
      </c>
      <c r="G50" s="107">
        <f t="shared" si="39"/>
        <v>61523</v>
      </c>
      <c r="H50" s="108">
        <v>85236</v>
      </c>
      <c r="I50" s="108">
        <f t="shared" si="40"/>
        <v>61523</v>
      </c>
      <c r="J50" s="108">
        <f t="shared" si="41"/>
        <v>-23713</v>
      </c>
      <c r="K50" s="108">
        <v>2631</v>
      </c>
      <c r="L50" s="108"/>
      <c r="M50" s="108">
        <v>-21191</v>
      </c>
      <c r="N50" s="108"/>
      <c r="O50" s="108"/>
      <c r="P50" s="108"/>
      <c r="Q50" s="108">
        <v>-5153</v>
      </c>
      <c r="R50" s="108"/>
      <c r="S50" s="108"/>
      <c r="T50" s="463"/>
      <c r="U50" s="108"/>
      <c r="V50" s="108"/>
      <c r="W50" s="108">
        <v>0</v>
      </c>
      <c r="X50" s="108">
        <f t="shared" si="42"/>
        <v>0</v>
      </c>
      <c r="Y50" s="108">
        <f t="shared" si="43"/>
        <v>0</v>
      </c>
      <c r="Z50" s="108"/>
      <c r="AA50" s="108"/>
      <c r="AB50" s="108"/>
      <c r="AC50" s="108"/>
      <c r="AD50" s="108"/>
      <c r="AE50" s="108"/>
      <c r="AF50" s="108">
        <v>0</v>
      </c>
      <c r="AG50" s="133">
        <f t="shared" si="44"/>
        <v>0</v>
      </c>
      <c r="AH50" s="133">
        <f t="shared" si="45"/>
        <v>0</v>
      </c>
      <c r="AI50" s="133"/>
      <c r="AJ50" s="133"/>
      <c r="AK50" s="133"/>
      <c r="AL50" s="133"/>
      <c r="AM50" s="133"/>
      <c r="AN50" s="479"/>
      <c r="AO50" s="133"/>
      <c r="AP50" s="133">
        <v>0</v>
      </c>
      <c r="AQ50" s="136">
        <f t="shared" si="46"/>
        <v>0</v>
      </c>
      <c r="AR50" s="136">
        <f t="shared" si="47"/>
        <v>0</v>
      </c>
      <c r="AS50" s="136"/>
      <c r="AT50" s="136"/>
      <c r="AU50" s="136"/>
      <c r="AV50" s="136"/>
      <c r="AW50" s="124">
        <f t="shared" si="48"/>
        <v>0</v>
      </c>
      <c r="AX50" s="124">
        <f t="shared" si="49"/>
        <v>0</v>
      </c>
      <c r="AY50" s="124"/>
      <c r="AZ50" s="124"/>
      <c r="BA50" s="124"/>
      <c r="BB50" s="124"/>
      <c r="BC50" s="124"/>
      <c r="BD50" s="124"/>
      <c r="BE50" s="361"/>
      <c r="BF50" s="271" t="s">
        <v>437</v>
      </c>
      <c r="BG50" s="116" t="s">
        <v>592</v>
      </c>
    </row>
    <row r="51" spans="1:59" s="249" customFormat="1" ht="24" x14ac:dyDescent="0.2">
      <c r="A51" s="167"/>
      <c r="B51" s="127"/>
      <c r="C51" s="247"/>
      <c r="D51" s="248"/>
      <c r="E51" s="106" t="s">
        <v>385</v>
      </c>
      <c r="F51" s="107">
        <f t="shared" si="38"/>
        <v>5144</v>
      </c>
      <c r="G51" s="107">
        <f t="shared" si="39"/>
        <v>4618</v>
      </c>
      <c r="H51" s="108">
        <v>5144</v>
      </c>
      <c r="I51" s="108">
        <f t="shared" si="40"/>
        <v>4618</v>
      </c>
      <c r="J51" s="108">
        <f t="shared" si="41"/>
        <v>-526</v>
      </c>
      <c r="K51" s="108">
        <v>410</v>
      </c>
      <c r="L51" s="108"/>
      <c r="M51" s="108">
        <v>-936</v>
      </c>
      <c r="N51" s="108"/>
      <c r="O51" s="108"/>
      <c r="P51" s="108"/>
      <c r="Q51" s="108"/>
      <c r="R51" s="108"/>
      <c r="S51" s="108"/>
      <c r="T51" s="463"/>
      <c r="U51" s="108"/>
      <c r="V51" s="108"/>
      <c r="W51" s="108">
        <v>0</v>
      </c>
      <c r="X51" s="108">
        <f t="shared" si="42"/>
        <v>0</v>
      </c>
      <c r="Y51" s="108">
        <f t="shared" si="43"/>
        <v>0</v>
      </c>
      <c r="Z51" s="108"/>
      <c r="AA51" s="108"/>
      <c r="AB51" s="108"/>
      <c r="AC51" s="108"/>
      <c r="AD51" s="108"/>
      <c r="AE51" s="108"/>
      <c r="AF51" s="108">
        <v>0</v>
      </c>
      <c r="AG51" s="133">
        <f t="shared" si="44"/>
        <v>0</v>
      </c>
      <c r="AH51" s="133">
        <f t="shared" si="45"/>
        <v>0</v>
      </c>
      <c r="AI51" s="133"/>
      <c r="AJ51" s="133"/>
      <c r="AK51" s="133"/>
      <c r="AL51" s="133"/>
      <c r="AM51" s="133"/>
      <c r="AN51" s="479"/>
      <c r="AO51" s="133"/>
      <c r="AP51" s="133">
        <v>0</v>
      </c>
      <c r="AQ51" s="136">
        <f t="shared" si="46"/>
        <v>0</v>
      </c>
      <c r="AR51" s="136">
        <f t="shared" si="47"/>
        <v>0</v>
      </c>
      <c r="AS51" s="136"/>
      <c r="AT51" s="136"/>
      <c r="AU51" s="136"/>
      <c r="AV51" s="136"/>
      <c r="AW51" s="124">
        <f t="shared" si="48"/>
        <v>0</v>
      </c>
      <c r="AX51" s="124">
        <f t="shared" si="49"/>
        <v>0</v>
      </c>
      <c r="AY51" s="124"/>
      <c r="AZ51" s="124"/>
      <c r="BA51" s="124"/>
      <c r="BB51" s="124"/>
      <c r="BC51" s="124"/>
      <c r="BD51" s="124"/>
      <c r="BE51" s="361"/>
      <c r="BF51" s="271" t="s">
        <v>438</v>
      </c>
      <c r="BG51" s="116"/>
    </row>
    <row r="52" spans="1:59" s="393" customFormat="1" ht="24" x14ac:dyDescent="0.2">
      <c r="A52" s="167"/>
      <c r="B52" s="127"/>
      <c r="C52" s="394"/>
      <c r="D52" s="395"/>
      <c r="E52" s="106" t="s">
        <v>689</v>
      </c>
      <c r="F52" s="107">
        <f t="shared" si="38"/>
        <v>0</v>
      </c>
      <c r="G52" s="107">
        <f t="shared" si="39"/>
        <v>62152</v>
      </c>
      <c r="H52" s="108"/>
      <c r="I52" s="108">
        <f t="shared" si="40"/>
        <v>62152</v>
      </c>
      <c r="J52" s="108">
        <f t="shared" si="41"/>
        <v>62152</v>
      </c>
      <c r="K52" s="108">
        <v>62152</v>
      </c>
      <c r="L52" s="108"/>
      <c r="M52" s="108"/>
      <c r="N52" s="108"/>
      <c r="O52" s="108"/>
      <c r="P52" s="108"/>
      <c r="Q52" s="108"/>
      <c r="R52" s="108"/>
      <c r="S52" s="108"/>
      <c r="T52" s="463"/>
      <c r="U52" s="108"/>
      <c r="V52" s="108"/>
      <c r="W52" s="108"/>
      <c r="X52" s="108">
        <f t="shared" ref="X52" si="50">W52+Y52</f>
        <v>0</v>
      </c>
      <c r="Y52" s="108">
        <f t="shared" ref="Y52" si="51">SUM(Z52:AE52)</f>
        <v>0</v>
      </c>
      <c r="Z52" s="108"/>
      <c r="AA52" s="108"/>
      <c r="AB52" s="108"/>
      <c r="AC52" s="108"/>
      <c r="AD52" s="108"/>
      <c r="AE52" s="108"/>
      <c r="AF52" s="108"/>
      <c r="AG52" s="133">
        <f t="shared" ref="AG52" si="52">AH52+AF52</f>
        <v>0</v>
      </c>
      <c r="AH52" s="133">
        <f t="shared" ref="AH52" si="53">SUM(AI52:AN52)</f>
        <v>0</v>
      </c>
      <c r="AI52" s="133"/>
      <c r="AJ52" s="133"/>
      <c r="AK52" s="133"/>
      <c r="AL52" s="133"/>
      <c r="AM52" s="133"/>
      <c r="AN52" s="479"/>
      <c r="AO52" s="133"/>
      <c r="AP52" s="133"/>
      <c r="AQ52" s="136">
        <f t="shared" ref="AQ52" si="54">AR52+AP52</f>
        <v>0</v>
      </c>
      <c r="AR52" s="136">
        <f t="shared" ref="AR52" si="55">SUM(AS52:AU52)</f>
        <v>0</v>
      </c>
      <c r="AS52" s="136"/>
      <c r="AT52" s="136"/>
      <c r="AU52" s="136"/>
      <c r="AV52" s="136"/>
      <c r="AW52" s="124">
        <f t="shared" ref="AW52" si="56">AX52+AV52</f>
        <v>0</v>
      </c>
      <c r="AX52" s="124">
        <f t="shared" si="49"/>
        <v>0</v>
      </c>
      <c r="AY52" s="124"/>
      <c r="AZ52" s="124"/>
      <c r="BA52" s="124"/>
      <c r="BB52" s="124"/>
      <c r="BC52" s="124"/>
      <c r="BD52" s="124"/>
      <c r="BE52" s="361"/>
      <c r="BF52" s="271" t="s">
        <v>690</v>
      </c>
      <c r="BG52" s="116"/>
    </row>
    <row r="53" spans="1:59" s="396" customFormat="1" ht="24" x14ac:dyDescent="0.2">
      <c r="A53" s="167"/>
      <c r="B53" s="127"/>
      <c r="C53" s="397"/>
      <c r="D53" s="398"/>
      <c r="E53" s="106" t="s">
        <v>691</v>
      </c>
      <c r="F53" s="107">
        <f t="shared" si="38"/>
        <v>0</v>
      </c>
      <c r="G53" s="107">
        <f t="shared" si="39"/>
        <v>0</v>
      </c>
      <c r="H53" s="108"/>
      <c r="I53" s="108">
        <f t="shared" ref="I53:I54" si="57">H53+J53</f>
        <v>17647</v>
      </c>
      <c r="J53" s="108">
        <f t="shared" ref="J53:J54" si="58">SUM(K53:V53)</f>
        <v>17647</v>
      </c>
      <c r="K53" s="108">
        <v>17647</v>
      </c>
      <c r="L53" s="108"/>
      <c r="M53" s="108"/>
      <c r="N53" s="108"/>
      <c r="O53" s="108"/>
      <c r="P53" s="108"/>
      <c r="Q53" s="108"/>
      <c r="R53" s="108"/>
      <c r="S53" s="108"/>
      <c r="T53" s="463"/>
      <c r="U53" s="108"/>
      <c r="V53" s="108"/>
      <c r="W53" s="108"/>
      <c r="X53" s="108">
        <f t="shared" ref="X53:X54" si="59">W53+Y53</f>
        <v>0</v>
      </c>
      <c r="Y53" s="108">
        <f t="shared" ref="Y53:Y54" si="60">SUM(Z53:AE53)</f>
        <v>0</v>
      </c>
      <c r="Z53" s="108"/>
      <c r="AA53" s="108"/>
      <c r="AB53" s="108"/>
      <c r="AC53" s="108"/>
      <c r="AD53" s="108"/>
      <c r="AE53" s="108"/>
      <c r="AF53" s="108"/>
      <c r="AG53" s="133">
        <f t="shared" ref="AG53:AG54" si="61">AH53+AF53</f>
        <v>0</v>
      </c>
      <c r="AH53" s="133">
        <f t="shared" ref="AH53:AH54" si="62">SUM(AI53:AN53)</f>
        <v>0</v>
      </c>
      <c r="AI53" s="133"/>
      <c r="AJ53" s="133"/>
      <c r="AK53" s="133"/>
      <c r="AL53" s="133"/>
      <c r="AM53" s="133"/>
      <c r="AN53" s="479"/>
      <c r="AO53" s="133"/>
      <c r="AP53" s="133"/>
      <c r="AQ53" s="136">
        <f t="shared" ref="AQ53:AQ54" si="63">AR53+AP53</f>
        <v>0</v>
      </c>
      <c r="AR53" s="136">
        <f t="shared" ref="AR53:AR54" si="64">SUM(AS53:AU53)</f>
        <v>0</v>
      </c>
      <c r="AS53" s="136"/>
      <c r="AT53" s="136"/>
      <c r="AU53" s="136"/>
      <c r="AV53" s="136"/>
      <c r="AW53" s="124">
        <f t="shared" ref="AW53:AW54" si="65">AX53+AV53</f>
        <v>-17647</v>
      </c>
      <c r="AX53" s="124">
        <f t="shared" si="49"/>
        <v>-17647</v>
      </c>
      <c r="AY53" s="124">
        <v>-17647</v>
      </c>
      <c r="AZ53" s="124"/>
      <c r="BA53" s="124"/>
      <c r="BB53" s="124"/>
      <c r="BC53" s="124"/>
      <c r="BD53" s="124"/>
      <c r="BE53" s="361"/>
      <c r="BF53" s="271" t="s">
        <v>693</v>
      </c>
      <c r="BG53" s="116"/>
    </row>
    <row r="54" spans="1:59" s="396" customFormat="1" ht="48" x14ac:dyDescent="0.2">
      <c r="A54" s="167"/>
      <c r="B54" s="127"/>
      <c r="C54" s="397"/>
      <c r="D54" s="398"/>
      <c r="E54" s="106" t="s">
        <v>692</v>
      </c>
      <c r="F54" s="107">
        <f t="shared" si="38"/>
        <v>0</v>
      </c>
      <c r="G54" s="107">
        <f t="shared" si="39"/>
        <v>0</v>
      </c>
      <c r="H54" s="108"/>
      <c r="I54" s="108">
        <f t="shared" si="57"/>
        <v>7326</v>
      </c>
      <c r="J54" s="108">
        <f t="shared" si="58"/>
        <v>7326</v>
      </c>
      <c r="K54" s="108">
        <v>7326</v>
      </c>
      <c r="L54" s="108"/>
      <c r="M54" s="108"/>
      <c r="N54" s="108"/>
      <c r="O54" s="108"/>
      <c r="P54" s="108"/>
      <c r="Q54" s="108"/>
      <c r="R54" s="108"/>
      <c r="S54" s="108"/>
      <c r="T54" s="463"/>
      <c r="U54" s="108"/>
      <c r="V54" s="108"/>
      <c r="W54" s="108"/>
      <c r="X54" s="108">
        <f t="shared" si="59"/>
        <v>0</v>
      </c>
      <c r="Y54" s="108">
        <f t="shared" si="60"/>
        <v>0</v>
      </c>
      <c r="Z54" s="108"/>
      <c r="AA54" s="108"/>
      <c r="AB54" s="108"/>
      <c r="AC54" s="108"/>
      <c r="AD54" s="108"/>
      <c r="AE54" s="108"/>
      <c r="AF54" s="108"/>
      <c r="AG54" s="133">
        <f t="shared" si="61"/>
        <v>0</v>
      </c>
      <c r="AH54" s="133">
        <f t="shared" si="62"/>
        <v>0</v>
      </c>
      <c r="AI54" s="133"/>
      <c r="AJ54" s="133"/>
      <c r="AK54" s="133"/>
      <c r="AL54" s="133"/>
      <c r="AM54" s="133"/>
      <c r="AN54" s="479"/>
      <c r="AO54" s="133"/>
      <c r="AP54" s="133"/>
      <c r="AQ54" s="136">
        <f t="shared" si="63"/>
        <v>0</v>
      </c>
      <c r="AR54" s="136">
        <f t="shared" si="64"/>
        <v>0</v>
      </c>
      <c r="AS54" s="136"/>
      <c r="AT54" s="136"/>
      <c r="AU54" s="136"/>
      <c r="AV54" s="136"/>
      <c r="AW54" s="124">
        <f t="shared" si="65"/>
        <v>-7326</v>
      </c>
      <c r="AX54" s="124">
        <f t="shared" si="49"/>
        <v>-7326</v>
      </c>
      <c r="AY54" s="124">
        <v>-7326</v>
      </c>
      <c r="AZ54" s="124"/>
      <c r="BA54" s="124"/>
      <c r="BB54" s="124"/>
      <c r="BC54" s="124"/>
      <c r="BD54" s="124"/>
      <c r="BE54" s="361"/>
      <c r="BF54" s="271" t="s">
        <v>694</v>
      </c>
      <c r="BG54" s="116"/>
    </row>
    <row r="55" spans="1:59" s="446" customFormat="1" ht="36" x14ac:dyDescent="0.2">
      <c r="A55" s="167"/>
      <c r="B55" s="127"/>
      <c r="C55" s="447"/>
      <c r="D55" s="448"/>
      <c r="E55" s="106" t="s">
        <v>744</v>
      </c>
      <c r="F55" s="107">
        <f t="shared" ref="F55" si="66">H55+W55+AF55+AO55+AP55+AV55</f>
        <v>0</v>
      </c>
      <c r="G55" s="107">
        <f t="shared" ref="G55" si="67">I55+X55+AG55+AO55+AQ55+AW55</f>
        <v>11931</v>
      </c>
      <c r="H55" s="108"/>
      <c r="I55" s="108">
        <f t="shared" ref="I55" si="68">H55+J55</f>
        <v>11931</v>
      </c>
      <c r="J55" s="108">
        <f t="shared" ref="J55" si="69">SUM(K55:V55)</f>
        <v>11931</v>
      </c>
      <c r="K55" s="108"/>
      <c r="L55" s="108"/>
      <c r="M55" s="108"/>
      <c r="N55" s="108"/>
      <c r="O55" s="108"/>
      <c r="P55" s="108">
        <v>11931</v>
      </c>
      <c r="Q55" s="108"/>
      <c r="R55" s="108"/>
      <c r="S55" s="108"/>
      <c r="T55" s="463"/>
      <c r="U55" s="108"/>
      <c r="V55" s="108"/>
      <c r="W55" s="108"/>
      <c r="X55" s="108">
        <f t="shared" ref="X55" si="70">W55+Y55</f>
        <v>0</v>
      </c>
      <c r="Y55" s="108">
        <f t="shared" ref="Y55" si="71">SUM(Z55:AE55)</f>
        <v>0</v>
      </c>
      <c r="Z55" s="108"/>
      <c r="AA55" s="108"/>
      <c r="AB55" s="108"/>
      <c r="AC55" s="108"/>
      <c r="AD55" s="108"/>
      <c r="AE55" s="108"/>
      <c r="AF55" s="108"/>
      <c r="AG55" s="133">
        <f t="shared" ref="AG55" si="72">AH55+AF55</f>
        <v>0</v>
      </c>
      <c r="AH55" s="133">
        <f t="shared" ref="AH55" si="73">SUM(AI55:AN55)</f>
        <v>0</v>
      </c>
      <c r="AI55" s="133"/>
      <c r="AJ55" s="133"/>
      <c r="AK55" s="133"/>
      <c r="AL55" s="133"/>
      <c r="AM55" s="133"/>
      <c r="AN55" s="479"/>
      <c r="AO55" s="133"/>
      <c r="AP55" s="133"/>
      <c r="AQ55" s="136">
        <f t="shared" ref="AQ55" si="74">AR55+AP55</f>
        <v>0</v>
      </c>
      <c r="AR55" s="136">
        <f t="shared" ref="AR55" si="75">SUM(AS55:AU55)</f>
        <v>0</v>
      </c>
      <c r="AS55" s="136"/>
      <c r="AT55" s="136"/>
      <c r="AU55" s="136"/>
      <c r="AV55" s="136"/>
      <c r="AW55" s="124">
        <f t="shared" ref="AW55" si="76">AX55+AV55</f>
        <v>0</v>
      </c>
      <c r="AX55" s="124">
        <f t="shared" si="49"/>
        <v>0</v>
      </c>
      <c r="AY55" s="124"/>
      <c r="AZ55" s="124"/>
      <c r="BA55" s="124"/>
      <c r="BB55" s="124"/>
      <c r="BC55" s="124"/>
      <c r="BD55" s="124"/>
      <c r="BE55" s="361"/>
      <c r="BF55" s="271" t="s">
        <v>745</v>
      </c>
      <c r="BG55" s="116"/>
    </row>
    <row r="56" spans="1:59" ht="24" x14ac:dyDescent="0.2">
      <c r="A56" s="167">
        <v>90000518538</v>
      </c>
      <c r="B56" s="127"/>
      <c r="C56" s="533" t="s">
        <v>386</v>
      </c>
      <c r="D56" s="534"/>
      <c r="E56" s="106" t="s">
        <v>215</v>
      </c>
      <c r="F56" s="107">
        <f t="shared" si="38"/>
        <v>265344</v>
      </c>
      <c r="G56" s="107">
        <f t="shared" si="39"/>
        <v>265344</v>
      </c>
      <c r="H56" s="108">
        <v>265344</v>
      </c>
      <c r="I56" s="108">
        <f t="shared" si="40"/>
        <v>265344</v>
      </c>
      <c r="J56" s="108">
        <f t="shared" si="41"/>
        <v>0</v>
      </c>
      <c r="K56" s="108"/>
      <c r="L56" s="108"/>
      <c r="M56" s="108"/>
      <c r="N56" s="108"/>
      <c r="O56" s="108"/>
      <c r="P56" s="108"/>
      <c r="Q56" s="108"/>
      <c r="R56" s="108"/>
      <c r="S56" s="108"/>
      <c r="T56" s="463"/>
      <c r="U56" s="108"/>
      <c r="V56" s="108"/>
      <c r="W56" s="108">
        <v>0</v>
      </c>
      <c r="X56" s="108">
        <f t="shared" si="42"/>
        <v>0</v>
      </c>
      <c r="Y56" s="108">
        <f t="shared" si="43"/>
        <v>0</v>
      </c>
      <c r="Z56" s="108"/>
      <c r="AA56" s="108"/>
      <c r="AB56" s="108"/>
      <c r="AC56" s="108"/>
      <c r="AD56" s="108"/>
      <c r="AE56" s="108"/>
      <c r="AF56" s="108">
        <v>0</v>
      </c>
      <c r="AG56" s="133">
        <f t="shared" si="44"/>
        <v>0</v>
      </c>
      <c r="AH56" s="133">
        <f t="shared" si="45"/>
        <v>0</v>
      </c>
      <c r="AI56" s="133"/>
      <c r="AJ56" s="133"/>
      <c r="AK56" s="133"/>
      <c r="AL56" s="133"/>
      <c r="AM56" s="133"/>
      <c r="AN56" s="479"/>
      <c r="AO56" s="133"/>
      <c r="AP56" s="133">
        <v>0</v>
      </c>
      <c r="AQ56" s="133">
        <f t="shared" si="46"/>
        <v>0</v>
      </c>
      <c r="AR56" s="133">
        <f t="shared" si="47"/>
        <v>0</v>
      </c>
      <c r="AS56" s="133"/>
      <c r="AT56" s="133"/>
      <c r="AU56" s="133"/>
      <c r="AV56" s="133"/>
      <c r="AW56" s="108">
        <f t="shared" si="48"/>
        <v>0</v>
      </c>
      <c r="AX56" s="108">
        <f t="shared" si="49"/>
        <v>0</v>
      </c>
      <c r="AY56" s="108"/>
      <c r="AZ56" s="108"/>
      <c r="BA56" s="108"/>
      <c r="BB56" s="108"/>
      <c r="BC56" s="108"/>
      <c r="BD56" s="108"/>
      <c r="BE56" s="359"/>
      <c r="BF56" s="109" t="s">
        <v>612</v>
      </c>
      <c r="BG56" s="116"/>
    </row>
    <row r="57" spans="1:59" s="403" customFormat="1" ht="60" x14ac:dyDescent="0.2">
      <c r="A57" s="167"/>
      <c r="B57" s="127"/>
      <c r="C57" s="404"/>
      <c r="D57" s="405"/>
      <c r="E57" s="106" t="s">
        <v>702</v>
      </c>
      <c r="F57" s="107">
        <f t="shared" si="38"/>
        <v>0</v>
      </c>
      <c r="G57" s="107">
        <f t="shared" si="39"/>
        <v>80000</v>
      </c>
      <c r="H57" s="108"/>
      <c r="I57" s="108">
        <f t="shared" ref="I57" si="77">H57+J57</f>
        <v>80000</v>
      </c>
      <c r="J57" s="108">
        <f t="shared" ref="J57" si="78">SUM(K57:V57)</f>
        <v>80000</v>
      </c>
      <c r="K57" s="108"/>
      <c r="L57" s="108">
        <v>80000</v>
      </c>
      <c r="M57" s="108"/>
      <c r="N57" s="108"/>
      <c r="O57" s="108"/>
      <c r="P57" s="108"/>
      <c r="Q57" s="108"/>
      <c r="R57" s="108"/>
      <c r="S57" s="108"/>
      <c r="T57" s="463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33"/>
      <c r="AH57" s="133"/>
      <c r="AI57" s="133"/>
      <c r="AJ57" s="133"/>
      <c r="AK57" s="133"/>
      <c r="AL57" s="133"/>
      <c r="AM57" s="133"/>
      <c r="AN57" s="479"/>
      <c r="AO57" s="133"/>
      <c r="AP57" s="133"/>
      <c r="AQ57" s="133"/>
      <c r="AR57" s="133"/>
      <c r="AS57" s="133"/>
      <c r="AT57" s="133"/>
      <c r="AU57" s="133"/>
      <c r="AV57" s="133"/>
      <c r="AW57" s="108"/>
      <c r="AX57" s="108"/>
      <c r="AY57" s="108"/>
      <c r="AZ57" s="108"/>
      <c r="BA57" s="108"/>
      <c r="BB57" s="108"/>
      <c r="BC57" s="108"/>
      <c r="BD57" s="108"/>
      <c r="BE57" s="359"/>
      <c r="BF57" s="109" t="s">
        <v>703</v>
      </c>
      <c r="BG57" s="116"/>
    </row>
    <row r="58" spans="1:59" ht="48" x14ac:dyDescent="0.2">
      <c r="A58" s="167"/>
      <c r="B58" s="127"/>
      <c r="C58" s="533" t="s">
        <v>185</v>
      </c>
      <c r="D58" s="534"/>
      <c r="E58" s="198" t="s">
        <v>186</v>
      </c>
      <c r="F58" s="107">
        <f t="shared" si="38"/>
        <v>534375</v>
      </c>
      <c r="G58" s="107">
        <f t="shared" si="39"/>
        <v>308769</v>
      </c>
      <c r="H58" s="108">
        <v>534375</v>
      </c>
      <c r="I58" s="108">
        <f t="shared" si="40"/>
        <v>308769</v>
      </c>
      <c r="J58" s="108">
        <f t="shared" si="41"/>
        <v>-225606</v>
      </c>
      <c r="K58" s="108">
        <v>-100000</v>
      </c>
      <c r="L58" s="108">
        <v>-80000</v>
      </c>
      <c r="M58" s="108">
        <v>-101</v>
      </c>
      <c r="N58" s="108">
        <v>-18167</v>
      </c>
      <c r="O58" s="108">
        <f>-2531-2716</f>
        <v>-5247</v>
      </c>
      <c r="P58" s="108">
        <v>-6831</v>
      </c>
      <c r="Q58" s="108">
        <f>-18860+3600</f>
        <v>-15260</v>
      </c>
      <c r="R58" s="108"/>
      <c r="S58" s="108"/>
      <c r="T58" s="463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33"/>
      <c r="AH58" s="133"/>
      <c r="AI58" s="133"/>
      <c r="AJ58" s="133"/>
      <c r="AK58" s="133"/>
      <c r="AL58" s="133"/>
      <c r="AM58" s="133"/>
      <c r="AN58" s="479"/>
      <c r="AO58" s="133"/>
      <c r="AP58" s="133"/>
      <c r="AQ58" s="133"/>
      <c r="AR58" s="133"/>
      <c r="AS58" s="133"/>
      <c r="AT58" s="133"/>
      <c r="AU58" s="133"/>
      <c r="AV58" s="133"/>
      <c r="AW58" s="108">
        <f t="shared" si="48"/>
        <v>0</v>
      </c>
      <c r="AX58" s="108">
        <f>SUM(AY58:BE58)</f>
        <v>0</v>
      </c>
      <c r="AY58" s="108"/>
      <c r="AZ58" s="108"/>
      <c r="BA58" s="108"/>
      <c r="BB58" s="108"/>
      <c r="BC58" s="108"/>
      <c r="BD58" s="108"/>
      <c r="BE58" s="359"/>
      <c r="BF58" s="109" t="s">
        <v>445</v>
      </c>
      <c r="BG58" s="116"/>
    </row>
    <row r="59" spans="1:59" ht="12.75" x14ac:dyDescent="0.2">
      <c r="A59" s="167"/>
      <c r="B59" s="127"/>
      <c r="C59" s="225"/>
      <c r="D59" s="226"/>
      <c r="E59" s="198" t="s">
        <v>224</v>
      </c>
      <c r="F59" s="107">
        <f t="shared" si="38"/>
        <v>16920</v>
      </c>
      <c r="G59" s="107">
        <f t="shared" si="39"/>
        <v>16920</v>
      </c>
      <c r="H59" s="108">
        <v>16920</v>
      </c>
      <c r="I59" s="108">
        <f t="shared" si="40"/>
        <v>16920</v>
      </c>
      <c r="J59" s="108">
        <f t="shared" si="41"/>
        <v>0</v>
      </c>
      <c r="K59" s="108"/>
      <c r="L59" s="108"/>
      <c r="M59" s="108"/>
      <c r="N59" s="108"/>
      <c r="O59" s="108"/>
      <c r="P59" s="108"/>
      <c r="Q59" s="108"/>
      <c r="R59" s="108"/>
      <c r="S59" s="108"/>
      <c r="T59" s="463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33"/>
      <c r="AH59" s="133"/>
      <c r="AI59" s="133"/>
      <c r="AJ59" s="133"/>
      <c r="AK59" s="133"/>
      <c r="AL59" s="133"/>
      <c r="AM59" s="133"/>
      <c r="AN59" s="479"/>
      <c r="AO59" s="133"/>
      <c r="AP59" s="133"/>
      <c r="AQ59" s="133"/>
      <c r="AR59" s="133"/>
      <c r="AS59" s="133"/>
      <c r="AT59" s="133"/>
      <c r="AU59" s="133"/>
      <c r="AV59" s="133"/>
      <c r="AW59" s="108">
        <f t="shared" si="48"/>
        <v>0</v>
      </c>
      <c r="AX59" s="108">
        <f>SUM(AY59:BE59)</f>
        <v>0</v>
      </c>
      <c r="AY59" s="108"/>
      <c r="AZ59" s="108"/>
      <c r="BA59" s="108"/>
      <c r="BB59" s="108"/>
      <c r="BC59" s="108"/>
      <c r="BD59" s="108"/>
      <c r="BE59" s="359"/>
      <c r="BF59" s="109" t="s">
        <v>446</v>
      </c>
      <c r="BG59" s="116"/>
    </row>
    <row r="60" spans="1:59" ht="12.75" x14ac:dyDescent="0.2">
      <c r="A60" s="167"/>
      <c r="B60" s="127"/>
      <c r="C60" s="225"/>
      <c r="D60" s="226"/>
      <c r="E60" s="198" t="s">
        <v>208</v>
      </c>
      <c r="F60" s="107">
        <f t="shared" si="38"/>
        <v>100000</v>
      </c>
      <c r="G60" s="107">
        <f t="shared" si="39"/>
        <v>0</v>
      </c>
      <c r="H60" s="108">
        <v>100000</v>
      </c>
      <c r="I60" s="108">
        <f t="shared" si="40"/>
        <v>0</v>
      </c>
      <c r="J60" s="108">
        <f t="shared" si="41"/>
        <v>-100000</v>
      </c>
      <c r="K60" s="108">
        <v>-100000</v>
      </c>
      <c r="L60" s="108"/>
      <c r="M60" s="108"/>
      <c r="N60" s="108"/>
      <c r="O60" s="108"/>
      <c r="P60" s="108"/>
      <c r="Q60" s="108"/>
      <c r="R60" s="108"/>
      <c r="S60" s="108"/>
      <c r="T60" s="463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33"/>
      <c r="AH60" s="133"/>
      <c r="AI60" s="133"/>
      <c r="AJ60" s="133"/>
      <c r="AK60" s="133"/>
      <c r="AL60" s="133"/>
      <c r="AM60" s="133"/>
      <c r="AN60" s="479"/>
      <c r="AO60" s="133"/>
      <c r="AP60" s="133"/>
      <c r="AQ60" s="133"/>
      <c r="AR60" s="133"/>
      <c r="AS60" s="133"/>
      <c r="AT60" s="133"/>
      <c r="AU60" s="133"/>
      <c r="AV60" s="133"/>
      <c r="AW60" s="108">
        <f t="shared" si="48"/>
        <v>0</v>
      </c>
      <c r="AX60" s="108">
        <f>SUM(AY60:BE60)</f>
        <v>0</v>
      </c>
      <c r="AY60" s="108"/>
      <c r="AZ60" s="108"/>
      <c r="BA60" s="108"/>
      <c r="BB60" s="108"/>
      <c r="BC60" s="108"/>
      <c r="BD60" s="108"/>
      <c r="BE60" s="359"/>
      <c r="BF60" s="109" t="s">
        <v>447</v>
      </c>
      <c r="BG60" s="116"/>
    </row>
    <row r="61" spans="1:59" s="429" customFormat="1" ht="48" x14ac:dyDescent="0.2">
      <c r="A61" s="167"/>
      <c r="B61" s="127"/>
      <c r="C61" s="427"/>
      <c r="D61" s="428"/>
      <c r="E61" s="198" t="s">
        <v>728</v>
      </c>
      <c r="F61" s="107">
        <f t="shared" si="38"/>
        <v>0</v>
      </c>
      <c r="G61" s="107">
        <f t="shared" si="39"/>
        <v>59140</v>
      </c>
      <c r="H61" s="108"/>
      <c r="I61" s="108">
        <f t="shared" ref="I61" si="79">H61+J61</f>
        <v>59140</v>
      </c>
      <c r="J61" s="108">
        <f t="shared" ref="J61" si="80">SUM(K61:V61)</f>
        <v>59140</v>
      </c>
      <c r="K61" s="108"/>
      <c r="L61" s="108"/>
      <c r="M61" s="108"/>
      <c r="N61" s="108"/>
      <c r="O61" s="108">
        <v>70000</v>
      </c>
      <c r="P61" s="108"/>
      <c r="Q61" s="108"/>
      <c r="R61" s="108">
        <v>-10860</v>
      </c>
      <c r="S61" s="108"/>
      <c r="T61" s="463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33"/>
      <c r="AH61" s="133"/>
      <c r="AI61" s="133"/>
      <c r="AJ61" s="133"/>
      <c r="AK61" s="133"/>
      <c r="AL61" s="133"/>
      <c r="AM61" s="133"/>
      <c r="AN61" s="479"/>
      <c r="AO61" s="133"/>
      <c r="AP61" s="133"/>
      <c r="AQ61" s="133"/>
      <c r="AR61" s="133"/>
      <c r="AS61" s="133"/>
      <c r="AT61" s="133"/>
      <c r="AU61" s="133"/>
      <c r="AV61" s="133"/>
      <c r="AW61" s="108"/>
      <c r="AX61" s="108"/>
      <c r="AY61" s="108"/>
      <c r="AZ61" s="108"/>
      <c r="BA61" s="108"/>
      <c r="BB61" s="108"/>
      <c r="BC61" s="108"/>
      <c r="BD61" s="108"/>
      <c r="BE61" s="359"/>
      <c r="BF61" s="109" t="s">
        <v>729</v>
      </c>
      <c r="BG61" s="116"/>
    </row>
    <row r="62" spans="1:59" ht="24" x14ac:dyDescent="0.2">
      <c r="A62" s="167"/>
      <c r="B62" s="127"/>
      <c r="C62" s="164"/>
      <c r="D62" s="165"/>
      <c r="E62" s="198" t="s">
        <v>314</v>
      </c>
      <c r="F62" s="107">
        <f t="shared" si="38"/>
        <v>463545</v>
      </c>
      <c r="G62" s="107">
        <f t="shared" si="39"/>
        <v>463545</v>
      </c>
      <c r="H62" s="108"/>
      <c r="I62" s="108">
        <f t="shared" si="40"/>
        <v>0</v>
      </c>
      <c r="J62" s="108">
        <f t="shared" si="41"/>
        <v>0</v>
      </c>
      <c r="K62" s="108"/>
      <c r="L62" s="108"/>
      <c r="M62" s="108"/>
      <c r="N62" s="108"/>
      <c r="O62" s="108"/>
      <c r="P62" s="108"/>
      <c r="Q62" s="108"/>
      <c r="R62" s="108"/>
      <c r="S62" s="108"/>
      <c r="T62" s="463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463"/>
      <c r="AO62" s="108">
        <f>220545+243000</f>
        <v>463545</v>
      </c>
      <c r="AP62" s="133"/>
      <c r="AQ62" s="133"/>
      <c r="AR62" s="133"/>
      <c r="AS62" s="133"/>
      <c r="AT62" s="133"/>
      <c r="AU62" s="133"/>
      <c r="AV62" s="133"/>
      <c r="AW62" s="108">
        <f t="shared" si="48"/>
        <v>0</v>
      </c>
      <c r="AX62" s="108">
        <f>SUM(AY62:BE62)</f>
        <v>0</v>
      </c>
      <c r="AY62" s="108"/>
      <c r="AZ62" s="108"/>
      <c r="BA62" s="108"/>
      <c r="BB62" s="108"/>
      <c r="BC62" s="108"/>
      <c r="BD62" s="108"/>
      <c r="BE62" s="359"/>
      <c r="BF62" s="109"/>
      <c r="BG62" s="116"/>
    </row>
    <row r="63" spans="1:59" ht="36" x14ac:dyDescent="0.2">
      <c r="A63" s="167"/>
      <c r="B63" s="127"/>
      <c r="C63" s="164"/>
      <c r="D63" s="165"/>
      <c r="E63" s="198" t="s">
        <v>310</v>
      </c>
      <c r="F63" s="107">
        <f t="shared" si="38"/>
        <v>256117</v>
      </c>
      <c r="G63" s="107">
        <f t="shared" si="39"/>
        <v>256117</v>
      </c>
      <c r="H63" s="108"/>
      <c r="I63" s="108">
        <f t="shared" si="40"/>
        <v>0</v>
      </c>
      <c r="J63" s="108">
        <f t="shared" si="41"/>
        <v>0</v>
      </c>
      <c r="K63" s="108"/>
      <c r="L63" s="108"/>
      <c r="M63" s="108"/>
      <c r="N63" s="108"/>
      <c r="O63" s="108"/>
      <c r="P63" s="108"/>
      <c r="Q63" s="108"/>
      <c r="R63" s="108"/>
      <c r="S63" s="108"/>
      <c r="T63" s="463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463"/>
      <c r="AO63" s="108">
        <v>256117</v>
      </c>
      <c r="AP63" s="133"/>
      <c r="AQ63" s="133"/>
      <c r="AR63" s="133"/>
      <c r="AS63" s="133"/>
      <c r="AT63" s="133"/>
      <c r="AU63" s="133"/>
      <c r="AV63" s="133"/>
      <c r="AW63" s="108">
        <f t="shared" si="48"/>
        <v>0</v>
      </c>
      <c r="AX63" s="108">
        <f>SUM(AY63:BE63)</f>
        <v>0</v>
      </c>
      <c r="AY63" s="108"/>
      <c r="AZ63" s="108"/>
      <c r="BA63" s="108"/>
      <c r="BB63" s="108"/>
      <c r="BC63" s="108"/>
      <c r="BD63" s="108"/>
      <c r="BE63" s="359"/>
      <c r="BF63" s="109"/>
      <c r="BG63" s="116"/>
    </row>
    <row r="64" spans="1:59" ht="36" x14ac:dyDescent="0.2">
      <c r="A64" s="167"/>
      <c r="B64" s="127"/>
      <c r="C64" s="164"/>
      <c r="D64" s="165"/>
      <c r="E64" s="198" t="s">
        <v>315</v>
      </c>
      <c r="F64" s="107">
        <f t="shared" si="38"/>
        <v>933102</v>
      </c>
      <c r="G64" s="107">
        <f t="shared" si="39"/>
        <v>933102</v>
      </c>
      <c r="H64" s="108"/>
      <c r="I64" s="108">
        <f t="shared" si="40"/>
        <v>0</v>
      </c>
      <c r="J64" s="108">
        <f t="shared" si="41"/>
        <v>0</v>
      </c>
      <c r="K64" s="108"/>
      <c r="L64" s="108"/>
      <c r="M64" s="108"/>
      <c r="N64" s="108"/>
      <c r="O64" s="108"/>
      <c r="P64" s="108"/>
      <c r="Q64" s="108"/>
      <c r="R64" s="108"/>
      <c r="S64" s="108"/>
      <c r="T64" s="463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463"/>
      <c r="AO64" s="108">
        <f>320000+613102</f>
        <v>933102</v>
      </c>
      <c r="AP64" s="133"/>
      <c r="AQ64" s="133"/>
      <c r="AR64" s="133"/>
      <c r="AS64" s="133"/>
      <c r="AT64" s="133"/>
      <c r="AU64" s="133"/>
      <c r="AV64" s="133"/>
      <c r="AW64" s="108">
        <f t="shared" si="48"/>
        <v>0</v>
      </c>
      <c r="AX64" s="108">
        <f>SUM(AY64:BE64)</f>
        <v>0</v>
      </c>
      <c r="AY64" s="108"/>
      <c r="AZ64" s="108"/>
      <c r="BA64" s="108"/>
      <c r="BB64" s="108"/>
      <c r="BC64" s="108"/>
      <c r="BD64" s="108"/>
      <c r="BE64" s="359"/>
      <c r="BF64" s="109"/>
      <c r="BG64" s="116"/>
    </row>
    <row r="65" spans="1:59" s="449" customFormat="1" ht="36" x14ac:dyDescent="0.2">
      <c r="A65" s="167">
        <v>90000056554</v>
      </c>
      <c r="B65" s="127"/>
      <c r="C65" s="533" t="s">
        <v>624</v>
      </c>
      <c r="D65" s="534"/>
      <c r="E65" s="450" t="s">
        <v>748</v>
      </c>
      <c r="F65" s="107">
        <f t="shared" ref="F65" si="81">H65+W65+AF65+AO65+AP65+AV65</f>
        <v>0</v>
      </c>
      <c r="G65" s="107">
        <f t="shared" ref="G65" si="82">I65+X65+AG65+AO65+AQ65+AW65</f>
        <v>18860</v>
      </c>
      <c r="H65" s="263"/>
      <c r="I65" s="108">
        <f t="shared" ref="I65" si="83">H65+J65</f>
        <v>18860</v>
      </c>
      <c r="J65" s="108">
        <f t="shared" ref="J65" si="84">SUM(K65:V65)</f>
        <v>18860</v>
      </c>
      <c r="K65" s="263"/>
      <c r="L65" s="263"/>
      <c r="M65" s="263"/>
      <c r="N65" s="263"/>
      <c r="O65" s="263"/>
      <c r="P65" s="263"/>
      <c r="Q65" s="263">
        <v>18860</v>
      </c>
      <c r="R65" s="263"/>
      <c r="S65" s="263"/>
      <c r="T65" s="466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4"/>
      <c r="AH65" s="264"/>
      <c r="AI65" s="264"/>
      <c r="AJ65" s="264"/>
      <c r="AK65" s="264"/>
      <c r="AL65" s="264"/>
      <c r="AM65" s="264"/>
      <c r="AN65" s="482"/>
      <c r="AO65" s="264"/>
      <c r="AP65" s="264"/>
      <c r="AQ65" s="264"/>
      <c r="AR65" s="264"/>
      <c r="AS65" s="264"/>
      <c r="AT65" s="264"/>
      <c r="AU65" s="264"/>
      <c r="AV65" s="264"/>
      <c r="AW65" s="108">
        <f t="shared" ref="AW65" si="85">AX65+AV65</f>
        <v>0</v>
      </c>
      <c r="AX65" s="108">
        <f>SUM(AY65:BE65)</f>
        <v>0</v>
      </c>
      <c r="AY65" s="263"/>
      <c r="AZ65" s="263"/>
      <c r="BA65" s="263"/>
      <c r="BB65" s="263"/>
      <c r="BC65" s="263"/>
      <c r="BD65" s="263"/>
      <c r="BE65" s="362"/>
      <c r="BF65" s="109" t="s">
        <v>749</v>
      </c>
      <c r="BG65" s="119"/>
    </row>
    <row r="66" spans="1:59" ht="13.5" thickBot="1" x14ac:dyDescent="0.25">
      <c r="A66" s="147"/>
      <c r="B66" s="354"/>
      <c r="C66" s="544"/>
      <c r="D66" s="545"/>
      <c r="E66" s="355"/>
      <c r="F66" s="262"/>
      <c r="G66" s="262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466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4"/>
      <c r="AH66" s="264"/>
      <c r="AI66" s="264"/>
      <c r="AJ66" s="264"/>
      <c r="AK66" s="264"/>
      <c r="AL66" s="264"/>
      <c r="AM66" s="264"/>
      <c r="AN66" s="482"/>
      <c r="AO66" s="264"/>
      <c r="AP66" s="264"/>
      <c r="AQ66" s="264"/>
      <c r="AR66" s="264"/>
      <c r="AS66" s="264"/>
      <c r="AT66" s="264"/>
      <c r="AU66" s="264"/>
      <c r="AV66" s="264"/>
      <c r="AW66" s="263"/>
      <c r="AX66" s="263"/>
      <c r="AY66" s="263"/>
      <c r="AZ66" s="263"/>
      <c r="BA66" s="263"/>
      <c r="BB66" s="263"/>
      <c r="BC66" s="263"/>
      <c r="BD66" s="263"/>
      <c r="BE66" s="362"/>
      <c r="BF66" s="274"/>
      <c r="BG66" s="119"/>
    </row>
    <row r="67" spans="1:59" ht="12.75" thickBot="1" x14ac:dyDescent="0.25">
      <c r="A67" s="220"/>
      <c r="B67" s="536" t="s">
        <v>9</v>
      </c>
      <c r="C67" s="536"/>
      <c r="D67" s="217" t="s">
        <v>10</v>
      </c>
      <c r="E67" s="15"/>
      <c r="F67" s="9">
        <f t="shared" ref="F67:BE67" si="86">SUM(F68:F79)</f>
        <v>9103223</v>
      </c>
      <c r="G67" s="9">
        <f t="shared" si="86"/>
        <v>9128789</v>
      </c>
      <c r="H67" s="9">
        <f t="shared" si="86"/>
        <v>8256318</v>
      </c>
      <c r="I67" s="9">
        <f t="shared" si="86"/>
        <v>8221109</v>
      </c>
      <c r="J67" s="9">
        <f t="shared" si="86"/>
        <v>-35209</v>
      </c>
      <c r="K67" s="9">
        <f>SUM(K68:K79)</f>
        <v>-63923</v>
      </c>
      <c r="L67" s="9">
        <f t="shared" si="86"/>
        <v>0</v>
      </c>
      <c r="M67" s="9">
        <f t="shared" si="86"/>
        <v>12680</v>
      </c>
      <c r="N67" s="9">
        <f t="shared" si="86"/>
        <v>-20000</v>
      </c>
      <c r="O67" s="9">
        <f t="shared" si="86"/>
        <v>6816</v>
      </c>
      <c r="P67" s="9">
        <f t="shared" si="86"/>
        <v>0</v>
      </c>
      <c r="Q67" s="9">
        <f t="shared" si="86"/>
        <v>24000</v>
      </c>
      <c r="R67" s="9">
        <f t="shared" si="86"/>
        <v>0</v>
      </c>
      <c r="S67" s="9">
        <f t="shared" si="86"/>
        <v>0</v>
      </c>
      <c r="T67" s="462">
        <f t="shared" si="86"/>
        <v>5218</v>
      </c>
      <c r="U67" s="9">
        <f t="shared" si="86"/>
        <v>0</v>
      </c>
      <c r="V67" s="9">
        <f t="shared" si="86"/>
        <v>0</v>
      </c>
      <c r="W67" s="9">
        <f t="shared" si="86"/>
        <v>647702</v>
      </c>
      <c r="X67" s="9">
        <f t="shared" si="86"/>
        <v>708477</v>
      </c>
      <c r="Y67" s="9">
        <f t="shared" si="86"/>
        <v>60775</v>
      </c>
      <c r="Z67" s="9">
        <f t="shared" si="86"/>
        <v>60775</v>
      </c>
      <c r="AA67" s="9">
        <f t="shared" si="86"/>
        <v>0</v>
      </c>
      <c r="AB67" s="9">
        <f t="shared" si="86"/>
        <v>0</v>
      </c>
      <c r="AC67" s="9">
        <f t="shared" si="86"/>
        <v>0</v>
      </c>
      <c r="AD67" s="9">
        <f t="shared" si="86"/>
        <v>0</v>
      </c>
      <c r="AE67" s="9">
        <f t="shared" si="86"/>
        <v>0</v>
      </c>
      <c r="AF67" s="9">
        <f t="shared" si="86"/>
        <v>0</v>
      </c>
      <c r="AG67" s="9">
        <f t="shared" si="86"/>
        <v>0</v>
      </c>
      <c r="AH67" s="9">
        <f t="shared" si="86"/>
        <v>0</v>
      </c>
      <c r="AI67" s="9">
        <f t="shared" si="86"/>
        <v>0</v>
      </c>
      <c r="AJ67" s="9">
        <f t="shared" si="86"/>
        <v>0</v>
      </c>
      <c r="AK67" s="9">
        <f t="shared" si="86"/>
        <v>0</v>
      </c>
      <c r="AL67" s="9">
        <f t="shared" si="86"/>
        <v>0</v>
      </c>
      <c r="AM67" s="9">
        <f t="shared" si="86"/>
        <v>0</v>
      </c>
      <c r="AN67" s="462">
        <f t="shared" si="86"/>
        <v>0</v>
      </c>
      <c r="AO67" s="9">
        <f t="shared" si="86"/>
        <v>199203</v>
      </c>
      <c r="AP67" s="131">
        <f t="shared" si="86"/>
        <v>0</v>
      </c>
      <c r="AQ67" s="131">
        <f t="shared" si="86"/>
        <v>0</v>
      </c>
      <c r="AR67" s="131">
        <f t="shared" si="86"/>
        <v>0</v>
      </c>
      <c r="AS67" s="131">
        <f t="shared" si="86"/>
        <v>0</v>
      </c>
      <c r="AT67" s="131">
        <f t="shared" si="86"/>
        <v>0</v>
      </c>
      <c r="AU67" s="131">
        <f t="shared" si="86"/>
        <v>0</v>
      </c>
      <c r="AV67" s="131">
        <f t="shared" si="86"/>
        <v>0</v>
      </c>
      <c r="AW67" s="131">
        <f t="shared" si="86"/>
        <v>0</v>
      </c>
      <c r="AX67" s="131">
        <f t="shared" si="86"/>
        <v>0</v>
      </c>
      <c r="AY67" s="131">
        <f t="shared" si="86"/>
        <v>0</v>
      </c>
      <c r="AZ67" s="131">
        <f t="shared" si="86"/>
        <v>0</v>
      </c>
      <c r="BA67" s="131">
        <f t="shared" si="86"/>
        <v>0</v>
      </c>
      <c r="BB67" s="131">
        <f>SUM(BB68:BB79)</f>
        <v>0</v>
      </c>
      <c r="BC67" s="131">
        <f t="shared" ref="BC67" si="87">SUM(BC68:BC79)</f>
        <v>0</v>
      </c>
      <c r="BD67" s="131">
        <f t="shared" si="86"/>
        <v>0</v>
      </c>
      <c r="BE67" s="131">
        <f t="shared" si="86"/>
        <v>0</v>
      </c>
      <c r="BF67" s="17"/>
      <c r="BG67" s="118"/>
    </row>
    <row r="68" spans="1:59" ht="24.75" thickTop="1" x14ac:dyDescent="0.2">
      <c r="A68" s="167">
        <v>90000056357</v>
      </c>
      <c r="B68" s="231"/>
      <c r="C68" s="531" t="s">
        <v>5</v>
      </c>
      <c r="D68" s="532"/>
      <c r="E68" s="238" t="s">
        <v>342</v>
      </c>
      <c r="F68" s="112">
        <f t="shared" ref="F68:F78" si="88">H68+W68+AF68+AO68+AP68+AV68</f>
        <v>24255</v>
      </c>
      <c r="G68" s="112">
        <f t="shared" ref="G68:G78" si="89">I68+X68+AG68+AO68+AQ68+AW68</f>
        <v>24255</v>
      </c>
      <c r="H68" s="111">
        <v>24255</v>
      </c>
      <c r="I68" s="111">
        <f t="shared" ref="I68:I78" si="90">H68+J68</f>
        <v>24255</v>
      </c>
      <c r="J68" s="111">
        <f t="shared" ref="J68:J78" si="91">SUM(K68:V68)</f>
        <v>0</v>
      </c>
      <c r="K68" s="111"/>
      <c r="L68" s="111"/>
      <c r="M68" s="111"/>
      <c r="N68" s="111"/>
      <c r="O68" s="111"/>
      <c r="P68" s="111"/>
      <c r="Q68" s="111"/>
      <c r="R68" s="111"/>
      <c r="S68" s="111"/>
      <c r="T68" s="467"/>
      <c r="U68" s="111"/>
      <c r="V68" s="111"/>
      <c r="W68" s="111">
        <v>0</v>
      </c>
      <c r="X68" s="111">
        <f t="shared" ref="X68:X77" si="92">W68+Y68</f>
        <v>0</v>
      </c>
      <c r="Y68" s="111">
        <f t="shared" ref="Y68:Y77" si="93">SUM(Z68:AE68)</f>
        <v>0</v>
      </c>
      <c r="Z68" s="111"/>
      <c r="AA68" s="111"/>
      <c r="AB68" s="111"/>
      <c r="AC68" s="111"/>
      <c r="AD68" s="111"/>
      <c r="AE68" s="111"/>
      <c r="AF68" s="111">
        <v>0</v>
      </c>
      <c r="AG68" s="134">
        <f t="shared" ref="AG68:AG77" si="94">AH68+AF68</f>
        <v>0</v>
      </c>
      <c r="AH68" s="134">
        <f t="shared" ref="AH68:AH77" si="95">SUM(AI68:AN68)</f>
        <v>0</v>
      </c>
      <c r="AI68" s="134"/>
      <c r="AJ68" s="134"/>
      <c r="AK68" s="134"/>
      <c r="AL68" s="134"/>
      <c r="AM68" s="134"/>
      <c r="AN68" s="483"/>
      <c r="AO68" s="134"/>
      <c r="AP68" s="134">
        <v>0</v>
      </c>
      <c r="AQ68" s="134">
        <f t="shared" ref="AQ68:AQ77" si="96">AR68+AP68</f>
        <v>0</v>
      </c>
      <c r="AR68" s="134">
        <f t="shared" ref="AR68:AR77" si="97">SUM(AS68:AU68)</f>
        <v>0</v>
      </c>
      <c r="AS68" s="134"/>
      <c r="AT68" s="134"/>
      <c r="AU68" s="134"/>
      <c r="AV68" s="134"/>
      <c r="AW68" s="111">
        <f t="shared" ref="AW68:AW78" si="98">AX68+AV68</f>
        <v>0</v>
      </c>
      <c r="AX68" s="111">
        <f t="shared" ref="AX68:AX78" si="99">SUM(AY68:BE68)</f>
        <v>0</v>
      </c>
      <c r="AY68" s="111"/>
      <c r="AZ68" s="111"/>
      <c r="BA68" s="111"/>
      <c r="BB68" s="111"/>
      <c r="BC68" s="111"/>
      <c r="BD68" s="111"/>
      <c r="BE68" s="363"/>
      <c r="BF68" s="272" t="s">
        <v>439</v>
      </c>
      <c r="BG68" s="212" t="s">
        <v>593</v>
      </c>
    </row>
    <row r="69" spans="1:59" s="210" customFormat="1" ht="36" x14ac:dyDescent="0.2">
      <c r="A69" s="167"/>
      <c r="B69" s="202"/>
      <c r="C69" s="236"/>
      <c r="D69" s="237"/>
      <c r="E69" s="106" t="s">
        <v>343</v>
      </c>
      <c r="F69" s="107">
        <f t="shared" si="88"/>
        <v>29500</v>
      </c>
      <c r="G69" s="107">
        <f t="shared" si="89"/>
        <v>47994</v>
      </c>
      <c r="H69" s="108">
        <v>29500</v>
      </c>
      <c r="I69" s="108">
        <f t="shared" si="90"/>
        <v>47994</v>
      </c>
      <c r="J69" s="108">
        <f t="shared" si="91"/>
        <v>18494</v>
      </c>
      <c r="K69" s="108"/>
      <c r="L69" s="108"/>
      <c r="M69" s="108">
        <v>12680</v>
      </c>
      <c r="N69" s="108"/>
      <c r="O69" s="108">
        <v>5814</v>
      </c>
      <c r="P69" s="108"/>
      <c r="Q69" s="108"/>
      <c r="R69" s="108"/>
      <c r="S69" s="108"/>
      <c r="T69" s="463"/>
      <c r="U69" s="108"/>
      <c r="V69" s="108"/>
      <c r="W69" s="108">
        <v>0</v>
      </c>
      <c r="X69" s="108">
        <f t="shared" si="92"/>
        <v>0</v>
      </c>
      <c r="Y69" s="108">
        <f t="shared" si="93"/>
        <v>0</v>
      </c>
      <c r="Z69" s="108"/>
      <c r="AA69" s="108"/>
      <c r="AB69" s="108"/>
      <c r="AC69" s="108"/>
      <c r="AD69" s="108"/>
      <c r="AE69" s="108"/>
      <c r="AF69" s="108">
        <v>0</v>
      </c>
      <c r="AG69" s="133">
        <f t="shared" si="94"/>
        <v>0</v>
      </c>
      <c r="AH69" s="133">
        <f t="shared" si="95"/>
        <v>0</v>
      </c>
      <c r="AI69" s="133"/>
      <c r="AJ69" s="133"/>
      <c r="AK69" s="133"/>
      <c r="AL69" s="133"/>
      <c r="AM69" s="133"/>
      <c r="AN69" s="479"/>
      <c r="AO69" s="133"/>
      <c r="AP69" s="133">
        <v>0</v>
      </c>
      <c r="AQ69" s="133">
        <f t="shared" si="96"/>
        <v>0</v>
      </c>
      <c r="AR69" s="133">
        <f t="shared" si="97"/>
        <v>0</v>
      </c>
      <c r="AS69" s="133"/>
      <c r="AT69" s="133"/>
      <c r="AU69" s="133"/>
      <c r="AV69" s="133"/>
      <c r="AW69" s="108">
        <f t="shared" si="98"/>
        <v>0</v>
      </c>
      <c r="AX69" s="108">
        <f t="shared" si="99"/>
        <v>0</v>
      </c>
      <c r="AY69" s="108"/>
      <c r="AZ69" s="108"/>
      <c r="BA69" s="108"/>
      <c r="BB69" s="108"/>
      <c r="BC69" s="108"/>
      <c r="BD69" s="108"/>
      <c r="BE69" s="359"/>
      <c r="BF69" s="109" t="s">
        <v>440</v>
      </c>
      <c r="BG69" s="116" t="s">
        <v>593</v>
      </c>
    </row>
    <row r="70" spans="1:59" s="210" customFormat="1" ht="36" x14ac:dyDescent="0.2">
      <c r="A70" s="167"/>
      <c r="C70" s="214"/>
      <c r="D70" s="215"/>
      <c r="E70" s="222" t="s">
        <v>249</v>
      </c>
      <c r="F70" s="94">
        <f t="shared" si="88"/>
        <v>24274</v>
      </c>
      <c r="G70" s="94">
        <f t="shared" si="89"/>
        <v>28509</v>
      </c>
      <c r="H70" s="95">
        <v>24274</v>
      </c>
      <c r="I70" s="95">
        <f t="shared" si="90"/>
        <v>28509</v>
      </c>
      <c r="J70" s="95">
        <f t="shared" si="91"/>
        <v>4235</v>
      </c>
      <c r="K70" s="95"/>
      <c r="L70" s="95"/>
      <c r="M70" s="95"/>
      <c r="N70" s="95"/>
      <c r="O70" s="95">
        <v>4235</v>
      </c>
      <c r="P70" s="95"/>
      <c r="Q70" s="95"/>
      <c r="R70" s="95"/>
      <c r="S70" s="95"/>
      <c r="T70" s="464"/>
      <c r="U70" s="95"/>
      <c r="V70" s="95"/>
      <c r="W70" s="95">
        <v>0</v>
      </c>
      <c r="X70" s="95">
        <f t="shared" si="92"/>
        <v>0</v>
      </c>
      <c r="Y70" s="95">
        <f t="shared" si="93"/>
        <v>0</v>
      </c>
      <c r="Z70" s="95"/>
      <c r="AA70" s="95"/>
      <c r="AB70" s="95"/>
      <c r="AC70" s="95"/>
      <c r="AD70" s="95"/>
      <c r="AE70" s="95"/>
      <c r="AF70" s="95">
        <v>0</v>
      </c>
      <c r="AG70" s="132">
        <f t="shared" si="94"/>
        <v>0</v>
      </c>
      <c r="AH70" s="132">
        <f t="shared" si="95"/>
        <v>0</v>
      </c>
      <c r="AI70" s="132"/>
      <c r="AJ70" s="132"/>
      <c r="AK70" s="132"/>
      <c r="AL70" s="132"/>
      <c r="AM70" s="132"/>
      <c r="AN70" s="480"/>
      <c r="AO70" s="132"/>
      <c r="AP70" s="132">
        <v>0</v>
      </c>
      <c r="AQ70" s="132">
        <f t="shared" si="96"/>
        <v>0</v>
      </c>
      <c r="AR70" s="132">
        <f t="shared" si="97"/>
        <v>0</v>
      </c>
      <c r="AS70" s="132"/>
      <c r="AT70" s="132"/>
      <c r="AU70" s="132"/>
      <c r="AV70" s="132"/>
      <c r="AW70" s="95">
        <f t="shared" si="98"/>
        <v>0</v>
      </c>
      <c r="AX70" s="95">
        <f t="shared" si="99"/>
        <v>0</v>
      </c>
      <c r="AY70" s="95"/>
      <c r="AZ70" s="95"/>
      <c r="BA70" s="95"/>
      <c r="BB70" s="95"/>
      <c r="BC70" s="95"/>
      <c r="BD70" s="95"/>
      <c r="BE70" s="360"/>
      <c r="BF70" s="109" t="s">
        <v>441</v>
      </c>
      <c r="BG70" s="116" t="s">
        <v>593</v>
      </c>
    </row>
    <row r="71" spans="1:59" ht="36" x14ac:dyDescent="0.2">
      <c r="A71" s="167"/>
      <c r="B71" s="127"/>
      <c r="C71" s="161"/>
      <c r="D71" s="162"/>
      <c r="E71" s="106" t="s">
        <v>260</v>
      </c>
      <c r="F71" s="107">
        <f t="shared" si="88"/>
        <v>2352564</v>
      </c>
      <c r="G71" s="107">
        <f t="shared" si="89"/>
        <v>2358549</v>
      </c>
      <c r="H71" s="108">
        <v>2352564</v>
      </c>
      <c r="I71" s="108">
        <f t="shared" si="90"/>
        <v>2358549</v>
      </c>
      <c r="J71" s="108">
        <f t="shared" si="91"/>
        <v>5985</v>
      </c>
      <c r="K71" s="108"/>
      <c r="L71" s="108"/>
      <c r="M71" s="108"/>
      <c r="N71" s="108">
        <v>-20000</v>
      </c>
      <c r="O71" s="108">
        <f>20000-23233</f>
        <v>-3233</v>
      </c>
      <c r="P71" s="108"/>
      <c r="Q71" s="108">
        <v>24000</v>
      </c>
      <c r="R71" s="108"/>
      <c r="S71" s="108"/>
      <c r="T71" s="463">
        <v>5218</v>
      </c>
      <c r="U71" s="108"/>
      <c r="V71" s="108"/>
      <c r="W71" s="108">
        <v>0</v>
      </c>
      <c r="X71" s="108">
        <f t="shared" si="92"/>
        <v>0</v>
      </c>
      <c r="Y71" s="108">
        <f t="shared" si="93"/>
        <v>0</v>
      </c>
      <c r="Z71" s="108"/>
      <c r="AA71" s="108"/>
      <c r="AB71" s="108"/>
      <c r="AC71" s="108"/>
      <c r="AD71" s="108"/>
      <c r="AE71" s="108"/>
      <c r="AF71" s="108">
        <v>0</v>
      </c>
      <c r="AG71" s="133">
        <f t="shared" si="94"/>
        <v>0</v>
      </c>
      <c r="AH71" s="133">
        <f t="shared" si="95"/>
        <v>0</v>
      </c>
      <c r="AI71" s="133"/>
      <c r="AJ71" s="133"/>
      <c r="AK71" s="133"/>
      <c r="AL71" s="133"/>
      <c r="AM71" s="133"/>
      <c r="AN71" s="479"/>
      <c r="AO71" s="133"/>
      <c r="AP71" s="133">
        <v>0</v>
      </c>
      <c r="AQ71" s="133">
        <f t="shared" si="96"/>
        <v>0</v>
      </c>
      <c r="AR71" s="133">
        <f t="shared" si="97"/>
        <v>0</v>
      </c>
      <c r="AS71" s="133"/>
      <c r="AT71" s="133"/>
      <c r="AU71" s="133"/>
      <c r="AV71" s="133"/>
      <c r="AW71" s="108">
        <f t="shared" si="98"/>
        <v>0</v>
      </c>
      <c r="AX71" s="108">
        <f t="shared" si="99"/>
        <v>0</v>
      </c>
      <c r="AY71" s="108"/>
      <c r="AZ71" s="108"/>
      <c r="BA71" s="108"/>
      <c r="BB71" s="108"/>
      <c r="BC71" s="108"/>
      <c r="BD71" s="108"/>
      <c r="BE71" s="359"/>
      <c r="BF71" s="109" t="s">
        <v>442</v>
      </c>
      <c r="BG71" s="116" t="s">
        <v>602</v>
      </c>
    </row>
    <row r="72" spans="1:59" ht="36" x14ac:dyDescent="0.2">
      <c r="A72" s="167"/>
      <c r="B72" s="127"/>
      <c r="C72" s="161"/>
      <c r="D72" s="162"/>
      <c r="E72" s="106" t="s">
        <v>409</v>
      </c>
      <c r="F72" s="107">
        <f t="shared" si="88"/>
        <v>1705494</v>
      </c>
      <c r="G72" s="107">
        <f t="shared" si="89"/>
        <v>1705494</v>
      </c>
      <c r="H72" s="108">
        <v>1057792</v>
      </c>
      <c r="I72" s="108">
        <f t="shared" si="90"/>
        <v>997017</v>
      </c>
      <c r="J72" s="108">
        <f t="shared" si="91"/>
        <v>-60775</v>
      </c>
      <c r="K72" s="108">
        <f>-94875+34100</f>
        <v>-60775</v>
      </c>
      <c r="L72" s="108"/>
      <c r="M72" s="108"/>
      <c r="N72" s="108"/>
      <c r="O72" s="108"/>
      <c r="P72" s="108"/>
      <c r="Q72" s="108"/>
      <c r="R72" s="108"/>
      <c r="S72" s="108"/>
      <c r="T72" s="463"/>
      <c r="U72" s="108"/>
      <c r="V72" s="108"/>
      <c r="W72" s="108">
        <v>647702</v>
      </c>
      <c r="X72" s="108">
        <f t="shared" si="92"/>
        <v>708477</v>
      </c>
      <c r="Y72" s="108">
        <f t="shared" si="93"/>
        <v>60775</v>
      </c>
      <c r="Z72" s="108">
        <f>94875-34100</f>
        <v>60775</v>
      </c>
      <c r="AA72" s="108"/>
      <c r="AB72" s="108"/>
      <c r="AC72" s="108"/>
      <c r="AD72" s="108"/>
      <c r="AE72" s="108"/>
      <c r="AF72" s="108">
        <v>0</v>
      </c>
      <c r="AG72" s="133">
        <f t="shared" si="94"/>
        <v>0</v>
      </c>
      <c r="AH72" s="133">
        <f t="shared" si="95"/>
        <v>0</v>
      </c>
      <c r="AI72" s="133"/>
      <c r="AJ72" s="133"/>
      <c r="AK72" s="133"/>
      <c r="AL72" s="133"/>
      <c r="AM72" s="133"/>
      <c r="AN72" s="479"/>
      <c r="AO72" s="133"/>
      <c r="AP72" s="133">
        <v>0</v>
      </c>
      <c r="AQ72" s="133">
        <f t="shared" si="96"/>
        <v>0</v>
      </c>
      <c r="AR72" s="133">
        <f t="shared" si="97"/>
        <v>0</v>
      </c>
      <c r="AS72" s="133"/>
      <c r="AT72" s="133"/>
      <c r="AU72" s="133"/>
      <c r="AV72" s="133"/>
      <c r="AW72" s="108">
        <f t="shared" si="98"/>
        <v>0</v>
      </c>
      <c r="AX72" s="108">
        <f t="shared" si="99"/>
        <v>0</v>
      </c>
      <c r="AY72" s="108"/>
      <c r="AZ72" s="108"/>
      <c r="BA72" s="108"/>
      <c r="BB72" s="108"/>
      <c r="BC72" s="108"/>
      <c r="BD72" s="108"/>
      <c r="BE72" s="359"/>
      <c r="BF72" s="109" t="s">
        <v>443</v>
      </c>
      <c r="BG72" s="116" t="s">
        <v>598</v>
      </c>
    </row>
    <row r="73" spans="1:59" ht="36" x14ac:dyDescent="0.2">
      <c r="A73" s="167">
        <v>40003275333</v>
      </c>
      <c r="B73" s="127"/>
      <c r="C73" s="533" t="s">
        <v>398</v>
      </c>
      <c r="D73" s="534"/>
      <c r="E73" s="106" t="s">
        <v>296</v>
      </c>
      <c r="F73" s="107">
        <f t="shared" si="88"/>
        <v>466010</v>
      </c>
      <c r="G73" s="107">
        <f t="shared" si="89"/>
        <v>466010</v>
      </c>
      <c r="H73" s="108">
        <v>466010</v>
      </c>
      <c r="I73" s="108">
        <f t="shared" si="90"/>
        <v>466010</v>
      </c>
      <c r="J73" s="108">
        <f t="shared" si="91"/>
        <v>0</v>
      </c>
      <c r="K73" s="108"/>
      <c r="L73" s="108"/>
      <c r="M73" s="108"/>
      <c r="N73" s="108"/>
      <c r="O73" s="108"/>
      <c r="P73" s="108"/>
      <c r="Q73" s="108"/>
      <c r="R73" s="108"/>
      <c r="S73" s="108"/>
      <c r="T73" s="463"/>
      <c r="U73" s="108"/>
      <c r="V73" s="108"/>
      <c r="W73" s="108">
        <v>0</v>
      </c>
      <c r="X73" s="108">
        <f t="shared" si="92"/>
        <v>0</v>
      </c>
      <c r="Y73" s="108">
        <f t="shared" si="93"/>
        <v>0</v>
      </c>
      <c r="Z73" s="108"/>
      <c r="AA73" s="108"/>
      <c r="AB73" s="108"/>
      <c r="AC73" s="108"/>
      <c r="AD73" s="108"/>
      <c r="AE73" s="108"/>
      <c r="AF73" s="108">
        <v>0</v>
      </c>
      <c r="AG73" s="133">
        <f t="shared" si="94"/>
        <v>0</v>
      </c>
      <c r="AH73" s="133">
        <f t="shared" si="95"/>
        <v>0</v>
      </c>
      <c r="AI73" s="133"/>
      <c r="AJ73" s="133"/>
      <c r="AK73" s="133"/>
      <c r="AL73" s="133"/>
      <c r="AM73" s="133"/>
      <c r="AN73" s="479"/>
      <c r="AO73" s="133"/>
      <c r="AP73" s="133">
        <v>0</v>
      </c>
      <c r="AQ73" s="133">
        <f t="shared" si="96"/>
        <v>0</v>
      </c>
      <c r="AR73" s="133">
        <f t="shared" si="97"/>
        <v>0</v>
      </c>
      <c r="AS73" s="133"/>
      <c r="AT73" s="133"/>
      <c r="AU73" s="133"/>
      <c r="AV73" s="133"/>
      <c r="AW73" s="108">
        <f t="shared" si="98"/>
        <v>0</v>
      </c>
      <c r="AX73" s="108">
        <f t="shared" si="99"/>
        <v>0</v>
      </c>
      <c r="AY73" s="108"/>
      <c r="AZ73" s="108"/>
      <c r="BA73" s="108"/>
      <c r="BB73" s="108"/>
      <c r="BC73" s="108"/>
      <c r="BD73" s="108"/>
      <c r="BE73" s="359"/>
      <c r="BF73" s="109" t="s">
        <v>444</v>
      </c>
      <c r="BG73" s="116"/>
    </row>
    <row r="74" spans="1:59" ht="36" x14ac:dyDescent="0.2">
      <c r="A74" s="167"/>
      <c r="B74" s="127"/>
      <c r="C74" s="161"/>
      <c r="D74" s="162"/>
      <c r="E74" s="106" t="s">
        <v>406</v>
      </c>
      <c r="F74" s="107">
        <f t="shared" si="88"/>
        <v>177470</v>
      </c>
      <c r="G74" s="107">
        <f t="shared" si="89"/>
        <v>177470</v>
      </c>
      <c r="H74" s="108">
        <v>177470</v>
      </c>
      <c r="I74" s="108">
        <f t="shared" si="90"/>
        <v>177470</v>
      </c>
      <c r="J74" s="108">
        <f t="shared" si="91"/>
        <v>0</v>
      </c>
      <c r="K74" s="108"/>
      <c r="L74" s="108"/>
      <c r="M74" s="108"/>
      <c r="N74" s="108"/>
      <c r="O74" s="108"/>
      <c r="P74" s="108"/>
      <c r="Q74" s="108"/>
      <c r="R74" s="108"/>
      <c r="S74" s="108"/>
      <c r="T74" s="463"/>
      <c r="U74" s="108"/>
      <c r="V74" s="108"/>
      <c r="W74" s="108">
        <v>0</v>
      </c>
      <c r="X74" s="108">
        <f t="shared" si="92"/>
        <v>0</v>
      </c>
      <c r="Y74" s="108">
        <f t="shared" si="93"/>
        <v>0</v>
      </c>
      <c r="Z74" s="108"/>
      <c r="AA74" s="108"/>
      <c r="AB74" s="108"/>
      <c r="AC74" s="108"/>
      <c r="AD74" s="108"/>
      <c r="AE74" s="108"/>
      <c r="AF74" s="108">
        <v>0</v>
      </c>
      <c r="AG74" s="133">
        <f t="shared" si="94"/>
        <v>0</v>
      </c>
      <c r="AH74" s="133">
        <f t="shared" si="95"/>
        <v>0</v>
      </c>
      <c r="AI74" s="133"/>
      <c r="AJ74" s="133"/>
      <c r="AK74" s="133"/>
      <c r="AL74" s="133"/>
      <c r="AM74" s="133"/>
      <c r="AN74" s="479"/>
      <c r="AO74" s="133"/>
      <c r="AP74" s="133">
        <v>0</v>
      </c>
      <c r="AQ74" s="133">
        <f t="shared" si="96"/>
        <v>0</v>
      </c>
      <c r="AR74" s="133">
        <f t="shared" si="97"/>
        <v>0</v>
      </c>
      <c r="AS74" s="133"/>
      <c r="AT74" s="133"/>
      <c r="AU74" s="133"/>
      <c r="AV74" s="133"/>
      <c r="AW74" s="108">
        <f t="shared" si="98"/>
        <v>0</v>
      </c>
      <c r="AX74" s="108">
        <f t="shared" si="99"/>
        <v>0</v>
      </c>
      <c r="AY74" s="108"/>
      <c r="AZ74" s="108"/>
      <c r="BA74" s="108"/>
      <c r="BB74" s="108"/>
      <c r="BC74" s="108"/>
      <c r="BD74" s="108"/>
      <c r="BE74" s="359"/>
      <c r="BF74" s="109" t="s">
        <v>471</v>
      </c>
      <c r="BG74" s="116"/>
    </row>
    <row r="75" spans="1:59" s="154" customFormat="1" ht="48" x14ac:dyDescent="0.2">
      <c r="A75" s="167"/>
      <c r="B75" s="127"/>
      <c r="C75" s="161"/>
      <c r="D75" s="162"/>
      <c r="E75" s="106" t="s">
        <v>295</v>
      </c>
      <c r="F75" s="107">
        <f t="shared" si="88"/>
        <v>1762790</v>
      </c>
      <c r="G75" s="107">
        <f t="shared" si="89"/>
        <v>1762790</v>
      </c>
      <c r="H75" s="108">
        <v>1762790</v>
      </c>
      <c r="I75" s="108">
        <f t="shared" si="90"/>
        <v>1762790</v>
      </c>
      <c r="J75" s="108">
        <f t="shared" si="91"/>
        <v>0</v>
      </c>
      <c r="K75" s="108"/>
      <c r="L75" s="108"/>
      <c r="M75" s="108"/>
      <c r="N75" s="108"/>
      <c r="O75" s="108"/>
      <c r="P75" s="108"/>
      <c r="Q75" s="108"/>
      <c r="R75" s="108"/>
      <c r="S75" s="108"/>
      <c r="T75" s="463"/>
      <c r="U75" s="108"/>
      <c r="V75" s="108"/>
      <c r="W75" s="108">
        <v>0</v>
      </c>
      <c r="X75" s="108">
        <f t="shared" si="92"/>
        <v>0</v>
      </c>
      <c r="Y75" s="108">
        <f t="shared" si="93"/>
        <v>0</v>
      </c>
      <c r="Z75" s="108"/>
      <c r="AA75" s="108"/>
      <c r="AB75" s="108"/>
      <c r="AC75" s="108"/>
      <c r="AD75" s="108"/>
      <c r="AE75" s="108"/>
      <c r="AF75" s="108">
        <v>0</v>
      </c>
      <c r="AG75" s="133">
        <f t="shared" si="94"/>
        <v>0</v>
      </c>
      <c r="AH75" s="133">
        <f t="shared" si="95"/>
        <v>0</v>
      </c>
      <c r="AI75" s="133"/>
      <c r="AJ75" s="133"/>
      <c r="AK75" s="133"/>
      <c r="AL75" s="133"/>
      <c r="AM75" s="133"/>
      <c r="AN75" s="479"/>
      <c r="AO75" s="133"/>
      <c r="AP75" s="133">
        <v>0</v>
      </c>
      <c r="AQ75" s="133">
        <f t="shared" si="96"/>
        <v>0</v>
      </c>
      <c r="AR75" s="133">
        <f t="shared" si="97"/>
        <v>0</v>
      </c>
      <c r="AS75" s="133"/>
      <c r="AT75" s="133"/>
      <c r="AU75" s="133"/>
      <c r="AV75" s="133"/>
      <c r="AW75" s="108">
        <f t="shared" si="98"/>
        <v>0</v>
      </c>
      <c r="AX75" s="108">
        <f t="shared" si="99"/>
        <v>0</v>
      </c>
      <c r="AY75" s="108"/>
      <c r="AZ75" s="108"/>
      <c r="BA75" s="108"/>
      <c r="BB75" s="108"/>
      <c r="BC75" s="108"/>
      <c r="BD75" s="108"/>
      <c r="BE75" s="359"/>
      <c r="BF75" s="109" t="s">
        <v>472</v>
      </c>
      <c r="BG75" s="116"/>
    </row>
    <row r="76" spans="1:59" s="287" customFormat="1" ht="48" x14ac:dyDescent="0.2">
      <c r="A76" s="167"/>
      <c r="B76" s="127"/>
      <c r="C76" s="285"/>
      <c r="D76" s="286"/>
      <c r="E76" s="106" t="s">
        <v>637</v>
      </c>
      <c r="F76" s="107">
        <f t="shared" si="88"/>
        <v>2312000</v>
      </c>
      <c r="G76" s="107">
        <f t="shared" si="89"/>
        <v>2312000</v>
      </c>
      <c r="H76" s="108">
        <v>2312000</v>
      </c>
      <c r="I76" s="108">
        <f t="shared" si="90"/>
        <v>2312000</v>
      </c>
      <c r="J76" s="108">
        <f t="shared" si="91"/>
        <v>0</v>
      </c>
      <c r="K76" s="108"/>
      <c r="L76" s="108"/>
      <c r="M76" s="108"/>
      <c r="N76" s="108"/>
      <c r="O76" s="108"/>
      <c r="P76" s="108"/>
      <c r="Q76" s="108"/>
      <c r="R76" s="108"/>
      <c r="S76" s="108"/>
      <c r="T76" s="463"/>
      <c r="U76" s="108"/>
      <c r="V76" s="108"/>
      <c r="W76" s="108">
        <v>0</v>
      </c>
      <c r="X76" s="108">
        <f t="shared" si="92"/>
        <v>0</v>
      </c>
      <c r="Y76" s="108">
        <f t="shared" si="93"/>
        <v>0</v>
      </c>
      <c r="Z76" s="108"/>
      <c r="AA76" s="108"/>
      <c r="AB76" s="108"/>
      <c r="AC76" s="108"/>
      <c r="AD76" s="108"/>
      <c r="AE76" s="108"/>
      <c r="AF76" s="108">
        <v>0</v>
      </c>
      <c r="AG76" s="133">
        <f t="shared" si="94"/>
        <v>0</v>
      </c>
      <c r="AH76" s="133">
        <f t="shared" si="95"/>
        <v>0</v>
      </c>
      <c r="AI76" s="133"/>
      <c r="AJ76" s="133"/>
      <c r="AK76" s="133"/>
      <c r="AL76" s="133"/>
      <c r="AM76" s="133"/>
      <c r="AN76" s="479"/>
      <c r="AO76" s="133"/>
      <c r="AP76" s="133">
        <v>0</v>
      </c>
      <c r="AQ76" s="133">
        <f t="shared" si="96"/>
        <v>0</v>
      </c>
      <c r="AR76" s="133">
        <f t="shared" si="97"/>
        <v>0</v>
      </c>
      <c r="AS76" s="133"/>
      <c r="AT76" s="133"/>
      <c r="AU76" s="133"/>
      <c r="AV76" s="133"/>
      <c r="AW76" s="108">
        <f t="shared" si="98"/>
        <v>0</v>
      </c>
      <c r="AX76" s="108">
        <f t="shared" si="99"/>
        <v>0</v>
      </c>
      <c r="AY76" s="108"/>
      <c r="AZ76" s="108"/>
      <c r="BA76" s="108"/>
      <c r="BB76" s="108"/>
      <c r="BC76" s="108"/>
      <c r="BD76" s="108"/>
      <c r="BE76" s="359"/>
      <c r="BF76" s="109" t="s">
        <v>473</v>
      </c>
      <c r="BG76" s="116"/>
    </row>
    <row r="77" spans="1:59" s="288" customFormat="1" ht="24" x14ac:dyDescent="0.2">
      <c r="A77" s="167"/>
      <c r="B77" s="127"/>
      <c r="C77" s="289"/>
      <c r="D77" s="290"/>
      <c r="E77" s="106" t="s">
        <v>357</v>
      </c>
      <c r="F77" s="107">
        <f t="shared" si="88"/>
        <v>49663</v>
      </c>
      <c r="G77" s="107">
        <f t="shared" si="89"/>
        <v>46515</v>
      </c>
      <c r="H77" s="108">
        <v>49663</v>
      </c>
      <c r="I77" s="108">
        <f t="shared" si="90"/>
        <v>46515</v>
      </c>
      <c r="J77" s="108">
        <f t="shared" si="91"/>
        <v>-3148</v>
      </c>
      <c r="K77" s="108">
        <v>-3148</v>
      </c>
      <c r="L77" s="108"/>
      <c r="M77" s="108"/>
      <c r="N77" s="108"/>
      <c r="O77" s="108"/>
      <c r="P77" s="108"/>
      <c r="Q77" s="108"/>
      <c r="R77" s="108"/>
      <c r="S77" s="108"/>
      <c r="T77" s="463"/>
      <c r="U77" s="108"/>
      <c r="V77" s="108"/>
      <c r="W77" s="108">
        <v>0</v>
      </c>
      <c r="X77" s="108">
        <f t="shared" si="92"/>
        <v>0</v>
      </c>
      <c r="Y77" s="108">
        <f t="shared" si="93"/>
        <v>0</v>
      </c>
      <c r="Z77" s="108"/>
      <c r="AA77" s="108"/>
      <c r="AB77" s="108"/>
      <c r="AC77" s="108"/>
      <c r="AD77" s="108"/>
      <c r="AE77" s="108"/>
      <c r="AF77" s="108">
        <v>0</v>
      </c>
      <c r="AG77" s="133">
        <f t="shared" si="94"/>
        <v>0</v>
      </c>
      <c r="AH77" s="133">
        <f t="shared" si="95"/>
        <v>0</v>
      </c>
      <c r="AI77" s="133"/>
      <c r="AJ77" s="133"/>
      <c r="AK77" s="133"/>
      <c r="AL77" s="133"/>
      <c r="AM77" s="133"/>
      <c r="AN77" s="479"/>
      <c r="AO77" s="133"/>
      <c r="AP77" s="133">
        <v>0</v>
      </c>
      <c r="AQ77" s="133">
        <f t="shared" si="96"/>
        <v>0</v>
      </c>
      <c r="AR77" s="133">
        <f t="shared" si="97"/>
        <v>0</v>
      </c>
      <c r="AS77" s="133"/>
      <c r="AT77" s="133"/>
      <c r="AU77" s="133"/>
      <c r="AV77" s="133"/>
      <c r="AW77" s="108">
        <f t="shared" si="98"/>
        <v>0</v>
      </c>
      <c r="AX77" s="108">
        <f t="shared" si="99"/>
        <v>0</v>
      </c>
      <c r="AY77" s="108"/>
      <c r="AZ77" s="108"/>
      <c r="BA77" s="108"/>
      <c r="BB77" s="108"/>
      <c r="BC77" s="108"/>
      <c r="BD77" s="108"/>
      <c r="BE77" s="359"/>
      <c r="BF77" s="109" t="s">
        <v>638</v>
      </c>
      <c r="BG77" s="116"/>
    </row>
    <row r="78" spans="1:59" ht="48" x14ac:dyDescent="0.2">
      <c r="A78" s="167"/>
      <c r="B78" s="127"/>
      <c r="C78" s="533" t="s">
        <v>185</v>
      </c>
      <c r="D78" s="534"/>
      <c r="E78" s="106" t="s">
        <v>275</v>
      </c>
      <c r="F78" s="107">
        <f t="shared" si="88"/>
        <v>199203</v>
      </c>
      <c r="G78" s="107">
        <f t="shared" si="89"/>
        <v>199203</v>
      </c>
      <c r="H78" s="108"/>
      <c r="I78" s="108">
        <f t="shared" si="90"/>
        <v>0</v>
      </c>
      <c r="J78" s="108">
        <f t="shared" si="91"/>
        <v>0</v>
      </c>
      <c r="K78" s="108"/>
      <c r="L78" s="108"/>
      <c r="M78" s="108"/>
      <c r="N78" s="108"/>
      <c r="O78" s="108"/>
      <c r="P78" s="108"/>
      <c r="Q78" s="108"/>
      <c r="R78" s="108"/>
      <c r="S78" s="108"/>
      <c r="T78" s="463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33"/>
      <c r="AH78" s="133"/>
      <c r="AI78" s="133"/>
      <c r="AJ78" s="133"/>
      <c r="AK78" s="133"/>
      <c r="AL78" s="133"/>
      <c r="AM78" s="133"/>
      <c r="AN78" s="479"/>
      <c r="AO78" s="133">
        <v>199203</v>
      </c>
      <c r="AP78" s="133"/>
      <c r="AQ78" s="133"/>
      <c r="AR78" s="133"/>
      <c r="AS78" s="133"/>
      <c r="AT78" s="133"/>
      <c r="AU78" s="133"/>
      <c r="AV78" s="133"/>
      <c r="AW78" s="108">
        <f t="shared" si="98"/>
        <v>0</v>
      </c>
      <c r="AX78" s="108">
        <f t="shared" si="99"/>
        <v>0</v>
      </c>
      <c r="AY78" s="108"/>
      <c r="AZ78" s="108"/>
      <c r="BA78" s="108"/>
      <c r="BB78" s="108"/>
      <c r="BC78" s="108"/>
      <c r="BD78" s="108"/>
      <c r="BE78" s="359"/>
      <c r="BF78" s="109"/>
      <c r="BG78" s="116"/>
    </row>
    <row r="79" spans="1:59" ht="12.75" thickBot="1" x14ac:dyDescent="0.25">
      <c r="A79" s="167"/>
      <c r="B79" s="145"/>
      <c r="C79" s="540"/>
      <c r="D79" s="541"/>
      <c r="E79" s="163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464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132"/>
      <c r="AH79" s="132"/>
      <c r="AI79" s="132"/>
      <c r="AJ79" s="132"/>
      <c r="AK79" s="132"/>
      <c r="AL79" s="132"/>
      <c r="AM79" s="132"/>
      <c r="AN79" s="480"/>
      <c r="AO79" s="132"/>
      <c r="AP79" s="132"/>
      <c r="AQ79" s="132"/>
      <c r="AR79" s="132"/>
      <c r="AS79" s="132"/>
      <c r="AT79" s="132"/>
      <c r="AU79" s="132"/>
      <c r="AV79" s="132"/>
      <c r="AW79" s="95"/>
      <c r="AX79" s="95"/>
      <c r="AY79" s="95"/>
      <c r="AZ79" s="95"/>
      <c r="BA79" s="95"/>
      <c r="BB79" s="95"/>
      <c r="BC79" s="95"/>
      <c r="BD79" s="95"/>
      <c r="BE79" s="360"/>
      <c r="BF79" s="96"/>
      <c r="BG79" s="117"/>
    </row>
    <row r="80" spans="1:59" ht="24.75" thickBot="1" x14ac:dyDescent="0.25">
      <c r="A80" s="220"/>
      <c r="B80" s="536" t="s">
        <v>11</v>
      </c>
      <c r="C80" s="536"/>
      <c r="D80" s="217" t="s">
        <v>184</v>
      </c>
      <c r="E80" s="15"/>
      <c r="F80" s="9">
        <f t="shared" ref="F80:BE80" si="100">SUM(F81:F92)</f>
        <v>11858344</v>
      </c>
      <c r="G80" s="9">
        <f t="shared" si="100"/>
        <v>11880455</v>
      </c>
      <c r="H80" s="9">
        <f t="shared" si="100"/>
        <v>10665531</v>
      </c>
      <c r="I80" s="9">
        <f t="shared" si="100"/>
        <v>10632461</v>
      </c>
      <c r="J80" s="9">
        <f t="shared" si="100"/>
        <v>-33070</v>
      </c>
      <c r="K80" s="9">
        <f>SUM(K81:K92)</f>
        <v>-58751</v>
      </c>
      <c r="L80" s="9">
        <f t="shared" si="100"/>
        <v>0</v>
      </c>
      <c r="M80" s="9">
        <f t="shared" si="100"/>
        <v>-3580</v>
      </c>
      <c r="N80" s="9">
        <f t="shared" si="100"/>
        <v>-36254</v>
      </c>
      <c r="O80" s="9">
        <f t="shared" si="100"/>
        <v>46690</v>
      </c>
      <c r="P80" s="9">
        <f t="shared" si="100"/>
        <v>-46084</v>
      </c>
      <c r="Q80" s="9">
        <f t="shared" si="100"/>
        <v>-19290</v>
      </c>
      <c r="R80" s="9">
        <f t="shared" si="100"/>
        <v>-200</v>
      </c>
      <c r="S80" s="9">
        <f t="shared" si="100"/>
        <v>83872</v>
      </c>
      <c r="T80" s="462">
        <f t="shared" si="100"/>
        <v>527</v>
      </c>
      <c r="U80" s="9">
        <f t="shared" si="100"/>
        <v>0</v>
      </c>
      <c r="V80" s="9">
        <f t="shared" si="100"/>
        <v>0</v>
      </c>
      <c r="W80" s="9">
        <f t="shared" si="100"/>
        <v>0</v>
      </c>
      <c r="X80" s="9">
        <f t="shared" si="100"/>
        <v>0</v>
      </c>
      <c r="Y80" s="9">
        <f t="shared" si="100"/>
        <v>0</v>
      </c>
      <c r="Z80" s="9">
        <f t="shared" si="100"/>
        <v>0</v>
      </c>
      <c r="AA80" s="9">
        <f t="shared" si="100"/>
        <v>0</v>
      </c>
      <c r="AB80" s="9">
        <f t="shared" si="100"/>
        <v>0</v>
      </c>
      <c r="AC80" s="9">
        <f t="shared" si="100"/>
        <v>0</v>
      </c>
      <c r="AD80" s="9">
        <f t="shared" si="100"/>
        <v>0</v>
      </c>
      <c r="AE80" s="9">
        <f t="shared" si="100"/>
        <v>0</v>
      </c>
      <c r="AF80" s="9">
        <f t="shared" si="100"/>
        <v>359599</v>
      </c>
      <c r="AG80" s="9">
        <f t="shared" si="100"/>
        <v>415492</v>
      </c>
      <c r="AH80" s="9">
        <f t="shared" si="100"/>
        <v>55893</v>
      </c>
      <c r="AI80" s="9">
        <f t="shared" si="100"/>
        <v>1229</v>
      </c>
      <c r="AJ80" s="9">
        <f t="shared" si="100"/>
        <v>19171</v>
      </c>
      <c r="AK80" s="9">
        <f t="shared" si="100"/>
        <v>10398</v>
      </c>
      <c r="AL80" s="9">
        <f t="shared" si="100"/>
        <v>5981</v>
      </c>
      <c r="AM80" s="9">
        <f t="shared" si="100"/>
        <v>19114</v>
      </c>
      <c r="AN80" s="462">
        <f t="shared" si="100"/>
        <v>0</v>
      </c>
      <c r="AO80" s="9">
        <f t="shared" si="100"/>
        <v>833040</v>
      </c>
      <c r="AP80" s="131">
        <f t="shared" si="100"/>
        <v>174</v>
      </c>
      <c r="AQ80" s="131">
        <f t="shared" si="100"/>
        <v>174</v>
      </c>
      <c r="AR80" s="131">
        <f t="shared" si="100"/>
        <v>0</v>
      </c>
      <c r="AS80" s="131">
        <f t="shared" si="100"/>
        <v>0</v>
      </c>
      <c r="AT80" s="131">
        <f t="shared" si="100"/>
        <v>0</v>
      </c>
      <c r="AU80" s="131">
        <f t="shared" si="100"/>
        <v>0</v>
      </c>
      <c r="AV80" s="131">
        <f t="shared" si="100"/>
        <v>0</v>
      </c>
      <c r="AW80" s="131">
        <f t="shared" si="100"/>
        <v>-712</v>
      </c>
      <c r="AX80" s="131">
        <f t="shared" si="100"/>
        <v>-712</v>
      </c>
      <c r="AY80" s="131">
        <f t="shared" si="100"/>
        <v>0</v>
      </c>
      <c r="AZ80" s="131">
        <f t="shared" si="100"/>
        <v>0</v>
      </c>
      <c r="BA80" s="131">
        <f t="shared" si="100"/>
        <v>0</v>
      </c>
      <c r="BB80" s="131">
        <f t="shared" si="100"/>
        <v>0</v>
      </c>
      <c r="BC80" s="131">
        <f t="shared" ref="BC80" si="101">SUM(BC81:BC92)</f>
        <v>-712</v>
      </c>
      <c r="BD80" s="131">
        <f t="shared" si="100"/>
        <v>0</v>
      </c>
      <c r="BE80" s="131">
        <f t="shared" si="100"/>
        <v>0</v>
      </c>
      <c r="BF80" s="17"/>
      <c r="BG80" s="118"/>
    </row>
    <row r="81" spans="1:59" s="129" customFormat="1" ht="13.5" thickTop="1" x14ac:dyDescent="0.2">
      <c r="A81" s="167">
        <v>90000056357</v>
      </c>
      <c r="B81" s="219"/>
      <c r="C81" s="531" t="s">
        <v>5</v>
      </c>
      <c r="D81" s="532"/>
      <c r="E81" s="221" t="s">
        <v>209</v>
      </c>
      <c r="F81" s="112">
        <f t="shared" ref="F81:F91" si="102">H81+W81+AF81+AO81+AP81+AV81</f>
        <v>2598947</v>
      </c>
      <c r="G81" s="112">
        <f t="shared" ref="G81:G91" si="103">I81+X81+AG81+AO81+AQ81+AW81</f>
        <v>2674621</v>
      </c>
      <c r="H81" s="111">
        <v>2349028</v>
      </c>
      <c r="I81" s="111">
        <f t="shared" ref="I81:I91" si="104">H81+J81</f>
        <v>2407417</v>
      </c>
      <c r="J81" s="111">
        <f t="shared" ref="J81:J91" si="105">SUM(K81:V81)</f>
        <v>58389</v>
      </c>
      <c r="K81" s="111">
        <v>-1229</v>
      </c>
      <c r="L81" s="111"/>
      <c r="M81" s="111"/>
      <c r="N81" s="111">
        <v>-36254</v>
      </c>
      <c r="O81" s="111">
        <v>36254</v>
      </c>
      <c r="P81" s="111"/>
      <c r="Q81" s="111">
        <f>-3000-1070-112</f>
        <v>-4182</v>
      </c>
      <c r="R81" s="111">
        <v>-200</v>
      </c>
      <c r="S81" s="111">
        <v>64000</v>
      </c>
      <c r="T81" s="467"/>
      <c r="U81" s="111"/>
      <c r="V81" s="111"/>
      <c r="W81" s="111">
        <v>0</v>
      </c>
      <c r="X81" s="111">
        <f t="shared" ref="X81:X88" si="106">W81+Y81</f>
        <v>0</v>
      </c>
      <c r="Y81" s="111">
        <f t="shared" ref="Y81:Y88" si="107">SUM(Z81:AE81)</f>
        <v>0</v>
      </c>
      <c r="Z81" s="111"/>
      <c r="AA81" s="111"/>
      <c r="AB81" s="111"/>
      <c r="AC81" s="111"/>
      <c r="AD81" s="111"/>
      <c r="AE81" s="111"/>
      <c r="AF81" s="111">
        <v>249919</v>
      </c>
      <c r="AG81" s="134">
        <f>AH81+AF81</f>
        <v>267916</v>
      </c>
      <c r="AH81" s="134">
        <f t="shared" ref="AH81:AH88" si="108">SUM(AI81:AN81)</f>
        <v>17997</v>
      </c>
      <c r="AI81" s="134">
        <v>1229</v>
      </c>
      <c r="AJ81" s="134">
        <v>15000</v>
      </c>
      <c r="AK81" s="134">
        <v>1056</v>
      </c>
      <c r="AL81" s="134">
        <v>712</v>
      </c>
      <c r="AM81" s="134"/>
      <c r="AN81" s="483"/>
      <c r="AO81" s="134"/>
      <c r="AP81" s="134">
        <v>0</v>
      </c>
      <c r="AQ81" s="134">
        <f t="shared" ref="AQ81:AQ88" si="109">AR81+AP81</f>
        <v>0</v>
      </c>
      <c r="AR81" s="134">
        <f t="shared" ref="AR81:AR88" si="110">SUM(AS81:AU81)</f>
        <v>0</v>
      </c>
      <c r="AS81" s="134"/>
      <c r="AT81" s="134"/>
      <c r="AU81" s="134"/>
      <c r="AV81" s="134"/>
      <c r="AW81" s="111">
        <f t="shared" ref="AW81:AW91" si="111">AX81+AV81</f>
        <v>-712</v>
      </c>
      <c r="AX81" s="111">
        <f t="shared" ref="AX81:AX91" si="112">SUM(AY81:BE81)</f>
        <v>-712</v>
      </c>
      <c r="AY81" s="111"/>
      <c r="AZ81" s="111"/>
      <c r="BA81" s="111"/>
      <c r="BB81" s="111"/>
      <c r="BC81" s="111">
        <v>-712</v>
      </c>
      <c r="BD81" s="111"/>
      <c r="BE81" s="363"/>
      <c r="BF81" s="273" t="s">
        <v>448</v>
      </c>
      <c r="BG81" s="212"/>
    </row>
    <row r="82" spans="1:59" s="129" customFormat="1" ht="12.75" x14ac:dyDescent="0.2">
      <c r="A82" s="167"/>
      <c r="C82" s="156"/>
      <c r="D82" s="157"/>
      <c r="E82" s="222" t="s">
        <v>327</v>
      </c>
      <c r="F82" s="125">
        <f t="shared" si="102"/>
        <v>4500</v>
      </c>
      <c r="G82" s="125">
        <f t="shared" si="103"/>
        <v>4500</v>
      </c>
      <c r="H82" s="124">
        <v>4500</v>
      </c>
      <c r="I82" s="124">
        <f t="shared" si="104"/>
        <v>4500</v>
      </c>
      <c r="J82" s="124">
        <f t="shared" si="105"/>
        <v>0</v>
      </c>
      <c r="K82" s="124"/>
      <c r="L82" s="124"/>
      <c r="M82" s="124"/>
      <c r="N82" s="124"/>
      <c r="O82" s="124"/>
      <c r="P82" s="124"/>
      <c r="Q82" s="124"/>
      <c r="R82" s="124"/>
      <c r="S82" s="124"/>
      <c r="T82" s="465"/>
      <c r="U82" s="124"/>
      <c r="V82" s="124"/>
      <c r="W82" s="124">
        <v>0</v>
      </c>
      <c r="X82" s="124">
        <f t="shared" si="106"/>
        <v>0</v>
      </c>
      <c r="Y82" s="124">
        <f t="shared" si="107"/>
        <v>0</v>
      </c>
      <c r="Z82" s="124"/>
      <c r="AA82" s="124"/>
      <c r="AB82" s="124"/>
      <c r="AC82" s="124"/>
      <c r="AD82" s="124"/>
      <c r="AE82" s="124"/>
      <c r="AF82" s="124">
        <v>0</v>
      </c>
      <c r="AG82" s="136">
        <f t="shared" ref="AG82:AG88" si="113">AH82+AF82</f>
        <v>0</v>
      </c>
      <c r="AH82" s="136">
        <f t="shared" si="108"/>
        <v>0</v>
      </c>
      <c r="AI82" s="136"/>
      <c r="AJ82" s="136"/>
      <c r="AK82" s="136"/>
      <c r="AL82" s="136"/>
      <c r="AM82" s="136"/>
      <c r="AN82" s="481"/>
      <c r="AO82" s="136"/>
      <c r="AP82" s="136">
        <v>0</v>
      </c>
      <c r="AQ82" s="136">
        <f t="shared" si="109"/>
        <v>0</v>
      </c>
      <c r="AR82" s="136">
        <f t="shared" si="110"/>
        <v>0</v>
      </c>
      <c r="AS82" s="136"/>
      <c r="AT82" s="136"/>
      <c r="AU82" s="136"/>
      <c r="AV82" s="136"/>
      <c r="AW82" s="124">
        <f t="shared" si="111"/>
        <v>0</v>
      </c>
      <c r="AX82" s="124">
        <f t="shared" si="112"/>
        <v>0</v>
      </c>
      <c r="AY82" s="124"/>
      <c r="AZ82" s="124"/>
      <c r="BA82" s="124"/>
      <c r="BB82" s="124"/>
      <c r="BC82" s="124"/>
      <c r="BD82" s="124"/>
      <c r="BE82" s="361"/>
      <c r="BF82" s="109" t="s">
        <v>449</v>
      </c>
      <c r="BG82" s="213"/>
    </row>
    <row r="83" spans="1:59" s="127" customFormat="1" ht="24" x14ac:dyDescent="0.2">
      <c r="A83" s="167"/>
      <c r="C83" s="208"/>
      <c r="D83" s="209"/>
      <c r="E83" s="223" t="s">
        <v>358</v>
      </c>
      <c r="F83" s="107">
        <f t="shared" si="102"/>
        <v>378185</v>
      </c>
      <c r="G83" s="107">
        <f t="shared" si="103"/>
        <v>389403</v>
      </c>
      <c r="H83" s="108">
        <v>378185</v>
      </c>
      <c r="I83" s="108">
        <f t="shared" si="104"/>
        <v>389403</v>
      </c>
      <c r="J83" s="108">
        <f t="shared" si="105"/>
        <v>11218</v>
      </c>
      <c r="K83" s="108"/>
      <c r="L83" s="108"/>
      <c r="M83" s="108"/>
      <c r="N83" s="108"/>
      <c r="O83" s="108">
        <v>10436</v>
      </c>
      <c r="P83" s="108"/>
      <c r="Q83" s="108">
        <v>255</v>
      </c>
      <c r="R83" s="108"/>
      <c r="S83" s="108"/>
      <c r="T83" s="463">
        <v>527</v>
      </c>
      <c r="U83" s="108"/>
      <c r="V83" s="108"/>
      <c r="W83" s="108">
        <v>0</v>
      </c>
      <c r="X83" s="108">
        <f t="shared" si="106"/>
        <v>0</v>
      </c>
      <c r="Y83" s="108">
        <f t="shared" si="107"/>
        <v>0</v>
      </c>
      <c r="Z83" s="108"/>
      <c r="AA83" s="108"/>
      <c r="AB83" s="108"/>
      <c r="AC83" s="108"/>
      <c r="AD83" s="108"/>
      <c r="AE83" s="108"/>
      <c r="AF83" s="108">
        <v>0</v>
      </c>
      <c r="AG83" s="133">
        <f t="shared" si="113"/>
        <v>0</v>
      </c>
      <c r="AH83" s="133">
        <f t="shared" si="108"/>
        <v>0</v>
      </c>
      <c r="AI83" s="133"/>
      <c r="AJ83" s="133"/>
      <c r="AK83" s="133"/>
      <c r="AL83" s="133"/>
      <c r="AM83" s="133"/>
      <c r="AN83" s="479"/>
      <c r="AO83" s="133"/>
      <c r="AP83" s="133">
        <v>0</v>
      </c>
      <c r="AQ83" s="133">
        <f t="shared" si="109"/>
        <v>0</v>
      </c>
      <c r="AR83" s="133">
        <f t="shared" si="110"/>
        <v>0</v>
      </c>
      <c r="AS83" s="133"/>
      <c r="AT83" s="133"/>
      <c r="AU83" s="133"/>
      <c r="AV83" s="133"/>
      <c r="AW83" s="108">
        <f t="shared" si="111"/>
        <v>0</v>
      </c>
      <c r="AX83" s="108">
        <f t="shared" si="112"/>
        <v>0</v>
      </c>
      <c r="AY83" s="108"/>
      <c r="AZ83" s="108"/>
      <c r="BA83" s="108"/>
      <c r="BB83" s="108"/>
      <c r="BC83" s="108"/>
      <c r="BD83" s="108"/>
      <c r="BE83" s="359"/>
      <c r="BF83" s="109" t="s">
        <v>451</v>
      </c>
      <c r="BG83" s="116" t="s">
        <v>605</v>
      </c>
    </row>
    <row r="84" spans="1:59" s="127" customFormat="1" ht="12.75" x14ac:dyDescent="0.2">
      <c r="A84" s="167"/>
      <c r="C84" s="208"/>
      <c r="D84" s="209"/>
      <c r="E84" s="106" t="s">
        <v>256</v>
      </c>
      <c r="F84" s="107">
        <f t="shared" si="102"/>
        <v>138000</v>
      </c>
      <c r="G84" s="107">
        <f t="shared" si="103"/>
        <v>137248</v>
      </c>
      <c r="H84" s="108">
        <v>138000</v>
      </c>
      <c r="I84" s="108">
        <f t="shared" si="104"/>
        <v>137248</v>
      </c>
      <c r="J84" s="108">
        <f t="shared" si="105"/>
        <v>-752</v>
      </c>
      <c r="K84" s="108"/>
      <c r="L84" s="108"/>
      <c r="M84" s="108">
        <v>-752</v>
      </c>
      <c r="N84" s="108"/>
      <c r="O84" s="108"/>
      <c r="P84" s="108"/>
      <c r="Q84" s="108"/>
      <c r="R84" s="108"/>
      <c r="S84" s="108"/>
      <c r="T84" s="463"/>
      <c r="U84" s="108"/>
      <c r="V84" s="108"/>
      <c r="W84" s="108">
        <v>0</v>
      </c>
      <c r="X84" s="108">
        <f t="shared" si="106"/>
        <v>0</v>
      </c>
      <c r="Y84" s="108">
        <f t="shared" si="107"/>
        <v>0</v>
      </c>
      <c r="Z84" s="108"/>
      <c r="AA84" s="108"/>
      <c r="AB84" s="108"/>
      <c r="AC84" s="108"/>
      <c r="AD84" s="108"/>
      <c r="AE84" s="108"/>
      <c r="AF84" s="108">
        <v>0</v>
      </c>
      <c r="AG84" s="133">
        <f t="shared" si="113"/>
        <v>0</v>
      </c>
      <c r="AH84" s="133">
        <f t="shared" si="108"/>
        <v>0</v>
      </c>
      <c r="AI84" s="133"/>
      <c r="AJ84" s="133"/>
      <c r="AK84" s="133"/>
      <c r="AL84" s="133"/>
      <c r="AM84" s="133"/>
      <c r="AN84" s="479"/>
      <c r="AO84" s="133"/>
      <c r="AP84" s="133">
        <v>0</v>
      </c>
      <c r="AQ84" s="133">
        <f t="shared" si="109"/>
        <v>0</v>
      </c>
      <c r="AR84" s="133">
        <f t="shared" si="110"/>
        <v>0</v>
      </c>
      <c r="AS84" s="133"/>
      <c r="AT84" s="133"/>
      <c r="AU84" s="133"/>
      <c r="AV84" s="133"/>
      <c r="AW84" s="108">
        <f t="shared" si="111"/>
        <v>0</v>
      </c>
      <c r="AX84" s="108">
        <f t="shared" si="112"/>
        <v>0</v>
      </c>
      <c r="AY84" s="108"/>
      <c r="AZ84" s="108"/>
      <c r="BA84" s="108"/>
      <c r="BB84" s="108"/>
      <c r="BC84" s="108"/>
      <c r="BD84" s="108"/>
      <c r="BE84" s="359"/>
      <c r="BF84" s="109" t="s">
        <v>450</v>
      </c>
      <c r="BG84" s="116" t="s">
        <v>603</v>
      </c>
    </row>
    <row r="85" spans="1:59" s="127" customFormat="1" ht="36" x14ac:dyDescent="0.2">
      <c r="A85" s="167"/>
      <c r="C85" s="208"/>
      <c r="D85" s="209"/>
      <c r="E85" s="106" t="s">
        <v>253</v>
      </c>
      <c r="F85" s="107">
        <f t="shared" si="102"/>
        <v>654674</v>
      </c>
      <c r="G85" s="107">
        <f t="shared" si="103"/>
        <v>623724</v>
      </c>
      <c r="H85" s="108">
        <v>610991</v>
      </c>
      <c r="I85" s="108">
        <f t="shared" si="104"/>
        <v>580041</v>
      </c>
      <c r="J85" s="108">
        <f t="shared" si="105"/>
        <v>-30950</v>
      </c>
      <c r="K85" s="108">
        <f>-50000-1452</f>
        <v>-51452</v>
      </c>
      <c r="L85" s="108"/>
      <c r="M85" s="108"/>
      <c r="N85" s="108"/>
      <c r="O85" s="108"/>
      <c r="P85" s="108"/>
      <c r="Q85" s="108"/>
      <c r="R85" s="108"/>
      <c r="S85" s="108">
        <v>20502</v>
      </c>
      <c r="T85" s="463"/>
      <c r="U85" s="108"/>
      <c r="V85" s="108"/>
      <c r="W85" s="108">
        <v>0</v>
      </c>
      <c r="X85" s="108">
        <f t="shared" si="106"/>
        <v>0</v>
      </c>
      <c r="Y85" s="108">
        <f t="shared" si="107"/>
        <v>0</v>
      </c>
      <c r="Z85" s="108"/>
      <c r="AA85" s="108"/>
      <c r="AB85" s="108"/>
      <c r="AC85" s="108"/>
      <c r="AD85" s="108"/>
      <c r="AE85" s="108"/>
      <c r="AF85" s="108">
        <v>43683</v>
      </c>
      <c r="AG85" s="133">
        <f t="shared" si="113"/>
        <v>43683</v>
      </c>
      <c r="AH85" s="133">
        <f t="shared" si="108"/>
        <v>0</v>
      </c>
      <c r="AI85" s="133"/>
      <c r="AJ85" s="133"/>
      <c r="AK85" s="133"/>
      <c r="AL85" s="133"/>
      <c r="AM85" s="133"/>
      <c r="AN85" s="479"/>
      <c r="AO85" s="133"/>
      <c r="AP85" s="133">
        <v>0</v>
      </c>
      <c r="AQ85" s="133">
        <f t="shared" si="109"/>
        <v>0</v>
      </c>
      <c r="AR85" s="133">
        <f t="shared" si="110"/>
        <v>0</v>
      </c>
      <c r="AS85" s="133"/>
      <c r="AT85" s="133"/>
      <c r="AU85" s="133"/>
      <c r="AV85" s="133"/>
      <c r="AW85" s="108">
        <f t="shared" si="111"/>
        <v>0</v>
      </c>
      <c r="AX85" s="108">
        <f t="shared" si="112"/>
        <v>0</v>
      </c>
      <c r="AY85" s="108"/>
      <c r="AZ85" s="108"/>
      <c r="BA85" s="108"/>
      <c r="BB85" s="108"/>
      <c r="BC85" s="108"/>
      <c r="BD85" s="108"/>
      <c r="BE85" s="359"/>
      <c r="BF85" s="109" t="s">
        <v>452</v>
      </c>
      <c r="BG85" s="116" t="s">
        <v>604</v>
      </c>
    </row>
    <row r="86" spans="1:59" s="129" customFormat="1" ht="36" x14ac:dyDescent="0.2">
      <c r="A86" s="167"/>
      <c r="C86" s="156"/>
      <c r="D86" s="157"/>
      <c r="E86" s="222" t="s">
        <v>330</v>
      </c>
      <c r="F86" s="107">
        <f t="shared" si="102"/>
        <v>5467983</v>
      </c>
      <c r="G86" s="107">
        <f t="shared" si="103"/>
        <v>5405906</v>
      </c>
      <c r="H86" s="124">
        <v>5467809</v>
      </c>
      <c r="I86" s="124">
        <f t="shared" si="104"/>
        <v>5405732</v>
      </c>
      <c r="J86" s="124">
        <f t="shared" si="105"/>
        <v>-62077</v>
      </c>
      <c r="K86" s="124"/>
      <c r="L86" s="124"/>
      <c r="M86" s="124"/>
      <c r="N86" s="124"/>
      <c r="O86" s="124"/>
      <c r="P86" s="124">
        <f>2070-48154</f>
        <v>-46084</v>
      </c>
      <c r="Q86" s="124">
        <v>-15363</v>
      </c>
      <c r="R86" s="124"/>
      <c r="S86" s="124">
        <v>-630</v>
      </c>
      <c r="T86" s="465"/>
      <c r="U86" s="124"/>
      <c r="V86" s="124"/>
      <c r="W86" s="124">
        <v>0</v>
      </c>
      <c r="X86" s="124">
        <f t="shared" si="106"/>
        <v>0</v>
      </c>
      <c r="Y86" s="124">
        <f t="shared" si="107"/>
        <v>0</v>
      </c>
      <c r="Z86" s="124"/>
      <c r="AA86" s="124"/>
      <c r="AB86" s="124"/>
      <c r="AC86" s="124"/>
      <c r="AD86" s="124"/>
      <c r="AE86" s="124"/>
      <c r="AF86" s="124">
        <v>0</v>
      </c>
      <c r="AG86" s="136">
        <f t="shared" si="113"/>
        <v>0</v>
      </c>
      <c r="AH86" s="136">
        <f t="shared" si="108"/>
        <v>0</v>
      </c>
      <c r="AI86" s="136"/>
      <c r="AJ86" s="136"/>
      <c r="AK86" s="136"/>
      <c r="AL86" s="136"/>
      <c r="AM86" s="136"/>
      <c r="AN86" s="481"/>
      <c r="AO86" s="136"/>
      <c r="AP86" s="136">
        <v>174</v>
      </c>
      <c r="AQ86" s="136">
        <f t="shared" si="109"/>
        <v>174</v>
      </c>
      <c r="AR86" s="136">
        <f t="shared" si="110"/>
        <v>0</v>
      </c>
      <c r="AS86" s="136"/>
      <c r="AT86" s="136"/>
      <c r="AU86" s="136"/>
      <c r="AV86" s="136"/>
      <c r="AW86" s="124">
        <f t="shared" si="111"/>
        <v>0</v>
      </c>
      <c r="AX86" s="124">
        <f t="shared" si="112"/>
        <v>0</v>
      </c>
      <c r="AY86" s="124"/>
      <c r="AZ86" s="124"/>
      <c r="BA86" s="124"/>
      <c r="BB86" s="124"/>
      <c r="BC86" s="124"/>
      <c r="BD86" s="124"/>
      <c r="BE86" s="361"/>
      <c r="BF86" s="271" t="s">
        <v>644</v>
      </c>
      <c r="BG86" s="213" t="s">
        <v>591</v>
      </c>
    </row>
    <row r="87" spans="1:59" ht="24" x14ac:dyDescent="0.2">
      <c r="A87" s="167">
        <v>42803002568</v>
      </c>
      <c r="B87" s="127"/>
      <c r="C87" s="533" t="s">
        <v>387</v>
      </c>
      <c r="D87" s="534"/>
      <c r="E87" s="106" t="s">
        <v>359</v>
      </c>
      <c r="F87" s="107">
        <f t="shared" si="102"/>
        <v>1508405</v>
      </c>
      <c r="G87" s="107">
        <f t="shared" si="103"/>
        <v>1508405</v>
      </c>
      <c r="H87" s="108">
        <v>1508405</v>
      </c>
      <c r="I87" s="108">
        <f t="shared" si="104"/>
        <v>1508405</v>
      </c>
      <c r="J87" s="108">
        <f t="shared" si="105"/>
        <v>0</v>
      </c>
      <c r="K87" s="108"/>
      <c r="L87" s="108"/>
      <c r="M87" s="108"/>
      <c r="N87" s="108"/>
      <c r="O87" s="108"/>
      <c r="P87" s="108"/>
      <c r="Q87" s="108"/>
      <c r="R87" s="108"/>
      <c r="S87" s="108"/>
      <c r="T87" s="463"/>
      <c r="U87" s="108"/>
      <c r="V87" s="108"/>
      <c r="W87" s="108">
        <v>0</v>
      </c>
      <c r="X87" s="108">
        <f t="shared" si="106"/>
        <v>0</v>
      </c>
      <c r="Y87" s="108">
        <f t="shared" si="107"/>
        <v>0</v>
      </c>
      <c r="Z87" s="108"/>
      <c r="AA87" s="108"/>
      <c r="AB87" s="108"/>
      <c r="AC87" s="108"/>
      <c r="AD87" s="108"/>
      <c r="AE87" s="108"/>
      <c r="AF87" s="108">
        <v>0</v>
      </c>
      <c r="AG87" s="133">
        <f t="shared" si="113"/>
        <v>0</v>
      </c>
      <c r="AH87" s="133">
        <f t="shared" si="108"/>
        <v>0</v>
      </c>
      <c r="AI87" s="133"/>
      <c r="AJ87" s="133"/>
      <c r="AK87" s="133"/>
      <c r="AL87" s="133"/>
      <c r="AM87" s="133"/>
      <c r="AN87" s="479"/>
      <c r="AO87" s="133"/>
      <c r="AP87" s="133">
        <v>0</v>
      </c>
      <c r="AQ87" s="133">
        <f t="shared" si="109"/>
        <v>0</v>
      </c>
      <c r="AR87" s="133">
        <f t="shared" si="110"/>
        <v>0</v>
      </c>
      <c r="AS87" s="133"/>
      <c r="AT87" s="133"/>
      <c r="AU87" s="133"/>
      <c r="AV87" s="133"/>
      <c r="AW87" s="108">
        <f t="shared" si="111"/>
        <v>0</v>
      </c>
      <c r="AX87" s="108">
        <f t="shared" si="112"/>
        <v>0</v>
      </c>
      <c r="AY87" s="108"/>
      <c r="AZ87" s="108"/>
      <c r="BA87" s="108"/>
      <c r="BB87" s="108"/>
      <c r="BC87" s="108"/>
      <c r="BD87" s="108"/>
      <c r="BE87" s="359"/>
      <c r="BF87" s="109" t="s">
        <v>474</v>
      </c>
      <c r="BG87" s="116"/>
    </row>
    <row r="88" spans="1:59" ht="24" x14ac:dyDescent="0.2">
      <c r="A88" s="167">
        <v>90010691331</v>
      </c>
      <c r="B88" s="240"/>
      <c r="C88" s="546" t="s">
        <v>635</v>
      </c>
      <c r="D88" s="547"/>
      <c r="E88" s="241" t="s">
        <v>216</v>
      </c>
      <c r="F88" s="242">
        <f t="shared" si="102"/>
        <v>274610</v>
      </c>
      <c r="G88" s="242">
        <f t="shared" si="103"/>
        <v>303608</v>
      </c>
      <c r="H88" s="243">
        <v>208613</v>
      </c>
      <c r="I88" s="243">
        <f t="shared" si="104"/>
        <v>199715</v>
      </c>
      <c r="J88" s="243">
        <f t="shared" si="105"/>
        <v>-8898</v>
      </c>
      <c r="K88" s="243">
        <v>-6070</v>
      </c>
      <c r="L88" s="243"/>
      <c r="M88" s="243">
        <v>-2828</v>
      </c>
      <c r="N88" s="243"/>
      <c r="O88" s="243"/>
      <c r="P88" s="243"/>
      <c r="Q88" s="243"/>
      <c r="R88" s="243"/>
      <c r="S88" s="243"/>
      <c r="T88" s="468"/>
      <c r="U88" s="243"/>
      <c r="V88" s="243"/>
      <c r="W88" s="243">
        <v>0</v>
      </c>
      <c r="X88" s="243">
        <f t="shared" si="106"/>
        <v>0</v>
      </c>
      <c r="Y88" s="243">
        <f t="shared" si="107"/>
        <v>0</v>
      </c>
      <c r="Z88" s="243"/>
      <c r="AA88" s="243"/>
      <c r="AB88" s="243"/>
      <c r="AC88" s="243"/>
      <c r="AD88" s="243"/>
      <c r="AE88" s="243"/>
      <c r="AF88" s="243">
        <v>65997</v>
      </c>
      <c r="AG88" s="244">
        <f t="shared" si="113"/>
        <v>103893</v>
      </c>
      <c r="AH88" s="244">
        <f t="shared" si="108"/>
        <v>37896</v>
      </c>
      <c r="AI88" s="244"/>
      <c r="AJ88" s="244">
        <v>4171</v>
      </c>
      <c r="AK88" s="244">
        <v>9342</v>
      </c>
      <c r="AL88" s="244">
        <v>5269</v>
      </c>
      <c r="AM88" s="244">
        <v>19114</v>
      </c>
      <c r="AN88" s="484"/>
      <c r="AO88" s="244"/>
      <c r="AP88" s="244">
        <v>0</v>
      </c>
      <c r="AQ88" s="244">
        <f t="shared" si="109"/>
        <v>0</v>
      </c>
      <c r="AR88" s="244">
        <f t="shared" si="110"/>
        <v>0</v>
      </c>
      <c r="AS88" s="244"/>
      <c r="AT88" s="244"/>
      <c r="AU88" s="244"/>
      <c r="AV88" s="244"/>
      <c r="AW88" s="243">
        <f t="shared" si="111"/>
        <v>0</v>
      </c>
      <c r="AX88" s="243">
        <f t="shared" si="112"/>
        <v>0</v>
      </c>
      <c r="AY88" s="243"/>
      <c r="AZ88" s="243"/>
      <c r="BA88" s="243"/>
      <c r="BB88" s="243"/>
      <c r="BC88" s="243"/>
      <c r="BD88" s="243"/>
      <c r="BE88" s="364"/>
      <c r="BF88" s="245" t="s">
        <v>475</v>
      </c>
      <c r="BG88" s="246"/>
    </row>
    <row r="89" spans="1:59" ht="60" x14ac:dyDescent="0.2">
      <c r="A89" s="167"/>
      <c r="B89" s="127"/>
      <c r="C89" s="533" t="s">
        <v>185</v>
      </c>
      <c r="D89" s="534"/>
      <c r="E89" s="198" t="s">
        <v>404</v>
      </c>
      <c r="F89" s="107">
        <f t="shared" si="102"/>
        <v>300000</v>
      </c>
      <c r="G89" s="107">
        <f t="shared" si="103"/>
        <v>300000</v>
      </c>
      <c r="H89" s="108"/>
      <c r="I89" s="108">
        <f t="shared" si="104"/>
        <v>0</v>
      </c>
      <c r="J89" s="108">
        <f t="shared" si="105"/>
        <v>0</v>
      </c>
      <c r="K89" s="108"/>
      <c r="L89" s="108"/>
      <c r="M89" s="108"/>
      <c r="N89" s="108"/>
      <c r="O89" s="108"/>
      <c r="P89" s="108"/>
      <c r="Q89" s="108"/>
      <c r="R89" s="108"/>
      <c r="S89" s="108"/>
      <c r="T89" s="463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33"/>
      <c r="AH89" s="133"/>
      <c r="AI89" s="133"/>
      <c r="AJ89" s="133"/>
      <c r="AK89" s="133"/>
      <c r="AL89" s="133"/>
      <c r="AM89" s="133"/>
      <c r="AN89" s="479"/>
      <c r="AO89" s="133">
        <v>300000</v>
      </c>
      <c r="AP89" s="133"/>
      <c r="AQ89" s="133"/>
      <c r="AR89" s="133"/>
      <c r="AS89" s="133"/>
      <c r="AT89" s="133"/>
      <c r="AU89" s="133"/>
      <c r="AV89" s="133"/>
      <c r="AW89" s="108">
        <f t="shared" si="111"/>
        <v>0</v>
      </c>
      <c r="AX89" s="108">
        <f t="shared" si="112"/>
        <v>0</v>
      </c>
      <c r="AY89" s="108"/>
      <c r="AZ89" s="108"/>
      <c r="BA89" s="108"/>
      <c r="BB89" s="108"/>
      <c r="BC89" s="108"/>
      <c r="BD89" s="108"/>
      <c r="BE89" s="359"/>
      <c r="BF89" s="109"/>
      <c r="BG89" s="116"/>
    </row>
    <row r="90" spans="1:59" s="258" customFormat="1" ht="60" x14ac:dyDescent="0.2">
      <c r="A90" s="167"/>
      <c r="B90" s="127"/>
      <c r="C90" s="259"/>
      <c r="D90" s="260"/>
      <c r="E90" s="198" t="s">
        <v>405</v>
      </c>
      <c r="F90" s="107">
        <f t="shared" si="102"/>
        <v>320500</v>
      </c>
      <c r="G90" s="107">
        <f t="shared" si="103"/>
        <v>320500</v>
      </c>
      <c r="H90" s="108"/>
      <c r="I90" s="108">
        <f t="shared" si="104"/>
        <v>0</v>
      </c>
      <c r="J90" s="108">
        <f t="shared" si="105"/>
        <v>0</v>
      </c>
      <c r="K90" s="108"/>
      <c r="L90" s="108"/>
      <c r="M90" s="108"/>
      <c r="N90" s="108"/>
      <c r="O90" s="108"/>
      <c r="P90" s="108"/>
      <c r="Q90" s="108"/>
      <c r="R90" s="108"/>
      <c r="S90" s="108"/>
      <c r="T90" s="463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33"/>
      <c r="AH90" s="133"/>
      <c r="AI90" s="133"/>
      <c r="AJ90" s="133"/>
      <c r="AK90" s="133"/>
      <c r="AL90" s="133"/>
      <c r="AM90" s="133"/>
      <c r="AN90" s="479"/>
      <c r="AO90" s="133">
        <v>320500</v>
      </c>
      <c r="AP90" s="133"/>
      <c r="AQ90" s="133"/>
      <c r="AR90" s="133"/>
      <c r="AS90" s="133"/>
      <c r="AT90" s="133"/>
      <c r="AU90" s="133"/>
      <c r="AV90" s="133"/>
      <c r="AW90" s="108">
        <f t="shared" si="111"/>
        <v>0</v>
      </c>
      <c r="AX90" s="108">
        <f t="shared" si="112"/>
        <v>0</v>
      </c>
      <c r="AY90" s="108"/>
      <c r="AZ90" s="108"/>
      <c r="BA90" s="108"/>
      <c r="BB90" s="108"/>
      <c r="BC90" s="108"/>
      <c r="BD90" s="108"/>
      <c r="BE90" s="359"/>
      <c r="BF90" s="109"/>
      <c r="BG90" s="116"/>
    </row>
    <row r="91" spans="1:59" s="199" customFormat="1" ht="72" x14ac:dyDescent="0.2">
      <c r="A91" s="167"/>
      <c r="B91" s="202"/>
      <c r="C91" s="200"/>
      <c r="D91" s="201"/>
      <c r="E91" s="198" t="s">
        <v>318</v>
      </c>
      <c r="F91" s="107">
        <f t="shared" si="102"/>
        <v>212540</v>
      </c>
      <c r="G91" s="107">
        <f t="shared" si="103"/>
        <v>212540</v>
      </c>
      <c r="H91" s="108"/>
      <c r="I91" s="108">
        <f t="shared" si="104"/>
        <v>0</v>
      </c>
      <c r="J91" s="108">
        <f t="shared" si="105"/>
        <v>0</v>
      </c>
      <c r="K91" s="108"/>
      <c r="L91" s="108"/>
      <c r="M91" s="108"/>
      <c r="N91" s="108"/>
      <c r="O91" s="108"/>
      <c r="P91" s="108"/>
      <c r="Q91" s="108"/>
      <c r="R91" s="108"/>
      <c r="S91" s="108"/>
      <c r="T91" s="463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33"/>
      <c r="AH91" s="133"/>
      <c r="AI91" s="133"/>
      <c r="AJ91" s="133"/>
      <c r="AK91" s="133"/>
      <c r="AL91" s="133"/>
      <c r="AM91" s="133"/>
      <c r="AN91" s="479"/>
      <c r="AO91" s="133">
        <v>212540</v>
      </c>
      <c r="AP91" s="133"/>
      <c r="AQ91" s="133"/>
      <c r="AR91" s="133"/>
      <c r="AS91" s="133"/>
      <c r="AT91" s="133"/>
      <c r="AU91" s="133"/>
      <c r="AV91" s="133"/>
      <c r="AW91" s="108">
        <f t="shared" si="111"/>
        <v>0</v>
      </c>
      <c r="AX91" s="108">
        <f t="shared" si="112"/>
        <v>0</v>
      </c>
      <c r="AY91" s="108"/>
      <c r="AZ91" s="108"/>
      <c r="BA91" s="108"/>
      <c r="BB91" s="108"/>
      <c r="BC91" s="108"/>
      <c r="BD91" s="108"/>
      <c r="BE91" s="359"/>
      <c r="BF91" s="109"/>
      <c r="BG91" s="116"/>
    </row>
    <row r="92" spans="1:59" ht="12.75" thickBot="1" x14ac:dyDescent="0.25">
      <c r="A92" s="167"/>
      <c r="B92" s="145"/>
      <c r="C92" s="540"/>
      <c r="D92" s="541"/>
      <c r="E92" s="163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464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32"/>
      <c r="AH92" s="132"/>
      <c r="AI92" s="132"/>
      <c r="AJ92" s="132"/>
      <c r="AK92" s="132"/>
      <c r="AL92" s="132"/>
      <c r="AM92" s="132"/>
      <c r="AN92" s="480"/>
      <c r="AO92" s="132"/>
      <c r="AP92" s="132"/>
      <c r="AQ92" s="132"/>
      <c r="AR92" s="132"/>
      <c r="AS92" s="132"/>
      <c r="AT92" s="132"/>
      <c r="AU92" s="132"/>
      <c r="AV92" s="132"/>
      <c r="AW92" s="95"/>
      <c r="AX92" s="95"/>
      <c r="AY92" s="95"/>
      <c r="AZ92" s="95"/>
      <c r="BA92" s="95"/>
      <c r="BB92" s="95"/>
      <c r="BC92" s="95"/>
      <c r="BD92" s="95"/>
      <c r="BE92" s="360"/>
      <c r="BF92" s="96"/>
      <c r="BG92" s="117"/>
    </row>
    <row r="93" spans="1:59" ht="12.75" thickBot="1" x14ac:dyDescent="0.25">
      <c r="A93" s="220"/>
      <c r="B93" s="536" t="s">
        <v>12</v>
      </c>
      <c r="C93" s="536"/>
      <c r="D93" s="217" t="s">
        <v>13</v>
      </c>
      <c r="E93" s="15"/>
      <c r="F93" s="131">
        <f t="shared" ref="F93:BE93" si="114">SUM(F94:F100)</f>
        <v>191001</v>
      </c>
      <c r="G93" s="131">
        <f t="shared" si="114"/>
        <v>191001</v>
      </c>
      <c r="H93" s="131">
        <f t="shared" si="114"/>
        <v>190164</v>
      </c>
      <c r="I93" s="131">
        <f t="shared" si="114"/>
        <v>190164</v>
      </c>
      <c r="J93" s="131">
        <f t="shared" si="114"/>
        <v>0</v>
      </c>
      <c r="K93" s="131">
        <f t="shared" si="114"/>
        <v>0</v>
      </c>
      <c r="L93" s="131">
        <f t="shared" si="114"/>
        <v>0</v>
      </c>
      <c r="M93" s="131">
        <f t="shared" si="114"/>
        <v>0</v>
      </c>
      <c r="N93" s="131">
        <f t="shared" si="114"/>
        <v>0</v>
      </c>
      <c r="O93" s="131">
        <f t="shared" si="114"/>
        <v>0</v>
      </c>
      <c r="P93" s="131">
        <f t="shared" si="114"/>
        <v>0</v>
      </c>
      <c r="Q93" s="131">
        <f t="shared" si="114"/>
        <v>0</v>
      </c>
      <c r="R93" s="131">
        <f t="shared" si="114"/>
        <v>0</v>
      </c>
      <c r="S93" s="131">
        <f t="shared" si="114"/>
        <v>0</v>
      </c>
      <c r="T93" s="469">
        <f t="shared" si="114"/>
        <v>0</v>
      </c>
      <c r="U93" s="131">
        <f t="shared" si="114"/>
        <v>0</v>
      </c>
      <c r="V93" s="131">
        <f t="shared" si="114"/>
        <v>0</v>
      </c>
      <c r="W93" s="131">
        <f t="shared" si="114"/>
        <v>0</v>
      </c>
      <c r="X93" s="131">
        <f t="shared" si="114"/>
        <v>0</v>
      </c>
      <c r="Y93" s="131">
        <f t="shared" si="114"/>
        <v>0</v>
      </c>
      <c r="Z93" s="131">
        <f t="shared" si="114"/>
        <v>0</v>
      </c>
      <c r="AA93" s="131">
        <f t="shared" si="114"/>
        <v>0</v>
      </c>
      <c r="AB93" s="131">
        <f t="shared" si="114"/>
        <v>0</v>
      </c>
      <c r="AC93" s="131">
        <f t="shared" si="114"/>
        <v>0</v>
      </c>
      <c r="AD93" s="131">
        <f t="shared" si="114"/>
        <v>0</v>
      </c>
      <c r="AE93" s="131">
        <f t="shared" si="114"/>
        <v>0</v>
      </c>
      <c r="AF93" s="131">
        <f t="shared" si="114"/>
        <v>837</v>
      </c>
      <c r="AG93" s="131">
        <f t="shared" si="114"/>
        <v>837</v>
      </c>
      <c r="AH93" s="131">
        <f t="shared" si="114"/>
        <v>0</v>
      </c>
      <c r="AI93" s="131">
        <f t="shared" si="114"/>
        <v>0</v>
      </c>
      <c r="AJ93" s="131">
        <f t="shared" si="114"/>
        <v>0</v>
      </c>
      <c r="AK93" s="131">
        <f t="shared" si="114"/>
        <v>0</v>
      </c>
      <c r="AL93" s="131">
        <f t="shared" si="114"/>
        <v>0</v>
      </c>
      <c r="AM93" s="131">
        <f t="shared" si="114"/>
        <v>0</v>
      </c>
      <c r="AN93" s="469">
        <f t="shared" si="114"/>
        <v>0</v>
      </c>
      <c r="AO93" s="131">
        <f t="shared" si="114"/>
        <v>0</v>
      </c>
      <c r="AP93" s="131">
        <f t="shared" si="114"/>
        <v>0</v>
      </c>
      <c r="AQ93" s="131">
        <f t="shared" si="114"/>
        <v>0</v>
      </c>
      <c r="AR93" s="131">
        <f t="shared" si="114"/>
        <v>0</v>
      </c>
      <c r="AS93" s="131">
        <f t="shared" si="114"/>
        <v>0</v>
      </c>
      <c r="AT93" s="131">
        <f t="shared" si="114"/>
        <v>0</v>
      </c>
      <c r="AU93" s="131">
        <f t="shared" si="114"/>
        <v>0</v>
      </c>
      <c r="AV93" s="131">
        <f t="shared" si="114"/>
        <v>0</v>
      </c>
      <c r="AW93" s="131">
        <f t="shared" si="114"/>
        <v>0</v>
      </c>
      <c r="AX93" s="131">
        <f t="shared" si="114"/>
        <v>0</v>
      </c>
      <c r="AY93" s="131">
        <f t="shared" si="114"/>
        <v>0</v>
      </c>
      <c r="AZ93" s="131">
        <f t="shared" si="114"/>
        <v>0</v>
      </c>
      <c r="BA93" s="131">
        <f t="shared" si="114"/>
        <v>0</v>
      </c>
      <c r="BB93" s="131">
        <f t="shared" si="114"/>
        <v>0</v>
      </c>
      <c r="BC93" s="131">
        <f t="shared" ref="BC93" si="115">SUM(BC94:BC100)</f>
        <v>0</v>
      </c>
      <c r="BD93" s="131">
        <f t="shared" si="114"/>
        <v>0</v>
      </c>
      <c r="BE93" s="131">
        <f t="shared" si="114"/>
        <v>0</v>
      </c>
      <c r="BF93" s="17"/>
      <c r="BG93" s="118"/>
    </row>
    <row r="94" spans="1:59" ht="24.75" thickTop="1" x14ac:dyDescent="0.2">
      <c r="A94" s="167">
        <v>90000594245</v>
      </c>
      <c r="B94" s="127"/>
      <c r="C94" s="533" t="s">
        <v>23</v>
      </c>
      <c r="D94" s="534"/>
      <c r="E94" s="106" t="s">
        <v>217</v>
      </c>
      <c r="F94" s="107">
        <f t="shared" ref="F94:F99" si="116">H94+W94+AF94+AO94+AP94+AV94</f>
        <v>40712</v>
      </c>
      <c r="G94" s="107">
        <f t="shared" ref="G94:G99" si="117">I94+X94+AG94+AO94+AQ94+AW94</f>
        <v>40712</v>
      </c>
      <c r="H94" s="108">
        <v>40712</v>
      </c>
      <c r="I94" s="108">
        <f t="shared" ref="I94:I99" si="118">H94+J94</f>
        <v>40712</v>
      </c>
      <c r="J94" s="108">
        <f t="shared" ref="J94:J99" si="119">SUM(K94:V94)</f>
        <v>0</v>
      </c>
      <c r="K94" s="108"/>
      <c r="L94" s="108"/>
      <c r="M94" s="108"/>
      <c r="N94" s="108"/>
      <c r="O94" s="108"/>
      <c r="P94" s="108"/>
      <c r="Q94" s="108"/>
      <c r="R94" s="108"/>
      <c r="S94" s="108"/>
      <c r="T94" s="463"/>
      <c r="U94" s="108"/>
      <c r="V94" s="108"/>
      <c r="W94" s="108">
        <v>0</v>
      </c>
      <c r="X94" s="108">
        <f t="shared" ref="X94:X99" si="120">W94+Y94</f>
        <v>0</v>
      </c>
      <c r="Y94" s="108">
        <f t="shared" ref="Y94:Y99" si="121">SUM(Z94:AE94)</f>
        <v>0</v>
      </c>
      <c r="Z94" s="108"/>
      <c r="AA94" s="108"/>
      <c r="AB94" s="108"/>
      <c r="AC94" s="108"/>
      <c r="AD94" s="108"/>
      <c r="AE94" s="108"/>
      <c r="AF94" s="108">
        <v>0</v>
      </c>
      <c r="AG94" s="133">
        <f t="shared" ref="AG94:AG99" si="122">AH94+AF94</f>
        <v>0</v>
      </c>
      <c r="AH94" s="133">
        <f t="shared" ref="AH94:AH99" si="123">SUM(AI94:AN94)</f>
        <v>0</v>
      </c>
      <c r="AI94" s="133"/>
      <c r="AJ94" s="133"/>
      <c r="AK94" s="133"/>
      <c r="AL94" s="133"/>
      <c r="AM94" s="133"/>
      <c r="AN94" s="479"/>
      <c r="AO94" s="133"/>
      <c r="AP94" s="133">
        <v>0</v>
      </c>
      <c r="AQ94" s="133">
        <f t="shared" ref="AQ94:AQ99" si="124">AR94+AP94</f>
        <v>0</v>
      </c>
      <c r="AR94" s="133">
        <f t="shared" ref="AR94:AR99" si="125">SUM(AS94:AU94)</f>
        <v>0</v>
      </c>
      <c r="AS94" s="133"/>
      <c r="AT94" s="133"/>
      <c r="AU94" s="133"/>
      <c r="AV94" s="133"/>
      <c r="AW94" s="108">
        <f t="shared" ref="AW94:AW99" si="126">AX94+AV94</f>
        <v>0</v>
      </c>
      <c r="AX94" s="108">
        <f t="shared" ref="AX94:AX99" si="127">SUM(AY94:BE94)</f>
        <v>0</v>
      </c>
      <c r="AY94" s="108"/>
      <c r="AZ94" s="108"/>
      <c r="BA94" s="108"/>
      <c r="BB94" s="108"/>
      <c r="BC94" s="108"/>
      <c r="BD94" s="108"/>
      <c r="BE94" s="359"/>
      <c r="BF94" s="109" t="s">
        <v>476</v>
      </c>
      <c r="BG94" s="116" t="s">
        <v>613</v>
      </c>
    </row>
    <row r="95" spans="1:59" ht="24" x14ac:dyDescent="0.2">
      <c r="A95" s="167"/>
      <c r="B95" s="127"/>
      <c r="C95" s="208"/>
      <c r="D95" s="209"/>
      <c r="E95" s="106" t="s">
        <v>240</v>
      </c>
      <c r="F95" s="107">
        <f t="shared" si="116"/>
        <v>28227</v>
      </c>
      <c r="G95" s="107">
        <f t="shared" si="117"/>
        <v>28227</v>
      </c>
      <c r="H95" s="108">
        <v>28227</v>
      </c>
      <c r="I95" s="108">
        <f t="shared" si="118"/>
        <v>28227</v>
      </c>
      <c r="J95" s="108">
        <f t="shared" si="119"/>
        <v>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463"/>
      <c r="U95" s="108"/>
      <c r="V95" s="108"/>
      <c r="W95" s="108">
        <v>0</v>
      </c>
      <c r="X95" s="108">
        <f t="shared" si="120"/>
        <v>0</v>
      </c>
      <c r="Y95" s="108">
        <f t="shared" si="121"/>
        <v>0</v>
      </c>
      <c r="Z95" s="108"/>
      <c r="AA95" s="108"/>
      <c r="AB95" s="108"/>
      <c r="AC95" s="108"/>
      <c r="AD95" s="108"/>
      <c r="AE95" s="108"/>
      <c r="AF95" s="108">
        <v>0</v>
      </c>
      <c r="AG95" s="133">
        <f t="shared" si="122"/>
        <v>0</v>
      </c>
      <c r="AH95" s="133">
        <f t="shared" si="123"/>
        <v>0</v>
      </c>
      <c r="AI95" s="133"/>
      <c r="AJ95" s="133"/>
      <c r="AK95" s="133"/>
      <c r="AL95" s="133"/>
      <c r="AM95" s="133"/>
      <c r="AN95" s="479"/>
      <c r="AO95" s="133"/>
      <c r="AP95" s="133">
        <v>0</v>
      </c>
      <c r="AQ95" s="133">
        <f t="shared" si="124"/>
        <v>0</v>
      </c>
      <c r="AR95" s="133">
        <f t="shared" si="125"/>
        <v>0</v>
      </c>
      <c r="AS95" s="133"/>
      <c r="AT95" s="133"/>
      <c r="AU95" s="133"/>
      <c r="AV95" s="133"/>
      <c r="AW95" s="108">
        <f t="shared" si="126"/>
        <v>0</v>
      </c>
      <c r="AX95" s="108">
        <f t="shared" si="127"/>
        <v>0</v>
      </c>
      <c r="AY95" s="108"/>
      <c r="AZ95" s="108"/>
      <c r="BA95" s="108"/>
      <c r="BB95" s="108"/>
      <c r="BC95" s="108"/>
      <c r="BD95" s="108"/>
      <c r="BE95" s="359"/>
      <c r="BF95" s="109" t="s">
        <v>477</v>
      </c>
      <c r="BG95" s="116" t="s">
        <v>613</v>
      </c>
    </row>
    <row r="96" spans="1:59" ht="24" x14ac:dyDescent="0.2">
      <c r="A96" s="167"/>
      <c r="B96" s="127"/>
      <c r="C96" s="208"/>
      <c r="D96" s="209"/>
      <c r="E96" s="106" t="s">
        <v>234</v>
      </c>
      <c r="F96" s="107">
        <f t="shared" si="116"/>
        <v>99838</v>
      </c>
      <c r="G96" s="107">
        <f t="shared" si="117"/>
        <v>99838</v>
      </c>
      <c r="H96" s="108">
        <v>99838</v>
      </c>
      <c r="I96" s="108">
        <f t="shared" si="118"/>
        <v>99838</v>
      </c>
      <c r="J96" s="108">
        <f t="shared" si="119"/>
        <v>0</v>
      </c>
      <c r="K96" s="108"/>
      <c r="L96" s="108"/>
      <c r="M96" s="108"/>
      <c r="N96" s="108"/>
      <c r="O96" s="108"/>
      <c r="P96" s="108"/>
      <c r="Q96" s="108"/>
      <c r="R96" s="108"/>
      <c r="S96" s="108"/>
      <c r="T96" s="463"/>
      <c r="U96" s="108"/>
      <c r="V96" s="108"/>
      <c r="W96" s="108">
        <v>0</v>
      </c>
      <c r="X96" s="108">
        <f t="shared" si="120"/>
        <v>0</v>
      </c>
      <c r="Y96" s="108">
        <f t="shared" si="121"/>
        <v>0</v>
      </c>
      <c r="Z96" s="108"/>
      <c r="AA96" s="108"/>
      <c r="AB96" s="108"/>
      <c r="AC96" s="108"/>
      <c r="AD96" s="108"/>
      <c r="AE96" s="108"/>
      <c r="AF96" s="108">
        <v>0</v>
      </c>
      <c r="AG96" s="133">
        <f t="shared" si="122"/>
        <v>0</v>
      </c>
      <c r="AH96" s="133">
        <f t="shared" si="123"/>
        <v>0</v>
      </c>
      <c r="AI96" s="133"/>
      <c r="AJ96" s="133"/>
      <c r="AK96" s="133"/>
      <c r="AL96" s="133"/>
      <c r="AM96" s="133"/>
      <c r="AN96" s="479"/>
      <c r="AO96" s="133"/>
      <c r="AP96" s="133">
        <v>0</v>
      </c>
      <c r="AQ96" s="133">
        <f t="shared" si="124"/>
        <v>0</v>
      </c>
      <c r="AR96" s="133">
        <f t="shared" si="125"/>
        <v>0</v>
      </c>
      <c r="AS96" s="133"/>
      <c r="AT96" s="133"/>
      <c r="AU96" s="133"/>
      <c r="AV96" s="133"/>
      <c r="AW96" s="108">
        <f t="shared" si="126"/>
        <v>0</v>
      </c>
      <c r="AX96" s="108">
        <f t="shared" si="127"/>
        <v>0</v>
      </c>
      <c r="AY96" s="108"/>
      <c r="AZ96" s="108"/>
      <c r="BA96" s="108"/>
      <c r="BB96" s="108"/>
      <c r="BC96" s="108"/>
      <c r="BD96" s="108"/>
      <c r="BE96" s="359"/>
      <c r="BF96" s="109" t="s">
        <v>478</v>
      </c>
      <c r="BG96" s="116" t="s">
        <v>613</v>
      </c>
    </row>
    <row r="97" spans="1:59" ht="24.75" customHeight="1" x14ac:dyDescent="0.2">
      <c r="A97" s="167">
        <v>90001876536</v>
      </c>
      <c r="B97" s="127"/>
      <c r="C97" s="533" t="s">
        <v>388</v>
      </c>
      <c r="D97" s="534"/>
      <c r="E97" s="106" t="s">
        <v>297</v>
      </c>
      <c r="F97" s="107">
        <f t="shared" si="116"/>
        <v>7334</v>
      </c>
      <c r="G97" s="107">
        <f t="shared" si="117"/>
        <v>7334</v>
      </c>
      <c r="H97" s="108">
        <v>7334</v>
      </c>
      <c r="I97" s="108">
        <f t="shared" si="118"/>
        <v>7334</v>
      </c>
      <c r="J97" s="108">
        <f t="shared" si="119"/>
        <v>0</v>
      </c>
      <c r="K97" s="108"/>
      <c r="L97" s="108"/>
      <c r="M97" s="108"/>
      <c r="N97" s="108"/>
      <c r="O97" s="108"/>
      <c r="P97" s="108"/>
      <c r="Q97" s="108"/>
      <c r="R97" s="108"/>
      <c r="S97" s="108"/>
      <c r="T97" s="463"/>
      <c r="U97" s="108"/>
      <c r="V97" s="108"/>
      <c r="W97" s="108">
        <v>0</v>
      </c>
      <c r="X97" s="108">
        <f t="shared" si="120"/>
        <v>0</v>
      </c>
      <c r="Y97" s="108">
        <f t="shared" si="121"/>
        <v>0</v>
      </c>
      <c r="Z97" s="108"/>
      <c r="AA97" s="108"/>
      <c r="AB97" s="108"/>
      <c r="AC97" s="108"/>
      <c r="AD97" s="108"/>
      <c r="AE97" s="108"/>
      <c r="AF97" s="108">
        <v>0</v>
      </c>
      <c r="AG97" s="133">
        <f t="shared" si="122"/>
        <v>0</v>
      </c>
      <c r="AH97" s="133">
        <f t="shared" si="123"/>
        <v>0</v>
      </c>
      <c r="AI97" s="133"/>
      <c r="AJ97" s="133"/>
      <c r="AK97" s="133"/>
      <c r="AL97" s="133"/>
      <c r="AM97" s="133"/>
      <c r="AN97" s="479"/>
      <c r="AO97" s="133"/>
      <c r="AP97" s="133">
        <v>0</v>
      </c>
      <c r="AQ97" s="133">
        <f t="shared" si="124"/>
        <v>0</v>
      </c>
      <c r="AR97" s="133">
        <f t="shared" si="125"/>
        <v>0</v>
      </c>
      <c r="AS97" s="133"/>
      <c r="AT97" s="133"/>
      <c r="AU97" s="133"/>
      <c r="AV97" s="133"/>
      <c r="AW97" s="108">
        <f t="shared" si="126"/>
        <v>0</v>
      </c>
      <c r="AX97" s="108">
        <f t="shared" si="127"/>
        <v>0</v>
      </c>
      <c r="AY97" s="108"/>
      <c r="AZ97" s="108"/>
      <c r="BA97" s="108"/>
      <c r="BB97" s="108"/>
      <c r="BC97" s="108"/>
      <c r="BD97" s="108"/>
      <c r="BE97" s="359"/>
      <c r="BF97" s="109" t="s">
        <v>479</v>
      </c>
      <c r="BG97" s="116"/>
    </row>
    <row r="98" spans="1:59" s="155" customFormat="1" ht="12.75" x14ac:dyDescent="0.2">
      <c r="A98" s="167"/>
      <c r="B98" s="127"/>
      <c r="C98" s="161"/>
      <c r="D98" s="162"/>
      <c r="E98" s="106" t="s">
        <v>288</v>
      </c>
      <c r="F98" s="107">
        <f t="shared" si="116"/>
        <v>10044</v>
      </c>
      <c r="G98" s="107">
        <f t="shared" si="117"/>
        <v>10044</v>
      </c>
      <c r="H98" s="108">
        <v>9207</v>
      </c>
      <c r="I98" s="108">
        <f t="shared" si="118"/>
        <v>9207</v>
      </c>
      <c r="J98" s="108">
        <f t="shared" si="119"/>
        <v>0</v>
      </c>
      <c r="K98" s="108"/>
      <c r="L98" s="108"/>
      <c r="M98" s="108"/>
      <c r="N98" s="108"/>
      <c r="O98" s="108"/>
      <c r="P98" s="108"/>
      <c r="Q98" s="108"/>
      <c r="R98" s="108"/>
      <c r="S98" s="108"/>
      <c r="T98" s="463"/>
      <c r="U98" s="108"/>
      <c r="V98" s="108"/>
      <c r="W98" s="108">
        <v>0</v>
      </c>
      <c r="X98" s="108">
        <f t="shared" si="120"/>
        <v>0</v>
      </c>
      <c r="Y98" s="108">
        <f t="shared" si="121"/>
        <v>0</v>
      </c>
      <c r="Z98" s="108"/>
      <c r="AA98" s="108"/>
      <c r="AB98" s="108"/>
      <c r="AC98" s="108"/>
      <c r="AD98" s="108"/>
      <c r="AE98" s="108"/>
      <c r="AF98" s="108">
        <v>837</v>
      </c>
      <c r="AG98" s="133">
        <f t="shared" si="122"/>
        <v>837</v>
      </c>
      <c r="AH98" s="133">
        <f t="shared" si="123"/>
        <v>0</v>
      </c>
      <c r="AI98" s="133"/>
      <c r="AJ98" s="133"/>
      <c r="AK98" s="133"/>
      <c r="AL98" s="133"/>
      <c r="AM98" s="133"/>
      <c r="AN98" s="479"/>
      <c r="AO98" s="133"/>
      <c r="AP98" s="133">
        <v>0</v>
      </c>
      <c r="AQ98" s="133">
        <f t="shared" si="124"/>
        <v>0</v>
      </c>
      <c r="AR98" s="133">
        <f t="shared" si="125"/>
        <v>0</v>
      </c>
      <c r="AS98" s="133"/>
      <c r="AT98" s="133"/>
      <c r="AU98" s="133"/>
      <c r="AV98" s="133"/>
      <c r="AW98" s="108">
        <f t="shared" si="126"/>
        <v>0</v>
      </c>
      <c r="AX98" s="108">
        <f t="shared" si="127"/>
        <v>0</v>
      </c>
      <c r="AY98" s="108"/>
      <c r="AZ98" s="108"/>
      <c r="BA98" s="108"/>
      <c r="BB98" s="108"/>
      <c r="BC98" s="108"/>
      <c r="BD98" s="108"/>
      <c r="BE98" s="359"/>
      <c r="BF98" s="109" t="s">
        <v>480</v>
      </c>
      <c r="BG98" s="116"/>
    </row>
    <row r="99" spans="1:59" s="288" customFormat="1" ht="36" customHeight="1" x14ac:dyDescent="0.2">
      <c r="A99" s="291">
        <v>40003219995</v>
      </c>
      <c r="B99" s="292"/>
      <c r="C99" s="548" t="s">
        <v>643</v>
      </c>
      <c r="D99" s="549"/>
      <c r="E99" s="293" t="s">
        <v>357</v>
      </c>
      <c r="F99" s="107">
        <f t="shared" si="116"/>
        <v>4846</v>
      </c>
      <c r="G99" s="107">
        <f t="shared" si="117"/>
        <v>4846</v>
      </c>
      <c r="H99" s="108">
        <v>4846</v>
      </c>
      <c r="I99" s="108">
        <f t="shared" si="118"/>
        <v>4846</v>
      </c>
      <c r="J99" s="108">
        <f t="shared" si="119"/>
        <v>0</v>
      </c>
      <c r="K99" s="108"/>
      <c r="L99" s="108"/>
      <c r="M99" s="108"/>
      <c r="N99" s="108"/>
      <c r="O99" s="108"/>
      <c r="P99" s="108"/>
      <c r="Q99" s="108"/>
      <c r="R99" s="108"/>
      <c r="S99" s="108"/>
      <c r="T99" s="463"/>
      <c r="U99" s="108"/>
      <c r="V99" s="108"/>
      <c r="W99" s="108">
        <v>0</v>
      </c>
      <c r="X99" s="108">
        <f t="shared" si="120"/>
        <v>0</v>
      </c>
      <c r="Y99" s="108">
        <f t="shared" si="121"/>
        <v>0</v>
      </c>
      <c r="Z99" s="108"/>
      <c r="AA99" s="108"/>
      <c r="AB99" s="108"/>
      <c r="AC99" s="108"/>
      <c r="AD99" s="108"/>
      <c r="AE99" s="108"/>
      <c r="AF99" s="108">
        <v>0</v>
      </c>
      <c r="AG99" s="133">
        <f t="shared" si="122"/>
        <v>0</v>
      </c>
      <c r="AH99" s="133">
        <f t="shared" si="123"/>
        <v>0</v>
      </c>
      <c r="AI99" s="133"/>
      <c r="AJ99" s="133"/>
      <c r="AK99" s="133"/>
      <c r="AL99" s="133"/>
      <c r="AM99" s="133"/>
      <c r="AN99" s="479"/>
      <c r="AO99" s="133"/>
      <c r="AP99" s="133">
        <v>0</v>
      </c>
      <c r="AQ99" s="133">
        <f t="shared" si="124"/>
        <v>0</v>
      </c>
      <c r="AR99" s="133">
        <f t="shared" si="125"/>
        <v>0</v>
      </c>
      <c r="AS99" s="133"/>
      <c r="AT99" s="133"/>
      <c r="AU99" s="133"/>
      <c r="AV99" s="133"/>
      <c r="AW99" s="108">
        <f t="shared" si="126"/>
        <v>0</v>
      </c>
      <c r="AX99" s="108">
        <f t="shared" si="127"/>
        <v>0</v>
      </c>
      <c r="AY99" s="108"/>
      <c r="AZ99" s="108"/>
      <c r="BA99" s="108"/>
      <c r="BB99" s="108"/>
      <c r="BC99" s="108"/>
      <c r="BD99" s="108"/>
      <c r="BE99" s="359"/>
      <c r="BF99" s="109" t="s">
        <v>642</v>
      </c>
      <c r="BG99" s="116"/>
    </row>
    <row r="100" spans="1:59" ht="12.75" thickBot="1" x14ac:dyDescent="0.25">
      <c r="A100" s="167"/>
      <c r="B100" s="145"/>
      <c r="C100" s="540"/>
      <c r="D100" s="541"/>
      <c r="E100" s="163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464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132"/>
      <c r="AH100" s="132"/>
      <c r="AI100" s="132"/>
      <c r="AJ100" s="132"/>
      <c r="AK100" s="132"/>
      <c r="AL100" s="132"/>
      <c r="AM100" s="132"/>
      <c r="AN100" s="480"/>
      <c r="AO100" s="132"/>
      <c r="AP100" s="132"/>
      <c r="AQ100" s="132"/>
      <c r="AR100" s="132"/>
      <c r="AS100" s="132"/>
      <c r="AT100" s="132"/>
      <c r="AU100" s="132"/>
      <c r="AV100" s="132"/>
      <c r="AW100" s="95"/>
      <c r="AX100" s="95"/>
      <c r="AY100" s="95"/>
      <c r="AZ100" s="95"/>
      <c r="BA100" s="95"/>
      <c r="BB100" s="95"/>
      <c r="BC100" s="95"/>
      <c r="BD100" s="95"/>
      <c r="BE100" s="360"/>
      <c r="BF100" s="96"/>
      <c r="BG100" s="117"/>
    </row>
    <row r="101" spans="1:59" ht="24.75" thickBot="1" x14ac:dyDescent="0.25">
      <c r="A101" s="220"/>
      <c r="B101" s="536" t="s">
        <v>14</v>
      </c>
      <c r="C101" s="536"/>
      <c r="D101" s="217" t="s">
        <v>15</v>
      </c>
      <c r="E101" s="15"/>
      <c r="F101" s="9">
        <f t="shared" ref="F101:BE101" si="128">SUM(F102:F140)</f>
        <v>10253851.800000001</v>
      </c>
      <c r="G101" s="9">
        <f t="shared" si="128"/>
        <v>10639635.800000001</v>
      </c>
      <c r="H101" s="9">
        <f t="shared" si="128"/>
        <v>8344708.7999999998</v>
      </c>
      <c r="I101" s="9">
        <f t="shared" si="128"/>
        <v>8722648.8000000007</v>
      </c>
      <c r="J101" s="9">
        <f t="shared" si="128"/>
        <v>377940</v>
      </c>
      <c r="K101" s="9">
        <f>SUM(K102:K140)</f>
        <v>212632</v>
      </c>
      <c r="L101" s="9">
        <f t="shared" si="128"/>
        <v>0</v>
      </c>
      <c r="M101" s="9">
        <f t="shared" si="128"/>
        <v>10622</v>
      </c>
      <c r="N101" s="9">
        <f t="shared" si="128"/>
        <v>59778</v>
      </c>
      <c r="O101" s="9">
        <f t="shared" si="128"/>
        <v>-3023</v>
      </c>
      <c r="P101" s="9">
        <f t="shared" si="128"/>
        <v>-1766</v>
      </c>
      <c r="Q101" s="9">
        <f t="shared" si="128"/>
        <v>95782</v>
      </c>
      <c r="R101" s="9">
        <f t="shared" si="128"/>
        <v>9660</v>
      </c>
      <c r="S101" s="9">
        <f t="shared" si="128"/>
        <v>0</v>
      </c>
      <c r="T101" s="462">
        <f t="shared" si="128"/>
        <v>-5745</v>
      </c>
      <c r="U101" s="9">
        <f t="shared" si="128"/>
        <v>0</v>
      </c>
      <c r="V101" s="9">
        <f t="shared" si="128"/>
        <v>0</v>
      </c>
      <c r="W101" s="9">
        <f t="shared" si="128"/>
        <v>7279</v>
      </c>
      <c r="X101" s="9">
        <f t="shared" si="128"/>
        <v>11025</v>
      </c>
      <c r="Y101" s="9">
        <f t="shared" si="128"/>
        <v>3746</v>
      </c>
      <c r="Z101" s="9">
        <f t="shared" si="128"/>
        <v>0</v>
      </c>
      <c r="AA101" s="9">
        <f t="shared" si="128"/>
        <v>3746</v>
      </c>
      <c r="AB101" s="9">
        <f t="shared" si="128"/>
        <v>0</v>
      </c>
      <c r="AC101" s="9">
        <f t="shared" si="128"/>
        <v>0</v>
      </c>
      <c r="AD101" s="9">
        <f t="shared" si="128"/>
        <v>0</v>
      </c>
      <c r="AE101" s="9">
        <f t="shared" si="128"/>
        <v>0</v>
      </c>
      <c r="AF101" s="9">
        <f t="shared" si="128"/>
        <v>192870</v>
      </c>
      <c r="AG101" s="9">
        <f t="shared" si="128"/>
        <v>197878</v>
      </c>
      <c r="AH101" s="9">
        <f t="shared" si="128"/>
        <v>5008</v>
      </c>
      <c r="AI101" s="9">
        <f t="shared" si="128"/>
        <v>-8347</v>
      </c>
      <c r="AJ101" s="9">
        <f t="shared" si="128"/>
        <v>2170</v>
      </c>
      <c r="AK101" s="9">
        <f t="shared" si="128"/>
        <v>1152</v>
      </c>
      <c r="AL101" s="9">
        <f t="shared" si="128"/>
        <v>10000</v>
      </c>
      <c r="AM101" s="9">
        <f t="shared" si="128"/>
        <v>33</v>
      </c>
      <c r="AN101" s="462">
        <f t="shared" si="128"/>
        <v>0</v>
      </c>
      <c r="AO101" s="9">
        <f t="shared" si="128"/>
        <v>1708994</v>
      </c>
      <c r="AP101" s="131">
        <f t="shared" si="128"/>
        <v>0</v>
      </c>
      <c r="AQ101" s="131">
        <f t="shared" si="128"/>
        <v>165</v>
      </c>
      <c r="AR101" s="131">
        <f t="shared" si="128"/>
        <v>165</v>
      </c>
      <c r="AS101" s="131">
        <f t="shared" si="128"/>
        <v>165</v>
      </c>
      <c r="AT101" s="131">
        <f t="shared" si="128"/>
        <v>0</v>
      </c>
      <c r="AU101" s="131">
        <f t="shared" si="128"/>
        <v>0</v>
      </c>
      <c r="AV101" s="131">
        <f t="shared" si="128"/>
        <v>0</v>
      </c>
      <c r="AW101" s="131">
        <f t="shared" si="128"/>
        <v>-1075</v>
      </c>
      <c r="AX101" s="131">
        <f t="shared" si="128"/>
        <v>-1075</v>
      </c>
      <c r="AY101" s="131">
        <f t="shared" si="128"/>
        <v>0</v>
      </c>
      <c r="AZ101" s="131">
        <f t="shared" si="128"/>
        <v>0</v>
      </c>
      <c r="BA101" s="131">
        <f t="shared" si="128"/>
        <v>-1042</v>
      </c>
      <c r="BB101" s="131">
        <f t="shared" si="128"/>
        <v>0</v>
      </c>
      <c r="BC101" s="131">
        <f t="shared" ref="BC101" si="129">SUM(BC102:BC140)</f>
        <v>0</v>
      </c>
      <c r="BD101" s="131">
        <f t="shared" si="128"/>
        <v>-33</v>
      </c>
      <c r="BE101" s="131">
        <f t="shared" si="128"/>
        <v>0</v>
      </c>
      <c r="BF101" s="17"/>
      <c r="BG101" s="118"/>
    </row>
    <row r="102" spans="1:59" ht="24.75" thickTop="1" x14ac:dyDescent="0.2">
      <c r="A102" s="232">
        <v>90000056357</v>
      </c>
      <c r="B102" s="219"/>
      <c r="C102" s="531" t="s">
        <v>5</v>
      </c>
      <c r="D102" s="532"/>
      <c r="E102" s="106" t="s">
        <v>209</v>
      </c>
      <c r="F102" s="112">
        <f t="shared" ref="F102:F139" si="130">H102+W102+AF102+AO102+AP102+AV102</f>
        <v>804231</v>
      </c>
      <c r="G102" s="112">
        <f t="shared" ref="G102:G139" si="131">I102+X102+AG102+AO102+AQ102+AW102</f>
        <v>682167</v>
      </c>
      <c r="H102" s="111">
        <v>804231</v>
      </c>
      <c r="I102" s="111">
        <f t="shared" ref="I102:I139" si="132">H102+J102</f>
        <v>682167</v>
      </c>
      <c r="J102" s="111">
        <f t="shared" ref="J102:J139" si="133">SUM(K102:V102)</f>
        <v>-122064</v>
      </c>
      <c r="K102" s="111"/>
      <c r="L102" s="111"/>
      <c r="M102" s="111"/>
      <c r="N102" s="111"/>
      <c r="O102" s="111"/>
      <c r="P102" s="111"/>
      <c r="Q102" s="111">
        <v>-120864</v>
      </c>
      <c r="R102" s="111">
        <v>-1200</v>
      </c>
      <c r="S102" s="111"/>
      <c r="T102" s="467"/>
      <c r="U102" s="111"/>
      <c r="V102" s="111"/>
      <c r="W102" s="111">
        <v>0</v>
      </c>
      <c r="X102" s="111">
        <f t="shared" ref="X102:X135" si="134">W102+Y102</f>
        <v>0</v>
      </c>
      <c r="Y102" s="111">
        <f t="shared" ref="Y102:Y135" si="135">SUM(Z102:AE102)</f>
        <v>0</v>
      </c>
      <c r="Z102" s="111"/>
      <c r="AA102" s="111"/>
      <c r="AB102" s="111"/>
      <c r="AC102" s="111"/>
      <c r="AD102" s="111"/>
      <c r="AE102" s="111"/>
      <c r="AF102" s="111">
        <v>0</v>
      </c>
      <c r="AG102" s="134">
        <f t="shared" ref="AG102:AG135" si="136">AH102+AF102</f>
        <v>0</v>
      </c>
      <c r="AH102" s="134">
        <f t="shared" ref="AH102:AH135" si="137">SUM(AI102:AN102)</f>
        <v>0</v>
      </c>
      <c r="AI102" s="134"/>
      <c r="AJ102" s="134"/>
      <c r="AK102" s="134"/>
      <c r="AL102" s="134"/>
      <c r="AM102" s="134"/>
      <c r="AN102" s="483"/>
      <c r="AO102" s="134"/>
      <c r="AP102" s="134">
        <v>0</v>
      </c>
      <c r="AQ102" s="136">
        <f t="shared" ref="AQ102:AQ135" si="138">AR102+AP102</f>
        <v>0</v>
      </c>
      <c r="AR102" s="136">
        <f t="shared" ref="AR102:AR135" si="139">SUM(AS102:AU102)</f>
        <v>0</v>
      </c>
      <c r="AS102" s="136"/>
      <c r="AT102" s="136"/>
      <c r="AU102" s="136"/>
      <c r="AV102" s="136"/>
      <c r="AW102" s="124">
        <f t="shared" ref="AW102:AW139" si="140">AX102+AV102</f>
        <v>0</v>
      </c>
      <c r="AX102" s="124">
        <f t="shared" ref="AX102:AX139" si="141">SUM(AY102:BE102)</f>
        <v>0</v>
      </c>
      <c r="AY102" s="124"/>
      <c r="AZ102" s="124"/>
      <c r="BA102" s="124"/>
      <c r="BB102" s="124"/>
      <c r="BC102" s="124"/>
      <c r="BD102" s="124"/>
      <c r="BE102" s="361"/>
      <c r="BF102" s="109" t="s">
        <v>653</v>
      </c>
      <c r="BG102" s="116"/>
    </row>
    <row r="103" spans="1:59" ht="24" x14ac:dyDescent="0.2">
      <c r="A103" s="167"/>
      <c r="B103" s="127"/>
      <c r="C103" s="208"/>
      <c r="D103" s="209"/>
      <c r="E103" s="224" t="s">
        <v>252</v>
      </c>
      <c r="F103" s="107">
        <f t="shared" si="130"/>
        <v>285000</v>
      </c>
      <c r="G103" s="107">
        <f t="shared" si="131"/>
        <v>680960</v>
      </c>
      <c r="H103" s="108">
        <v>285000</v>
      </c>
      <c r="I103" s="108">
        <f t="shared" si="132"/>
        <v>680960</v>
      </c>
      <c r="J103" s="108">
        <f t="shared" si="133"/>
        <v>395960</v>
      </c>
      <c r="K103" s="108">
        <v>390018</v>
      </c>
      <c r="L103" s="108"/>
      <c r="M103" s="108"/>
      <c r="N103" s="108"/>
      <c r="O103" s="108">
        <f>23145+12797</f>
        <v>35942</v>
      </c>
      <c r="P103" s="108"/>
      <c r="Q103" s="108">
        <v>-24255</v>
      </c>
      <c r="R103" s="108"/>
      <c r="S103" s="108"/>
      <c r="T103" s="463">
        <v>-5745</v>
      </c>
      <c r="U103" s="108"/>
      <c r="V103" s="108"/>
      <c r="W103" s="108">
        <v>0</v>
      </c>
      <c r="X103" s="108">
        <f t="shared" si="134"/>
        <v>0</v>
      </c>
      <c r="Y103" s="108">
        <f t="shared" si="135"/>
        <v>0</v>
      </c>
      <c r="Z103" s="108"/>
      <c r="AA103" s="108"/>
      <c r="AB103" s="108"/>
      <c r="AC103" s="108"/>
      <c r="AD103" s="108"/>
      <c r="AE103" s="108"/>
      <c r="AF103" s="108">
        <v>0</v>
      </c>
      <c r="AG103" s="133">
        <f t="shared" si="136"/>
        <v>0</v>
      </c>
      <c r="AH103" s="133">
        <f t="shared" si="137"/>
        <v>0</v>
      </c>
      <c r="AI103" s="133"/>
      <c r="AJ103" s="133"/>
      <c r="AK103" s="133"/>
      <c r="AL103" s="133"/>
      <c r="AM103" s="133"/>
      <c r="AN103" s="479"/>
      <c r="AO103" s="133"/>
      <c r="AP103" s="133">
        <v>0</v>
      </c>
      <c r="AQ103" s="133">
        <f t="shared" si="138"/>
        <v>0</v>
      </c>
      <c r="AR103" s="133">
        <f t="shared" si="139"/>
        <v>0</v>
      </c>
      <c r="AS103" s="133"/>
      <c r="AT103" s="133"/>
      <c r="AU103" s="133"/>
      <c r="AV103" s="133"/>
      <c r="AW103" s="108">
        <f t="shared" si="140"/>
        <v>0</v>
      </c>
      <c r="AX103" s="108">
        <f t="shared" si="141"/>
        <v>0</v>
      </c>
      <c r="AY103" s="108"/>
      <c r="AZ103" s="108"/>
      <c r="BA103" s="108"/>
      <c r="BB103" s="108"/>
      <c r="BC103" s="108"/>
      <c r="BD103" s="108"/>
      <c r="BE103" s="359"/>
      <c r="BF103" s="109" t="s">
        <v>453</v>
      </c>
      <c r="BG103" s="116" t="s">
        <v>606</v>
      </c>
    </row>
    <row r="104" spans="1:59" ht="12.75" x14ac:dyDescent="0.2">
      <c r="A104" s="167"/>
      <c r="B104" s="127"/>
      <c r="C104" s="208"/>
      <c r="D104" s="209"/>
      <c r="E104" s="106" t="s">
        <v>254</v>
      </c>
      <c r="F104" s="107">
        <f t="shared" si="130"/>
        <v>1719844</v>
      </c>
      <c r="G104" s="107">
        <f>I104+X104+AG104+AO104+AQ104+AW104</f>
        <v>1739844</v>
      </c>
      <c r="H104" s="108">
        <v>1719844</v>
      </c>
      <c r="I104" s="108">
        <f t="shared" si="132"/>
        <v>1739844</v>
      </c>
      <c r="J104" s="108">
        <f t="shared" si="133"/>
        <v>20000</v>
      </c>
      <c r="K104" s="108"/>
      <c r="L104" s="108"/>
      <c r="M104" s="108"/>
      <c r="N104" s="108"/>
      <c r="O104" s="108">
        <v>-50000</v>
      </c>
      <c r="P104" s="108"/>
      <c r="Q104" s="108">
        <v>70000</v>
      </c>
      <c r="R104" s="108"/>
      <c r="S104" s="108"/>
      <c r="T104" s="463"/>
      <c r="U104" s="108"/>
      <c r="V104" s="108"/>
      <c r="W104" s="108">
        <v>0</v>
      </c>
      <c r="X104" s="108">
        <f t="shared" si="134"/>
        <v>0</v>
      </c>
      <c r="Y104" s="108">
        <f t="shared" si="135"/>
        <v>0</v>
      </c>
      <c r="Z104" s="108"/>
      <c r="AA104" s="108"/>
      <c r="AB104" s="108"/>
      <c r="AC104" s="108"/>
      <c r="AD104" s="108"/>
      <c r="AE104" s="108"/>
      <c r="AF104" s="108">
        <v>0</v>
      </c>
      <c r="AG104" s="133">
        <f t="shared" si="136"/>
        <v>0</v>
      </c>
      <c r="AH104" s="133">
        <f t="shared" si="137"/>
        <v>0</v>
      </c>
      <c r="AI104" s="133"/>
      <c r="AJ104" s="133"/>
      <c r="AK104" s="133"/>
      <c r="AL104" s="133"/>
      <c r="AM104" s="133"/>
      <c r="AN104" s="479"/>
      <c r="AO104" s="133"/>
      <c r="AP104" s="133">
        <v>0</v>
      </c>
      <c r="AQ104" s="133">
        <f t="shared" si="138"/>
        <v>0</v>
      </c>
      <c r="AR104" s="133">
        <f t="shared" si="139"/>
        <v>0</v>
      </c>
      <c r="AS104" s="133"/>
      <c r="AT104" s="133"/>
      <c r="AU104" s="133"/>
      <c r="AV104" s="133"/>
      <c r="AW104" s="108">
        <f t="shared" si="140"/>
        <v>0</v>
      </c>
      <c r="AX104" s="108">
        <f t="shared" si="141"/>
        <v>0</v>
      </c>
      <c r="AY104" s="108"/>
      <c r="AZ104" s="108"/>
      <c r="BA104" s="108"/>
      <c r="BB104" s="108"/>
      <c r="BC104" s="108"/>
      <c r="BD104" s="108"/>
      <c r="BE104" s="359"/>
      <c r="BF104" s="109" t="s">
        <v>454</v>
      </c>
      <c r="BG104" s="116" t="s">
        <v>607</v>
      </c>
    </row>
    <row r="105" spans="1:59" ht="24" x14ac:dyDescent="0.2">
      <c r="A105" s="167"/>
      <c r="B105" s="127"/>
      <c r="C105" s="208"/>
      <c r="D105" s="209"/>
      <c r="E105" s="106" t="s">
        <v>331</v>
      </c>
      <c r="F105" s="107">
        <f t="shared" si="130"/>
        <v>4055</v>
      </c>
      <c r="G105" s="107">
        <f t="shared" si="131"/>
        <v>4055</v>
      </c>
      <c r="H105" s="108">
        <v>4055</v>
      </c>
      <c r="I105" s="108">
        <f t="shared" si="132"/>
        <v>4055</v>
      </c>
      <c r="J105" s="108">
        <f t="shared" si="133"/>
        <v>0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463"/>
      <c r="U105" s="108"/>
      <c r="V105" s="108"/>
      <c r="W105" s="108">
        <v>0</v>
      </c>
      <c r="X105" s="108">
        <f t="shared" si="134"/>
        <v>0</v>
      </c>
      <c r="Y105" s="108">
        <f t="shared" si="135"/>
        <v>0</v>
      </c>
      <c r="Z105" s="108"/>
      <c r="AA105" s="108"/>
      <c r="AB105" s="108"/>
      <c r="AC105" s="108"/>
      <c r="AD105" s="108"/>
      <c r="AE105" s="108"/>
      <c r="AF105" s="108">
        <v>0</v>
      </c>
      <c r="AG105" s="133">
        <f t="shared" si="136"/>
        <v>0</v>
      </c>
      <c r="AH105" s="133">
        <f t="shared" si="137"/>
        <v>0</v>
      </c>
      <c r="AI105" s="133"/>
      <c r="AJ105" s="133"/>
      <c r="AK105" s="133"/>
      <c r="AL105" s="133"/>
      <c r="AM105" s="133"/>
      <c r="AN105" s="479"/>
      <c r="AO105" s="133"/>
      <c r="AP105" s="133">
        <v>0</v>
      </c>
      <c r="AQ105" s="133">
        <f t="shared" si="138"/>
        <v>0</v>
      </c>
      <c r="AR105" s="133">
        <f t="shared" si="139"/>
        <v>0</v>
      </c>
      <c r="AS105" s="133"/>
      <c r="AT105" s="133"/>
      <c r="AU105" s="133"/>
      <c r="AV105" s="133"/>
      <c r="AW105" s="108">
        <f t="shared" si="140"/>
        <v>0</v>
      </c>
      <c r="AX105" s="108">
        <f t="shared" si="141"/>
        <v>0</v>
      </c>
      <c r="AY105" s="108"/>
      <c r="AZ105" s="108"/>
      <c r="BA105" s="108"/>
      <c r="BB105" s="108"/>
      <c r="BC105" s="108"/>
      <c r="BD105" s="108"/>
      <c r="BE105" s="359"/>
      <c r="BF105" s="109" t="s">
        <v>455</v>
      </c>
      <c r="BG105" s="116" t="s">
        <v>591</v>
      </c>
    </row>
    <row r="106" spans="1:59" ht="24" x14ac:dyDescent="0.2">
      <c r="A106" s="167"/>
      <c r="B106" s="127"/>
      <c r="C106" s="208"/>
      <c r="D106" s="209"/>
      <c r="E106" s="106" t="s">
        <v>337</v>
      </c>
      <c r="F106" s="107">
        <f t="shared" si="130"/>
        <v>57700</v>
      </c>
      <c r="G106" s="107">
        <f t="shared" si="131"/>
        <v>57700</v>
      </c>
      <c r="H106" s="108">
        <v>57700</v>
      </c>
      <c r="I106" s="108">
        <f t="shared" si="132"/>
        <v>57700</v>
      </c>
      <c r="J106" s="108">
        <f t="shared" si="133"/>
        <v>0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463"/>
      <c r="U106" s="108"/>
      <c r="V106" s="108"/>
      <c r="W106" s="108">
        <v>0</v>
      </c>
      <c r="X106" s="108">
        <f t="shared" si="134"/>
        <v>0</v>
      </c>
      <c r="Y106" s="108">
        <f t="shared" si="135"/>
        <v>0</v>
      </c>
      <c r="Z106" s="108"/>
      <c r="AA106" s="108"/>
      <c r="AB106" s="108"/>
      <c r="AC106" s="108"/>
      <c r="AD106" s="108"/>
      <c r="AE106" s="108"/>
      <c r="AF106" s="108">
        <v>0</v>
      </c>
      <c r="AG106" s="133">
        <f t="shared" si="136"/>
        <v>0</v>
      </c>
      <c r="AH106" s="133">
        <f t="shared" si="137"/>
        <v>0</v>
      </c>
      <c r="AI106" s="133"/>
      <c r="AJ106" s="133"/>
      <c r="AK106" s="133"/>
      <c r="AL106" s="133"/>
      <c r="AM106" s="133"/>
      <c r="AN106" s="479"/>
      <c r="AO106" s="133"/>
      <c r="AP106" s="133">
        <v>0</v>
      </c>
      <c r="AQ106" s="133">
        <f t="shared" si="138"/>
        <v>0</v>
      </c>
      <c r="AR106" s="133">
        <f t="shared" si="139"/>
        <v>0</v>
      </c>
      <c r="AS106" s="133"/>
      <c r="AT106" s="133"/>
      <c r="AU106" s="133"/>
      <c r="AV106" s="133"/>
      <c r="AW106" s="108">
        <f t="shared" si="140"/>
        <v>0</v>
      </c>
      <c r="AX106" s="108">
        <f t="shared" si="141"/>
        <v>0</v>
      </c>
      <c r="AY106" s="108"/>
      <c r="AZ106" s="108"/>
      <c r="BA106" s="108"/>
      <c r="BB106" s="108"/>
      <c r="BC106" s="108"/>
      <c r="BD106" s="108"/>
      <c r="BE106" s="359"/>
      <c r="BF106" s="109" t="s">
        <v>456</v>
      </c>
      <c r="BG106" s="116" t="s">
        <v>591</v>
      </c>
    </row>
    <row r="107" spans="1:59" ht="36" x14ac:dyDescent="0.2">
      <c r="A107" s="167"/>
      <c r="B107" s="127"/>
      <c r="C107" s="208"/>
      <c r="D107" s="209"/>
      <c r="E107" s="106" t="s">
        <v>332</v>
      </c>
      <c r="F107" s="107">
        <f t="shared" si="130"/>
        <v>166010</v>
      </c>
      <c r="G107" s="107">
        <f t="shared" si="131"/>
        <v>88710</v>
      </c>
      <c r="H107" s="108">
        <v>166010</v>
      </c>
      <c r="I107" s="108">
        <f t="shared" si="132"/>
        <v>88710</v>
      </c>
      <c r="J107" s="108">
        <f t="shared" si="133"/>
        <v>-77300</v>
      </c>
      <c r="K107" s="108">
        <v>-77300</v>
      </c>
      <c r="L107" s="108"/>
      <c r="M107" s="108"/>
      <c r="N107" s="108"/>
      <c r="O107" s="108"/>
      <c r="P107" s="108"/>
      <c r="Q107" s="108"/>
      <c r="R107" s="108"/>
      <c r="S107" s="108"/>
      <c r="T107" s="463"/>
      <c r="U107" s="108"/>
      <c r="V107" s="108"/>
      <c r="W107" s="108">
        <v>0</v>
      </c>
      <c r="X107" s="108">
        <f t="shared" si="134"/>
        <v>0</v>
      </c>
      <c r="Y107" s="108">
        <f t="shared" si="135"/>
        <v>0</v>
      </c>
      <c r="Z107" s="108"/>
      <c r="AA107" s="108"/>
      <c r="AB107" s="108"/>
      <c r="AC107" s="108"/>
      <c r="AD107" s="108"/>
      <c r="AE107" s="108"/>
      <c r="AF107" s="108">
        <v>0</v>
      </c>
      <c r="AG107" s="133">
        <f t="shared" si="136"/>
        <v>0</v>
      </c>
      <c r="AH107" s="133">
        <f t="shared" si="137"/>
        <v>0</v>
      </c>
      <c r="AI107" s="133"/>
      <c r="AJ107" s="133"/>
      <c r="AK107" s="133"/>
      <c r="AL107" s="133"/>
      <c r="AM107" s="133"/>
      <c r="AN107" s="479"/>
      <c r="AO107" s="133"/>
      <c r="AP107" s="133">
        <v>0</v>
      </c>
      <c r="AQ107" s="133">
        <f t="shared" si="138"/>
        <v>0</v>
      </c>
      <c r="AR107" s="133">
        <f t="shared" si="139"/>
        <v>0</v>
      </c>
      <c r="AS107" s="133"/>
      <c r="AT107" s="133"/>
      <c r="AU107" s="133"/>
      <c r="AV107" s="133"/>
      <c r="AW107" s="108">
        <f t="shared" si="140"/>
        <v>0</v>
      </c>
      <c r="AX107" s="108">
        <f t="shared" si="141"/>
        <v>0</v>
      </c>
      <c r="AY107" s="108"/>
      <c r="AZ107" s="108"/>
      <c r="BA107" s="108"/>
      <c r="BB107" s="108"/>
      <c r="BC107" s="108"/>
      <c r="BD107" s="108"/>
      <c r="BE107" s="359"/>
      <c r="BF107" s="109" t="s">
        <v>457</v>
      </c>
      <c r="BG107" s="116" t="s">
        <v>591</v>
      </c>
    </row>
    <row r="108" spans="1:59" ht="36" x14ac:dyDescent="0.2">
      <c r="A108" s="167"/>
      <c r="B108" s="127"/>
      <c r="C108" s="208"/>
      <c r="D108" s="209"/>
      <c r="E108" s="106" t="s">
        <v>333</v>
      </c>
      <c r="F108" s="107">
        <f t="shared" si="130"/>
        <v>589511</v>
      </c>
      <c r="G108" s="107">
        <f t="shared" si="131"/>
        <v>594303</v>
      </c>
      <c r="H108" s="108">
        <v>589511</v>
      </c>
      <c r="I108" s="108">
        <f t="shared" si="132"/>
        <v>594303</v>
      </c>
      <c r="J108" s="108">
        <f t="shared" si="133"/>
        <v>4792</v>
      </c>
      <c r="K108" s="108"/>
      <c r="L108" s="108"/>
      <c r="M108" s="108">
        <v>4792</v>
      </c>
      <c r="N108" s="108"/>
      <c r="O108" s="108"/>
      <c r="P108" s="108"/>
      <c r="Q108" s="108"/>
      <c r="R108" s="108"/>
      <c r="S108" s="108"/>
      <c r="T108" s="463"/>
      <c r="U108" s="108"/>
      <c r="V108" s="108"/>
      <c r="W108" s="108">
        <v>0</v>
      </c>
      <c r="X108" s="108">
        <f t="shared" si="134"/>
        <v>0</v>
      </c>
      <c r="Y108" s="108">
        <f t="shared" si="135"/>
        <v>0</v>
      </c>
      <c r="Z108" s="108"/>
      <c r="AA108" s="108"/>
      <c r="AB108" s="108"/>
      <c r="AC108" s="108"/>
      <c r="AD108" s="108"/>
      <c r="AE108" s="108"/>
      <c r="AF108" s="108">
        <v>0</v>
      </c>
      <c r="AG108" s="133">
        <f t="shared" si="136"/>
        <v>0</v>
      </c>
      <c r="AH108" s="133">
        <f t="shared" si="137"/>
        <v>0</v>
      </c>
      <c r="AI108" s="133"/>
      <c r="AJ108" s="133"/>
      <c r="AK108" s="133"/>
      <c r="AL108" s="133"/>
      <c r="AM108" s="133"/>
      <c r="AN108" s="479"/>
      <c r="AO108" s="133"/>
      <c r="AP108" s="133">
        <v>0</v>
      </c>
      <c r="AQ108" s="133">
        <f t="shared" si="138"/>
        <v>0</v>
      </c>
      <c r="AR108" s="133">
        <f t="shared" si="139"/>
        <v>0</v>
      </c>
      <c r="AS108" s="133"/>
      <c r="AT108" s="133"/>
      <c r="AU108" s="133"/>
      <c r="AV108" s="133"/>
      <c r="AW108" s="108">
        <f t="shared" si="140"/>
        <v>0</v>
      </c>
      <c r="AX108" s="108">
        <f t="shared" si="141"/>
        <v>0</v>
      </c>
      <c r="AY108" s="108"/>
      <c r="AZ108" s="108"/>
      <c r="BA108" s="108"/>
      <c r="BB108" s="108"/>
      <c r="BC108" s="108"/>
      <c r="BD108" s="108"/>
      <c r="BE108" s="359"/>
      <c r="BF108" s="109" t="s">
        <v>645</v>
      </c>
      <c r="BG108" s="116" t="s">
        <v>591</v>
      </c>
    </row>
    <row r="109" spans="1:59" ht="24" x14ac:dyDescent="0.2">
      <c r="A109" s="167"/>
      <c r="B109" s="127"/>
      <c r="C109" s="208"/>
      <c r="D109" s="209"/>
      <c r="E109" s="106" t="s">
        <v>280</v>
      </c>
      <c r="F109" s="107">
        <f t="shared" si="130"/>
        <v>101000</v>
      </c>
      <c r="G109" s="107">
        <f t="shared" si="131"/>
        <v>103500</v>
      </c>
      <c r="H109" s="108">
        <v>101000</v>
      </c>
      <c r="I109" s="108">
        <f t="shared" si="132"/>
        <v>101000</v>
      </c>
      <c r="J109" s="108">
        <f t="shared" si="133"/>
        <v>0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463"/>
      <c r="U109" s="108"/>
      <c r="V109" s="108"/>
      <c r="W109" s="108">
        <v>0</v>
      </c>
      <c r="X109" s="108">
        <f t="shared" si="134"/>
        <v>2500</v>
      </c>
      <c r="Y109" s="108">
        <f t="shared" si="135"/>
        <v>2500</v>
      </c>
      <c r="Z109" s="108"/>
      <c r="AA109" s="108">
        <v>2500</v>
      </c>
      <c r="AB109" s="108"/>
      <c r="AC109" s="108"/>
      <c r="AD109" s="108"/>
      <c r="AE109" s="108"/>
      <c r="AF109" s="108">
        <v>0</v>
      </c>
      <c r="AG109" s="133">
        <f t="shared" si="136"/>
        <v>0</v>
      </c>
      <c r="AH109" s="133">
        <f t="shared" si="137"/>
        <v>0</v>
      </c>
      <c r="AI109" s="133"/>
      <c r="AJ109" s="133"/>
      <c r="AK109" s="133"/>
      <c r="AL109" s="133"/>
      <c r="AM109" s="133"/>
      <c r="AN109" s="479"/>
      <c r="AO109" s="133"/>
      <c r="AP109" s="133">
        <v>0</v>
      </c>
      <c r="AQ109" s="133">
        <f t="shared" si="138"/>
        <v>0</v>
      </c>
      <c r="AR109" s="133">
        <f t="shared" si="139"/>
        <v>0</v>
      </c>
      <c r="AS109" s="133"/>
      <c r="AT109" s="133"/>
      <c r="AU109" s="133"/>
      <c r="AV109" s="133"/>
      <c r="AW109" s="108">
        <f t="shared" si="140"/>
        <v>0</v>
      </c>
      <c r="AX109" s="108">
        <f t="shared" si="141"/>
        <v>0</v>
      </c>
      <c r="AY109" s="108"/>
      <c r="AZ109" s="108"/>
      <c r="BA109" s="108"/>
      <c r="BB109" s="108"/>
      <c r="BC109" s="108"/>
      <c r="BD109" s="108"/>
      <c r="BE109" s="359"/>
      <c r="BF109" s="109" t="s">
        <v>646</v>
      </c>
      <c r="BG109" s="116" t="s">
        <v>603</v>
      </c>
    </row>
    <row r="110" spans="1:59" ht="36" x14ac:dyDescent="0.2">
      <c r="A110" s="167"/>
      <c r="B110" s="127"/>
      <c r="C110" s="208"/>
      <c r="D110" s="209"/>
      <c r="E110" s="222" t="s">
        <v>665</v>
      </c>
      <c r="F110" s="107">
        <f t="shared" si="130"/>
        <v>465317</v>
      </c>
      <c r="G110" s="107">
        <f t="shared" si="131"/>
        <v>591895</v>
      </c>
      <c r="H110" s="108">
        <v>465317</v>
      </c>
      <c r="I110" s="108">
        <f>H110+J110</f>
        <v>591895</v>
      </c>
      <c r="J110" s="108">
        <f t="shared" si="133"/>
        <v>126578</v>
      </c>
      <c r="K110" s="108"/>
      <c r="L110" s="108"/>
      <c r="M110" s="108">
        <f>-3625-8407+50000</f>
        <v>37968</v>
      </c>
      <c r="N110" s="108">
        <v>56254</v>
      </c>
      <c r="O110" s="108">
        <f>-2968-36254+42710</f>
        <v>3488</v>
      </c>
      <c r="P110" s="108"/>
      <c r="Q110" s="108">
        <f>6124+22744</f>
        <v>28868</v>
      </c>
      <c r="R110" s="108"/>
      <c r="S110" s="108"/>
      <c r="T110" s="463"/>
      <c r="U110" s="108"/>
      <c r="V110" s="108"/>
      <c r="W110" s="108">
        <v>0</v>
      </c>
      <c r="X110" s="108">
        <f t="shared" si="134"/>
        <v>0</v>
      </c>
      <c r="Y110" s="108">
        <f t="shared" si="135"/>
        <v>0</v>
      </c>
      <c r="Z110" s="108"/>
      <c r="AA110" s="108"/>
      <c r="AB110" s="108"/>
      <c r="AC110" s="108"/>
      <c r="AD110" s="108"/>
      <c r="AE110" s="108"/>
      <c r="AF110" s="108">
        <v>0</v>
      </c>
      <c r="AG110" s="133">
        <f t="shared" si="136"/>
        <v>0</v>
      </c>
      <c r="AH110" s="133">
        <f t="shared" si="137"/>
        <v>0</v>
      </c>
      <c r="AI110" s="133"/>
      <c r="AJ110" s="133"/>
      <c r="AK110" s="133"/>
      <c r="AL110" s="133"/>
      <c r="AM110" s="133"/>
      <c r="AN110" s="479"/>
      <c r="AO110" s="133"/>
      <c r="AP110" s="133">
        <v>0</v>
      </c>
      <c r="AQ110" s="133">
        <f t="shared" si="138"/>
        <v>0</v>
      </c>
      <c r="AR110" s="133">
        <f t="shared" si="139"/>
        <v>0</v>
      </c>
      <c r="AS110" s="133"/>
      <c r="AT110" s="133"/>
      <c r="AU110" s="133"/>
      <c r="AV110" s="133"/>
      <c r="AW110" s="108">
        <f t="shared" si="140"/>
        <v>0</v>
      </c>
      <c r="AX110" s="108">
        <f t="shared" si="141"/>
        <v>0</v>
      </c>
      <c r="AY110" s="108"/>
      <c r="AZ110" s="108"/>
      <c r="BA110" s="108"/>
      <c r="BB110" s="108"/>
      <c r="BC110" s="108"/>
      <c r="BD110" s="108"/>
      <c r="BE110" s="359"/>
      <c r="BF110" s="109" t="s">
        <v>647</v>
      </c>
      <c r="BG110" s="116" t="s">
        <v>608</v>
      </c>
    </row>
    <row r="111" spans="1:59" ht="24" x14ac:dyDescent="0.2">
      <c r="A111" s="167"/>
      <c r="B111" s="127"/>
      <c r="C111" s="208"/>
      <c r="D111" s="209"/>
      <c r="E111" s="106" t="s">
        <v>340</v>
      </c>
      <c r="F111" s="107">
        <f t="shared" si="130"/>
        <v>254552</v>
      </c>
      <c r="G111" s="107">
        <f t="shared" si="131"/>
        <v>246552</v>
      </c>
      <c r="H111" s="108">
        <v>254552</v>
      </c>
      <c r="I111" s="108">
        <f t="shared" si="132"/>
        <v>246552</v>
      </c>
      <c r="J111" s="108">
        <f t="shared" si="133"/>
        <v>-8000</v>
      </c>
      <c r="K111" s="108"/>
      <c r="L111" s="108"/>
      <c r="M111" s="108"/>
      <c r="N111" s="108"/>
      <c r="O111" s="108"/>
      <c r="P111" s="108">
        <v>-8000</v>
      </c>
      <c r="Q111" s="108"/>
      <c r="R111" s="108"/>
      <c r="S111" s="108"/>
      <c r="T111" s="463"/>
      <c r="U111" s="108"/>
      <c r="V111" s="108"/>
      <c r="W111" s="108">
        <v>0</v>
      </c>
      <c r="X111" s="108">
        <f t="shared" si="134"/>
        <v>0</v>
      </c>
      <c r="Y111" s="108">
        <f t="shared" si="135"/>
        <v>0</v>
      </c>
      <c r="Z111" s="108"/>
      <c r="AA111" s="108"/>
      <c r="AB111" s="108"/>
      <c r="AC111" s="108"/>
      <c r="AD111" s="108"/>
      <c r="AE111" s="108"/>
      <c r="AF111" s="108">
        <v>0</v>
      </c>
      <c r="AG111" s="133">
        <f t="shared" si="136"/>
        <v>0</v>
      </c>
      <c r="AH111" s="133">
        <f t="shared" si="137"/>
        <v>0</v>
      </c>
      <c r="AI111" s="133"/>
      <c r="AJ111" s="133"/>
      <c r="AK111" s="133"/>
      <c r="AL111" s="133"/>
      <c r="AM111" s="133"/>
      <c r="AN111" s="479"/>
      <c r="AO111" s="133"/>
      <c r="AP111" s="133">
        <v>0</v>
      </c>
      <c r="AQ111" s="133">
        <f t="shared" si="138"/>
        <v>0</v>
      </c>
      <c r="AR111" s="133">
        <f t="shared" si="139"/>
        <v>0</v>
      </c>
      <c r="AS111" s="133"/>
      <c r="AT111" s="133"/>
      <c r="AU111" s="133"/>
      <c r="AV111" s="133"/>
      <c r="AW111" s="108">
        <f t="shared" si="140"/>
        <v>0</v>
      </c>
      <c r="AX111" s="108">
        <f t="shared" si="141"/>
        <v>0</v>
      </c>
      <c r="AY111" s="108"/>
      <c r="AZ111" s="108"/>
      <c r="BA111" s="108"/>
      <c r="BB111" s="108"/>
      <c r="BC111" s="108"/>
      <c r="BD111" s="108"/>
      <c r="BE111" s="359"/>
      <c r="BF111" s="109" t="s">
        <v>648</v>
      </c>
      <c r="BG111" s="116" t="s">
        <v>609</v>
      </c>
    </row>
    <row r="112" spans="1:59" s="268" customFormat="1" ht="24" x14ac:dyDescent="0.2">
      <c r="A112" s="167"/>
      <c r="B112" s="127"/>
      <c r="C112" s="269"/>
      <c r="D112" s="270"/>
      <c r="E112" s="106" t="s">
        <v>649</v>
      </c>
      <c r="F112" s="107">
        <f t="shared" si="130"/>
        <v>9091</v>
      </c>
      <c r="G112" s="107">
        <f t="shared" si="131"/>
        <v>9091</v>
      </c>
      <c r="H112" s="108">
        <v>9091</v>
      </c>
      <c r="I112" s="108">
        <f t="shared" si="132"/>
        <v>9091</v>
      </c>
      <c r="J112" s="108">
        <f t="shared" si="133"/>
        <v>0</v>
      </c>
      <c r="K112" s="108"/>
      <c r="L112" s="108"/>
      <c r="M112" s="108"/>
      <c r="N112" s="108"/>
      <c r="O112" s="108"/>
      <c r="P112" s="108"/>
      <c r="Q112" s="108"/>
      <c r="R112" s="108"/>
      <c r="S112" s="108"/>
      <c r="T112" s="463"/>
      <c r="U112" s="108"/>
      <c r="V112" s="108"/>
      <c r="W112" s="108">
        <v>0</v>
      </c>
      <c r="X112" s="108">
        <f t="shared" si="134"/>
        <v>0</v>
      </c>
      <c r="Y112" s="108">
        <f t="shared" si="135"/>
        <v>0</v>
      </c>
      <c r="Z112" s="108"/>
      <c r="AA112" s="108"/>
      <c r="AB112" s="108"/>
      <c r="AC112" s="108"/>
      <c r="AD112" s="108"/>
      <c r="AE112" s="108"/>
      <c r="AF112" s="108">
        <v>0</v>
      </c>
      <c r="AG112" s="133">
        <f t="shared" si="136"/>
        <v>0</v>
      </c>
      <c r="AH112" s="133">
        <f t="shared" si="137"/>
        <v>0</v>
      </c>
      <c r="AI112" s="133"/>
      <c r="AJ112" s="133"/>
      <c r="AK112" s="133"/>
      <c r="AL112" s="133"/>
      <c r="AM112" s="133"/>
      <c r="AN112" s="479"/>
      <c r="AO112" s="133"/>
      <c r="AP112" s="133">
        <v>0</v>
      </c>
      <c r="AQ112" s="133">
        <f t="shared" si="138"/>
        <v>0</v>
      </c>
      <c r="AR112" s="133">
        <f t="shared" si="139"/>
        <v>0</v>
      </c>
      <c r="AS112" s="133"/>
      <c r="AT112" s="133"/>
      <c r="AU112" s="133"/>
      <c r="AV112" s="133"/>
      <c r="AW112" s="108">
        <f t="shared" si="140"/>
        <v>0</v>
      </c>
      <c r="AX112" s="108">
        <f t="shared" si="141"/>
        <v>0</v>
      </c>
      <c r="AY112" s="108"/>
      <c r="AZ112" s="108"/>
      <c r="BA112" s="108"/>
      <c r="BB112" s="108"/>
      <c r="BC112" s="108"/>
      <c r="BD112" s="108"/>
      <c r="BE112" s="359"/>
      <c r="BF112" s="109" t="s">
        <v>458</v>
      </c>
      <c r="BG112" s="116" t="s">
        <v>607</v>
      </c>
    </row>
    <row r="113" spans="1:59" ht="12.75" x14ac:dyDescent="0.2">
      <c r="A113" s="167">
        <v>90000594245</v>
      </c>
      <c r="B113" s="127"/>
      <c r="C113" s="533" t="s">
        <v>23</v>
      </c>
      <c r="D113" s="534"/>
      <c r="E113" s="106" t="s">
        <v>235</v>
      </c>
      <c r="F113" s="107">
        <f t="shared" si="130"/>
        <v>44228</v>
      </c>
      <c r="G113" s="107">
        <f t="shared" si="131"/>
        <v>44228</v>
      </c>
      <c r="H113" s="108">
        <v>44228</v>
      </c>
      <c r="I113" s="108">
        <f t="shared" si="132"/>
        <v>44228</v>
      </c>
      <c r="J113" s="108">
        <f t="shared" si="133"/>
        <v>0</v>
      </c>
      <c r="K113" s="108"/>
      <c r="L113" s="108"/>
      <c r="M113" s="108"/>
      <c r="N113" s="108"/>
      <c r="O113" s="108"/>
      <c r="P113" s="108"/>
      <c r="Q113" s="108"/>
      <c r="R113" s="108"/>
      <c r="S113" s="108"/>
      <c r="T113" s="463"/>
      <c r="U113" s="108"/>
      <c r="V113" s="108"/>
      <c r="W113" s="108">
        <v>0</v>
      </c>
      <c r="X113" s="108">
        <f t="shared" si="134"/>
        <v>0</v>
      </c>
      <c r="Y113" s="108">
        <f t="shared" si="135"/>
        <v>0</v>
      </c>
      <c r="Z113" s="108"/>
      <c r="AA113" s="108"/>
      <c r="AB113" s="108"/>
      <c r="AC113" s="108"/>
      <c r="AD113" s="108"/>
      <c r="AE113" s="108"/>
      <c r="AF113" s="108">
        <v>0</v>
      </c>
      <c r="AG113" s="133">
        <f t="shared" si="136"/>
        <v>0</v>
      </c>
      <c r="AH113" s="133">
        <f t="shared" si="137"/>
        <v>0</v>
      </c>
      <c r="AI113" s="133"/>
      <c r="AJ113" s="133"/>
      <c r="AK113" s="133"/>
      <c r="AL113" s="133"/>
      <c r="AM113" s="133"/>
      <c r="AN113" s="479"/>
      <c r="AO113" s="133"/>
      <c r="AP113" s="133">
        <v>0</v>
      </c>
      <c r="AQ113" s="133">
        <f t="shared" si="138"/>
        <v>0</v>
      </c>
      <c r="AR113" s="133">
        <f t="shared" si="139"/>
        <v>0</v>
      </c>
      <c r="AS113" s="133"/>
      <c r="AT113" s="133"/>
      <c r="AU113" s="133"/>
      <c r="AV113" s="133"/>
      <c r="AW113" s="108">
        <f t="shared" si="140"/>
        <v>0</v>
      </c>
      <c r="AX113" s="108">
        <f t="shared" si="141"/>
        <v>0</v>
      </c>
      <c r="AY113" s="108"/>
      <c r="AZ113" s="108"/>
      <c r="BA113" s="108"/>
      <c r="BB113" s="108"/>
      <c r="BC113" s="108"/>
      <c r="BD113" s="108"/>
      <c r="BE113" s="359"/>
      <c r="BF113" s="109" t="s">
        <v>481</v>
      </c>
      <c r="BG113" s="116" t="s">
        <v>614</v>
      </c>
    </row>
    <row r="114" spans="1:59" s="210" customFormat="1" ht="12.75" x14ac:dyDescent="0.2">
      <c r="A114" s="167"/>
      <c r="B114" s="127"/>
      <c r="C114" s="208"/>
      <c r="D114" s="209"/>
      <c r="E114" s="106" t="s">
        <v>346</v>
      </c>
      <c r="F114" s="107">
        <f t="shared" si="130"/>
        <v>9940</v>
      </c>
      <c r="G114" s="107">
        <f t="shared" si="131"/>
        <v>9940</v>
      </c>
      <c r="H114" s="108">
        <v>9940</v>
      </c>
      <c r="I114" s="108">
        <f t="shared" si="132"/>
        <v>9940</v>
      </c>
      <c r="J114" s="108">
        <f t="shared" si="133"/>
        <v>0</v>
      </c>
      <c r="K114" s="108"/>
      <c r="L114" s="108"/>
      <c r="M114" s="108"/>
      <c r="N114" s="108"/>
      <c r="O114" s="108"/>
      <c r="P114" s="108"/>
      <c r="Q114" s="108"/>
      <c r="R114" s="108"/>
      <c r="S114" s="108"/>
      <c r="T114" s="463"/>
      <c r="U114" s="108"/>
      <c r="V114" s="108"/>
      <c r="W114" s="108">
        <v>0</v>
      </c>
      <c r="X114" s="108">
        <f t="shared" si="134"/>
        <v>0</v>
      </c>
      <c r="Y114" s="108">
        <f t="shared" si="135"/>
        <v>0</v>
      </c>
      <c r="Z114" s="108"/>
      <c r="AA114" s="108"/>
      <c r="AB114" s="108"/>
      <c r="AC114" s="108"/>
      <c r="AD114" s="108"/>
      <c r="AE114" s="108"/>
      <c r="AF114" s="108">
        <v>0</v>
      </c>
      <c r="AG114" s="133">
        <f t="shared" si="136"/>
        <v>0</v>
      </c>
      <c r="AH114" s="133">
        <f t="shared" si="137"/>
        <v>0</v>
      </c>
      <c r="AI114" s="133"/>
      <c r="AJ114" s="133"/>
      <c r="AK114" s="133"/>
      <c r="AL114" s="133"/>
      <c r="AM114" s="133"/>
      <c r="AN114" s="479"/>
      <c r="AO114" s="133"/>
      <c r="AP114" s="133">
        <v>0</v>
      </c>
      <c r="AQ114" s="133">
        <f t="shared" si="138"/>
        <v>0</v>
      </c>
      <c r="AR114" s="133">
        <f t="shared" si="139"/>
        <v>0</v>
      </c>
      <c r="AS114" s="133"/>
      <c r="AT114" s="133"/>
      <c r="AU114" s="133"/>
      <c r="AV114" s="133"/>
      <c r="AW114" s="108">
        <f t="shared" si="140"/>
        <v>0</v>
      </c>
      <c r="AX114" s="108">
        <f t="shared" si="141"/>
        <v>0</v>
      </c>
      <c r="AY114" s="108"/>
      <c r="AZ114" s="108"/>
      <c r="BA114" s="108"/>
      <c r="BB114" s="108"/>
      <c r="BC114" s="108"/>
      <c r="BD114" s="108"/>
      <c r="BE114" s="359"/>
      <c r="BF114" s="109" t="s">
        <v>482</v>
      </c>
      <c r="BG114" s="116" t="s">
        <v>614</v>
      </c>
    </row>
    <row r="115" spans="1:59" s="210" customFormat="1" ht="12.75" x14ac:dyDescent="0.2">
      <c r="A115" s="167"/>
      <c r="B115" s="127"/>
      <c r="C115" s="208"/>
      <c r="D115" s="209"/>
      <c r="E115" s="106" t="s">
        <v>347</v>
      </c>
      <c r="F115" s="107">
        <f t="shared" si="130"/>
        <v>20000</v>
      </c>
      <c r="G115" s="107">
        <f t="shared" si="131"/>
        <v>20000</v>
      </c>
      <c r="H115" s="108">
        <v>20000</v>
      </c>
      <c r="I115" s="108">
        <f t="shared" si="132"/>
        <v>20000</v>
      </c>
      <c r="J115" s="108">
        <f t="shared" si="133"/>
        <v>0</v>
      </c>
      <c r="K115" s="108"/>
      <c r="L115" s="108"/>
      <c r="M115" s="108"/>
      <c r="N115" s="108"/>
      <c r="O115" s="108"/>
      <c r="P115" s="108"/>
      <c r="Q115" s="108"/>
      <c r="R115" s="108"/>
      <c r="S115" s="108"/>
      <c r="T115" s="463"/>
      <c r="U115" s="108"/>
      <c r="V115" s="108"/>
      <c r="W115" s="108">
        <v>0</v>
      </c>
      <c r="X115" s="108">
        <f t="shared" si="134"/>
        <v>0</v>
      </c>
      <c r="Y115" s="108">
        <f t="shared" si="135"/>
        <v>0</v>
      </c>
      <c r="Z115" s="108"/>
      <c r="AA115" s="108"/>
      <c r="AB115" s="108"/>
      <c r="AC115" s="108"/>
      <c r="AD115" s="108"/>
      <c r="AE115" s="108"/>
      <c r="AF115" s="108">
        <v>0</v>
      </c>
      <c r="AG115" s="133">
        <f t="shared" si="136"/>
        <v>0</v>
      </c>
      <c r="AH115" s="133">
        <f t="shared" si="137"/>
        <v>0</v>
      </c>
      <c r="AI115" s="133"/>
      <c r="AJ115" s="133"/>
      <c r="AK115" s="133"/>
      <c r="AL115" s="133"/>
      <c r="AM115" s="133"/>
      <c r="AN115" s="479"/>
      <c r="AO115" s="133"/>
      <c r="AP115" s="133">
        <v>0</v>
      </c>
      <c r="AQ115" s="133">
        <f t="shared" si="138"/>
        <v>0</v>
      </c>
      <c r="AR115" s="133">
        <f t="shared" si="139"/>
        <v>0</v>
      </c>
      <c r="AS115" s="133"/>
      <c r="AT115" s="133"/>
      <c r="AU115" s="133"/>
      <c r="AV115" s="133"/>
      <c r="AW115" s="108">
        <f t="shared" si="140"/>
        <v>0</v>
      </c>
      <c r="AX115" s="108">
        <f t="shared" si="141"/>
        <v>0</v>
      </c>
      <c r="AY115" s="108"/>
      <c r="AZ115" s="108"/>
      <c r="BA115" s="108"/>
      <c r="BB115" s="108"/>
      <c r="BC115" s="108"/>
      <c r="BD115" s="108"/>
      <c r="BE115" s="359"/>
      <c r="BF115" s="109" t="s">
        <v>483</v>
      </c>
      <c r="BG115" s="116" t="s">
        <v>614</v>
      </c>
    </row>
    <row r="116" spans="1:59" s="210" customFormat="1" ht="12.75" x14ac:dyDescent="0.2">
      <c r="A116" s="167"/>
      <c r="B116" s="127"/>
      <c r="C116" s="208"/>
      <c r="D116" s="209"/>
      <c r="E116" s="106" t="s">
        <v>348</v>
      </c>
      <c r="F116" s="107">
        <f t="shared" si="130"/>
        <v>27100</v>
      </c>
      <c r="G116" s="107">
        <f t="shared" si="131"/>
        <v>7100</v>
      </c>
      <c r="H116" s="108">
        <v>27100</v>
      </c>
      <c r="I116" s="108">
        <f t="shared" si="132"/>
        <v>7100</v>
      </c>
      <c r="J116" s="108">
        <f t="shared" si="133"/>
        <v>-20000</v>
      </c>
      <c r="K116" s="108"/>
      <c r="L116" s="108"/>
      <c r="M116" s="108"/>
      <c r="N116" s="108"/>
      <c r="O116" s="108">
        <v>-20000</v>
      </c>
      <c r="P116" s="108"/>
      <c r="Q116" s="108"/>
      <c r="R116" s="108"/>
      <c r="S116" s="108"/>
      <c r="T116" s="463"/>
      <c r="U116" s="108"/>
      <c r="V116" s="108"/>
      <c r="W116" s="108">
        <v>0</v>
      </c>
      <c r="X116" s="108">
        <f t="shared" si="134"/>
        <v>0</v>
      </c>
      <c r="Y116" s="108">
        <f t="shared" si="135"/>
        <v>0</v>
      </c>
      <c r="Z116" s="108"/>
      <c r="AA116" s="108"/>
      <c r="AB116" s="108"/>
      <c r="AC116" s="108"/>
      <c r="AD116" s="108"/>
      <c r="AE116" s="108"/>
      <c r="AF116" s="108">
        <v>0</v>
      </c>
      <c r="AG116" s="133">
        <f t="shared" si="136"/>
        <v>0</v>
      </c>
      <c r="AH116" s="133">
        <f t="shared" si="137"/>
        <v>0</v>
      </c>
      <c r="AI116" s="133"/>
      <c r="AJ116" s="133"/>
      <c r="AK116" s="133"/>
      <c r="AL116" s="133"/>
      <c r="AM116" s="133"/>
      <c r="AN116" s="479"/>
      <c r="AO116" s="133"/>
      <c r="AP116" s="133">
        <v>0</v>
      </c>
      <c r="AQ116" s="133">
        <f t="shared" si="138"/>
        <v>0</v>
      </c>
      <c r="AR116" s="133">
        <f t="shared" si="139"/>
        <v>0</v>
      </c>
      <c r="AS116" s="133"/>
      <c r="AT116" s="133"/>
      <c r="AU116" s="133"/>
      <c r="AV116" s="133"/>
      <c r="AW116" s="108">
        <f t="shared" si="140"/>
        <v>0</v>
      </c>
      <c r="AX116" s="108">
        <f t="shared" si="141"/>
        <v>0</v>
      </c>
      <c r="AY116" s="108"/>
      <c r="AZ116" s="108"/>
      <c r="BA116" s="108"/>
      <c r="BB116" s="108"/>
      <c r="BC116" s="108"/>
      <c r="BD116" s="108"/>
      <c r="BE116" s="359"/>
      <c r="BF116" s="109" t="s">
        <v>484</v>
      </c>
      <c r="BG116" s="116" t="s">
        <v>614</v>
      </c>
    </row>
    <row r="117" spans="1:59" s="210" customFormat="1" ht="12.75" x14ac:dyDescent="0.2">
      <c r="A117" s="167"/>
      <c r="B117" s="127"/>
      <c r="C117" s="208"/>
      <c r="D117" s="209"/>
      <c r="E117" s="106" t="s">
        <v>349</v>
      </c>
      <c r="F117" s="107">
        <f t="shared" si="130"/>
        <v>29669</v>
      </c>
      <c r="G117" s="107">
        <f t="shared" si="131"/>
        <v>29669</v>
      </c>
      <c r="H117" s="108">
        <v>29669</v>
      </c>
      <c r="I117" s="108">
        <f t="shared" si="132"/>
        <v>29669</v>
      </c>
      <c r="J117" s="108">
        <f t="shared" si="133"/>
        <v>0</v>
      </c>
      <c r="K117" s="108"/>
      <c r="L117" s="108"/>
      <c r="M117" s="108"/>
      <c r="N117" s="108"/>
      <c r="O117" s="108"/>
      <c r="P117" s="108"/>
      <c r="Q117" s="108"/>
      <c r="R117" s="108"/>
      <c r="S117" s="108"/>
      <c r="T117" s="463"/>
      <c r="U117" s="108"/>
      <c r="V117" s="108"/>
      <c r="W117" s="108">
        <v>0</v>
      </c>
      <c r="X117" s="108">
        <f t="shared" si="134"/>
        <v>0</v>
      </c>
      <c r="Y117" s="108">
        <f t="shared" si="135"/>
        <v>0</v>
      </c>
      <c r="Z117" s="108"/>
      <c r="AA117" s="108"/>
      <c r="AB117" s="108"/>
      <c r="AC117" s="108"/>
      <c r="AD117" s="108"/>
      <c r="AE117" s="108"/>
      <c r="AF117" s="108">
        <v>0</v>
      </c>
      <c r="AG117" s="133">
        <f t="shared" si="136"/>
        <v>0</v>
      </c>
      <c r="AH117" s="133">
        <f t="shared" si="137"/>
        <v>0</v>
      </c>
      <c r="AI117" s="133"/>
      <c r="AJ117" s="133"/>
      <c r="AK117" s="133"/>
      <c r="AL117" s="133"/>
      <c r="AM117" s="133"/>
      <c r="AN117" s="479"/>
      <c r="AO117" s="133"/>
      <c r="AP117" s="133">
        <v>0</v>
      </c>
      <c r="AQ117" s="133">
        <f t="shared" si="138"/>
        <v>0</v>
      </c>
      <c r="AR117" s="133">
        <f t="shared" si="139"/>
        <v>0</v>
      </c>
      <c r="AS117" s="133"/>
      <c r="AT117" s="133"/>
      <c r="AU117" s="133"/>
      <c r="AV117" s="133"/>
      <c r="AW117" s="108">
        <f t="shared" si="140"/>
        <v>0</v>
      </c>
      <c r="AX117" s="108">
        <f t="shared" si="141"/>
        <v>0</v>
      </c>
      <c r="AY117" s="108"/>
      <c r="AZ117" s="108"/>
      <c r="BA117" s="108"/>
      <c r="BB117" s="108"/>
      <c r="BC117" s="108"/>
      <c r="BD117" s="108"/>
      <c r="BE117" s="359"/>
      <c r="BF117" s="109" t="s">
        <v>485</v>
      </c>
      <c r="BG117" s="116" t="s">
        <v>614</v>
      </c>
    </row>
    <row r="118" spans="1:59" s="210" customFormat="1" ht="24" x14ac:dyDescent="0.2">
      <c r="A118" s="167"/>
      <c r="B118" s="127"/>
      <c r="C118" s="208"/>
      <c r="D118" s="209"/>
      <c r="E118" s="106" t="s">
        <v>350</v>
      </c>
      <c r="F118" s="107">
        <f t="shared" si="130"/>
        <v>5930</v>
      </c>
      <c r="G118" s="107">
        <f t="shared" si="131"/>
        <v>5930</v>
      </c>
      <c r="H118" s="108">
        <v>5930</v>
      </c>
      <c r="I118" s="108">
        <f t="shared" si="132"/>
        <v>5930</v>
      </c>
      <c r="J118" s="108">
        <f t="shared" si="133"/>
        <v>0</v>
      </c>
      <c r="K118" s="108"/>
      <c r="L118" s="108"/>
      <c r="M118" s="108"/>
      <c r="N118" s="108"/>
      <c r="O118" s="108"/>
      <c r="P118" s="108"/>
      <c r="Q118" s="108"/>
      <c r="R118" s="108"/>
      <c r="S118" s="108"/>
      <c r="T118" s="463"/>
      <c r="U118" s="108"/>
      <c r="V118" s="108"/>
      <c r="W118" s="108">
        <v>0</v>
      </c>
      <c r="X118" s="108">
        <f t="shared" si="134"/>
        <v>0</v>
      </c>
      <c r="Y118" s="108">
        <f t="shared" si="135"/>
        <v>0</v>
      </c>
      <c r="Z118" s="108"/>
      <c r="AA118" s="108"/>
      <c r="AB118" s="108"/>
      <c r="AC118" s="108"/>
      <c r="AD118" s="108"/>
      <c r="AE118" s="108"/>
      <c r="AF118" s="108">
        <v>0</v>
      </c>
      <c r="AG118" s="133">
        <f t="shared" si="136"/>
        <v>0</v>
      </c>
      <c r="AH118" s="133">
        <f t="shared" si="137"/>
        <v>0</v>
      </c>
      <c r="AI118" s="133"/>
      <c r="AJ118" s="133"/>
      <c r="AK118" s="133"/>
      <c r="AL118" s="133"/>
      <c r="AM118" s="133"/>
      <c r="AN118" s="479"/>
      <c r="AO118" s="133"/>
      <c r="AP118" s="133">
        <v>0</v>
      </c>
      <c r="AQ118" s="133">
        <f t="shared" si="138"/>
        <v>0</v>
      </c>
      <c r="AR118" s="133">
        <f t="shared" si="139"/>
        <v>0</v>
      </c>
      <c r="AS118" s="133"/>
      <c r="AT118" s="133"/>
      <c r="AU118" s="133"/>
      <c r="AV118" s="133"/>
      <c r="AW118" s="108">
        <f t="shared" si="140"/>
        <v>0</v>
      </c>
      <c r="AX118" s="108">
        <f t="shared" si="141"/>
        <v>0</v>
      </c>
      <c r="AY118" s="108"/>
      <c r="AZ118" s="108"/>
      <c r="BA118" s="108"/>
      <c r="BB118" s="108"/>
      <c r="BC118" s="108"/>
      <c r="BD118" s="108"/>
      <c r="BE118" s="359"/>
      <c r="BF118" s="109" t="s">
        <v>486</v>
      </c>
      <c r="BG118" s="116" t="s">
        <v>614</v>
      </c>
    </row>
    <row r="119" spans="1:59" s="210" customFormat="1" ht="24" x14ac:dyDescent="0.2">
      <c r="A119" s="167"/>
      <c r="B119" s="127"/>
      <c r="C119" s="208"/>
      <c r="D119" s="209"/>
      <c r="E119" s="106" t="s">
        <v>351</v>
      </c>
      <c r="F119" s="107">
        <f t="shared" si="130"/>
        <v>2500</v>
      </c>
      <c r="G119" s="107">
        <f t="shared" si="131"/>
        <v>13360</v>
      </c>
      <c r="H119" s="108">
        <v>2500</v>
      </c>
      <c r="I119" s="108">
        <f t="shared" si="132"/>
        <v>13360</v>
      </c>
      <c r="J119" s="108">
        <f t="shared" si="133"/>
        <v>10860</v>
      </c>
      <c r="K119" s="108"/>
      <c r="L119" s="108"/>
      <c r="M119" s="108"/>
      <c r="N119" s="108"/>
      <c r="O119" s="108"/>
      <c r="P119" s="108"/>
      <c r="Q119" s="108"/>
      <c r="R119" s="108">
        <v>10860</v>
      </c>
      <c r="S119" s="108"/>
      <c r="T119" s="463"/>
      <c r="U119" s="108"/>
      <c r="V119" s="108"/>
      <c r="W119" s="108">
        <v>0</v>
      </c>
      <c r="X119" s="108">
        <f t="shared" si="134"/>
        <v>0</v>
      </c>
      <c r="Y119" s="108">
        <f t="shared" si="135"/>
        <v>0</v>
      </c>
      <c r="Z119" s="108"/>
      <c r="AA119" s="108"/>
      <c r="AB119" s="108"/>
      <c r="AC119" s="108"/>
      <c r="AD119" s="108"/>
      <c r="AE119" s="108"/>
      <c r="AF119" s="108">
        <v>0</v>
      </c>
      <c r="AG119" s="133">
        <f t="shared" si="136"/>
        <v>0</v>
      </c>
      <c r="AH119" s="133">
        <f t="shared" si="137"/>
        <v>0</v>
      </c>
      <c r="AI119" s="133"/>
      <c r="AJ119" s="133"/>
      <c r="AK119" s="133"/>
      <c r="AL119" s="133"/>
      <c r="AM119" s="133"/>
      <c r="AN119" s="479"/>
      <c r="AO119" s="133"/>
      <c r="AP119" s="133">
        <v>0</v>
      </c>
      <c r="AQ119" s="133">
        <f t="shared" si="138"/>
        <v>0</v>
      </c>
      <c r="AR119" s="133">
        <f t="shared" si="139"/>
        <v>0</v>
      </c>
      <c r="AS119" s="133"/>
      <c r="AT119" s="133"/>
      <c r="AU119" s="133"/>
      <c r="AV119" s="133"/>
      <c r="AW119" s="108">
        <f t="shared" si="140"/>
        <v>0</v>
      </c>
      <c r="AX119" s="108">
        <f t="shared" si="141"/>
        <v>0</v>
      </c>
      <c r="AY119" s="108"/>
      <c r="AZ119" s="108"/>
      <c r="BA119" s="108"/>
      <c r="BB119" s="108"/>
      <c r="BC119" s="108"/>
      <c r="BD119" s="108"/>
      <c r="BE119" s="359"/>
      <c r="BF119" s="109" t="s">
        <v>487</v>
      </c>
      <c r="BG119" s="116" t="s">
        <v>614</v>
      </c>
    </row>
    <row r="120" spans="1:59" ht="36" x14ac:dyDescent="0.2">
      <c r="A120" s="167">
        <v>90000056450</v>
      </c>
      <c r="B120" s="127"/>
      <c r="C120" s="533" t="s">
        <v>225</v>
      </c>
      <c r="D120" s="534"/>
      <c r="E120" s="106" t="s">
        <v>625</v>
      </c>
      <c r="F120" s="107">
        <f t="shared" si="130"/>
        <v>668045</v>
      </c>
      <c r="G120" s="107">
        <f t="shared" si="131"/>
        <v>634920</v>
      </c>
      <c r="H120" s="108">
        <v>658166</v>
      </c>
      <c r="I120" s="108">
        <f t="shared" si="132"/>
        <v>623768</v>
      </c>
      <c r="J120" s="108">
        <f t="shared" si="133"/>
        <v>-34398</v>
      </c>
      <c r="K120" s="108">
        <f>-33225-1173</f>
        <v>-34398</v>
      </c>
      <c r="L120" s="108"/>
      <c r="M120" s="108"/>
      <c r="N120" s="108"/>
      <c r="O120" s="108"/>
      <c r="P120" s="108"/>
      <c r="Q120" s="108"/>
      <c r="R120" s="108"/>
      <c r="S120" s="108"/>
      <c r="T120" s="463"/>
      <c r="U120" s="108"/>
      <c r="V120" s="108"/>
      <c r="W120" s="108">
        <v>0</v>
      </c>
      <c r="X120" s="108">
        <f t="shared" si="134"/>
        <v>0</v>
      </c>
      <c r="Y120" s="108">
        <f t="shared" si="135"/>
        <v>0</v>
      </c>
      <c r="Z120" s="108"/>
      <c r="AA120" s="108"/>
      <c r="AB120" s="108"/>
      <c r="AC120" s="108"/>
      <c r="AD120" s="108"/>
      <c r="AE120" s="108"/>
      <c r="AF120" s="108">
        <v>9879</v>
      </c>
      <c r="AG120" s="133">
        <f>AH120+AF120</f>
        <v>11185</v>
      </c>
      <c r="AH120" s="133">
        <f>SUM(AI120:AN120)</f>
        <v>1306</v>
      </c>
      <c r="AI120" s="133">
        <v>1273</v>
      </c>
      <c r="AJ120" s="133"/>
      <c r="AK120" s="133"/>
      <c r="AL120" s="133"/>
      <c r="AM120" s="133">
        <v>33</v>
      </c>
      <c r="AN120" s="479"/>
      <c r="AO120" s="133"/>
      <c r="AP120" s="133">
        <v>0</v>
      </c>
      <c r="AQ120" s="133">
        <f t="shared" si="138"/>
        <v>0</v>
      </c>
      <c r="AR120" s="133">
        <f t="shared" si="139"/>
        <v>0</v>
      </c>
      <c r="AS120" s="133"/>
      <c r="AT120" s="133"/>
      <c r="AU120" s="133"/>
      <c r="AV120" s="133"/>
      <c r="AW120" s="108">
        <f t="shared" si="140"/>
        <v>-33</v>
      </c>
      <c r="AX120" s="108">
        <f t="shared" si="141"/>
        <v>-33</v>
      </c>
      <c r="AY120" s="108"/>
      <c r="AZ120" s="108"/>
      <c r="BA120" s="108"/>
      <c r="BB120" s="108"/>
      <c r="BC120" s="108"/>
      <c r="BD120" s="108">
        <v>-33</v>
      </c>
      <c r="BE120" s="359"/>
      <c r="BF120" s="109" t="s">
        <v>488</v>
      </c>
      <c r="BG120" s="116"/>
    </row>
    <row r="121" spans="1:59" ht="36" x14ac:dyDescent="0.2">
      <c r="A121" s="167">
        <v>90009229680</v>
      </c>
      <c r="B121" s="127"/>
      <c r="C121" s="533" t="s">
        <v>167</v>
      </c>
      <c r="D121" s="534"/>
      <c r="E121" s="106" t="s">
        <v>626</v>
      </c>
      <c r="F121" s="107">
        <f t="shared" si="130"/>
        <v>904466</v>
      </c>
      <c r="G121" s="107">
        <f t="shared" si="131"/>
        <v>892459</v>
      </c>
      <c r="H121" s="108">
        <v>875140</v>
      </c>
      <c r="I121" s="108">
        <f t="shared" si="132"/>
        <v>857573</v>
      </c>
      <c r="J121" s="108">
        <f t="shared" si="133"/>
        <v>-17567</v>
      </c>
      <c r="K121" s="108">
        <f>-23868-3354</f>
        <v>-27222</v>
      </c>
      <c r="L121" s="108"/>
      <c r="M121" s="108">
        <v>8407</v>
      </c>
      <c r="N121" s="108">
        <v>556</v>
      </c>
      <c r="O121" s="108">
        <v>692</v>
      </c>
      <c r="P121" s="108"/>
      <c r="Q121" s="108"/>
      <c r="R121" s="108"/>
      <c r="S121" s="108"/>
      <c r="T121" s="463"/>
      <c r="U121" s="108"/>
      <c r="V121" s="108"/>
      <c r="W121" s="108">
        <v>7279</v>
      </c>
      <c r="X121" s="108">
        <f t="shared" si="134"/>
        <v>8525</v>
      </c>
      <c r="Y121" s="108">
        <f t="shared" si="135"/>
        <v>1246</v>
      </c>
      <c r="Z121" s="108"/>
      <c r="AA121" s="108">
        <v>1246</v>
      </c>
      <c r="AB121" s="108"/>
      <c r="AC121" s="108"/>
      <c r="AD121" s="108"/>
      <c r="AE121" s="108"/>
      <c r="AF121" s="108">
        <v>22047</v>
      </c>
      <c r="AG121" s="133">
        <f>AH121+AF121</f>
        <v>27403</v>
      </c>
      <c r="AH121" s="133">
        <f>SUM(AI121:AN121)</f>
        <v>5356</v>
      </c>
      <c r="AI121" s="133">
        <v>4204</v>
      </c>
      <c r="AJ121" s="133"/>
      <c r="AK121" s="133">
        <v>1152</v>
      </c>
      <c r="AL121" s="133"/>
      <c r="AM121" s="133"/>
      <c r="AN121" s="479"/>
      <c r="AO121" s="133"/>
      <c r="AP121" s="133">
        <v>0</v>
      </c>
      <c r="AQ121" s="133">
        <f t="shared" si="138"/>
        <v>0</v>
      </c>
      <c r="AR121" s="133">
        <f t="shared" si="139"/>
        <v>0</v>
      </c>
      <c r="AS121" s="133"/>
      <c r="AT121" s="133"/>
      <c r="AU121" s="133"/>
      <c r="AV121" s="133"/>
      <c r="AW121" s="108">
        <f t="shared" si="140"/>
        <v>-1042</v>
      </c>
      <c r="AX121" s="108">
        <f t="shared" si="141"/>
        <v>-1042</v>
      </c>
      <c r="AY121" s="108"/>
      <c r="AZ121" s="108"/>
      <c r="BA121" s="108">
        <v>-1042</v>
      </c>
      <c r="BB121" s="108"/>
      <c r="BC121" s="108"/>
      <c r="BD121" s="108"/>
      <c r="BE121" s="359"/>
      <c r="BF121" s="109" t="s">
        <v>489</v>
      </c>
      <c r="BG121" s="116"/>
    </row>
    <row r="122" spans="1:59" ht="24" x14ac:dyDescent="0.2">
      <c r="A122" s="167"/>
      <c r="B122" s="127"/>
      <c r="C122" s="208"/>
      <c r="D122" s="209"/>
      <c r="E122" s="106" t="s">
        <v>218</v>
      </c>
      <c r="F122" s="107">
        <f t="shared" si="130"/>
        <v>489680</v>
      </c>
      <c r="G122" s="107">
        <f t="shared" si="131"/>
        <v>443305</v>
      </c>
      <c r="H122" s="108">
        <v>475830</v>
      </c>
      <c r="I122" s="108">
        <f t="shared" si="132"/>
        <v>427285</v>
      </c>
      <c r="J122" s="108">
        <f t="shared" si="133"/>
        <v>-48545</v>
      </c>
      <c r="K122" s="108"/>
      <c r="L122" s="108"/>
      <c r="M122" s="108">
        <f>-2170+3625-50000</f>
        <v>-48545</v>
      </c>
      <c r="N122" s="108"/>
      <c r="O122" s="108"/>
      <c r="P122" s="108"/>
      <c r="Q122" s="108"/>
      <c r="R122" s="108"/>
      <c r="S122" s="108"/>
      <c r="T122" s="463"/>
      <c r="U122" s="108"/>
      <c r="V122" s="108"/>
      <c r="W122" s="108">
        <v>0</v>
      </c>
      <c r="X122" s="108">
        <f t="shared" si="134"/>
        <v>0</v>
      </c>
      <c r="Y122" s="108">
        <f t="shared" si="135"/>
        <v>0</v>
      </c>
      <c r="Z122" s="108"/>
      <c r="AA122" s="108"/>
      <c r="AB122" s="108"/>
      <c r="AC122" s="108"/>
      <c r="AD122" s="108"/>
      <c r="AE122" s="108"/>
      <c r="AF122" s="108">
        <v>13850</v>
      </c>
      <c r="AG122" s="133">
        <f>AH122+AF122</f>
        <v>16020</v>
      </c>
      <c r="AH122" s="133">
        <f t="shared" si="137"/>
        <v>2170</v>
      </c>
      <c r="AI122" s="133"/>
      <c r="AJ122" s="133">
        <v>2170</v>
      </c>
      <c r="AK122" s="133"/>
      <c r="AL122" s="133"/>
      <c r="AM122" s="133"/>
      <c r="AN122" s="479"/>
      <c r="AO122" s="133"/>
      <c r="AP122" s="133">
        <v>0</v>
      </c>
      <c r="AQ122" s="133">
        <f t="shared" si="138"/>
        <v>0</v>
      </c>
      <c r="AR122" s="133">
        <f t="shared" si="139"/>
        <v>0</v>
      </c>
      <c r="AS122" s="133"/>
      <c r="AT122" s="133"/>
      <c r="AU122" s="133"/>
      <c r="AV122" s="133"/>
      <c r="AW122" s="108">
        <f t="shared" si="140"/>
        <v>0</v>
      </c>
      <c r="AX122" s="108">
        <f t="shared" si="141"/>
        <v>0</v>
      </c>
      <c r="AY122" s="108"/>
      <c r="AZ122" s="108"/>
      <c r="BA122" s="108"/>
      <c r="BB122" s="108"/>
      <c r="BC122" s="108"/>
      <c r="BD122" s="108"/>
      <c r="BE122" s="359"/>
      <c r="BF122" s="109" t="s">
        <v>490</v>
      </c>
      <c r="BG122" s="116" t="s">
        <v>615</v>
      </c>
    </row>
    <row r="123" spans="1:59" ht="12.75" x14ac:dyDescent="0.2">
      <c r="A123" s="167">
        <v>90010478153</v>
      </c>
      <c r="B123" s="127"/>
      <c r="C123" s="533" t="s">
        <v>618</v>
      </c>
      <c r="D123" s="534"/>
      <c r="E123" s="106" t="s">
        <v>209</v>
      </c>
      <c r="F123" s="107">
        <f t="shared" si="130"/>
        <v>404310</v>
      </c>
      <c r="G123" s="107">
        <f t="shared" si="131"/>
        <v>532722</v>
      </c>
      <c r="H123" s="108">
        <v>380782</v>
      </c>
      <c r="I123" s="108">
        <f t="shared" si="132"/>
        <v>509194</v>
      </c>
      <c r="J123" s="108">
        <f t="shared" si="133"/>
        <v>128412</v>
      </c>
      <c r="K123" s="108">
        <v>-13621</v>
      </c>
      <c r="L123" s="108"/>
      <c r="M123" s="108"/>
      <c r="N123" s="108"/>
      <c r="O123" s="108"/>
      <c r="P123" s="108"/>
      <c r="Q123" s="108">
        <f>141459+574</f>
        <v>142033</v>
      </c>
      <c r="R123" s="108"/>
      <c r="S123" s="108"/>
      <c r="T123" s="463"/>
      <c r="U123" s="108"/>
      <c r="V123" s="108"/>
      <c r="W123" s="108">
        <v>0</v>
      </c>
      <c r="X123" s="108">
        <f t="shared" si="134"/>
        <v>0</v>
      </c>
      <c r="Y123" s="108">
        <f t="shared" si="135"/>
        <v>0</v>
      </c>
      <c r="Z123" s="108"/>
      <c r="AA123" s="108"/>
      <c r="AB123" s="108"/>
      <c r="AC123" s="108"/>
      <c r="AD123" s="108"/>
      <c r="AE123" s="108"/>
      <c r="AF123" s="108">
        <v>23528</v>
      </c>
      <c r="AG123" s="133">
        <f t="shared" si="136"/>
        <v>23528</v>
      </c>
      <c r="AH123" s="133">
        <f t="shared" si="137"/>
        <v>0</v>
      </c>
      <c r="AI123" s="133"/>
      <c r="AJ123" s="133"/>
      <c r="AK123" s="133"/>
      <c r="AL123" s="133"/>
      <c r="AM123" s="133"/>
      <c r="AN123" s="479"/>
      <c r="AO123" s="133"/>
      <c r="AP123" s="133">
        <v>0</v>
      </c>
      <c r="AQ123" s="133">
        <f t="shared" si="138"/>
        <v>0</v>
      </c>
      <c r="AR123" s="133">
        <f t="shared" si="139"/>
        <v>0</v>
      </c>
      <c r="AS123" s="133"/>
      <c r="AT123" s="133"/>
      <c r="AU123" s="133"/>
      <c r="AV123" s="133"/>
      <c r="AW123" s="108">
        <f t="shared" si="140"/>
        <v>0</v>
      </c>
      <c r="AX123" s="108">
        <f t="shared" si="141"/>
        <v>0</v>
      </c>
      <c r="AY123" s="108"/>
      <c r="AZ123" s="108"/>
      <c r="BA123" s="108"/>
      <c r="BB123" s="108"/>
      <c r="BC123" s="108"/>
      <c r="BD123" s="108"/>
      <c r="BE123" s="359"/>
      <c r="BF123" s="109" t="s">
        <v>491</v>
      </c>
      <c r="BG123" s="116"/>
    </row>
    <row r="124" spans="1:59" s="249" customFormat="1" ht="24" x14ac:dyDescent="0.2">
      <c r="A124" s="167"/>
      <c r="B124" s="127"/>
      <c r="C124" s="247"/>
      <c r="D124" s="248"/>
      <c r="E124" s="106" t="s">
        <v>389</v>
      </c>
      <c r="F124" s="107">
        <f t="shared" si="130"/>
        <v>63407</v>
      </c>
      <c r="G124" s="107">
        <f t="shared" si="131"/>
        <v>51818</v>
      </c>
      <c r="H124" s="108">
        <v>23815</v>
      </c>
      <c r="I124" s="108">
        <f t="shared" si="132"/>
        <v>23815</v>
      </c>
      <c r="J124" s="108">
        <f t="shared" si="133"/>
        <v>0</v>
      </c>
      <c r="K124" s="108"/>
      <c r="L124" s="108"/>
      <c r="M124" s="108"/>
      <c r="N124" s="108"/>
      <c r="O124" s="108"/>
      <c r="P124" s="108"/>
      <c r="Q124" s="108"/>
      <c r="R124" s="108"/>
      <c r="S124" s="108"/>
      <c r="T124" s="463"/>
      <c r="U124" s="108"/>
      <c r="V124" s="108"/>
      <c r="W124" s="108">
        <v>0</v>
      </c>
      <c r="X124" s="108">
        <f t="shared" si="134"/>
        <v>0</v>
      </c>
      <c r="Y124" s="108">
        <f t="shared" si="135"/>
        <v>0</v>
      </c>
      <c r="Z124" s="108"/>
      <c r="AA124" s="108"/>
      <c r="AB124" s="108"/>
      <c r="AC124" s="108"/>
      <c r="AD124" s="108"/>
      <c r="AE124" s="108"/>
      <c r="AF124" s="108">
        <v>39592</v>
      </c>
      <c r="AG124" s="133">
        <f t="shared" si="136"/>
        <v>28003</v>
      </c>
      <c r="AH124" s="133">
        <f t="shared" si="137"/>
        <v>-11589</v>
      </c>
      <c r="AI124" s="133">
        <v>-11589</v>
      </c>
      <c r="AJ124" s="133"/>
      <c r="AK124" s="133"/>
      <c r="AL124" s="133"/>
      <c r="AM124" s="133"/>
      <c r="AN124" s="479"/>
      <c r="AO124" s="133"/>
      <c r="AP124" s="133">
        <v>0</v>
      </c>
      <c r="AQ124" s="133">
        <f t="shared" si="138"/>
        <v>0</v>
      </c>
      <c r="AR124" s="133">
        <f t="shared" si="139"/>
        <v>0</v>
      </c>
      <c r="AS124" s="133"/>
      <c r="AT124" s="133"/>
      <c r="AU124" s="133"/>
      <c r="AV124" s="133"/>
      <c r="AW124" s="108">
        <f t="shared" si="140"/>
        <v>0</v>
      </c>
      <c r="AX124" s="108">
        <f t="shared" si="141"/>
        <v>0</v>
      </c>
      <c r="AY124" s="108"/>
      <c r="AZ124" s="108"/>
      <c r="BA124" s="108"/>
      <c r="BB124" s="108"/>
      <c r="BC124" s="108"/>
      <c r="BD124" s="108"/>
      <c r="BE124" s="359"/>
      <c r="BF124" s="109" t="s">
        <v>492</v>
      </c>
      <c r="BG124" s="116"/>
    </row>
    <row r="125" spans="1:59" s="254" customFormat="1" ht="24" x14ac:dyDescent="0.2">
      <c r="A125" s="167"/>
      <c r="B125" s="127"/>
      <c r="C125" s="252"/>
      <c r="D125" s="253"/>
      <c r="E125" s="106" t="s">
        <v>616</v>
      </c>
      <c r="F125" s="107">
        <f t="shared" si="130"/>
        <v>89550</v>
      </c>
      <c r="G125" s="107">
        <f t="shared" si="131"/>
        <v>89550</v>
      </c>
      <c r="H125" s="108">
        <v>85939</v>
      </c>
      <c r="I125" s="108">
        <f t="shared" si="132"/>
        <v>85939</v>
      </c>
      <c r="J125" s="108">
        <f t="shared" si="133"/>
        <v>0</v>
      </c>
      <c r="K125" s="108"/>
      <c r="L125" s="108"/>
      <c r="M125" s="108"/>
      <c r="N125" s="108"/>
      <c r="O125" s="108"/>
      <c r="P125" s="108"/>
      <c r="Q125" s="108"/>
      <c r="R125" s="108"/>
      <c r="S125" s="108"/>
      <c r="T125" s="463"/>
      <c r="U125" s="108"/>
      <c r="V125" s="108"/>
      <c r="W125" s="108">
        <v>0</v>
      </c>
      <c r="X125" s="108">
        <f t="shared" si="134"/>
        <v>0</v>
      </c>
      <c r="Y125" s="108">
        <f t="shared" si="135"/>
        <v>0</v>
      </c>
      <c r="Z125" s="108"/>
      <c r="AA125" s="108"/>
      <c r="AB125" s="108"/>
      <c r="AC125" s="108"/>
      <c r="AD125" s="108"/>
      <c r="AE125" s="108"/>
      <c r="AF125" s="108">
        <v>3611</v>
      </c>
      <c r="AG125" s="133">
        <f t="shared" si="136"/>
        <v>3611</v>
      </c>
      <c r="AH125" s="133">
        <f t="shared" si="137"/>
        <v>0</v>
      </c>
      <c r="AI125" s="133"/>
      <c r="AJ125" s="133"/>
      <c r="AK125" s="133"/>
      <c r="AL125" s="133"/>
      <c r="AM125" s="133"/>
      <c r="AN125" s="479"/>
      <c r="AO125" s="133"/>
      <c r="AP125" s="133">
        <v>0</v>
      </c>
      <c r="AQ125" s="133">
        <f t="shared" si="138"/>
        <v>0</v>
      </c>
      <c r="AR125" s="133">
        <f t="shared" si="139"/>
        <v>0</v>
      </c>
      <c r="AS125" s="133"/>
      <c r="AT125" s="133"/>
      <c r="AU125" s="133"/>
      <c r="AV125" s="133"/>
      <c r="AW125" s="108">
        <f t="shared" si="140"/>
        <v>0</v>
      </c>
      <c r="AX125" s="108">
        <f t="shared" si="141"/>
        <v>0</v>
      </c>
      <c r="AY125" s="108"/>
      <c r="AZ125" s="108"/>
      <c r="BA125" s="108"/>
      <c r="BB125" s="108"/>
      <c r="BC125" s="108"/>
      <c r="BD125" s="108"/>
      <c r="BE125" s="359"/>
      <c r="BF125" s="109" t="s">
        <v>493</v>
      </c>
      <c r="BG125" s="116"/>
    </row>
    <row r="126" spans="1:59" s="249" customFormat="1" ht="24" x14ac:dyDescent="0.2">
      <c r="A126" s="167"/>
      <c r="B126" s="127"/>
      <c r="C126" s="247"/>
      <c r="D126" s="248"/>
      <c r="E126" s="106" t="s">
        <v>390</v>
      </c>
      <c r="F126" s="107">
        <f t="shared" si="130"/>
        <v>118059</v>
      </c>
      <c r="G126" s="107">
        <f t="shared" si="131"/>
        <v>114766</v>
      </c>
      <c r="H126" s="108">
        <v>79544</v>
      </c>
      <c r="I126" s="108">
        <f t="shared" si="132"/>
        <v>79544</v>
      </c>
      <c r="J126" s="108">
        <f t="shared" si="133"/>
        <v>0</v>
      </c>
      <c r="K126" s="108"/>
      <c r="L126" s="108"/>
      <c r="M126" s="108"/>
      <c r="N126" s="108"/>
      <c r="O126" s="108"/>
      <c r="P126" s="108"/>
      <c r="Q126" s="108"/>
      <c r="R126" s="108"/>
      <c r="S126" s="108"/>
      <c r="T126" s="463"/>
      <c r="U126" s="108"/>
      <c r="V126" s="108"/>
      <c r="W126" s="108">
        <v>0</v>
      </c>
      <c r="X126" s="108">
        <f t="shared" si="134"/>
        <v>0</v>
      </c>
      <c r="Y126" s="108">
        <f t="shared" si="135"/>
        <v>0</v>
      </c>
      <c r="Z126" s="108"/>
      <c r="AA126" s="108"/>
      <c r="AB126" s="108"/>
      <c r="AC126" s="108"/>
      <c r="AD126" s="108"/>
      <c r="AE126" s="108"/>
      <c r="AF126" s="108">
        <v>38515</v>
      </c>
      <c r="AG126" s="133">
        <f t="shared" si="136"/>
        <v>35222</v>
      </c>
      <c r="AH126" s="133">
        <f t="shared" si="137"/>
        <v>-3293</v>
      </c>
      <c r="AI126" s="133">
        <v>-3293</v>
      </c>
      <c r="AJ126" s="133"/>
      <c r="AK126" s="133"/>
      <c r="AL126" s="133"/>
      <c r="AM126" s="133"/>
      <c r="AN126" s="479"/>
      <c r="AO126" s="133"/>
      <c r="AP126" s="133">
        <v>0</v>
      </c>
      <c r="AQ126" s="133">
        <f t="shared" si="138"/>
        <v>0</v>
      </c>
      <c r="AR126" s="133">
        <f t="shared" si="139"/>
        <v>0</v>
      </c>
      <c r="AS126" s="133"/>
      <c r="AT126" s="133"/>
      <c r="AU126" s="133"/>
      <c r="AV126" s="133"/>
      <c r="AW126" s="108">
        <f t="shared" si="140"/>
        <v>0</v>
      </c>
      <c r="AX126" s="108">
        <f t="shared" si="141"/>
        <v>0</v>
      </c>
      <c r="AY126" s="108"/>
      <c r="AZ126" s="108"/>
      <c r="BA126" s="108"/>
      <c r="BB126" s="108"/>
      <c r="BC126" s="108"/>
      <c r="BD126" s="108"/>
      <c r="BE126" s="359"/>
      <c r="BF126" s="109" t="s">
        <v>494</v>
      </c>
      <c r="BG126" s="116"/>
    </row>
    <row r="127" spans="1:59" s="249" customFormat="1" ht="24" x14ac:dyDescent="0.2">
      <c r="A127" s="167"/>
      <c r="B127" s="127"/>
      <c r="C127" s="247"/>
      <c r="D127" s="248"/>
      <c r="E127" s="106" t="s">
        <v>391</v>
      </c>
      <c r="F127" s="107">
        <f t="shared" si="130"/>
        <v>37903</v>
      </c>
      <c r="G127" s="107">
        <f t="shared" si="131"/>
        <v>31703</v>
      </c>
      <c r="H127" s="108">
        <v>18292</v>
      </c>
      <c r="I127" s="108">
        <f t="shared" si="132"/>
        <v>11680</v>
      </c>
      <c r="J127" s="108">
        <f t="shared" si="133"/>
        <v>-6612</v>
      </c>
      <c r="K127" s="108">
        <v>-6612</v>
      </c>
      <c r="L127" s="108"/>
      <c r="M127" s="108"/>
      <c r="N127" s="108"/>
      <c r="O127" s="108"/>
      <c r="P127" s="108"/>
      <c r="Q127" s="108"/>
      <c r="R127" s="108"/>
      <c r="S127" s="108"/>
      <c r="T127" s="463"/>
      <c r="U127" s="108"/>
      <c r="V127" s="108"/>
      <c r="W127" s="108">
        <v>0</v>
      </c>
      <c r="X127" s="108">
        <f t="shared" si="134"/>
        <v>0</v>
      </c>
      <c r="Y127" s="108">
        <f t="shared" si="135"/>
        <v>0</v>
      </c>
      <c r="Z127" s="108"/>
      <c r="AA127" s="108"/>
      <c r="AB127" s="108"/>
      <c r="AC127" s="108"/>
      <c r="AD127" s="108"/>
      <c r="AE127" s="108"/>
      <c r="AF127" s="108">
        <v>19611</v>
      </c>
      <c r="AG127" s="133">
        <f t="shared" si="136"/>
        <v>20023</v>
      </c>
      <c r="AH127" s="133">
        <f t="shared" si="137"/>
        <v>412</v>
      </c>
      <c r="AI127" s="133">
        <f>287+125</f>
        <v>412</v>
      </c>
      <c r="AJ127" s="133"/>
      <c r="AK127" s="133"/>
      <c r="AL127" s="133"/>
      <c r="AM127" s="133"/>
      <c r="AN127" s="479"/>
      <c r="AO127" s="133"/>
      <c r="AP127" s="133">
        <v>0</v>
      </c>
      <c r="AQ127" s="133">
        <f t="shared" si="138"/>
        <v>0</v>
      </c>
      <c r="AR127" s="133">
        <f t="shared" si="139"/>
        <v>0</v>
      </c>
      <c r="AS127" s="133"/>
      <c r="AT127" s="133"/>
      <c r="AU127" s="133"/>
      <c r="AV127" s="133"/>
      <c r="AW127" s="108">
        <f t="shared" si="140"/>
        <v>0</v>
      </c>
      <c r="AX127" s="108">
        <f t="shared" si="141"/>
        <v>0</v>
      </c>
      <c r="AY127" s="108"/>
      <c r="AZ127" s="108"/>
      <c r="BA127" s="108"/>
      <c r="BB127" s="108"/>
      <c r="BC127" s="108"/>
      <c r="BD127" s="108"/>
      <c r="BE127" s="359"/>
      <c r="BF127" s="109" t="s">
        <v>495</v>
      </c>
      <c r="BG127" s="116"/>
    </row>
    <row r="128" spans="1:59" s="430" customFormat="1" ht="24" x14ac:dyDescent="0.2">
      <c r="A128" s="167"/>
      <c r="B128" s="127"/>
      <c r="C128" s="431"/>
      <c r="D128" s="432"/>
      <c r="E128" s="106" t="s">
        <v>731</v>
      </c>
      <c r="F128" s="107">
        <f t="shared" si="130"/>
        <v>0</v>
      </c>
      <c r="G128" s="107">
        <f t="shared" si="131"/>
        <v>36855</v>
      </c>
      <c r="H128" s="108"/>
      <c r="I128" s="108">
        <f t="shared" ref="I128" si="142">H128+J128</f>
        <v>26855</v>
      </c>
      <c r="J128" s="108">
        <f t="shared" ref="J128" si="143">SUM(K128:V128)</f>
        <v>26855</v>
      </c>
      <c r="K128" s="108"/>
      <c r="L128" s="108"/>
      <c r="M128" s="108"/>
      <c r="N128" s="108"/>
      <c r="O128" s="108">
        <v>26855</v>
      </c>
      <c r="P128" s="108"/>
      <c r="Q128" s="108"/>
      <c r="R128" s="108"/>
      <c r="S128" s="108"/>
      <c r="T128" s="463"/>
      <c r="U128" s="108"/>
      <c r="V128" s="108"/>
      <c r="W128" s="108"/>
      <c r="X128" s="108">
        <f t="shared" ref="X128" si="144">W128+Y128</f>
        <v>0</v>
      </c>
      <c r="Y128" s="108">
        <f t="shared" ref="Y128" si="145">SUM(Z128:AE128)</f>
        <v>0</v>
      </c>
      <c r="Z128" s="108"/>
      <c r="AA128" s="108"/>
      <c r="AB128" s="108"/>
      <c r="AC128" s="108"/>
      <c r="AD128" s="108"/>
      <c r="AE128" s="108"/>
      <c r="AF128" s="108"/>
      <c r="AG128" s="133">
        <f t="shared" ref="AG128" si="146">AH128+AF128</f>
        <v>10000</v>
      </c>
      <c r="AH128" s="133">
        <f t="shared" ref="AH128" si="147">SUM(AI128:AN128)</f>
        <v>10000</v>
      </c>
      <c r="AI128" s="133"/>
      <c r="AJ128" s="133"/>
      <c r="AK128" s="133"/>
      <c r="AL128" s="133">
        <v>10000</v>
      </c>
      <c r="AM128" s="133"/>
      <c r="AN128" s="479"/>
      <c r="AO128" s="133"/>
      <c r="AP128" s="133"/>
      <c r="AQ128" s="133">
        <f t="shared" ref="AQ128" si="148">AR128+AP128</f>
        <v>0</v>
      </c>
      <c r="AR128" s="133">
        <f t="shared" ref="AR128" si="149">SUM(AS128:AU128)</f>
        <v>0</v>
      </c>
      <c r="AS128" s="133"/>
      <c r="AT128" s="133"/>
      <c r="AU128" s="133"/>
      <c r="AV128" s="133"/>
      <c r="AW128" s="108">
        <f t="shared" ref="AW128" si="150">AX128+AV128</f>
        <v>0</v>
      </c>
      <c r="AX128" s="108">
        <f t="shared" si="141"/>
        <v>0</v>
      </c>
      <c r="AY128" s="108"/>
      <c r="AZ128" s="108"/>
      <c r="BA128" s="108"/>
      <c r="BB128" s="108"/>
      <c r="BC128" s="108"/>
      <c r="BD128" s="108"/>
      <c r="BE128" s="359"/>
      <c r="BF128" s="109" t="s">
        <v>732</v>
      </c>
      <c r="BG128" s="116"/>
    </row>
    <row r="129" spans="1:59" ht="36" x14ac:dyDescent="0.2">
      <c r="A129" s="167">
        <v>40000056408</v>
      </c>
      <c r="B129" s="127"/>
      <c r="C129" s="533" t="s">
        <v>16</v>
      </c>
      <c r="D129" s="534"/>
      <c r="E129" s="106" t="s">
        <v>627</v>
      </c>
      <c r="F129" s="107">
        <f t="shared" si="130"/>
        <v>428871</v>
      </c>
      <c r="G129" s="107">
        <f t="shared" si="131"/>
        <v>412439</v>
      </c>
      <c r="H129" s="108">
        <v>409014</v>
      </c>
      <c r="I129" s="108">
        <f t="shared" si="132"/>
        <v>391771</v>
      </c>
      <c r="J129" s="108">
        <f t="shared" si="133"/>
        <v>-17243</v>
      </c>
      <c r="K129" s="108">
        <f>-17531-446</f>
        <v>-17977</v>
      </c>
      <c r="L129" s="108"/>
      <c r="M129" s="108"/>
      <c r="N129" s="108"/>
      <c r="O129" s="108"/>
      <c r="P129" s="108">
        <v>734</v>
      </c>
      <c r="Q129" s="108"/>
      <c r="R129" s="108"/>
      <c r="S129" s="108"/>
      <c r="T129" s="463"/>
      <c r="U129" s="108"/>
      <c r="V129" s="108"/>
      <c r="W129" s="108">
        <v>0</v>
      </c>
      <c r="X129" s="108">
        <f t="shared" si="134"/>
        <v>0</v>
      </c>
      <c r="Y129" s="108">
        <f t="shared" si="135"/>
        <v>0</v>
      </c>
      <c r="Z129" s="108"/>
      <c r="AA129" s="108"/>
      <c r="AB129" s="108"/>
      <c r="AC129" s="108"/>
      <c r="AD129" s="108"/>
      <c r="AE129" s="108"/>
      <c r="AF129" s="108">
        <v>19857</v>
      </c>
      <c r="AG129" s="133">
        <f t="shared" si="136"/>
        <v>20503</v>
      </c>
      <c r="AH129" s="133">
        <f t="shared" si="137"/>
        <v>646</v>
      </c>
      <c r="AI129" s="133">
        <v>646</v>
      </c>
      <c r="AJ129" s="133"/>
      <c r="AK129" s="133"/>
      <c r="AL129" s="133"/>
      <c r="AM129" s="133"/>
      <c r="AN129" s="479"/>
      <c r="AO129" s="133"/>
      <c r="AP129" s="133">
        <v>0</v>
      </c>
      <c r="AQ129" s="133">
        <f t="shared" si="138"/>
        <v>165</v>
      </c>
      <c r="AR129" s="133">
        <f t="shared" si="139"/>
        <v>165</v>
      </c>
      <c r="AS129" s="133">
        <v>165</v>
      </c>
      <c r="AT129" s="133"/>
      <c r="AU129" s="133"/>
      <c r="AV129" s="133"/>
      <c r="AW129" s="108">
        <f t="shared" si="140"/>
        <v>0</v>
      </c>
      <c r="AX129" s="108">
        <f t="shared" si="141"/>
        <v>0</v>
      </c>
      <c r="AY129" s="108"/>
      <c r="AZ129" s="108"/>
      <c r="BA129" s="108"/>
      <c r="BB129" s="108"/>
      <c r="BC129" s="108"/>
      <c r="BD129" s="108"/>
      <c r="BE129" s="359"/>
      <c r="BF129" s="109" t="s">
        <v>496</v>
      </c>
      <c r="BG129" s="116"/>
    </row>
    <row r="130" spans="1:59" s="233" customFormat="1" ht="36" x14ac:dyDescent="0.2">
      <c r="A130" s="167"/>
      <c r="B130" s="127"/>
      <c r="C130" s="234"/>
      <c r="D130" s="235"/>
      <c r="E130" s="106" t="s">
        <v>355</v>
      </c>
      <c r="F130" s="107">
        <f t="shared" si="130"/>
        <v>157885</v>
      </c>
      <c r="G130" s="107">
        <f t="shared" si="131"/>
        <v>157885</v>
      </c>
      <c r="H130" s="108">
        <v>157885</v>
      </c>
      <c r="I130" s="108">
        <f t="shared" si="132"/>
        <v>157885</v>
      </c>
      <c r="J130" s="108">
        <f t="shared" si="133"/>
        <v>0</v>
      </c>
      <c r="K130" s="108"/>
      <c r="L130" s="108"/>
      <c r="M130" s="108"/>
      <c r="N130" s="108"/>
      <c r="O130" s="108"/>
      <c r="P130" s="108"/>
      <c r="Q130" s="108"/>
      <c r="R130" s="108"/>
      <c r="S130" s="108"/>
      <c r="T130" s="463"/>
      <c r="U130" s="108"/>
      <c r="V130" s="108"/>
      <c r="W130" s="108">
        <v>0</v>
      </c>
      <c r="X130" s="108">
        <f t="shared" si="134"/>
        <v>0</v>
      </c>
      <c r="Y130" s="108">
        <f t="shared" si="135"/>
        <v>0</v>
      </c>
      <c r="Z130" s="108"/>
      <c r="AA130" s="108"/>
      <c r="AB130" s="108"/>
      <c r="AC130" s="108"/>
      <c r="AD130" s="108"/>
      <c r="AE130" s="108"/>
      <c r="AF130" s="108">
        <v>0</v>
      </c>
      <c r="AG130" s="133">
        <f t="shared" si="136"/>
        <v>0</v>
      </c>
      <c r="AH130" s="133">
        <f t="shared" si="137"/>
        <v>0</v>
      </c>
      <c r="AI130" s="133"/>
      <c r="AJ130" s="133"/>
      <c r="AK130" s="133"/>
      <c r="AL130" s="133"/>
      <c r="AM130" s="133"/>
      <c r="AN130" s="479"/>
      <c r="AO130" s="133"/>
      <c r="AP130" s="133">
        <v>0</v>
      </c>
      <c r="AQ130" s="133">
        <f t="shared" si="138"/>
        <v>0</v>
      </c>
      <c r="AR130" s="133">
        <f t="shared" si="139"/>
        <v>0</v>
      </c>
      <c r="AS130" s="133"/>
      <c r="AT130" s="133"/>
      <c r="AU130" s="133"/>
      <c r="AV130" s="133"/>
      <c r="AW130" s="108">
        <f t="shared" si="140"/>
        <v>0</v>
      </c>
      <c r="AX130" s="108">
        <f t="shared" si="141"/>
        <v>0</v>
      </c>
      <c r="AY130" s="108"/>
      <c r="AZ130" s="108"/>
      <c r="BA130" s="108"/>
      <c r="BB130" s="108"/>
      <c r="BC130" s="108"/>
      <c r="BD130" s="108"/>
      <c r="BE130" s="359"/>
      <c r="BF130" s="109" t="s">
        <v>497</v>
      </c>
      <c r="BG130" s="116"/>
    </row>
    <row r="131" spans="1:59" ht="24" x14ac:dyDescent="0.2">
      <c r="A131" s="167"/>
      <c r="B131" s="127"/>
      <c r="C131" s="208"/>
      <c r="D131" s="209"/>
      <c r="E131" s="106" t="s">
        <v>360</v>
      </c>
      <c r="F131" s="107">
        <f t="shared" si="130"/>
        <v>28435</v>
      </c>
      <c r="G131" s="107">
        <f t="shared" si="131"/>
        <v>30340</v>
      </c>
      <c r="H131" s="108">
        <v>26055</v>
      </c>
      <c r="I131" s="108">
        <f t="shared" si="132"/>
        <v>27960</v>
      </c>
      <c r="J131" s="108">
        <f t="shared" si="133"/>
        <v>1905</v>
      </c>
      <c r="K131" s="108"/>
      <c r="L131" s="108"/>
      <c r="M131" s="108">
        <v>-3595</v>
      </c>
      <c r="N131" s="108"/>
      <c r="O131" s="108"/>
      <c r="P131" s="108">
        <v>5500</v>
      </c>
      <c r="Q131" s="108"/>
      <c r="R131" s="108"/>
      <c r="S131" s="108"/>
      <c r="T131" s="463"/>
      <c r="U131" s="108"/>
      <c r="V131" s="108"/>
      <c r="W131" s="108">
        <v>0</v>
      </c>
      <c r="X131" s="108">
        <f t="shared" si="134"/>
        <v>0</v>
      </c>
      <c r="Y131" s="108">
        <f t="shared" si="135"/>
        <v>0</v>
      </c>
      <c r="Z131" s="108"/>
      <c r="AA131" s="108"/>
      <c r="AB131" s="108"/>
      <c r="AC131" s="108"/>
      <c r="AD131" s="108"/>
      <c r="AE131" s="108"/>
      <c r="AF131" s="108">
        <v>2380</v>
      </c>
      <c r="AG131" s="133">
        <f t="shared" si="136"/>
        <v>2380</v>
      </c>
      <c r="AH131" s="133">
        <f t="shared" si="137"/>
        <v>0</v>
      </c>
      <c r="AI131" s="133"/>
      <c r="AJ131" s="133"/>
      <c r="AK131" s="133"/>
      <c r="AL131" s="133"/>
      <c r="AM131" s="133"/>
      <c r="AN131" s="479"/>
      <c r="AO131" s="133"/>
      <c r="AP131" s="133">
        <v>0</v>
      </c>
      <c r="AQ131" s="133">
        <f t="shared" si="138"/>
        <v>0</v>
      </c>
      <c r="AR131" s="133">
        <f t="shared" si="139"/>
        <v>0</v>
      </c>
      <c r="AS131" s="133"/>
      <c r="AT131" s="133"/>
      <c r="AU131" s="133"/>
      <c r="AV131" s="133"/>
      <c r="AW131" s="108">
        <f t="shared" si="140"/>
        <v>0</v>
      </c>
      <c r="AX131" s="108">
        <f t="shared" si="141"/>
        <v>0</v>
      </c>
      <c r="AY131" s="108"/>
      <c r="AZ131" s="108"/>
      <c r="BA131" s="108"/>
      <c r="BB131" s="108"/>
      <c r="BC131" s="108"/>
      <c r="BD131" s="108"/>
      <c r="BE131" s="359"/>
      <c r="BF131" s="109" t="s">
        <v>498</v>
      </c>
      <c r="BG131" s="116" t="s">
        <v>617</v>
      </c>
    </row>
    <row r="132" spans="1:59" s="436" customFormat="1" ht="24" x14ac:dyDescent="0.2">
      <c r="A132" s="167"/>
      <c r="B132" s="127"/>
      <c r="C132" s="437"/>
      <c r="D132" s="438"/>
      <c r="E132" s="106" t="s">
        <v>736</v>
      </c>
      <c r="F132" s="107">
        <f t="shared" ref="F132" si="151">H132+W132+AF132+AO132+AP132+AV132</f>
        <v>0</v>
      </c>
      <c r="G132" s="107">
        <f t="shared" ref="G132" si="152">I132+X132+AG132+AO132+AQ132+AW132</f>
        <v>11595</v>
      </c>
      <c r="H132" s="108"/>
      <c r="I132" s="108">
        <f t="shared" ref="I132" si="153">H132+J132</f>
        <v>11595</v>
      </c>
      <c r="J132" s="108">
        <f t="shared" ref="J132" si="154">SUM(K132:V132)</f>
        <v>11595</v>
      </c>
      <c r="K132" s="108"/>
      <c r="L132" s="108"/>
      <c r="M132" s="108">
        <v>11595</v>
      </c>
      <c r="N132" s="108"/>
      <c r="O132" s="108"/>
      <c r="P132" s="108"/>
      <c r="Q132" s="108"/>
      <c r="R132" s="108"/>
      <c r="S132" s="108"/>
      <c r="T132" s="463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33"/>
      <c r="AH132" s="133"/>
      <c r="AI132" s="133"/>
      <c r="AJ132" s="133"/>
      <c r="AK132" s="133"/>
      <c r="AL132" s="133"/>
      <c r="AM132" s="133"/>
      <c r="AN132" s="479"/>
      <c r="AO132" s="133"/>
      <c r="AP132" s="133"/>
      <c r="AQ132" s="133"/>
      <c r="AR132" s="133"/>
      <c r="AS132" s="133"/>
      <c r="AT132" s="133"/>
      <c r="AU132" s="133"/>
      <c r="AV132" s="133"/>
      <c r="AW132" s="108">
        <f t="shared" ref="AW132" si="155">AX132+AV132</f>
        <v>0</v>
      </c>
      <c r="AX132" s="108">
        <f t="shared" si="141"/>
        <v>0</v>
      </c>
      <c r="AY132" s="108"/>
      <c r="AZ132" s="108"/>
      <c r="BA132" s="108"/>
      <c r="BB132" s="108"/>
      <c r="BC132" s="108"/>
      <c r="BD132" s="108"/>
      <c r="BE132" s="359"/>
      <c r="BF132" s="109" t="s">
        <v>737</v>
      </c>
      <c r="BG132" s="116"/>
    </row>
    <row r="133" spans="1:59" s="18" customFormat="1" ht="36" customHeight="1" x14ac:dyDescent="0.2">
      <c r="A133" s="170">
        <v>40003378932</v>
      </c>
      <c r="B133" s="106"/>
      <c r="C133" s="533" t="s">
        <v>392</v>
      </c>
      <c r="D133" s="534"/>
      <c r="E133" s="106" t="s">
        <v>652</v>
      </c>
      <c r="F133" s="107">
        <f t="shared" si="130"/>
        <v>499999.80000000005</v>
      </c>
      <c r="G133" s="107">
        <f t="shared" si="131"/>
        <v>502967.80000000005</v>
      </c>
      <c r="H133" s="108">
        <v>499999.80000000005</v>
      </c>
      <c r="I133" s="108">
        <f t="shared" si="132"/>
        <v>502967.80000000005</v>
      </c>
      <c r="J133" s="108">
        <f t="shared" si="133"/>
        <v>2968</v>
      </c>
      <c r="K133" s="108"/>
      <c r="L133" s="108"/>
      <c r="M133" s="108"/>
      <c r="N133" s="108">
        <v>2968</v>
      </c>
      <c r="O133" s="108"/>
      <c r="P133" s="108"/>
      <c r="Q133" s="108"/>
      <c r="R133" s="108"/>
      <c r="S133" s="108"/>
      <c r="T133" s="463"/>
      <c r="U133" s="108"/>
      <c r="V133" s="108"/>
      <c r="W133" s="108">
        <v>0</v>
      </c>
      <c r="X133" s="108">
        <f t="shared" si="134"/>
        <v>0</v>
      </c>
      <c r="Y133" s="108">
        <f t="shared" si="135"/>
        <v>0</v>
      </c>
      <c r="Z133" s="108"/>
      <c r="AA133" s="108"/>
      <c r="AB133" s="108"/>
      <c r="AC133" s="108"/>
      <c r="AD133" s="108"/>
      <c r="AE133" s="108"/>
      <c r="AF133" s="108">
        <v>0</v>
      </c>
      <c r="AG133" s="133">
        <f t="shared" si="136"/>
        <v>0</v>
      </c>
      <c r="AH133" s="133">
        <f t="shared" si="137"/>
        <v>0</v>
      </c>
      <c r="AI133" s="133"/>
      <c r="AJ133" s="133"/>
      <c r="AK133" s="133"/>
      <c r="AL133" s="133"/>
      <c r="AM133" s="133"/>
      <c r="AN133" s="479"/>
      <c r="AO133" s="135"/>
      <c r="AP133" s="133">
        <v>0</v>
      </c>
      <c r="AQ133" s="133">
        <f t="shared" si="138"/>
        <v>0</v>
      </c>
      <c r="AR133" s="133">
        <f t="shared" si="139"/>
        <v>0</v>
      </c>
      <c r="AS133" s="133"/>
      <c r="AT133" s="133"/>
      <c r="AU133" s="133"/>
      <c r="AV133" s="133"/>
      <c r="AW133" s="108">
        <f t="shared" si="140"/>
        <v>0</v>
      </c>
      <c r="AX133" s="108">
        <f t="shared" si="141"/>
        <v>0</v>
      </c>
      <c r="AY133" s="108"/>
      <c r="AZ133" s="108"/>
      <c r="BA133" s="108"/>
      <c r="BB133" s="108"/>
      <c r="BC133" s="108"/>
      <c r="BD133" s="108"/>
      <c r="BE133" s="359"/>
      <c r="BF133" s="109" t="s">
        <v>499</v>
      </c>
      <c r="BG133" s="116"/>
    </row>
    <row r="134" spans="1:59" s="18" customFormat="1" ht="12.75" x14ac:dyDescent="0.2">
      <c r="A134" s="170"/>
      <c r="B134" s="106"/>
      <c r="C134" s="294"/>
      <c r="D134" s="295"/>
      <c r="E134" s="106" t="s">
        <v>641</v>
      </c>
      <c r="F134" s="107">
        <f t="shared" si="130"/>
        <v>50000</v>
      </c>
      <c r="G134" s="107">
        <f t="shared" si="131"/>
        <v>50000</v>
      </c>
      <c r="H134" s="108">
        <v>50000</v>
      </c>
      <c r="I134" s="108">
        <f t="shared" si="132"/>
        <v>50000</v>
      </c>
      <c r="J134" s="108">
        <f t="shared" si="133"/>
        <v>0</v>
      </c>
      <c r="K134" s="108"/>
      <c r="L134" s="108"/>
      <c r="M134" s="108"/>
      <c r="N134" s="108"/>
      <c r="O134" s="108"/>
      <c r="P134" s="108"/>
      <c r="Q134" s="108"/>
      <c r="R134" s="108"/>
      <c r="S134" s="108"/>
      <c r="T134" s="463"/>
      <c r="U134" s="108"/>
      <c r="V134" s="108"/>
      <c r="W134" s="108">
        <v>0</v>
      </c>
      <c r="X134" s="108">
        <f t="shared" si="134"/>
        <v>0</v>
      </c>
      <c r="Y134" s="108">
        <f t="shared" si="135"/>
        <v>0</v>
      </c>
      <c r="Z134" s="108"/>
      <c r="AA134" s="108"/>
      <c r="AB134" s="108"/>
      <c r="AC134" s="108"/>
      <c r="AD134" s="108"/>
      <c r="AE134" s="108"/>
      <c r="AF134" s="108">
        <v>0</v>
      </c>
      <c r="AG134" s="133">
        <f t="shared" si="136"/>
        <v>0</v>
      </c>
      <c r="AH134" s="133">
        <f t="shared" si="137"/>
        <v>0</v>
      </c>
      <c r="AI134" s="133"/>
      <c r="AJ134" s="133"/>
      <c r="AK134" s="133"/>
      <c r="AL134" s="133"/>
      <c r="AM134" s="133"/>
      <c r="AN134" s="479"/>
      <c r="AO134" s="135"/>
      <c r="AP134" s="133">
        <v>0</v>
      </c>
      <c r="AQ134" s="133">
        <f t="shared" si="138"/>
        <v>0</v>
      </c>
      <c r="AR134" s="133">
        <f t="shared" si="139"/>
        <v>0</v>
      </c>
      <c r="AS134" s="133"/>
      <c r="AT134" s="133"/>
      <c r="AU134" s="133"/>
      <c r="AV134" s="133"/>
      <c r="AW134" s="108">
        <f t="shared" si="140"/>
        <v>0</v>
      </c>
      <c r="AX134" s="108">
        <f t="shared" si="141"/>
        <v>0</v>
      </c>
      <c r="AY134" s="108"/>
      <c r="AZ134" s="108"/>
      <c r="BA134" s="108"/>
      <c r="BB134" s="108"/>
      <c r="BC134" s="108"/>
      <c r="BD134" s="108"/>
      <c r="BE134" s="359"/>
      <c r="BF134" s="109" t="s">
        <v>500</v>
      </c>
      <c r="BG134" s="116"/>
    </row>
    <row r="135" spans="1:59" s="18" customFormat="1" ht="24" x14ac:dyDescent="0.2">
      <c r="A135" s="170"/>
      <c r="B135" s="106"/>
      <c r="C135" s="229"/>
      <c r="D135" s="230"/>
      <c r="E135" s="106" t="s">
        <v>357</v>
      </c>
      <c r="F135" s="107">
        <f t="shared" si="130"/>
        <v>8569</v>
      </c>
      <c r="G135" s="107">
        <f t="shared" si="131"/>
        <v>8313</v>
      </c>
      <c r="H135" s="108">
        <v>8569</v>
      </c>
      <c r="I135" s="108">
        <f t="shared" si="132"/>
        <v>8313</v>
      </c>
      <c r="J135" s="108">
        <f t="shared" si="133"/>
        <v>-256</v>
      </c>
      <c r="K135" s="108">
        <v>-256</v>
      </c>
      <c r="L135" s="108"/>
      <c r="M135" s="108"/>
      <c r="N135" s="108"/>
      <c r="O135" s="108"/>
      <c r="P135" s="108"/>
      <c r="Q135" s="108"/>
      <c r="R135" s="108"/>
      <c r="S135" s="108"/>
      <c r="T135" s="463"/>
      <c r="U135" s="108"/>
      <c r="V135" s="108"/>
      <c r="W135" s="108">
        <v>0</v>
      </c>
      <c r="X135" s="108">
        <f t="shared" si="134"/>
        <v>0</v>
      </c>
      <c r="Y135" s="108">
        <f t="shared" si="135"/>
        <v>0</v>
      </c>
      <c r="Z135" s="108"/>
      <c r="AA135" s="108"/>
      <c r="AB135" s="108"/>
      <c r="AC135" s="108"/>
      <c r="AD135" s="108"/>
      <c r="AE135" s="108"/>
      <c r="AF135" s="108">
        <v>0</v>
      </c>
      <c r="AG135" s="133">
        <f t="shared" si="136"/>
        <v>0</v>
      </c>
      <c r="AH135" s="133">
        <f t="shared" si="137"/>
        <v>0</v>
      </c>
      <c r="AI135" s="133"/>
      <c r="AJ135" s="133"/>
      <c r="AK135" s="133"/>
      <c r="AL135" s="133"/>
      <c r="AM135" s="133"/>
      <c r="AN135" s="479"/>
      <c r="AO135" s="135"/>
      <c r="AP135" s="133">
        <v>0</v>
      </c>
      <c r="AQ135" s="133">
        <f t="shared" si="138"/>
        <v>0</v>
      </c>
      <c r="AR135" s="133">
        <f t="shared" si="139"/>
        <v>0</v>
      </c>
      <c r="AS135" s="133"/>
      <c r="AT135" s="133"/>
      <c r="AU135" s="133"/>
      <c r="AV135" s="133"/>
      <c r="AW135" s="108">
        <f t="shared" si="140"/>
        <v>0</v>
      </c>
      <c r="AX135" s="108">
        <f t="shared" si="141"/>
        <v>0</v>
      </c>
      <c r="AY135" s="108"/>
      <c r="AZ135" s="108"/>
      <c r="BA135" s="108"/>
      <c r="BB135" s="108"/>
      <c r="BC135" s="108"/>
      <c r="BD135" s="108"/>
      <c r="BE135" s="359"/>
      <c r="BF135" s="109" t="s">
        <v>651</v>
      </c>
      <c r="BG135" s="116"/>
    </row>
    <row r="136" spans="1:59" ht="60" x14ac:dyDescent="0.2">
      <c r="A136" s="167"/>
      <c r="B136" s="127"/>
      <c r="C136" s="533" t="s">
        <v>185</v>
      </c>
      <c r="D136" s="534"/>
      <c r="E136" s="198" t="s">
        <v>312</v>
      </c>
      <c r="F136" s="107">
        <f t="shared" si="130"/>
        <v>224960</v>
      </c>
      <c r="G136" s="107">
        <f t="shared" si="131"/>
        <v>224960</v>
      </c>
      <c r="H136" s="108"/>
      <c r="I136" s="108">
        <f t="shared" si="132"/>
        <v>0</v>
      </c>
      <c r="J136" s="108">
        <f t="shared" si="133"/>
        <v>0</v>
      </c>
      <c r="K136" s="108"/>
      <c r="L136" s="108"/>
      <c r="M136" s="108"/>
      <c r="N136" s="108"/>
      <c r="O136" s="108"/>
      <c r="P136" s="108"/>
      <c r="Q136" s="108"/>
      <c r="R136" s="108"/>
      <c r="S136" s="108"/>
      <c r="T136" s="463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463"/>
      <c r="AO136" s="108">
        <v>224960</v>
      </c>
      <c r="AP136" s="133"/>
      <c r="AQ136" s="133"/>
      <c r="AR136" s="133"/>
      <c r="AS136" s="133"/>
      <c r="AT136" s="133"/>
      <c r="AU136" s="133"/>
      <c r="AV136" s="133"/>
      <c r="AW136" s="108">
        <f t="shared" si="140"/>
        <v>0</v>
      </c>
      <c r="AX136" s="108">
        <f t="shared" si="141"/>
        <v>0</v>
      </c>
      <c r="AY136" s="108"/>
      <c r="AZ136" s="108"/>
      <c r="BA136" s="108"/>
      <c r="BB136" s="108"/>
      <c r="BC136" s="108"/>
      <c r="BD136" s="108"/>
      <c r="BE136" s="359"/>
      <c r="BF136" s="109"/>
      <c r="BG136" s="116"/>
    </row>
    <row r="137" spans="1:59" ht="24" x14ac:dyDescent="0.2">
      <c r="A137" s="167"/>
      <c r="B137" s="127"/>
      <c r="C137" s="164"/>
      <c r="D137" s="165"/>
      <c r="E137" s="198" t="s">
        <v>134</v>
      </c>
      <c r="F137" s="107">
        <f t="shared" si="130"/>
        <v>302372</v>
      </c>
      <c r="G137" s="107">
        <f t="shared" si="131"/>
        <v>302372</v>
      </c>
      <c r="H137" s="108"/>
      <c r="I137" s="108">
        <f t="shared" si="132"/>
        <v>0</v>
      </c>
      <c r="J137" s="108">
        <f t="shared" si="133"/>
        <v>0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463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463"/>
      <c r="AO137" s="108">
        <v>302372</v>
      </c>
      <c r="AP137" s="133"/>
      <c r="AQ137" s="133"/>
      <c r="AR137" s="133"/>
      <c r="AS137" s="133"/>
      <c r="AT137" s="133"/>
      <c r="AU137" s="133"/>
      <c r="AV137" s="133"/>
      <c r="AW137" s="108">
        <f t="shared" si="140"/>
        <v>0</v>
      </c>
      <c r="AX137" s="108">
        <f t="shared" si="141"/>
        <v>0</v>
      </c>
      <c r="AY137" s="108"/>
      <c r="AZ137" s="108"/>
      <c r="BA137" s="108"/>
      <c r="BB137" s="108"/>
      <c r="BC137" s="108"/>
      <c r="BD137" s="108"/>
      <c r="BE137" s="359"/>
      <c r="BF137" s="109"/>
      <c r="BG137" s="116"/>
    </row>
    <row r="138" spans="1:59" ht="24" x14ac:dyDescent="0.2">
      <c r="A138" s="167"/>
      <c r="B138" s="127"/>
      <c r="C138" s="164"/>
      <c r="D138" s="165"/>
      <c r="E138" s="198" t="s">
        <v>138</v>
      </c>
      <c r="F138" s="107">
        <f t="shared" si="130"/>
        <v>502274</v>
      </c>
      <c r="G138" s="107">
        <f t="shared" si="131"/>
        <v>502274</v>
      </c>
      <c r="H138" s="108"/>
      <c r="I138" s="108">
        <f t="shared" si="132"/>
        <v>0</v>
      </c>
      <c r="J138" s="108">
        <f t="shared" si="133"/>
        <v>0</v>
      </c>
      <c r="K138" s="108"/>
      <c r="L138" s="108"/>
      <c r="M138" s="108"/>
      <c r="N138" s="108"/>
      <c r="O138" s="108"/>
      <c r="P138" s="108"/>
      <c r="Q138" s="108"/>
      <c r="R138" s="108"/>
      <c r="S138" s="108"/>
      <c r="T138" s="463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463"/>
      <c r="AO138" s="108">
        <v>502274</v>
      </c>
      <c r="AP138" s="133"/>
      <c r="AQ138" s="133"/>
      <c r="AR138" s="133"/>
      <c r="AS138" s="133"/>
      <c r="AT138" s="133"/>
      <c r="AU138" s="133"/>
      <c r="AV138" s="133"/>
      <c r="AW138" s="108">
        <f t="shared" si="140"/>
        <v>0</v>
      </c>
      <c r="AX138" s="108">
        <f t="shared" si="141"/>
        <v>0</v>
      </c>
      <c r="AY138" s="108"/>
      <c r="AZ138" s="108"/>
      <c r="BA138" s="108"/>
      <c r="BB138" s="108"/>
      <c r="BC138" s="108"/>
      <c r="BD138" s="108"/>
      <c r="BE138" s="359"/>
      <c r="BF138" s="109"/>
      <c r="BG138" s="116"/>
    </row>
    <row r="139" spans="1:59" s="199" customFormat="1" ht="48" x14ac:dyDescent="0.2">
      <c r="A139" s="167"/>
      <c r="B139" s="202"/>
      <c r="C139" s="164"/>
      <c r="D139" s="165"/>
      <c r="E139" s="203" t="s">
        <v>317</v>
      </c>
      <c r="F139" s="107">
        <f t="shared" si="130"/>
        <v>679388</v>
      </c>
      <c r="G139" s="107">
        <f t="shared" si="131"/>
        <v>679388</v>
      </c>
      <c r="H139" s="108"/>
      <c r="I139" s="108">
        <f t="shared" si="132"/>
        <v>0</v>
      </c>
      <c r="J139" s="108">
        <f t="shared" si="133"/>
        <v>0</v>
      </c>
      <c r="K139" s="108"/>
      <c r="L139" s="108"/>
      <c r="M139" s="108"/>
      <c r="N139" s="108"/>
      <c r="O139" s="108"/>
      <c r="P139" s="108"/>
      <c r="Q139" s="108"/>
      <c r="R139" s="108"/>
      <c r="S139" s="108"/>
      <c r="T139" s="463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33"/>
      <c r="AH139" s="133"/>
      <c r="AI139" s="133"/>
      <c r="AJ139" s="133"/>
      <c r="AK139" s="133"/>
      <c r="AL139" s="133"/>
      <c r="AM139" s="133"/>
      <c r="AN139" s="479"/>
      <c r="AO139" s="133">
        <v>679388</v>
      </c>
      <c r="AP139" s="133"/>
      <c r="AQ139" s="133"/>
      <c r="AR139" s="133"/>
      <c r="AS139" s="133"/>
      <c r="AT139" s="133"/>
      <c r="AU139" s="133"/>
      <c r="AV139" s="133"/>
      <c r="AW139" s="108">
        <f t="shared" si="140"/>
        <v>0</v>
      </c>
      <c r="AX139" s="108">
        <f t="shared" si="141"/>
        <v>0</v>
      </c>
      <c r="AY139" s="108"/>
      <c r="AZ139" s="108"/>
      <c r="BA139" s="108"/>
      <c r="BB139" s="108"/>
      <c r="BC139" s="108"/>
      <c r="BD139" s="108"/>
      <c r="BE139" s="359"/>
      <c r="BF139" s="109"/>
      <c r="BG139" s="116"/>
    </row>
    <row r="140" spans="1:59" ht="12.75" thickBot="1" x14ac:dyDescent="0.25">
      <c r="A140" s="167"/>
      <c r="B140" s="145"/>
      <c r="C140" s="540"/>
      <c r="D140" s="541"/>
      <c r="E140" s="163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464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132"/>
      <c r="AH140" s="132"/>
      <c r="AI140" s="132"/>
      <c r="AJ140" s="132"/>
      <c r="AK140" s="132"/>
      <c r="AL140" s="132"/>
      <c r="AM140" s="132"/>
      <c r="AN140" s="480"/>
      <c r="AO140" s="132"/>
      <c r="AP140" s="132"/>
      <c r="AQ140" s="132"/>
      <c r="AR140" s="132"/>
      <c r="AS140" s="132"/>
      <c r="AT140" s="132"/>
      <c r="AU140" s="132"/>
      <c r="AV140" s="132"/>
      <c r="AW140" s="95"/>
      <c r="AX140" s="95"/>
      <c r="AY140" s="95"/>
      <c r="AZ140" s="95"/>
      <c r="BA140" s="95"/>
      <c r="BB140" s="95"/>
      <c r="BC140" s="95"/>
      <c r="BD140" s="95"/>
      <c r="BE140" s="360"/>
      <c r="BF140" s="96"/>
      <c r="BG140" s="117"/>
    </row>
    <row r="141" spans="1:59" ht="12.75" thickBot="1" x14ac:dyDescent="0.25">
      <c r="A141" s="220"/>
      <c r="B141" s="536" t="s">
        <v>17</v>
      </c>
      <c r="C141" s="536"/>
      <c r="D141" s="217" t="s">
        <v>18</v>
      </c>
      <c r="E141" s="15"/>
      <c r="F141" s="9">
        <f t="shared" ref="F141:AV141" si="156">SUM(F142:F230)</f>
        <v>27475168</v>
      </c>
      <c r="G141" s="9">
        <f t="shared" si="156"/>
        <v>27812935</v>
      </c>
      <c r="H141" s="9">
        <f t="shared" si="156"/>
        <v>17982378</v>
      </c>
      <c r="I141" s="9">
        <f t="shared" si="156"/>
        <v>18056660</v>
      </c>
      <c r="J141" s="9">
        <f t="shared" si="156"/>
        <v>74282</v>
      </c>
      <c r="K141" s="9">
        <f t="shared" si="156"/>
        <v>-320272</v>
      </c>
      <c r="L141" s="9">
        <f t="shared" si="156"/>
        <v>1</v>
      </c>
      <c r="M141" s="9">
        <f t="shared" si="156"/>
        <v>7237</v>
      </c>
      <c r="N141" s="9">
        <f>SUM(N142:N230)</f>
        <v>3890</v>
      </c>
      <c r="O141" s="9">
        <f t="shared" si="156"/>
        <v>21507</v>
      </c>
      <c r="P141" s="9">
        <f t="shared" si="156"/>
        <v>29667</v>
      </c>
      <c r="Q141" s="9">
        <f t="shared" si="156"/>
        <v>30181</v>
      </c>
      <c r="R141" s="9">
        <f t="shared" si="156"/>
        <v>0</v>
      </c>
      <c r="S141" s="9">
        <f t="shared" si="156"/>
        <v>1544</v>
      </c>
      <c r="T141" s="462">
        <f t="shared" si="156"/>
        <v>300527</v>
      </c>
      <c r="U141" s="9">
        <f t="shared" si="156"/>
        <v>0</v>
      </c>
      <c r="V141" s="9">
        <f t="shared" si="156"/>
        <v>0</v>
      </c>
      <c r="W141" s="9">
        <f t="shared" si="156"/>
        <v>7578591</v>
      </c>
      <c r="X141" s="9">
        <f t="shared" si="156"/>
        <v>7736322</v>
      </c>
      <c r="Y141" s="9">
        <f t="shared" si="156"/>
        <v>157731</v>
      </c>
      <c r="Z141" s="9">
        <f t="shared" si="156"/>
        <v>0</v>
      </c>
      <c r="AA141" s="9">
        <f t="shared" si="156"/>
        <v>157731</v>
      </c>
      <c r="AB141" s="9">
        <f t="shared" si="156"/>
        <v>0</v>
      </c>
      <c r="AC141" s="9">
        <f t="shared" si="156"/>
        <v>0</v>
      </c>
      <c r="AD141" s="9">
        <f t="shared" si="156"/>
        <v>0</v>
      </c>
      <c r="AE141" s="9">
        <f t="shared" si="156"/>
        <v>0</v>
      </c>
      <c r="AF141" s="9">
        <f t="shared" si="156"/>
        <v>464008</v>
      </c>
      <c r="AG141" s="9">
        <f t="shared" si="156"/>
        <v>568276</v>
      </c>
      <c r="AH141" s="9">
        <f t="shared" si="156"/>
        <v>104268</v>
      </c>
      <c r="AI141" s="9">
        <f t="shared" si="156"/>
        <v>94866</v>
      </c>
      <c r="AJ141" s="9">
        <f t="shared" si="156"/>
        <v>20</v>
      </c>
      <c r="AK141" s="9">
        <f t="shared" si="156"/>
        <v>5607</v>
      </c>
      <c r="AL141" s="9">
        <f t="shared" si="156"/>
        <v>2650</v>
      </c>
      <c r="AM141" s="9">
        <f t="shared" si="156"/>
        <v>625</v>
      </c>
      <c r="AN141" s="462">
        <f t="shared" si="156"/>
        <v>500</v>
      </c>
      <c r="AO141" s="9">
        <f t="shared" si="156"/>
        <v>1443053</v>
      </c>
      <c r="AP141" s="131">
        <f t="shared" si="156"/>
        <v>7749</v>
      </c>
      <c r="AQ141" s="131">
        <f t="shared" si="156"/>
        <v>10000</v>
      </c>
      <c r="AR141" s="131">
        <f t="shared" si="156"/>
        <v>2251</v>
      </c>
      <c r="AS141" s="131">
        <f t="shared" si="156"/>
        <v>2251</v>
      </c>
      <c r="AT141" s="131">
        <f t="shared" si="156"/>
        <v>0</v>
      </c>
      <c r="AU141" s="131">
        <f t="shared" si="156"/>
        <v>0</v>
      </c>
      <c r="AV141" s="131">
        <f t="shared" si="156"/>
        <v>-611</v>
      </c>
      <c r="AW141" s="131">
        <f t="shared" ref="AW141:BE141" si="157">SUM(AW142:AW230)</f>
        <v>-1376</v>
      </c>
      <c r="AX141" s="131">
        <f t="shared" si="157"/>
        <v>-765</v>
      </c>
      <c r="AY141" s="131">
        <f t="shared" si="157"/>
        <v>-129</v>
      </c>
      <c r="AZ141" s="131">
        <f t="shared" si="157"/>
        <v>0</v>
      </c>
      <c r="BA141" s="131">
        <f t="shared" si="157"/>
        <v>-11</v>
      </c>
      <c r="BB141" s="131">
        <f t="shared" si="157"/>
        <v>0</v>
      </c>
      <c r="BC141" s="131">
        <f t="shared" ref="BC141" si="158">SUM(BC142:BC230)</f>
        <v>0</v>
      </c>
      <c r="BD141" s="131">
        <f t="shared" si="157"/>
        <v>-625</v>
      </c>
      <c r="BE141" s="131">
        <f t="shared" si="157"/>
        <v>0</v>
      </c>
      <c r="BF141" s="17"/>
      <c r="BG141" s="118"/>
    </row>
    <row r="142" spans="1:59" ht="13.5" thickTop="1" x14ac:dyDescent="0.2">
      <c r="A142" s="167">
        <v>90000056357</v>
      </c>
      <c r="B142" s="219"/>
      <c r="C142" s="531" t="s">
        <v>5</v>
      </c>
      <c r="D142" s="532"/>
      <c r="E142" s="221" t="s">
        <v>209</v>
      </c>
      <c r="F142" s="112">
        <f t="shared" ref="F142:F212" si="159">H142+W142+AF142+AO142+AP142+AV142</f>
        <v>371617</v>
      </c>
      <c r="G142" s="112">
        <f t="shared" ref="G142:G212" si="160">I142+X142+AG142+AO142+AQ142+AW142</f>
        <v>371617</v>
      </c>
      <c r="H142" s="111">
        <v>371617</v>
      </c>
      <c r="I142" s="111">
        <f t="shared" ref="I142:I212" si="161">H142+J142</f>
        <v>371617</v>
      </c>
      <c r="J142" s="111">
        <f t="shared" ref="J142:J212" si="162">SUM(K142:V142)</f>
        <v>0</v>
      </c>
      <c r="K142" s="111"/>
      <c r="L142" s="111"/>
      <c r="M142" s="111"/>
      <c r="N142" s="111"/>
      <c r="O142" s="111"/>
      <c r="P142" s="111"/>
      <c r="Q142" s="111"/>
      <c r="R142" s="111"/>
      <c r="S142" s="111"/>
      <c r="T142" s="467"/>
      <c r="U142" s="111"/>
      <c r="V142" s="111"/>
      <c r="W142" s="111">
        <v>0</v>
      </c>
      <c r="X142" s="111">
        <f t="shared" ref="X142:X212" si="163">W142+Y142</f>
        <v>0</v>
      </c>
      <c r="Y142" s="111">
        <f t="shared" ref="Y142:Y212" si="164">SUM(Z142:AE142)</f>
        <v>0</v>
      </c>
      <c r="Z142" s="111"/>
      <c r="AA142" s="111"/>
      <c r="AB142" s="111"/>
      <c r="AC142" s="111"/>
      <c r="AD142" s="111"/>
      <c r="AE142" s="111"/>
      <c r="AF142" s="111">
        <v>0</v>
      </c>
      <c r="AG142" s="134">
        <f t="shared" ref="AG142:AG212" si="165">AH142+AF142</f>
        <v>0</v>
      </c>
      <c r="AH142" s="134">
        <f t="shared" ref="AH142:AH212" si="166">SUM(AI142:AN142)</f>
        <v>0</v>
      </c>
      <c r="AI142" s="134"/>
      <c r="AJ142" s="134"/>
      <c r="AK142" s="134"/>
      <c r="AL142" s="134"/>
      <c r="AM142" s="134"/>
      <c r="AN142" s="483"/>
      <c r="AO142" s="134"/>
      <c r="AP142" s="134">
        <v>0</v>
      </c>
      <c r="AQ142" s="134">
        <f t="shared" ref="AQ142:AQ212" si="167">AR142+AP142</f>
        <v>0</v>
      </c>
      <c r="AR142" s="134">
        <f t="shared" ref="AR142:AR212" si="168">SUM(AS142:AU142)</f>
        <v>0</v>
      </c>
      <c r="AS142" s="134"/>
      <c r="AT142" s="134"/>
      <c r="AU142" s="134"/>
      <c r="AV142" s="134"/>
      <c r="AW142" s="111">
        <f t="shared" ref="AW142:AW212" si="169">AX142+AV142</f>
        <v>0</v>
      </c>
      <c r="AX142" s="111">
        <f t="shared" ref="AX142:AX168" si="170">SUM(AY142:BE142)</f>
        <v>0</v>
      </c>
      <c r="AY142" s="111"/>
      <c r="AZ142" s="111"/>
      <c r="BA142" s="111"/>
      <c r="BB142" s="111"/>
      <c r="BC142" s="111"/>
      <c r="BD142" s="111"/>
      <c r="BE142" s="363"/>
      <c r="BF142" s="272" t="s">
        <v>459</v>
      </c>
      <c r="BG142" s="212"/>
    </row>
    <row r="143" spans="1:59" s="210" customFormat="1" ht="24" x14ac:dyDescent="0.2">
      <c r="A143" s="167"/>
      <c r="B143" s="129"/>
      <c r="C143" s="156"/>
      <c r="D143" s="157"/>
      <c r="E143" s="106" t="s">
        <v>338</v>
      </c>
      <c r="F143" s="107">
        <f t="shared" si="159"/>
        <v>102075</v>
      </c>
      <c r="G143" s="107">
        <f t="shared" si="160"/>
        <v>102075</v>
      </c>
      <c r="H143" s="108">
        <v>102075</v>
      </c>
      <c r="I143" s="124">
        <f t="shared" si="161"/>
        <v>102075</v>
      </c>
      <c r="J143" s="124">
        <f t="shared" si="162"/>
        <v>0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465"/>
      <c r="U143" s="124"/>
      <c r="V143" s="124"/>
      <c r="W143" s="124">
        <v>0</v>
      </c>
      <c r="X143" s="124">
        <f t="shared" si="163"/>
        <v>0</v>
      </c>
      <c r="Y143" s="124">
        <f t="shared" si="164"/>
        <v>0</v>
      </c>
      <c r="Z143" s="124"/>
      <c r="AA143" s="124"/>
      <c r="AB143" s="124"/>
      <c r="AC143" s="124"/>
      <c r="AD143" s="124"/>
      <c r="AE143" s="124"/>
      <c r="AF143" s="124">
        <v>0</v>
      </c>
      <c r="AG143" s="136">
        <f t="shared" si="165"/>
        <v>0</v>
      </c>
      <c r="AH143" s="136">
        <f t="shared" si="166"/>
        <v>0</v>
      </c>
      <c r="AI143" s="136"/>
      <c r="AJ143" s="136"/>
      <c r="AK143" s="136"/>
      <c r="AL143" s="136"/>
      <c r="AM143" s="136"/>
      <c r="AN143" s="481"/>
      <c r="AO143" s="136"/>
      <c r="AP143" s="136">
        <v>0</v>
      </c>
      <c r="AQ143" s="136">
        <f t="shared" si="167"/>
        <v>0</v>
      </c>
      <c r="AR143" s="136">
        <f t="shared" si="168"/>
        <v>0</v>
      </c>
      <c r="AS143" s="136"/>
      <c r="AT143" s="136"/>
      <c r="AU143" s="136"/>
      <c r="AV143" s="136"/>
      <c r="AW143" s="124">
        <f t="shared" si="169"/>
        <v>0</v>
      </c>
      <c r="AX143" s="124">
        <f t="shared" si="170"/>
        <v>0</v>
      </c>
      <c r="AY143" s="124"/>
      <c r="AZ143" s="124"/>
      <c r="BA143" s="124"/>
      <c r="BB143" s="124"/>
      <c r="BC143" s="124"/>
      <c r="BD143" s="124"/>
      <c r="BE143" s="361"/>
      <c r="BF143" s="271" t="s">
        <v>460</v>
      </c>
      <c r="BG143" s="116" t="s">
        <v>610</v>
      </c>
    </row>
    <row r="144" spans="1:59" ht="24" x14ac:dyDescent="0.2">
      <c r="A144" s="167"/>
      <c r="B144" s="129"/>
      <c r="C144" s="156"/>
      <c r="D144" s="157"/>
      <c r="E144" s="224" t="s">
        <v>279</v>
      </c>
      <c r="F144" s="107">
        <f t="shared" si="159"/>
        <v>50000</v>
      </c>
      <c r="G144" s="107">
        <f t="shared" si="160"/>
        <v>50000</v>
      </c>
      <c r="H144" s="108">
        <v>50000</v>
      </c>
      <c r="I144" s="124">
        <f t="shared" si="161"/>
        <v>50000</v>
      </c>
      <c r="J144" s="124">
        <f t="shared" si="162"/>
        <v>0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465"/>
      <c r="U144" s="124"/>
      <c r="V144" s="124"/>
      <c r="W144" s="124">
        <v>0</v>
      </c>
      <c r="X144" s="124">
        <f t="shared" si="163"/>
        <v>0</v>
      </c>
      <c r="Y144" s="124">
        <f t="shared" si="164"/>
        <v>0</v>
      </c>
      <c r="Z144" s="124"/>
      <c r="AA144" s="124"/>
      <c r="AB144" s="124"/>
      <c r="AC144" s="124"/>
      <c r="AD144" s="124"/>
      <c r="AE144" s="124"/>
      <c r="AF144" s="124">
        <v>0</v>
      </c>
      <c r="AG144" s="136">
        <f t="shared" si="165"/>
        <v>0</v>
      </c>
      <c r="AH144" s="136">
        <f t="shared" si="166"/>
        <v>0</v>
      </c>
      <c r="AI144" s="136"/>
      <c r="AJ144" s="136"/>
      <c r="AK144" s="136"/>
      <c r="AL144" s="136"/>
      <c r="AM144" s="136"/>
      <c r="AN144" s="481"/>
      <c r="AO144" s="136"/>
      <c r="AP144" s="136">
        <v>0</v>
      </c>
      <c r="AQ144" s="136">
        <f t="shared" si="167"/>
        <v>0</v>
      </c>
      <c r="AR144" s="136">
        <f t="shared" si="168"/>
        <v>0</v>
      </c>
      <c r="AS144" s="136"/>
      <c r="AT144" s="136"/>
      <c r="AU144" s="136"/>
      <c r="AV144" s="136"/>
      <c r="AW144" s="124">
        <f t="shared" si="169"/>
        <v>0</v>
      </c>
      <c r="AX144" s="124">
        <f t="shared" si="170"/>
        <v>0</v>
      </c>
      <c r="AY144" s="124"/>
      <c r="AZ144" s="124"/>
      <c r="BA144" s="124"/>
      <c r="BB144" s="124"/>
      <c r="BC144" s="124"/>
      <c r="BD144" s="124"/>
      <c r="BE144" s="361"/>
      <c r="BF144" s="271" t="s">
        <v>461</v>
      </c>
      <c r="BG144" s="213" t="s">
        <v>602</v>
      </c>
    </row>
    <row r="145" spans="1:59" s="210" customFormat="1" ht="36" x14ac:dyDescent="0.2">
      <c r="A145" s="167"/>
      <c r="B145" s="127"/>
      <c r="C145" s="208"/>
      <c r="D145" s="209"/>
      <c r="E145" s="18" t="s">
        <v>334</v>
      </c>
      <c r="F145" s="94">
        <f t="shared" si="159"/>
        <v>553000</v>
      </c>
      <c r="G145" s="94">
        <f t="shared" si="160"/>
        <v>546564</v>
      </c>
      <c r="H145" s="95">
        <v>553000</v>
      </c>
      <c r="I145" s="95">
        <f t="shared" si="161"/>
        <v>546564</v>
      </c>
      <c r="J145" s="95">
        <f t="shared" si="162"/>
        <v>-6436</v>
      </c>
      <c r="K145" s="95"/>
      <c r="L145" s="95"/>
      <c r="M145" s="95">
        <v>-6436</v>
      </c>
      <c r="N145" s="95"/>
      <c r="O145" s="95"/>
      <c r="P145" s="95"/>
      <c r="Q145" s="95"/>
      <c r="R145" s="95"/>
      <c r="S145" s="95"/>
      <c r="T145" s="464"/>
      <c r="U145" s="95"/>
      <c r="V145" s="95"/>
      <c r="W145" s="124">
        <v>0</v>
      </c>
      <c r="X145" s="124">
        <f t="shared" si="163"/>
        <v>0</v>
      </c>
      <c r="Y145" s="124">
        <f t="shared" si="164"/>
        <v>0</v>
      </c>
      <c r="Z145" s="124"/>
      <c r="AA145" s="124"/>
      <c r="AB145" s="124"/>
      <c r="AC145" s="124"/>
      <c r="AD145" s="124"/>
      <c r="AE145" s="124"/>
      <c r="AF145" s="124">
        <v>0</v>
      </c>
      <c r="AG145" s="136">
        <f t="shared" si="165"/>
        <v>0</v>
      </c>
      <c r="AH145" s="136">
        <f t="shared" si="166"/>
        <v>0</v>
      </c>
      <c r="AI145" s="136"/>
      <c r="AJ145" s="136"/>
      <c r="AK145" s="136"/>
      <c r="AL145" s="136"/>
      <c r="AM145" s="136"/>
      <c r="AN145" s="481"/>
      <c r="AO145" s="136"/>
      <c r="AP145" s="136">
        <v>0</v>
      </c>
      <c r="AQ145" s="136">
        <f t="shared" si="167"/>
        <v>0</v>
      </c>
      <c r="AR145" s="136">
        <f t="shared" si="168"/>
        <v>0</v>
      </c>
      <c r="AS145" s="136"/>
      <c r="AT145" s="136"/>
      <c r="AU145" s="136"/>
      <c r="AV145" s="136"/>
      <c r="AW145" s="124">
        <f t="shared" si="169"/>
        <v>0</v>
      </c>
      <c r="AX145" s="124">
        <f t="shared" si="170"/>
        <v>0</v>
      </c>
      <c r="AY145" s="124"/>
      <c r="AZ145" s="124"/>
      <c r="BA145" s="124"/>
      <c r="BB145" s="124"/>
      <c r="BC145" s="124"/>
      <c r="BD145" s="124"/>
      <c r="BE145" s="361"/>
      <c r="BF145" s="271" t="s">
        <v>462</v>
      </c>
      <c r="BG145" s="213" t="s">
        <v>591</v>
      </c>
    </row>
    <row r="146" spans="1:59" s="210" customFormat="1" ht="24" x14ac:dyDescent="0.2">
      <c r="A146" s="167"/>
      <c r="B146" s="129"/>
      <c r="C146" s="156"/>
      <c r="D146" s="157"/>
      <c r="E146" s="106" t="s">
        <v>251</v>
      </c>
      <c r="F146" s="107">
        <f t="shared" si="159"/>
        <v>2800</v>
      </c>
      <c r="G146" s="107">
        <f t="shared" si="160"/>
        <v>4505</v>
      </c>
      <c r="H146" s="108">
        <v>2800</v>
      </c>
      <c r="I146" s="108">
        <f t="shared" si="161"/>
        <v>4505</v>
      </c>
      <c r="J146" s="108">
        <f t="shared" si="162"/>
        <v>1705</v>
      </c>
      <c r="K146" s="108"/>
      <c r="L146" s="108"/>
      <c r="M146" s="108"/>
      <c r="N146" s="108"/>
      <c r="O146" s="108"/>
      <c r="P146" s="108"/>
      <c r="Q146" s="108">
        <v>1705</v>
      </c>
      <c r="R146" s="108"/>
      <c r="S146" s="108"/>
      <c r="T146" s="463"/>
      <c r="U146" s="108"/>
      <c r="V146" s="108"/>
      <c r="W146" s="108">
        <v>0</v>
      </c>
      <c r="X146" s="108">
        <f t="shared" si="163"/>
        <v>0</v>
      </c>
      <c r="Y146" s="108">
        <f t="shared" si="164"/>
        <v>0</v>
      </c>
      <c r="Z146" s="108"/>
      <c r="AA146" s="108"/>
      <c r="AB146" s="108"/>
      <c r="AC146" s="108"/>
      <c r="AD146" s="108"/>
      <c r="AE146" s="108"/>
      <c r="AF146" s="108">
        <v>0</v>
      </c>
      <c r="AG146" s="133">
        <f t="shared" si="165"/>
        <v>0</v>
      </c>
      <c r="AH146" s="133">
        <f t="shared" si="166"/>
        <v>0</v>
      </c>
      <c r="AI146" s="133"/>
      <c r="AJ146" s="133"/>
      <c r="AK146" s="133"/>
      <c r="AL146" s="133"/>
      <c r="AM146" s="133"/>
      <c r="AN146" s="479"/>
      <c r="AO146" s="133"/>
      <c r="AP146" s="133">
        <v>0</v>
      </c>
      <c r="AQ146" s="136">
        <f t="shared" si="167"/>
        <v>0</v>
      </c>
      <c r="AR146" s="136">
        <f t="shared" si="168"/>
        <v>0</v>
      </c>
      <c r="AS146" s="136"/>
      <c r="AT146" s="136"/>
      <c r="AU146" s="136"/>
      <c r="AV146" s="136"/>
      <c r="AW146" s="124">
        <f t="shared" si="169"/>
        <v>0</v>
      </c>
      <c r="AX146" s="124">
        <f t="shared" si="170"/>
        <v>0</v>
      </c>
      <c r="AY146" s="124"/>
      <c r="AZ146" s="124"/>
      <c r="BA146" s="124"/>
      <c r="BB146" s="124"/>
      <c r="BC146" s="124"/>
      <c r="BD146" s="124"/>
      <c r="BE146" s="361"/>
      <c r="BF146" s="271" t="s">
        <v>463</v>
      </c>
      <c r="BG146" s="116" t="s">
        <v>610</v>
      </c>
    </row>
    <row r="147" spans="1:59" ht="36" x14ac:dyDescent="0.2">
      <c r="A147" s="167"/>
      <c r="B147" s="129"/>
      <c r="C147" s="156"/>
      <c r="D147" s="157"/>
      <c r="E147" s="223" t="s">
        <v>335</v>
      </c>
      <c r="F147" s="107">
        <f t="shared" si="159"/>
        <v>3897885</v>
      </c>
      <c r="G147" s="107">
        <f t="shared" si="160"/>
        <v>3928614</v>
      </c>
      <c r="H147" s="108">
        <v>3897885</v>
      </c>
      <c r="I147" s="124">
        <f t="shared" si="161"/>
        <v>3928614</v>
      </c>
      <c r="J147" s="124">
        <f t="shared" si="162"/>
        <v>30729</v>
      </c>
      <c r="K147" s="124"/>
      <c r="L147" s="124"/>
      <c r="M147" s="124">
        <v>6436</v>
      </c>
      <c r="N147" s="124"/>
      <c r="O147" s="124"/>
      <c r="P147" s="124">
        <v>29169</v>
      </c>
      <c r="Q147" s="124">
        <v>-5506</v>
      </c>
      <c r="R147" s="124"/>
      <c r="S147" s="124">
        <v>630</v>
      </c>
      <c r="T147" s="465"/>
      <c r="U147" s="124"/>
      <c r="V147" s="124"/>
      <c r="W147" s="124">
        <v>0</v>
      </c>
      <c r="X147" s="124">
        <f t="shared" si="163"/>
        <v>0</v>
      </c>
      <c r="Y147" s="124">
        <f t="shared" si="164"/>
        <v>0</v>
      </c>
      <c r="Z147" s="124"/>
      <c r="AA147" s="124"/>
      <c r="AB147" s="124"/>
      <c r="AC147" s="124"/>
      <c r="AD147" s="124"/>
      <c r="AE147" s="124"/>
      <c r="AF147" s="124">
        <v>0</v>
      </c>
      <c r="AG147" s="136">
        <f t="shared" si="165"/>
        <v>0</v>
      </c>
      <c r="AH147" s="136">
        <f t="shared" si="166"/>
        <v>0</v>
      </c>
      <c r="AI147" s="136"/>
      <c r="AJ147" s="136"/>
      <c r="AK147" s="136"/>
      <c r="AL147" s="136"/>
      <c r="AM147" s="136"/>
      <c r="AN147" s="481"/>
      <c r="AO147" s="136"/>
      <c r="AP147" s="136">
        <v>0</v>
      </c>
      <c r="AQ147" s="136">
        <f t="shared" si="167"/>
        <v>0</v>
      </c>
      <c r="AR147" s="136">
        <f t="shared" si="168"/>
        <v>0</v>
      </c>
      <c r="AS147" s="136"/>
      <c r="AT147" s="136"/>
      <c r="AU147" s="136"/>
      <c r="AV147" s="136"/>
      <c r="AW147" s="124">
        <f t="shared" si="169"/>
        <v>0</v>
      </c>
      <c r="AX147" s="124">
        <f t="shared" si="170"/>
        <v>0</v>
      </c>
      <c r="AY147" s="124"/>
      <c r="AZ147" s="124"/>
      <c r="BA147" s="124"/>
      <c r="BB147" s="124"/>
      <c r="BC147" s="124"/>
      <c r="BD147" s="124"/>
      <c r="BE147" s="361"/>
      <c r="BF147" s="271" t="s">
        <v>464</v>
      </c>
      <c r="BG147" s="213" t="s">
        <v>591</v>
      </c>
    </row>
    <row r="148" spans="1:59" ht="36" x14ac:dyDescent="0.2">
      <c r="A148" s="167"/>
      <c r="B148" s="127"/>
      <c r="C148" s="208"/>
      <c r="D148" s="209"/>
      <c r="E148" s="224" t="s">
        <v>336</v>
      </c>
      <c r="F148" s="125">
        <f t="shared" si="159"/>
        <v>126074</v>
      </c>
      <c r="G148" s="125">
        <f t="shared" si="160"/>
        <v>147711</v>
      </c>
      <c r="H148" s="124">
        <v>126074</v>
      </c>
      <c r="I148" s="124">
        <f t="shared" si="161"/>
        <v>147711</v>
      </c>
      <c r="J148" s="124">
        <f t="shared" si="162"/>
        <v>21637</v>
      </c>
      <c r="K148" s="124"/>
      <c r="L148" s="124">
        <v>1</v>
      </c>
      <c r="M148" s="124">
        <v>767</v>
      </c>
      <c r="N148" s="124"/>
      <c r="O148" s="124"/>
      <c r="P148" s="124"/>
      <c r="Q148" s="124">
        <v>20869</v>
      </c>
      <c r="R148" s="124"/>
      <c r="S148" s="124"/>
      <c r="T148" s="465"/>
      <c r="U148" s="124"/>
      <c r="V148" s="124"/>
      <c r="W148" s="108">
        <v>0</v>
      </c>
      <c r="X148" s="108">
        <f t="shared" si="163"/>
        <v>0</v>
      </c>
      <c r="Y148" s="108">
        <f t="shared" si="164"/>
        <v>0</v>
      </c>
      <c r="Z148" s="108"/>
      <c r="AA148" s="108"/>
      <c r="AB148" s="108"/>
      <c r="AC148" s="108"/>
      <c r="AD148" s="108"/>
      <c r="AE148" s="108"/>
      <c r="AF148" s="108">
        <v>0</v>
      </c>
      <c r="AG148" s="133">
        <f t="shared" si="165"/>
        <v>0</v>
      </c>
      <c r="AH148" s="133">
        <f t="shared" si="166"/>
        <v>0</v>
      </c>
      <c r="AI148" s="133"/>
      <c r="AJ148" s="133"/>
      <c r="AK148" s="133"/>
      <c r="AL148" s="133"/>
      <c r="AM148" s="133"/>
      <c r="AN148" s="479"/>
      <c r="AO148" s="133"/>
      <c r="AP148" s="133">
        <v>0</v>
      </c>
      <c r="AQ148" s="133">
        <f t="shared" si="167"/>
        <v>0</v>
      </c>
      <c r="AR148" s="133">
        <f t="shared" si="168"/>
        <v>0</v>
      </c>
      <c r="AS148" s="133"/>
      <c r="AT148" s="133"/>
      <c r="AU148" s="133"/>
      <c r="AV148" s="133"/>
      <c r="AW148" s="108">
        <f t="shared" si="169"/>
        <v>0</v>
      </c>
      <c r="AX148" s="108">
        <f t="shared" si="170"/>
        <v>0</v>
      </c>
      <c r="AY148" s="108"/>
      <c r="AZ148" s="108"/>
      <c r="BA148" s="108"/>
      <c r="BB148" s="108"/>
      <c r="BC148" s="108"/>
      <c r="BD148" s="108"/>
      <c r="BE148" s="359"/>
      <c r="BF148" s="109" t="s">
        <v>465</v>
      </c>
      <c r="BG148" s="213" t="s">
        <v>591</v>
      </c>
    </row>
    <row r="149" spans="1:59" ht="48" x14ac:dyDescent="0.2">
      <c r="A149" s="167"/>
      <c r="B149" s="127"/>
      <c r="C149" s="208"/>
      <c r="D149" s="209"/>
      <c r="E149" s="222" t="s">
        <v>250</v>
      </c>
      <c r="F149" s="107">
        <f t="shared" si="159"/>
        <v>157132</v>
      </c>
      <c r="G149" s="107">
        <f t="shared" si="160"/>
        <v>147542</v>
      </c>
      <c r="H149" s="108">
        <v>157132</v>
      </c>
      <c r="I149" s="108">
        <f t="shared" si="161"/>
        <v>147542</v>
      </c>
      <c r="J149" s="108">
        <f t="shared" si="162"/>
        <v>-9590</v>
      </c>
      <c r="K149" s="108"/>
      <c r="L149" s="108"/>
      <c r="M149" s="108">
        <v>-9590</v>
      </c>
      <c r="N149" s="108"/>
      <c r="O149" s="108"/>
      <c r="P149" s="108"/>
      <c r="Q149" s="108"/>
      <c r="R149" s="108"/>
      <c r="S149" s="108"/>
      <c r="T149" s="463"/>
      <c r="U149" s="108"/>
      <c r="V149" s="108"/>
      <c r="W149" s="108">
        <v>0</v>
      </c>
      <c r="X149" s="108">
        <f t="shared" si="163"/>
        <v>0</v>
      </c>
      <c r="Y149" s="108">
        <f t="shared" si="164"/>
        <v>0</v>
      </c>
      <c r="Z149" s="108"/>
      <c r="AA149" s="108"/>
      <c r="AB149" s="108"/>
      <c r="AC149" s="108"/>
      <c r="AD149" s="108"/>
      <c r="AE149" s="108"/>
      <c r="AF149" s="108">
        <v>0</v>
      </c>
      <c r="AG149" s="133">
        <f t="shared" si="165"/>
        <v>0</v>
      </c>
      <c r="AH149" s="133">
        <f t="shared" si="166"/>
        <v>0</v>
      </c>
      <c r="AI149" s="133"/>
      <c r="AJ149" s="133"/>
      <c r="AK149" s="133"/>
      <c r="AL149" s="133"/>
      <c r="AM149" s="133"/>
      <c r="AN149" s="479"/>
      <c r="AO149" s="133"/>
      <c r="AP149" s="133">
        <v>0</v>
      </c>
      <c r="AQ149" s="133">
        <f t="shared" si="167"/>
        <v>0</v>
      </c>
      <c r="AR149" s="133">
        <f t="shared" si="168"/>
        <v>0</v>
      </c>
      <c r="AS149" s="133"/>
      <c r="AT149" s="133"/>
      <c r="AU149" s="133"/>
      <c r="AV149" s="133"/>
      <c r="AW149" s="108">
        <f t="shared" si="169"/>
        <v>0</v>
      </c>
      <c r="AX149" s="108">
        <f t="shared" si="170"/>
        <v>0</v>
      </c>
      <c r="AY149" s="108"/>
      <c r="AZ149" s="108"/>
      <c r="BA149" s="108"/>
      <c r="BB149" s="108"/>
      <c r="BC149" s="108"/>
      <c r="BD149" s="108"/>
      <c r="BE149" s="359"/>
      <c r="BF149" s="109" t="s">
        <v>466</v>
      </c>
      <c r="BG149" s="116" t="s">
        <v>610</v>
      </c>
    </row>
    <row r="150" spans="1:59" s="249" customFormat="1" ht="36" x14ac:dyDescent="0.2">
      <c r="A150" s="167"/>
      <c r="B150" s="127"/>
      <c r="C150" s="247"/>
      <c r="D150" s="248"/>
      <c r="E150" s="106" t="s">
        <v>393</v>
      </c>
      <c r="F150" s="107">
        <f>H150+W150+AF150+AO150+AP150+AV150</f>
        <v>1659</v>
      </c>
      <c r="G150" s="107">
        <f t="shared" si="160"/>
        <v>1661</v>
      </c>
      <c r="H150" s="108">
        <v>1659</v>
      </c>
      <c r="I150" s="108">
        <f t="shared" si="161"/>
        <v>1661</v>
      </c>
      <c r="J150" s="108">
        <f t="shared" si="162"/>
        <v>2</v>
      </c>
      <c r="K150" s="108">
        <v>2</v>
      </c>
      <c r="L150" s="108"/>
      <c r="M150" s="108"/>
      <c r="N150" s="108"/>
      <c r="O150" s="108"/>
      <c r="P150" s="108"/>
      <c r="Q150" s="108"/>
      <c r="R150" s="108"/>
      <c r="S150" s="108"/>
      <c r="T150" s="463"/>
      <c r="U150" s="108"/>
      <c r="V150" s="108"/>
      <c r="W150" s="108">
        <v>0</v>
      </c>
      <c r="X150" s="108">
        <f t="shared" si="163"/>
        <v>0</v>
      </c>
      <c r="Y150" s="108">
        <f t="shared" si="164"/>
        <v>0</v>
      </c>
      <c r="Z150" s="108"/>
      <c r="AA150" s="108"/>
      <c r="AB150" s="108"/>
      <c r="AC150" s="108"/>
      <c r="AD150" s="108"/>
      <c r="AE150" s="108"/>
      <c r="AF150" s="108">
        <v>0</v>
      </c>
      <c r="AG150" s="133">
        <f t="shared" si="165"/>
        <v>0</v>
      </c>
      <c r="AH150" s="133">
        <f t="shared" si="166"/>
        <v>0</v>
      </c>
      <c r="AI150" s="133"/>
      <c r="AJ150" s="133"/>
      <c r="AK150" s="133"/>
      <c r="AL150" s="133"/>
      <c r="AM150" s="133"/>
      <c r="AN150" s="479"/>
      <c r="AO150" s="133"/>
      <c r="AP150" s="133">
        <v>0</v>
      </c>
      <c r="AQ150" s="133">
        <f t="shared" si="167"/>
        <v>0</v>
      </c>
      <c r="AR150" s="133">
        <f t="shared" si="168"/>
        <v>0</v>
      </c>
      <c r="AS150" s="133"/>
      <c r="AT150" s="133"/>
      <c r="AU150" s="133"/>
      <c r="AV150" s="133"/>
      <c r="AW150" s="108">
        <f t="shared" si="169"/>
        <v>0</v>
      </c>
      <c r="AX150" s="108">
        <f t="shared" si="170"/>
        <v>0</v>
      </c>
      <c r="AY150" s="108"/>
      <c r="AZ150" s="108"/>
      <c r="BA150" s="108"/>
      <c r="BB150" s="108"/>
      <c r="BC150" s="108"/>
      <c r="BD150" s="108"/>
      <c r="BE150" s="359"/>
      <c r="BF150" s="109" t="s">
        <v>501</v>
      </c>
      <c r="BG150" s="116"/>
    </row>
    <row r="151" spans="1:59" s="414" customFormat="1" ht="12.75" x14ac:dyDescent="0.2">
      <c r="A151" s="167"/>
      <c r="B151" s="127"/>
      <c r="C151" s="412"/>
      <c r="D151" s="413"/>
      <c r="E151" s="106" t="s">
        <v>710</v>
      </c>
      <c r="F151" s="107">
        <f>H151+W151+AF151+AO151+AP151+AV151</f>
        <v>0</v>
      </c>
      <c r="G151" s="107">
        <f t="shared" si="160"/>
        <v>3500</v>
      </c>
      <c r="H151" s="108"/>
      <c r="I151" s="108">
        <f>H151+J151</f>
        <v>3500</v>
      </c>
      <c r="J151" s="108">
        <f t="shared" si="162"/>
        <v>3500</v>
      </c>
      <c r="K151" s="108"/>
      <c r="L151" s="108"/>
      <c r="M151" s="108"/>
      <c r="N151" s="108">
        <v>3500</v>
      </c>
      <c r="O151" s="108"/>
      <c r="P151" s="108"/>
      <c r="Q151" s="108"/>
      <c r="R151" s="108"/>
      <c r="S151" s="108"/>
      <c r="T151" s="463"/>
      <c r="U151" s="108"/>
      <c r="V151" s="108"/>
      <c r="W151" s="108"/>
      <c r="X151" s="108">
        <f t="shared" ref="X151" si="171">W151+Y151</f>
        <v>0</v>
      </c>
      <c r="Y151" s="108">
        <f t="shared" ref="Y151" si="172">SUM(Z151:AE151)</f>
        <v>0</v>
      </c>
      <c r="Z151" s="108"/>
      <c r="AA151" s="108"/>
      <c r="AB151" s="108"/>
      <c r="AC151" s="108"/>
      <c r="AD151" s="108"/>
      <c r="AE151" s="108"/>
      <c r="AF151" s="108"/>
      <c r="AG151" s="133">
        <f t="shared" ref="AG151" si="173">AH151+AF151</f>
        <v>0</v>
      </c>
      <c r="AH151" s="133">
        <f t="shared" ref="AH151" si="174">SUM(AI151:AN151)</f>
        <v>0</v>
      </c>
      <c r="AI151" s="133"/>
      <c r="AJ151" s="133"/>
      <c r="AK151" s="133"/>
      <c r="AL151" s="133"/>
      <c r="AM151" s="133"/>
      <c r="AN151" s="479"/>
      <c r="AO151" s="133"/>
      <c r="AP151" s="133"/>
      <c r="AQ151" s="133">
        <f t="shared" ref="AQ151" si="175">AR151+AP151</f>
        <v>0</v>
      </c>
      <c r="AR151" s="133">
        <f t="shared" ref="AR151" si="176">SUM(AS151:AU151)</f>
        <v>0</v>
      </c>
      <c r="AS151" s="133"/>
      <c r="AT151" s="133"/>
      <c r="AU151" s="133"/>
      <c r="AV151" s="133"/>
      <c r="AW151" s="108">
        <f t="shared" ref="AW151" si="177">AX151+AV151</f>
        <v>0</v>
      </c>
      <c r="AX151" s="108">
        <f t="shared" si="170"/>
        <v>0</v>
      </c>
      <c r="AY151" s="108"/>
      <c r="AZ151" s="108"/>
      <c r="BA151" s="108"/>
      <c r="BB151" s="108"/>
      <c r="BC151" s="108"/>
      <c r="BD151" s="108"/>
      <c r="BE151" s="359"/>
      <c r="BF151" s="109" t="s">
        <v>711</v>
      </c>
      <c r="BG151" s="116"/>
    </row>
    <row r="152" spans="1:59" ht="24" x14ac:dyDescent="0.2">
      <c r="A152" s="167">
        <v>90000051665</v>
      </c>
      <c r="B152" s="127"/>
      <c r="C152" s="533" t="s">
        <v>293</v>
      </c>
      <c r="D152" s="534"/>
      <c r="E152" s="106" t="s">
        <v>261</v>
      </c>
      <c r="F152" s="107">
        <f t="shared" si="159"/>
        <v>656267</v>
      </c>
      <c r="G152" s="107">
        <f t="shared" si="160"/>
        <v>668695</v>
      </c>
      <c r="H152" s="108">
        <v>436077</v>
      </c>
      <c r="I152" s="108">
        <f t="shared" si="161"/>
        <v>441998</v>
      </c>
      <c r="J152" s="108">
        <f t="shared" si="162"/>
        <v>5921</v>
      </c>
      <c r="K152" s="108">
        <v>-3326</v>
      </c>
      <c r="L152" s="108"/>
      <c r="M152" s="108"/>
      <c r="N152" s="108"/>
      <c r="O152" s="108"/>
      <c r="P152" s="108"/>
      <c r="Q152" s="108"/>
      <c r="R152" s="108"/>
      <c r="S152" s="108"/>
      <c r="T152" s="463">
        <v>9247</v>
      </c>
      <c r="U152" s="108"/>
      <c r="V152" s="108"/>
      <c r="W152" s="108">
        <v>193277</v>
      </c>
      <c r="X152" s="108">
        <f t="shared" si="163"/>
        <v>196986</v>
      </c>
      <c r="Y152" s="108">
        <f t="shared" si="164"/>
        <v>3709</v>
      </c>
      <c r="Z152" s="108"/>
      <c r="AA152" s="108">
        <v>3709</v>
      </c>
      <c r="AB152" s="108"/>
      <c r="AC152" s="108"/>
      <c r="AD152" s="108"/>
      <c r="AE152" s="108"/>
      <c r="AF152" s="108">
        <v>26913</v>
      </c>
      <c r="AG152" s="133">
        <f t="shared" si="165"/>
        <v>29711</v>
      </c>
      <c r="AH152" s="133">
        <f t="shared" si="166"/>
        <v>2798</v>
      </c>
      <c r="AI152" s="133">
        <v>2798</v>
      </c>
      <c r="AJ152" s="133"/>
      <c r="AK152" s="133"/>
      <c r="AL152" s="133"/>
      <c r="AM152" s="133"/>
      <c r="AN152" s="479"/>
      <c r="AO152" s="133"/>
      <c r="AP152" s="133">
        <v>0</v>
      </c>
      <c r="AQ152" s="133">
        <f t="shared" si="167"/>
        <v>0</v>
      </c>
      <c r="AR152" s="133">
        <f t="shared" si="168"/>
        <v>0</v>
      </c>
      <c r="AS152" s="133"/>
      <c r="AT152" s="133"/>
      <c r="AU152" s="133"/>
      <c r="AV152" s="133"/>
      <c r="AW152" s="108">
        <f t="shared" si="169"/>
        <v>0</v>
      </c>
      <c r="AX152" s="108">
        <f t="shared" si="170"/>
        <v>0</v>
      </c>
      <c r="AY152" s="108"/>
      <c r="AZ152" s="108"/>
      <c r="BA152" s="108"/>
      <c r="BB152" s="108"/>
      <c r="BC152" s="108"/>
      <c r="BD152" s="108"/>
      <c r="BE152" s="359"/>
      <c r="BF152" s="109" t="s">
        <v>502</v>
      </c>
      <c r="BG152" s="116"/>
    </row>
    <row r="153" spans="1:59" ht="12.75" x14ac:dyDescent="0.2">
      <c r="A153" s="167"/>
      <c r="B153" s="127"/>
      <c r="C153" s="172"/>
      <c r="D153" s="173"/>
      <c r="E153" s="106" t="s">
        <v>283</v>
      </c>
      <c r="F153" s="107">
        <f t="shared" si="159"/>
        <v>61211</v>
      </c>
      <c r="G153" s="107">
        <f t="shared" si="160"/>
        <v>61211</v>
      </c>
      <c r="H153" s="108">
        <v>41700</v>
      </c>
      <c r="I153" s="108">
        <f t="shared" si="161"/>
        <v>41700</v>
      </c>
      <c r="J153" s="108">
        <f t="shared" si="162"/>
        <v>0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463"/>
      <c r="U153" s="108"/>
      <c r="V153" s="108"/>
      <c r="W153" s="108">
        <v>19511</v>
      </c>
      <c r="X153" s="108">
        <f t="shared" si="163"/>
        <v>19511</v>
      </c>
      <c r="Y153" s="108">
        <f t="shared" si="164"/>
        <v>0</v>
      </c>
      <c r="Z153" s="108"/>
      <c r="AA153" s="108"/>
      <c r="AB153" s="108"/>
      <c r="AC153" s="108"/>
      <c r="AD153" s="108"/>
      <c r="AE153" s="108"/>
      <c r="AF153" s="108">
        <v>0</v>
      </c>
      <c r="AG153" s="133">
        <f t="shared" si="165"/>
        <v>0</v>
      </c>
      <c r="AH153" s="133">
        <f t="shared" si="166"/>
        <v>0</v>
      </c>
      <c r="AI153" s="133"/>
      <c r="AJ153" s="133"/>
      <c r="AK153" s="133"/>
      <c r="AL153" s="133"/>
      <c r="AM153" s="133"/>
      <c r="AN153" s="479"/>
      <c r="AO153" s="133"/>
      <c r="AP153" s="133">
        <v>0</v>
      </c>
      <c r="AQ153" s="133">
        <f t="shared" si="167"/>
        <v>0</v>
      </c>
      <c r="AR153" s="133">
        <f t="shared" si="168"/>
        <v>0</v>
      </c>
      <c r="AS153" s="133"/>
      <c r="AT153" s="133"/>
      <c r="AU153" s="133"/>
      <c r="AV153" s="133"/>
      <c r="AW153" s="108">
        <f t="shared" si="169"/>
        <v>0</v>
      </c>
      <c r="AX153" s="108">
        <f t="shared" si="170"/>
        <v>0</v>
      </c>
      <c r="AY153" s="108"/>
      <c r="AZ153" s="108"/>
      <c r="BA153" s="108"/>
      <c r="BB153" s="108"/>
      <c r="BC153" s="108"/>
      <c r="BD153" s="108"/>
      <c r="BE153" s="359"/>
      <c r="BF153" s="109" t="s">
        <v>503</v>
      </c>
      <c r="BG153" s="116"/>
    </row>
    <row r="154" spans="1:59" s="525" customFormat="1" ht="24" x14ac:dyDescent="0.2">
      <c r="A154" s="167"/>
      <c r="B154" s="127"/>
      <c r="C154" s="523"/>
      <c r="D154" s="524"/>
      <c r="E154" s="106" t="s">
        <v>759</v>
      </c>
      <c r="F154" s="107">
        <f t="shared" si="159"/>
        <v>0</v>
      </c>
      <c r="G154" s="107">
        <f t="shared" si="160"/>
        <v>3543</v>
      </c>
      <c r="H154" s="108"/>
      <c r="I154" s="108">
        <f t="shared" si="161"/>
        <v>3543</v>
      </c>
      <c r="J154" s="108">
        <f t="shared" si="162"/>
        <v>3543</v>
      </c>
      <c r="K154" s="108"/>
      <c r="L154" s="108"/>
      <c r="M154" s="108"/>
      <c r="N154" s="108"/>
      <c r="O154" s="108"/>
      <c r="P154" s="108"/>
      <c r="Q154" s="108"/>
      <c r="R154" s="108"/>
      <c r="S154" s="108"/>
      <c r="T154" s="463">
        <v>3543</v>
      </c>
      <c r="U154" s="108"/>
      <c r="V154" s="108"/>
      <c r="W154" s="108"/>
      <c r="X154" s="108">
        <f t="shared" si="163"/>
        <v>0</v>
      </c>
      <c r="Y154" s="108">
        <f t="shared" si="164"/>
        <v>0</v>
      </c>
      <c r="Z154" s="108"/>
      <c r="AA154" s="108"/>
      <c r="AB154" s="108"/>
      <c r="AC154" s="108"/>
      <c r="AD154" s="108"/>
      <c r="AE154" s="108"/>
      <c r="AF154" s="108"/>
      <c r="AG154" s="133">
        <f t="shared" si="165"/>
        <v>0</v>
      </c>
      <c r="AH154" s="133">
        <f t="shared" si="166"/>
        <v>0</v>
      </c>
      <c r="AI154" s="133"/>
      <c r="AJ154" s="133"/>
      <c r="AK154" s="133"/>
      <c r="AL154" s="133"/>
      <c r="AM154" s="133"/>
      <c r="AN154" s="479"/>
      <c r="AO154" s="133"/>
      <c r="AP154" s="133"/>
      <c r="AQ154" s="133">
        <f t="shared" si="167"/>
        <v>0</v>
      </c>
      <c r="AR154" s="133">
        <f t="shared" si="168"/>
        <v>0</v>
      </c>
      <c r="AS154" s="133"/>
      <c r="AT154" s="133"/>
      <c r="AU154" s="133"/>
      <c r="AV154" s="133"/>
      <c r="AW154" s="108">
        <f t="shared" si="169"/>
        <v>0</v>
      </c>
      <c r="AX154" s="108">
        <f t="shared" si="170"/>
        <v>0</v>
      </c>
      <c r="AY154" s="108"/>
      <c r="AZ154" s="108"/>
      <c r="BA154" s="108"/>
      <c r="BB154" s="108"/>
      <c r="BC154" s="108"/>
      <c r="BD154" s="108"/>
      <c r="BE154" s="359"/>
      <c r="BF154" s="109" t="s">
        <v>758</v>
      </c>
      <c r="BG154" s="116"/>
    </row>
    <row r="155" spans="1:59" ht="24" x14ac:dyDescent="0.2">
      <c r="A155" s="167">
        <v>90000051561</v>
      </c>
      <c r="B155" s="127"/>
      <c r="C155" s="533" t="s">
        <v>364</v>
      </c>
      <c r="D155" s="534"/>
      <c r="E155" s="106" t="s">
        <v>261</v>
      </c>
      <c r="F155" s="107">
        <f t="shared" si="159"/>
        <v>569069</v>
      </c>
      <c r="G155" s="107">
        <f t="shared" si="160"/>
        <v>578553</v>
      </c>
      <c r="H155" s="108">
        <v>288829</v>
      </c>
      <c r="I155" s="108">
        <f t="shared" si="161"/>
        <v>289840</v>
      </c>
      <c r="J155" s="108">
        <f t="shared" si="162"/>
        <v>1011</v>
      </c>
      <c r="K155" s="108">
        <v>-4116</v>
      </c>
      <c r="L155" s="108"/>
      <c r="M155" s="108"/>
      <c r="N155" s="108"/>
      <c r="O155" s="108"/>
      <c r="P155" s="108"/>
      <c r="Q155" s="108"/>
      <c r="R155" s="108"/>
      <c r="S155" s="108"/>
      <c r="T155" s="463">
        <v>5127</v>
      </c>
      <c r="U155" s="108"/>
      <c r="V155" s="108"/>
      <c r="W155" s="108">
        <v>254305</v>
      </c>
      <c r="X155" s="108">
        <f t="shared" si="163"/>
        <v>259869</v>
      </c>
      <c r="Y155" s="108">
        <f t="shared" si="164"/>
        <v>5564</v>
      </c>
      <c r="Z155" s="108"/>
      <c r="AA155" s="108">
        <v>5564</v>
      </c>
      <c r="AB155" s="108"/>
      <c r="AC155" s="108"/>
      <c r="AD155" s="108"/>
      <c r="AE155" s="108"/>
      <c r="AF155" s="108">
        <v>24635</v>
      </c>
      <c r="AG155" s="133">
        <f t="shared" si="165"/>
        <v>27539</v>
      </c>
      <c r="AH155" s="133">
        <f t="shared" si="166"/>
        <v>2904</v>
      </c>
      <c r="AI155" s="133">
        <v>2904</v>
      </c>
      <c r="AJ155" s="133"/>
      <c r="AK155" s="133"/>
      <c r="AL155" s="133"/>
      <c r="AM155" s="133"/>
      <c r="AN155" s="479"/>
      <c r="AO155" s="133"/>
      <c r="AP155" s="133">
        <v>1300</v>
      </c>
      <c r="AQ155" s="133">
        <f t="shared" si="167"/>
        <v>1305</v>
      </c>
      <c r="AR155" s="133">
        <f t="shared" si="168"/>
        <v>5</v>
      </c>
      <c r="AS155" s="133">
        <v>5</v>
      </c>
      <c r="AT155" s="133"/>
      <c r="AU155" s="133"/>
      <c r="AV155" s="133"/>
      <c r="AW155" s="108">
        <f t="shared" si="169"/>
        <v>0</v>
      </c>
      <c r="AX155" s="108">
        <f t="shared" si="170"/>
        <v>0</v>
      </c>
      <c r="AY155" s="108"/>
      <c r="AZ155" s="108"/>
      <c r="BA155" s="108"/>
      <c r="BB155" s="108"/>
      <c r="BC155" s="108"/>
      <c r="BD155" s="108"/>
      <c r="BE155" s="359"/>
      <c r="BF155" s="109" t="s">
        <v>504</v>
      </c>
      <c r="BG155" s="116"/>
    </row>
    <row r="156" spans="1:59" ht="12.75" x14ac:dyDescent="0.2">
      <c r="A156" s="167"/>
      <c r="B156" s="127"/>
      <c r="C156" s="172"/>
      <c r="D156" s="173"/>
      <c r="E156" s="106" t="s">
        <v>283</v>
      </c>
      <c r="F156" s="107">
        <f t="shared" si="159"/>
        <v>78530</v>
      </c>
      <c r="G156" s="107">
        <f t="shared" si="160"/>
        <v>84011</v>
      </c>
      <c r="H156" s="108">
        <v>52688</v>
      </c>
      <c r="I156" s="108">
        <f t="shared" si="161"/>
        <v>52688</v>
      </c>
      <c r="J156" s="108">
        <f t="shared" si="162"/>
        <v>0</v>
      </c>
      <c r="K156" s="108"/>
      <c r="L156" s="108"/>
      <c r="M156" s="108"/>
      <c r="N156" s="108"/>
      <c r="O156" s="108"/>
      <c r="P156" s="108"/>
      <c r="Q156" s="108"/>
      <c r="R156" s="108"/>
      <c r="S156" s="108"/>
      <c r="T156" s="463"/>
      <c r="U156" s="108"/>
      <c r="V156" s="108"/>
      <c r="W156" s="108">
        <v>25842</v>
      </c>
      <c r="X156" s="108">
        <f t="shared" si="163"/>
        <v>31323</v>
      </c>
      <c r="Y156" s="108">
        <f t="shared" si="164"/>
        <v>5481</v>
      </c>
      <c r="Z156" s="108"/>
      <c r="AA156" s="108">
        <v>5481</v>
      </c>
      <c r="AB156" s="108"/>
      <c r="AC156" s="108"/>
      <c r="AD156" s="108"/>
      <c r="AE156" s="108"/>
      <c r="AF156" s="108">
        <v>0</v>
      </c>
      <c r="AG156" s="133">
        <f t="shared" si="165"/>
        <v>0</v>
      </c>
      <c r="AH156" s="133">
        <f t="shared" si="166"/>
        <v>0</v>
      </c>
      <c r="AI156" s="133"/>
      <c r="AJ156" s="133"/>
      <c r="AK156" s="133"/>
      <c r="AL156" s="133"/>
      <c r="AM156" s="133"/>
      <c r="AN156" s="479"/>
      <c r="AO156" s="133"/>
      <c r="AP156" s="133">
        <v>0</v>
      </c>
      <c r="AQ156" s="133">
        <f t="shared" si="167"/>
        <v>0</v>
      </c>
      <c r="AR156" s="133">
        <f t="shared" si="168"/>
        <v>0</v>
      </c>
      <c r="AS156" s="133"/>
      <c r="AT156" s="133"/>
      <c r="AU156" s="133"/>
      <c r="AV156" s="133"/>
      <c r="AW156" s="108">
        <f t="shared" si="169"/>
        <v>0</v>
      </c>
      <c r="AX156" s="108">
        <f t="shared" si="170"/>
        <v>0</v>
      </c>
      <c r="AY156" s="108"/>
      <c r="AZ156" s="108"/>
      <c r="BA156" s="108"/>
      <c r="BB156" s="108"/>
      <c r="BC156" s="108"/>
      <c r="BD156" s="108"/>
      <c r="BE156" s="359"/>
      <c r="BF156" s="109" t="s">
        <v>505</v>
      </c>
      <c r="BG156" s="116"/>
    </row>
    <row r="157" spans="1:59" s="257" customFormat="1" ht="12.75" x14ac:dyDescent="0.2">
      <c r="A157" s="167"/>
      <c r="B157" s="127"/>
      <c r="C157" s="255"/>
      <c r="D157" s="256"/>
      <c r="E157" s="106" t="s">
        <v>401</v>
      </c>
      <c r="F157" s="107">
        <f t="shared" si="159"/>
        <v>9700</v>
      </c>
      <c r="G157" s="107">
        <f t="shared" si="160"/>
        <v>9700</v>
      </c>
      <c r="H157" s="108">
        <v>9700</v>
      </c>
      <c r="I157" s="108">
        <f t="shared" si="161"/>
        <v>9700</v>
      </c>
      <c r="J157" s="108">
        <f t="shared" si="162"/>
        <v>0</v>
      </c>
      <c r="K157" s="108"/>
      <c r="L157" s="108"/>
      <c r="M157" s="108"/>
      <c r="N157" s="108"/>
      <c r="O157" s="108"/>
      <c r="P157" s="108"/>
      <c r="Q157" s="108"/>
      <c r="R157" s="108"/>
      <c r="S157" s="108"/>
      <c r="T157" s="463"/>
      <c r="U157" s="108"/>
      <c r="V157" s="108"/>
      <c r="W157" s="108">
        <v>0</v>
      </c>
      <c r="X157" s="108">
        <f t="shared" si="163"/>
        <v>0</v>
      </c>
      <c r="Y157" s="108">
        <f t="shared" si="164"/>
        <v>0</v>
      </c>
      <c r="Z157" s="108"/>
      <c r="AA157" s="108"/>
      <c r="AB157" s="108"/>
      <c r="AC157" s="108"/>
      <c r="AD157" s="108"/>
      <c r="AE157" s="108"/>
      <c r="AF157" s="108">
        <v>0</v>
      </c>
      <c r="AG157" s="133">
        <f t="shared" si="165"/>
        <v>0</v>
      </c>
      <c r="AH157" s="133">
        <f t="shared" si="166"/>
        <v>0</v>
      </c>
      <c r="AI157" s="133"/>
      <c r="AJ157" s="133"/>
      <c r="AK157" s="133"/>
      <c r="AL157" s="133"/>
      <c r="AM157" s="133"/>
      <c r="AN157" s="479"/>
      <c r="AO157" s="133"/>
      <c r="AP157" s="133">
        <v>0</v>
      </c>
      <c r="AQ157" s="133">
        <f t="shared" si="167"/>
        <v>0</v>
      </c>
      <c r="AR157" s="133">
        <f t="shared" si="168"/>
        <v>0</v>
      </c>
      <c r="AS157" s="133"/>
      <c r="AT157" s="133"/>
      <c r="AU157" s="133"/>
      <c r="AV157" s="133"/>
      <c r="AW157" s="108">
        <f t="shared" si="169"/>
        <v>0</v>
      </c>
      <c r="AX157" s="108">
        <f t="shared" si="170"/>
        <v>0</v>
      </c>
      <c r="AY157" s="108"/>
      <c r="AZ157" s="108"/>
      <c r="BA157" s="108"/>
      <c r="BB157" s="108"/>
      <c r="BC157" s="108"/>
      <c r="BD157" s="108"/>
      <c r="BE157" s="359"/>
      <c r="BF157" s="109" t="s">
        <v>506</v>
      </c>
      <c r="BG157" s="116"/>
    </row>
    <row r="158" spans="1:59" ht="36" x14ac:dyDescent="0.2">
      <c r="A158" s="167">
        <v>90009226256</v>
      </c>
      <c r="B158" s="127"/>
      <c r="C158" s="533" t="s">
        <v>168</v>
      </c>
      <c r="D158" s="534"/>
      <c r="E158" s="106" t="s">
        <v>628</v>
      </c>
      <c r="F158" s="107">
        <f t="shared" si="159"/>
        <v>295259</v>
      </c>
      <c r="G158" s="107">
        <f t="shared" si="160"/>
        <v>293220</v>
      </c>
      <c r="H158" s="108">
        <v>228980</v>
      </c>
      <c r="I158" s="108">
        <f t="shared" si="161"/>
        <v>224286</v>
      </c>
      <c r="J158" s="108">
        <f t="shared" si="162"/>
        <v>-4694</v>
      </c>
      <c r="K158" s="108">
        <v>-7738</v>
      </c>
      <c r="L158" s="108"/>
      <c r="M158" s="108"/>
      <c r="N158" s="108"/>
      <c r="O158" s="108"/>
      <c r="P158" s="108">
        <v>498</v>
      </c>
      <c r="Q158" s="108"/>
      <c r="R158" s="108"/>
      <c r="S158" s="108"/>
      <c r="T158" s="463">
        <v>2546</v>
      </c>
      <c r="U158" s="108"/>
      <c r="V158" s="108"/>
      <c r="W158" s="108">
        <v>54311</v>
      </c>
      <c r="X158" s="108">
        <f t="shared" si="163"/>
        <v>54311</v>
      </c>
      <c r="Y158" s="108">
        <f t="shared" si="164"/>
        <v>0</v>
      </c>
      <c r="Z158" s="108"/>
      <c r="AA158" s="108"/>
      <c r="AB158" s="108"/>
      <c r="AC158" s="108"/>
      <c r="AD158" s="108"/>
      <c r="AE158" s="108"/>
      <c r="AF158" s="108">
        <v>11968</v>
      </c>
      <c r="AG158" s="133">
        <f t="shared" si="165"/>
        <v>14623</v>
      </c>
      <c r="AH158" s="133">
        <f t="shared" si="166"/>
        <v>2655</v>
      </c>
      <c r="AI158" s="133">
        <v>185</v>
      </c>
      <c r="AJ158" s="133">
        <v>20</v>
      </c>
      <c r="AK158" s="133"/>
      <c r="AL158" s="133">
        <v>2450</v>
      </c>
      <c r="AM158" s="133"/>
      <c r="AN158" s="479"/>
      <c r="AO158" s="133"/>
      <c r="AP158" s="133">
        <v>0</v>
      </c>
      <c r="AQ158" s="133">
        <f t="shared" si="167"/>
        <v>0</v>
      </c>
      <c r="AR158" s="133">
        <f t="shared" si="168"/>
        <v>0</v>
      </c>
      <c r="AS158" s="133"/>
      <c r="AT158" s="133"/>
      <c r="AU158" s="133"/>
      <c r="AV158" s="133"/>
      <c r="AW158" s="108">
        <f t="shared" si="169"/>
        <v>0</v>
      </c>
      <c r="AX158" s="108">
        <f t="shared" si="170"/>
        <v>0</v>
      </c>
      <c r="AY158" s="108"/>
      <c r="AZ158" s="108"/>
      <c r="BA158" s="108"/>
      <c r="BB158" s="108"/>
      <c r="BC158" s="108"/>
      <c r="BD158" s="108"/>
      <c r="BE158" s="359"/>
      <c r="BF158" s="109" t="s">
        <v>507</v>
      </c>
      <c r="BG158" s="116"/>
    </row>
    <row r="159" spans="1:59" s="249" customFormat="1" ht="12.75" x14ac:dyDescent="0.2">
      <c r="A159" s="171"/>
      <c r="B159" s="127"/>
      <c r="C159" s="152"/>
      <c r="D159" s="153"/>
      <c r="E159" s="106" t="s">
        <v>408</v>
      </c>
      <c r="F159" s="107">
        <f t="shared" si="159"/>
        <v>0</v>
      </c>
      <c r="G159" s="107">
        <f t="shared" si="160"/>
        <v>0</v>
      </c>
      <c r="H159" s="108">
        <v>307</v>
      </c>
      <c r="I159" s="108">
        <f t="shared" si="161"/>
        <v>307</v>
      </c>
      <c r="J159" s="108">
        <f t="shared" si="162"/>
        <v>0</v>
      </c>
      <c r="K159" s="108"/>
      <c r="L159" s="108"/>
      <c r="M159" s="108"/>
      <c r="N159" s="108"/>
      <c r="O159" s="108"/>
      <c r="P159" s="108"/>
      <c r="Q159" s="108"/>
      <c r="R159" s="108"/>
      <c r="S159" s="108"/>
      <c r="T159" s="463"/>
      <c r="U159" s="108"/>
      <c r="V159" s="108"/>
      <c r="W159" s="108">
        <v>0</v>
      </c>
      <c r="X159" s="108">
        <f t="shared" si="163"/>
        <v>0</v>
      </c>
      <c r="Y159" s="108">
        <f t="shared" si="164"/>
        <v>0</v>
      </c>
      <c r="Z159" s="108"/>
      <c r="AA159" s="108"/>
      <c r="AB159" s="108"/>
      <c r="AC159" s="108"/>
      <c r="AD159" s="108"/>
      <c r="AE159" s="108"/>
      <c r="AF159" s="108">
        <v>0</v>
      </c>
      <c r="AG159" s="133">
        <f t="shared" si="165"/>
        <v>0</v>
      </c>
      <c r="AH159" s="133">
        <f t="shared" si="166"/>
        <v>0</v>
      </c>
      <c r="AI159" s="133"/>
      <c r="AJ159" s="133"/>
      <c r="AK159" s="133"/>
      <c r="AL159" s="133"/>
      <c r="AM159" s="133"/>
      <c r="AN159" s="479"/>
      <c r="AO159" s="133"/>
      <c r="AP159" s="133">
        <v>0</v>
      </c>
      <c r="AQ159" s="133">
        <f t="shared" si="167"/>
        <v>0</v>
      </c>
      <c r="AR159" s="133">
        <f t="shared" si="168"/>
        <v>0</v>
      </c>
      <c r="AS159" s="133"/>
      <c r="AT159" s="133"/>
      <c r="AU159" s="133"/>
      <c r="AV159" s="133">
        <v>-307</v>
      </c>
      <c r="AW159" s="108">
        <f t="shared" si="169"/>
        <v>-307</v>
      </c>
      <c r="AX159" s="108">
        <f t="shared" si="170"/>
        <v>0</v>
      </c>
      <c r="AY159" s="108"/>
      <c r="AZ159" s="108"/>
      <c r="BA159" s="108"/>
      <c r="BB159" s="108"/>
      <c r="BC159" s="108"/>
      <c r="BD159" s="108"/>
      <c r="BE159" s="359"/>
      <c r="BF159" s="109" t="s">
        <v>508</v>
      </c>
      <c r="BG159" s="116"/>
    </row>
    <row r="160" spans="1:59" s="249" customFormat="1" ht="12.75" x14ac:dyDescent="0.2">
      <c r="A160" s="171"/>
      <c r="B160" s="127"/>
      <c r="C160" s="152"/>
      <c r="D160" s="153"/>
      <c r="E160" s="106" t="s">
        <v>394</v>
      </c>
      <c r="F160" s="107">
        <f t="shared" si="159"/>
        <v>57270</v>
      </c>
      <c r="G160" s="107">
        <f t="shared" si="160"/>
        <v>57270</v>
      </c>
      <c r="H160" s="108">
        <v>57270</v>
      </c>
      <c r="I160" s="108">
        <f t="shared" si="161"/>
        <v>57270</v>
      </c>
      <c r="J160" s="108">
        <f t="shared" si="162"/>
        <v>0</v>
      </c>
      <c r="K160" s="108"/>
      <c r="L160" s="108"/>
      <c r="M160" s="108"/>
      <c r="N160" s="108"/>
      <c r="O160" s="108"/>
      <c r="P160" s="108"/>
      <c r="Q160" s="108"/>
      <c r="R160" s="108"/>
      <c r="S160" s="108"/>
      <c r="T160" s="463"/>
      <c r="U160" s="108"/>
      <c r="V160" s="108"/>
      <c r="W160" s="108">
        <v>0</v>
      </c>
      <c r="X160" s="108">
        <f t="shared" si="163"/>
        <v>0</v>
      </c>
      <c r="Y160" s="108">
        <f t="shared" si="164"/>
        <v>0</v>
      </c>
      <c r="Z160" s="108"/>
      <c r="AA160" s="108"/>
      <c r="AB160" s="108"/>
      <c r="AC160" s="108"/>
      <c r="AD160" s="108"/>
      <c r="AE160" s="108"/>
      <c r="AF160" s="108">
        <v>0</v>
      </c>
      <c r="AG160" s="133">
        <f t="shared" si="165"/>
        <v>0</v>
      </c>
      <c r="AH160" s="133">
        <f t="shared" si="166"/>
        <v>0</v>
      </c>
      <c r="AI160" s="133"/>
      <c r="AJ160" s="133"/>
      <c r="AK160" s="133"/>
      <c r="AL160" s="133"/>
      <c r="AM160" s="133"/>
      <c r="AN160" s="479"/>
      <c r="AO160" s="133"/>
      <c r="AP160" s="133">
        <v>0</v>
      </c>
      <c r="AQ160" s="133">
        <f t="shared" si="167"/>
        <v>0</v>
      </c>
      <c r="AR160" s="133">
        <f t="shared" si="168"/>
        <v>0</v>
      </c>
      <c r="AS160" s="133"/>
      <c r="AT160" s="133"/>
      <c r="AU160" s="133"/>
      <c r="AV160" s="133"/>
      <c r="AW160" s="108">
        <f t="shared" si="169"/>
        <v>0</v>
      </c>
      <c r="AX160" s="108">
        <f t="shared" si="170"/>
        <v>0</v>
      </c>
      <c r="AY160" s="108"/>
      <c r="AZ160" s="108"/>
      <c r="BA160" s="108"/>
      <c r="BB160" s="108"/>
      <c r="BC160" s="108"/>
      <c r="BD160" s="108"/>
      <c r="BE160" s="359"/>
      <c r="BF160" s="109" t="s">
        <v>509</v>
      </c>
      <c r="BG160" s="116"/>
    </row>
    <row r="161" spans="1:59" s="402" customFormat="1" ht="24" x14ac:dyDescent="0.2">
      <c r="A161" s="171"/>
      <c r="B161" s="127"/>
      <c r="C161" s="152"/>
      <c r="D161" s="153"/>
      <c r="E161" s="106" t="s">
        <v>700</v>
      </c>
      <c r="F161" s="107">
        <f t="shared" si="159"/>
        <v>0</v>
      </c>
      <c r="G161" s="107">
        <f t="shared" si="160"/>
        <v>0</v>
      </c>
      <c r="H161" s="108"/>
      <c r="I161" s="108">
        <f t="shared" si="161"/>
        <v>0</v>
      </c>
      <c r="J161" s="108">
        <f t="shared" si="162"/>
        <v>0</v>
      </c>
      <c r="K161" s="108"/>
      <c r="L161" s="108"/>
      <c r="M161" s="108"/>
      <c r="N161" s="108"/>
      <c r="O161" s="108"/>
      <c r="P161" s="108"/>
      <c r="Q161" s="108"/>
      <c r="R161" s="108"/>
      <c r="S161" s="108"/>
      <c r="T161" s="463"/>
      <c r="U161" s="108"/>
      <c r="V161" s="108"/>
      <c r="W161" s="108"/>
      <c r="X161" s="108">
        <f t="shared" ref="X161" si="178">W161+Y161</f>
        <v>0</v>
      </c>
      <c r="Y161" s="108">
        <f t="shared" ref="Y161" si="179">SUM(Z161:AE161)</f>
        <v>0</v>
      </c>
      <c r="Z161" s="108"/>
      <c r="AA161" s="108"/>
      <c r="AB161" s="108"/>
      <c r="AC161" s="108"/>
      <c r="AD161" s="108"/>
      <c r="AE161" s="108"/>
      <c r="AF161" s="108"/>
      <c r="AG161" s="133">
        <f t="shared" ref="AG161" si="180">AH161+AF161</f>
        <v>0</v>
      </c>
      <c r="AH161" s="133">
        <f t="shared" ref="AH161" si="181">SUM(AI161:AN161)</f>
        <v>0</v>
      </c>
      <c r="AI161" s="133"/>
      <c r="AJ161" s="133"/>
      <c r="AK161" s="133"/>
      <c r="AL161" s="133"/>
      <c r="AM161" s="133"/>
      <c r="AN161" s="479"/>
      <c r="AO161" s="133"/>
      <c r="AP161" s="133"/>
      <c r="AQ161" s="133">
        <f t="shared" ref="AQ161" si="182">AR161+AP161</f>
        <v>0</v>
      </c>
      <c r="AR161" s="133">
        <f t="shared" ref="AR161" si="183">SUM(AS161:AU161)</f>
        <v>0</v>
      </c>
      <c r="AS161" s="133"/>
      <c r="AT161" s="133"/>
      <c r="AU161" s="133"/>
      <c r="AV161" s="133"/>
      <c r="AW161" s="108">
        <f t="shared" ref="AW161" si="184">AX161+AV161</f>
        <v>0</v>
      </c>
      <c r="AX161" s="108">
        <f t="shared" si="170"/>
        <v>0</v>
      </c>
      <c r="AY161" s="108"/>
      <c r="AZ161" s="108"/>
      <c r="BA161" s="108"/>
      <c r="BB161" s="108"/>
      <c r="BC161" s="108"/>
      <c r="BD161" s="108"/>
      <c r="BE161" s="359"/>
      <c r="BF161" s="109" t="s">
        <v>701</v>
      </c>
      <c r="BG161" s="116"/>
    </row>
    <row r="162" spans="1:59" s="409" customFormat="1" ht="36" x14ac:dyDescent="0.2">
      <c r="A162" s="171"/>
      <c r="B162" s="127"/>
      <c r="C162" s="152"/>
      <c r="D162" s="153"/>
      <c r="E162" s="106" t="s">
        <v>705</v>
      </c>
      <c r="F162" s="107">
        <f t="shared" si="159"/>
        <v>0</v>
      </c>
      <c r="G162" s="107">
        <f t="shared" si="160"/>
        <v>1000</v>
      </c>
      <c r="H162" s="108"/>
      <c r="I162" s="108">
        <f t="shared" ref="I162" si="185">H162+J162</f>
        <v>1000</v>
      </c>
      <c r="J162" s="108">
        <f t="shared" ref="J162" si="186">SUM(K162:V162)</f>
        <v>1000</v>
      </c>
      <c r="K162" s="108"/>
      <c r="L162" s="108"/>
      <c r="M162" s="108">
        <v>1000</v>
      </c>
      <c r="N162" s="108"/>
      <c r="O162" s="108"/>
      <c r="P162" s="108"/>
      <c r="Q162" s="108"/>
      <c r="R162" s="108"/>
      <c r="S162" s="108"/>
      <c r="T162" s="463"/>
      <c r="U162" s="108"/>
      <c r="V162" s="108"/>
      <c r="W162" s="108"/>
      <c r="X162" s="108">
        <f t="shared" ref="X162" si="187">W162+Y162</f>
        <v>0</v>
      </c>
      <c r="Y162" s="108">
        <f t="shared" ref="Y162" si="188">SUM(Z162:AE162)</f>
        <v>0</v>
      </c>
      <c r="Z162" s="108"/>
      <c r="AA162" s="108"/>
      <c r="AB162" s="108"/>
      <c r="AC162" s="108"/>
      <c r="AD162" s="108"/>
      <c r="AE162" s="108"/>
      <c r="AF162" s="108"/>
      <c r="AG162" s="133">
        <f t="shared" ref="AG162" si="189">AH162+AF162</f>
        <v>0</v>
      </c>
      <c r="AH162" s="133">
        <f t="shared" ref="AH162" si="190">SUM(AI162:AN162)</f>
        <v>0</v>
      </c>
      <c r="AI162" s="133"/>
      <c r="AJ162" s="133"/>
      <c r="AK162" s="133"/>
      <c r="AL162" s="133"/>
      <c r="AM162" s="133"/>
      <c r="AN162" s="479"/>
      <c r="AO162" s="133"/>
      <c r="AP162" s="133"/>
      <c r="AQ162" s="133">
        <f t="shared" ref="AQ162" si="191">AR162+AP162</f>
        <v>0</v>
      </c>
      <c r="AR162" s="133">
        <f t="shared" ref="AR162" si="192">SUM(AS162:AU162)</f>
        <v>0</v>
      </c>
      <c r="AS162" s="133"/>
      <c r="AT162" s="133"/>
      <c r="AU162" s="133"/>
      <c r="AV162" s="133"/>
      <c r="AW162" s="108">
        <f t="shared" ref="AW162" si="193">AX162+AV162</f>
        <v>0</v>
      </c>
      <c r="AX162" s="108">
        <f t="shared" si="170"/>
        <v>0</v>
      </c>
      <c r="AY162" s="108"/>
      <c r="AZ162" s="108"/>
      <c r="BA162" s="108"/>
      <c r="BB162" s="108"/>
      <c r="BC162" s="108"/>
      <c r="BD162" s="108"/>
      <c r="BE162" s="359"/>
      <c r="BF162" s="109" t="s">
        <v>706</v>
      </c>
      <c r="BG162" s="116"/>
    </row>
    <row r="163" spans="1:59" ht="24" x14ac:dyDescent="0.2">
      <c r="A163" s="167">
        <v>90000051487</v>
      </c>
      <c r="B163" s="127"/>
      <c r="C163" s="533" t="s">
        <v>151</v>
      </c>
      <c r="D163" s="534"/>
      <c r="E163" s="106" t="s">
        <v>261</v>
      </c>
      <c r="F163" s="107">
        <f t="shared" si="159"/>
        <v>796865</v>
      </c>
      <c r="G163" s="107">
        <f t="shared" si="160"/>
        <v>805430</v>
      </c>
      <c r="H163" s="108">
        <v>356651</v>
      </c>
      <c r="I163" s="108">
        <f t="shared" si="161"/>
        <v>352618</v>
      </c>
      <c r="J163" s="108">
        <f t="shared" si="162"/>
        <v>-4033</v>
      </c>
      <c r="K163" s="108">
        <f>-6863-1894</f>
        <v>-8757</v>
      </c>
      <c r="L163" s="108"/>
      <c r="M163" s="108"/>
      <c r="N163" s="108"/>
      <c r="O163" s="108"/>
      <c r="P163" s="108"/>
      <c r="Q163" s="108"/>
      <c r="R163" s="108"/>
      <c r="S163" s="108"/>
      <c r="T163" s="463">
        <v>4724</v>
      </c>
      <c r="U163" s="108"/>
      <c r="V163" s="108"/>
      <c r="W163" s="108">
        <v>424756</v>
      </c>
      <c r="X163" s="108">
        <f t="shared" si="163"/>
        <v>430452</v>
      </c>
      <c r="Y163" s="108">
        <f t="shared" si="164"/>
        <v>5696</v>
      </c>
      <c r="Z163" s="108"/>
      <c r="AA163" s="108">
        <v>5696</v>
      </c>
      <c r="AB163" s="108"/>
      <c r="AC163" s="108"/>
      <c r="AD163" s="108"/>
      <c r="AE163" s="108"/>
      <c r="AF163" s="108">
        <v>15458</v>
      </c>
      <c r="AG163" s="133">
        <f t="shared" si="165"/>
        <v>22360</v>
      </c>
      <c r="AH163" s="133">
        <f t="shared" si="166"/>
        <v>6902</v>
      </c>
      <c r="AI163" s="133">
        <v>1902</v>
      </c>
      <c r="AJ163" s="133"/>
      <c r="AK163" s="133">
        <v>4500</v>
      </c>
      <c r="AL163" s="133"/>
      <c r="AM163" s="133"/>
      <c r="AN163" s="479">
        <v>500</v>
      </c>
      <c r="AO163" s="133"/>
      <c r="AP163" s="133">
        <v>0</v>
      </c>
      <c r="AQ163" s="133">
        <f t="shared" si="167"/>
        <v>0</v>
      </c>
      <c r="AR163" s="133">
        <f t="shared" si="168"/>
        <v>0</v>
      </c>
      <c r="AS163" s="133"/>
      <c r="AT163" s="133"/>
      <c r="AU163" s="133"/>
      <c r="AV163" s="133"/>
      <c r="AW163" s="108">
        <f t="shared" si="169"/>
        <v>0</v>
      </c>
      <c r="AX163" s="108">
        <f t="shared" si="170"/>
        <v>0</v>
      </c>
      <c r="AY163" s="108"/>
      <c r="AZ163" s="108"/>
      <c r="BA163" s="108"/>
      <c r="BB163" s="108"/>
      <c r="BC163" s="108"/>
      <c r="BD163" s="108"/>
      <c r="BE163" s="359"/>
      <c r="BF163" s="109" t="s">
        <v>510</v>
      </c>
      <c r="BG163" s="116"/>
    </row>
    <row r="164" spans="1:59" s="150" customFormat="1" ht="12.75" x14ac:dyDescent="0.2">
      <c r="A164" s="167"/>
      <c r="B164" s="127"/>
      <c r="C164" s="172"/>
      <c r="D164" s="173"/>
      <c r="E164" s="106" t="s">
        <v>283</v>
      </c>
      <c r="F164" s="107">
        <f t="shared" si="159"/>
        <v>81652</v>
      </c>
      <c r="G164" s="107">
        <f t="shared" si="160"/>
        <v>81652</v>
      </c>
      <c r="H164" s="108">
        <v>81652</v>
      </c>
      <c r="I164" s="108">
        <f t="shared" si="161"/>
        <v>81652</v>
      </c>
      <c r="J164" s="108">
        <f t="shared" si="162"/>
        <v>0</v>
      </c>
      <c r="K164" s="108"/>
      <c r="L164" s="108"/>
      <c r="M164" s="108"/>
      <c r="N164" s="108"/>
      <c r="O164" s="108"/>
      <c r="P164" s="108"/>
      <c r="Q164" s="108"/>
      <c r="R164" s="108"/>
      <c r="S164" s="108"/>
      <c r="T164" s="463"/>
      <c r="U164" s="108"/>
      <c r="V164" s="108"/>
      <c r="W164" s="108">
        <v>0</v>
      </c>
      <c r="X164" s="108">
        <f t="shared" si="163"/>
        <v>0</v>
      </c>
      <c r="Y164" s="108">
        <f t="shared" si="164"/>
        <v>0</v>
      </c>
      <c r="Z164" s="108"/>
      <c r="AA164" s="108"/>
      <c r="AB164" s="108"/>
      <c r="AC164" s="108"/>
      <c r="AD164" s="108"/>
      <c r="AE164" s="108"/>
      <c r="AF164" s="108">
        <v>0</v>
      </c>
      <c r="AG164" s="133">
        <f t="shared" si="165"/>
        <v>0</v>
      </c>
      <c r="AH164" s="133">
        <f t="shared" si="166"/>
        <v>0</v>
      </c>
      <c r="AI164" s="133"/>
      <c r="AJ164" s="133"/>
      <c r="AK164" s="133"/>
      <c r="AL164" s="133"/>
      <c r="AM164" s="133"/>
      <c r="AN164" s="479"/>
      <c r="AO164" s="133"/>
      <c r="AP164" s="133">
        <v>0</v>
      </c>
      <c r="AQ164" s="133">
        <f t="shared" si="167"/>
        <v>0</v>
      </c>
      <c r="AR164" s="133">
        <f t="shared" si="168"/>
        <v>0</v>
      </c>
      <c r="AS164" s="133"/>
      <c r="AT164" s="133"/>
      <c r="AU164" s="133"/>
      <c r="AV164" s="133"/>
      <c r="AW164" s="108">
        <f t="shared" si="169"/>
        <v>0</v>
      </c>
      <c r="AX164" s="108">
        <f t="shared" si="170"/>
        <v>0</v>
      </c>
      <c r="AY164" s="108"/>
      <c r="AZ164" s="108"/>
      <c r="BA164" s="108"/>
      <c r="BB164" s="108"/>
      <c r="BC164" s="108"/>
      <c r="BD164" s="108"/>
      <c r="BE164" s="359"/>
      <c r="BF164" s="109" t="s">
        <v>511</v>
      </c>
      <c r="BG164" s="116"/>
    </row>
    <row r="165" spans="1:59" s="166" customFormat="1" ht="36" x14ac:dyDescent="0.2">
      <c r="A165" s="167"/>
      <c r="B165" s="127"/>
      <c r="C165" s="168"/>
      <c r="D165" s="169"/>
      <c r="E165" s="106" t="s">
        <v>298</v>
      </c>
      <c r="F165" s="107">
        <f t="shared" si="159"/>
        <v>1423</v>
      </c>
      <c r="G165" s="107">
        <f t="shared" si="160"/>
        <v>5350</v>
      </c>
      <c r="H165" s="108">
        <v>0</v>
      </c>
      <c r="I165" s="108">
        <f t="shared" si="161"/>
        <v>3927</v>
      </c>
      <c r="J165" s="108">
        <f t="shared" si="162"/>
        <v>3927</v>
      </c>
      <c r="K165" s="108"/>
      <c r="L165" s="108"/>
      <c r="M165" s="108"/>
      <c r="N165" s="108"/>
      <c r="O165" s="108"/>
      <c r="P165" s="108"/>
      <c r="Q165" s="108">
        <v>3927</v>
      </c>
      <c r="R165" s="108"/>
      <c r="S165" s="108"/>
      <c r="T165" s="463"/>
      <c r="U165" s="108"/>
      <c r="V165" s="108"/>
      <c r="W165" s="108">
        <v>1423</v>
      </c>
      <c r="X165" s="108">
        <f t="shared" si="163"/>
        <v>1423</v>
      </c>
      <c r="Y165" s="108">
        <f t="shared" si="164"/>
        <v>0</v>
      </c>
      <c r="Z165" s="108"/>
      <c r="AA165" s="108"/>
      <c r="AB165" s="108"/>
      <c r="AC165" s="108"/>
      <c r="AD165" s="108"/>
      <c r="AE165" s="108"/>
      <c r="AF165" s="108">
        <v>0</v>
      </c>
      <c r="AG165" s="133">
        <f t="shared" si="165"/>
        <v>0</v>
      </c>
      <c r="AH165" s="133">
        <f t="shared" si="166"/>
        <v>0</v>
      </c>
      <c r="AI165" s="133"/>
      <c r="AJ165" s="133"/>
      <c r="AK165" s="133"/>
      <c r="AL165" s="133"/>
      <c r="AM165" s="133"/>
      <c r="AN165" s="479"/>
      <c r="AO165" s="133"/>
      <c r="AP165" s="133">
        <v>0</v>
      </c>
      <c r="AQ165" s="133">
        <f t="shared" si="167"/>
        <v>0</v>
      </c>
      <c r="AR165" s="133">
        <f t="shared" si="168"/>
        <v>0</v>
      </c>
      <c r="AS165" s="133"/>
      <c r="AT165" s="133"/>
      <c r="AU165" s="133"/>
      <c r="AV165" s="133"/>
      <c r="AW165" s="108">
        <f t="shared" si="169"/>
        <v>0</v>
      </c>
      <c r="AX165" s="108">
        <f t="shared" si="170"/>
        <v>0</v>
      </c>
      <c r="AY165" s="108"/>
      <c r="AZ165" s="108"/>
      <c r="BA165" s="108"/>
      <c r="BB165" s="108"/>
      <c r="BC165" s="108"/>
      <c r="BD165" s="108"/>
      <c r="BE165" s="359"/>
      <c r="BF165" s="109" t="s">
        <v>512</v>
      </c>
      <c r="BG165" s="116"/>
    </row>
    <row r="166" spans="1:59" s="177" customFormat="1" ht="36" x14ac:dyDescent="0.2">
      <c r="A166" s="167"/>
      <c r="B166" s="127"/>
      <c r="C166" s="178"/>
      <c r="D166" s="179"/>
      <c r="E166" s="106" t="s">
        <v>301</v>
      </c>
      <c r="F166" s="107">
        <f t="shared" si="159"/>
        <v>40296</v>
      </c>
      <c r="G166" s="107">
        <f t="shared" si="160"/>
        <v>41091</v>
      </c>
      <c r="H166" s="108">
        <v>40296</v>
      </c>
      <c r="I166" s="108">
        <f t="shared" si="161"/>
        <v>41091</v>
      </c>
      <c r="J166" s="108">
        <f t="shared" si="162"/>
        <v>795</v>
      </c>
      <c r="K166" s="108">
        <v>795</v>
      </c>
      <c r="L166" s="108"/>
      <c r="M166" s="108"/>
      <c r="N166" s="108"/>
      <c r="O166" s="108"/>
      <c r="P166" s="108"/>
      <c r="Q166" s="108"/>
      <c r="R166" s="108"/>
      <c r="S166" s="108"/>
      <c r="T166" s="463"/>
      <c r="U166" s="108"/>
      <c r="V166" s="108"/>
      <c r="W166" s="108">
        <v>0</v>
      </c>
      <c r="X166" s="108">
        <f t="shared" si="163"/>
        <v>0</v>
      </c>
      <c r="Y166" s="108">
        <f t="shared" si="164"/>
        <v>0</v>
      </c>
      <c r="Z166" s="108"/>
      <c r="AA166" s="108"/>
      <c r="AB166" s="108"/>
      <c r="AC166" s="108"/>
      <c r="AD166" s="108"/>
      <c r="AE166" s="108"/>
      <c r="AF166" s="108">
        <v>0</v>
      </c>
      <c r="AG166" s="133">
        <f t="shared" si="165"/>
        <v>0</v>
      </c>
      <c r="AH166" s="133">
        <f t="shared" si="166"/>
        <v>0</v>
      </c>
      <c r="AI166" s="133"/>
      <c r="AJ166" s="133"/>
      <c r="AK166" s="133"/>
      <c r="AL166" s="133"/>
      <c r="AM166" s="133"/>
      <c r="AN166" s="479"/>
      <c r="AO166" s="133"/>
      <c r="AP166" s="133">
        <v>0</v>
      </c>
      <c r="AQ166" s="133">
        <f t="shared" si="167"/>
        <v>0</v>
      </c>
      <c r="AR166" s="133">
        <f t="shared" si="168"/>
        <v>0</v>
      </c>
      <c r="AS166" s="133"/>
      <c r="AT166" s="133"/>
      <c r="AU166" s="133"/>
      <c r="AV166" s="133"/>
      <c r="AW166" s="108">
        <f t="shared" si="169"/>
        <v>0</v>
      </c>
      <c r="AX166" s="108">
        <f t="shared" si="170"/>
        <v>0</v>
      </c>
      <c r="AY166" s="108"/>
      <c r="AZ166" s="108"/>
      <c r="BA166" s="108"/>
      <c r="BB166" s="108"/>
      <c r="BC166" s="108"/>
      <c r="BD166" s="108"/>
      <c r="BE166" s="359"/>
      <c r="BF166" s="109" t="s">
        <v>513</v>
      </c>
      <c r="BG166" s="116"/>
    </row>
    <row r="167" spans="1:59" ht="24" x14ac:dyDescent="0.2">
      <c r="A167" s="167">
        <v>90000051519</v>
      </c>
      <c r="B167" s="127"/>
      <c r="C167" s="533" t="s">
        <v>227</v>
      </c>
      <c r="D167" s="534"/>
      <c r="E167" s="106" t="s">
        <v>261</v>
      </c>
      <c r="F167" s="107">
        <f t="shared" si="159"/>
        <v>1305747</v>
      </c>
      <c r="G167" s="107">
        <f t="shared" si="160"/>
        <v>1323936</v>
      </c>
      <c r="H167" s="108">
        <v>605379</v>
      </c>
      <c r="I167" s="108">
        <f t="shared" si="161"/>
        <v>609428</v>
      </c>
      <c r="J167" s="108">
        <f t="shared" si="162"/>
        <v>4049</v>
      </c>
      <c r="K167" s="108">
        <v>-6795</v>
      </c>
      <c r="L167" s="108"/>
      <c r="M167" s="108"/>
      <c r="N167" s="108"/>
      <c r="O167" s="108"/>
      <c r="P167" s="108"/>
      <c r="Q167" s="108"/>
      <c r="R167" s="108"/>
      <c r="S167" s="108"/>
      <c r="T167" s="463">
        <v>10844</v>
      </c>
      <c r="U167" s="108"/>
      <c r="V167" s="108"/>
      <c r="W167" s="108">
        <v>678203</v>
      </c>
      <c r="X167" s="108">
        <f t="shared" si="163"/>
        <v>691562</v>
      </c>
      <c r="Y167" s="108">
        <f t="shared" si="164"/>
        <v>13359</v>
      </c>
      <c r="Z167" s="108"/>
      <c r="AA167" s="108">
        <v>13359</v>
      </c>
      <c r="AB167" s="108"/>
      <c r="AC167" s="108"/>
      <c r="AD167" s="108"/>
      <c r="AE167" s="108"/>
      <c r="AF167" s="108">
        <v>22165</v>
      </c>
      <c r="AG167" s="133">
        <f t="shared" si="165"/>
        <v>22946</v>
      </c>
      <c r="AH167" s="133">
        <f t="shared" si="166"/>
        <v>781</v>
      </c>
      <c r="AI167" s="133">
        <v>781</v>
      </c>
      <c r="AJ167" s="133"/>
      <c r="AK167" s="133"/>
      <c r="AL167" s="133"/>
      <c r="AM167" s="133"/>
      <c r="AN167" s="479"/>
      <c r="AO167" s="133"/>
      <c r="AP167" s="133">
        <v>0</v>
      </c>
      <c r="AQ167" s="133">
        <f t="shared" si="167"/>
        <v>0</v>
      </c>
      <c r="AR167" s="133">
        <f t="shared" si="168"/>
        <v>0</v>
      </c>
      <c r="AS167" s="133"/>
      <c r="AT167" s="133"/>
      <c r="AU167" s="133"/>
      <c r="AV167" s="133"/>
      <c r="AW167" s="108">
        <f t="shared" si="169"/>
        <v>0</v>
      </c>
      <c r="AX167" s="108">
        <f t="shared" si="170"/>
        <v>0</v>
      </c>
      <c r="AY167" s="108"/>
      <c r="AZ167" s="108"/>
      <c r="BA167" s="108"/>
      <c r="BB167" s="108"/>
      <c r="BC167" s="108"/>
      <c r="BD167" s="108"/>
      <c r="BE167" s="359"/>
      <c r="BF167" s="109" t="s">
        <v>514</v>
      </c>
      <c r="BG167" s="116"/>
    </row>
    <row r="168" spans="1:59" ht="12.75" x14ac:dyDescent="0.2">
      <c r="A168" s="167"/>
      <c r="B168" s="127"/>
      <c r="C168" s="172"/>
      <c r="D168" s="173"/>
      <c r="E168" s="106" t="s">
        <v>283</v>
      </c>
      <c r="F168" s="107">
        <f t="shared" si="159"/>
        <v>193557</v>
      </c>
      <c r="G168" s="107">
        <f t="shared" si="160"/>
        <v>203395</v>
      </c>
      <c r="H168" s="108">
        <v>118967</v>
      </c>
      <c r="I168" s="108">
        <f t="shared" si="161"/>
        <v>118967</v>
      </c>
      <c r="J168" s="108">
        <f t="shared" si="162"/>
        <v>0</v>
      </c>
      <c r="K168" s="108"/>
      <c r="L168" s="108"/>
      <c r="M168" s="108"/>
      <c r="N168" s="108"/>
      <c r="O168" s="108"/>
      <c r="P168" s="108"/>
      <c r="Q168" s="108"/>
      <c r="R168" s="108"/>
      <c r="S168" s="108"/>
      <c r="T168" s="463"/>
      <c r="U168" s="108"/>
      <c r="V168" s="108"/>
      <c r="W168" s="108">
        <v>74590</v>
      </c>
      <c r="X168" s="108">
        <f t="shared" si="163"/>
        <v>84428</v>
      </c>
      <c r="Y168" s="108">
        <f t="shared" si="164"/>
        <v>9838</v>
      </c>
      <c r="Z168" s="108"/>
      <c r="AA168" s="108">
        <v>9838</v>
      </c>
      <c r="AB168" s="108"/>
      <c r="AC168" s="108"/>
      <c r="AD168" s="108"/>
      <c r="AE168" s="108"/>
      <c r="AF168" s="108">
        <v>0</v>
      </c>
      <c r="AG168" s="133">
        <f t="shared" si="165"/>
        <v>0</v>
      </c>
      <c r="AH168" s="133">
        <f t="shared" si="166"/>
        <v>0</v>
      </c>
      <c r="AI168" s="133"/>
      <c r="AJ168" s="133"/>
      <c r="AK168" s="133"/>
      <c r="AL168" s="133"/>
      <c r="AM168" s="133"/>
      <c r="AN168" s="479"/>
      <c r="AO168" s="133"/>
      <c r="AP168" s="133">
        <v>0</v>
      </c>
      <c r="AQ168" s="133">
        <f t="shared" si="167"/>
        <v>0</v>
      </c>
      <c r="AR168" s="133">
        <f t="shared" si="168"/>
        <v>0</v>
      </c>
      <c r="AS168" s="133"/>
      <c r="AT168" s="133"/>
      <c r="AU168" s="133"/>
      <c r="AV168" s="133"/>
      <c r="AW168" s="108">
        <f t="shared" si="169"/>
        <v>0</v>
      </c>
      <c r="AX168" s="108">
        <f t="shared" si="170"/>
        <v>0</v>
      </c>
      <c r="AY168" s="108"/>
      <c r="AZ168" s="108"/>
      <c r="BA168" s="108"/>
      <c r="BB168" s="108"/>
      <c r="BC168" s="108"/>
      <c r="BD168" s="108"/>
      <c r="BE168" s="359"/>
      <c r="BF168" s="109" t="s">
        <v>515</v>
      </c>
      <c r="BG168" s="116"/>
    </row>
    <row r="169" spans="1:59" s="433" customFormat="1" ht="36" x14ac:dyDescent="0.2">
      <c r="A169" s="167"/>
      <c r="B169" s="127"/>
      <c r="C169" s="434"/>
      <c r="D169" s="435"/>
      <c r="E169" s="106" t="s">
        <v>735</v>
      </c>
      <c r="F169" s="107">
        <f t="shared" ref="F169" si="194">H169+W169+AF169+AO169+AP169+AV169</f>
        <v>0</v>
      </c>
      <c r="G169" s="107">
        <f t="shared" ref="G169" si="195">I169+X169+AG169+AO169+AQ169+AW169</f>
        <v>13576</v>
      </c>
      <c r="H169" s="108"/>
      <c r="I169" s="108">
        <f t="shared" ref="I169" si="196">H169+J169</f>
        <v>13576</v>
      </c>
      <c r="J169" s="108">
        <f t="shared" ref="J169" si="197">SUM(K169:V169)</f>
        <v>13576</v>
      </c>
      <c r="K169" s="108"/>
      <c r="L169" s="108"/>
      <c r="M169" s="108"/>
      <c r="N169" s="108"/>
      <c r="O169" s="108">
        <v>13576</v>
      </c>
      <c r="P169" s="108"/>
      <c r="Q169" s="108"/>
      <c r="R169" s="108"/>
      <c r="S169" s="108"/>
      <c r="T169" s="463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33"/>
      <c r="AH169" s="133"/>
      <c r="AI169" s="133"/>
      <c r="AJ169" s="133"/>
      <c r="AK169" s="133"/>
      <c r="AL169" s="133"/>
      <c r="AM169" s="133"/>
      <c r="AN169" s="479"/>
      <c r="AO169" s="133"/>
      <c r="AP169" s="133"/>
      <c r="AQ169" s="133"/>
      <c r="AR169" s="133"/>
      <c r="AS169" s="133"/>
      <c r="AT169" s="133"/>
      <c r="AU169" s="133"/>
      <c r="AV169" s="133"/>
      <c r="AW169" s="108"/>
      <c r="AX169" s="108"/>
      <c r="AY169" s="108"/>
      <c r="AZ169" s="108"/>
      <c r="BA169" s="108"/>
      <c r="BB169" s="108"/>
      <c r="BC169" s="108"/>
      <c r="BD169" s="108"/>
      <c r="BE169" s="359"/>
      <c r="BF169" s="109"/>
      <c r="BG169" s="116"/>
    </row>
    <row r="170" spans="1:59" ht="24" x14ac:dyDescent="0.2">
      <c r="A170" s="167">
        <v>90009251338</v>
      </c>
      <c r="B170" s="127"/>
      <c r="C170" s="533" t="s">
        <v>742</v>
      </c>
      <c r="D170" s="534"/>
      <c r="E170" s="106" t="s">
        <v>261</v>
      </c>
      <c r="F170" s="107">
        <f t="shared" si="159"/>
        <v>354226</v>
      </c>
      <c r="G170" s="107">
        <f t="shared" si="160"/>
        <v>359018</v>
      </c>
      <c r="H170" s="108">
        <v>238010</v>
      </c>
      <c r="I170" s="108">
        <f t="shared" si="161"/>
        <v>240486</v>
      </c>
      <c r="J170" s="108">
        <f t="shared" si="162"/>
        <v>2476</v>
      </c>
      <c r="K170" s="108">
        <v>-3854</v>
      </c>
      <c r="L170" s="108"/>
      <c r="M170" s="108">
        <v>2575</v>
      </c>
      <c r="N170" s="108"/>
      <c r="O170" s="108"/>
      <c r="P170" s="108"/>
      <c r="Q170" s="108"/>
      <c r="R170" s="108"/>
      <c r="S170" s="108"/>
      <c r="T170" s="463">
        <v>3755</v>
      </c>
      <c r="U170" s="108"/>
      <c r="V170" s="108"/>
      <c r="W170" s="108">
        <v>112983</v>
      </c>
      <c r="X170" s="108">
        <f t="shared" si="163"/>
        <v>115140</v>
      </c>
      <c r="Y170" s="108">
        <f t="shared" si="164"/>
        <v>2157</v>
      </c>
      <c r="Z170" s="108"/>
      <c r="AA170" s="108">
        <v>2157</v>
      </c>
      <c r="AB170" s="108"/>
      <c r="AC170" s="108"/>
      <c r="AD170" s="108"/>
      <c r="AE170" s="108"/>
      <c r="AF170" s="108">
        <v>3233</v>
      </c>
      <c r="AG170" s="133">
        <f t="shared" si="165"/>
        <v>3392</v>
      </c>
      <c r="AH170" s="133">
        <f t="shared" si="166"/>
        <v>159</v>
      </c>
      <c r="AI170" s="133">
        <v>159</v>
      </c>
      <c r="AJ170" s="133"/>
      <c r="AK170" s="133"/>
      <c r="AL170" s="133"/>
      <c r="AM170" s="133"/>
      <c r="AN170" s="479"/>
      <c r="AO170" s="133"/>
      <c r="AP170" s="133">
        <v>0</v>
      </c>
      <c r="AQ170" s="133">
        <f t="shared" si="167"/>
        <v>0</v>
      </c>
      <c r="AR170" s="133">
        <f t="shared" si="168"/>
        <v>0</v>
      </c>
      <c r="AS170" s="133"/>
      <c r="AT170" s="133"/>
      <c r="AU170" s="133"/>
      <c r="AV170" s="133"/>
      <c r="AW170" s="108">
        <f t="shared" si="169"/>
        <v>0</v>
      </c>
      <c r="AX170" s="108">
        <f t="shared" ref="AX170:AX181" si="198">SUM(AY170:BE170)</f>
        <v>0</v>
      </c>
      <c r="AY170" s="108"/>
      <c r="AZ170" s="108"/>
      <c r="BA170" s="108"/>
      <c r="BB170" s="108"/>
      <c r="BC170" s="108"/>
      <c r="BD170" s="108"/>
      <c r="BE170" s="359"/>
      <c r="BF170" s="109" t="s">
        <v>516</v>
      </c>
      <c r="BG170" s="116"/>
    </row>
    <row r="171" spans="1:59" ht="12.75" x14ac:dyDescent="0.2">
      <c r="A171" s="167"/>
      <c r="B171" s="127"/>
      <c r="C171" s="172"/>
      <c r="D171" s="173"/>
      <c r="E171" s="106" t="s">
        <v>283</v>
      </c>
      <c r="F171" s="107">
        <f t="shared" si="159"/>
        <v>30409</v>
      </c>
      <c r="G171" s="107">
        <f t="shared" si="160"/>
        <v>30572</v>
      </c>
      <c r="H171" s="108">
        <v>15067</v>
      </c>
      <c r="I171" s="108">
        <f t="shared" si="161"/>
        <v>12492</v>
      </c>
      <c r="J171" s="108">
        <f t="shared" si="162"/>
        <v>-2575</v>
      </c>
      <c r="K171" s="108"/>
      <c r="L171" s="108"/>
      <c r="M171" s="108">
        <v>-2575</v>
      </c>
      <c r="N171" s="108"/>
      <c r="O171" s="108"/>
      <c r="P171" s="108"/>
      <c r="Q171" s="108"/>
      <c r="R171" s="108"/>
      <c r="S171" s="108"/>
      <c r="T171" s="463"/>
      <c r="U171" s="108"/>
      <c r="V171" s="108"/>
      <c r="W171" s="108">
        <v>15342</v>
      </c>
      <c r="X171" s="108">
        <f t="shared" si="163"/>
        <v>18080</v>
      </c>
      <c r="Y171" s="108">
        <f t="shared" si="164"/>
        <v>2738</v>
      </c>
      <c r="Z171" s="108"/>
      <c r="AA171" s="108">
        <v>2738</v>
      </c>
      <c r="AB171" s="108"/>
      <c r="AC171" s="108"/>
      <c r="AD171" s="108"/>
      <c r="AE171" s="108"/>
      <c r="AF171" s="108">
        <v>0</v>
      </c>
      <c r="AG171" s="133">
        <f t="shared" si="165"/>
        <v>0</v>
      </c>
      <c r="AH171" s="133">
        <f t="shared" si="166"/>
        <v>0</v>
      </c>
      <c r="AI171" s="133"/>
      <c r="AJ171" s="133"/>
      <c r="AK171" s="133"/>
      <c r="AL171" s="133"/>
      <c r="AM171" s="133"/>
      <c r="AN171" s="479"/>
      <c r="AO171" s="133"/>
      <c r="AP171" s="133">
        <v>0</v>
      </c>
      <c r="AQ171" s="133">
        <f t="shared" si="167"/>
        <v>0</v>
      </c>
      <c r="AR171" s="133">
        <f t="shared" si="168"/>
        <v>0</v>
      </c>
      <c r="AS171" s="133"/>
      <c r="AT171" s="133"/>
      <c r="AU171" s="133"/>
      <c r="AV171" s="133"/>
      <c r="AW171" s="108">
        <f t="shared" si="169"/>
        <v>0</v>
      </c>
      <c r="AX171" s="108">
        <f t="shared" si="198"/>
        <v>0</v>
      </c>
      <c r="AY171" s="108"/>
      <c r="AZ171" s="108"/>
      <c r="BA171" s="108"/>
      <c r="BB171" s="108"/>
      <c r="BC171" s="108"/>
      <c r="BD171" s="108"/>
      <c r="BE171" s="359"/>
      <c r="BF171" s="109" t="s">
        <v>517</v>
      </c>
      <c r="BG171" s="116"/>
    </row>
    <row r="172" spans="1:59" ht="24" x14ac:dyDescent="0.2">
      <c r="A172" s="167">
        <v>90000051576</v>
      </c>
      <c r="B172" s="127"/>
      <c r="C172" s="533" t="s">
        <v>743</v>
      </c>
      <c r="D172" s="534"/>
      <c r="E172" s="106" t="s">
        <v>261</v>
      </c>
      <c r="F172" s="107">
        <f t="shared" si="159"/>
        <v>628532</v>
      </c>
      <c r="G172" s="107">
        <f t="shared" si="160"/>
        <v>638740</v>
      </c>
      <c r="H172" s="108">
        <v>388798</v>
      </c>
      <c r="I172" s="108">
        <f t="shared" si="161"/>
        <v>383562</v>
      </c>
      <c r="J172" s="108">
        <f t="shared" si="162"/>
        <v>-5236</v>
      </c>
      <c r="K172" s="108">
        <f>-6935-5271</f>
        <v>-12206</v>
      </c>
      <c r="L172" s="108"/>
      <c r="M172" s="108"/>
      <c r="N172" s="108"/>
      <c r="O172" s="108"/>
      <c r="P172" s="108"/>
      <c r="Q172" s="108"/>
      <c r="R172" s="108"/>
      <c r="S172" s="108"/>
      <c r="T172" s="463">
        <v>6970</v>
      </c>
      <c r="U172" s="108"/>
      <c r="V172" s="108"/>
      <c r="W172" s="108">
        <v>223414</v>
      </c>
      <c r="X172" s="108">
        <f t="shared" si="163"/>
        <v>227937</v>
      </c>
      <c r="Y172" s="108">
        <f t="shared" si="164"/>
        <v>4523</v>
      </c>
      <c r="Z172" s="108"/>
      <c r="AA172" s="108">
        <v>4523</v>
      </c>
      <c r="AB172" s="108"/>
      <c r="AC172" s="108"/>
      <c r="AD172" s="108"/>
      <c r="AE172" s="108"/>
      <c r="AF172" s="108">
        <v>16320</v>
      </c>
      <c r="AG172" s="133">
        <f t="shared" si="165"/>
        <v>27241</v>
      </c>
      <c r="AH172" s="133">
        <f t="shared" si="166"/>
        <v>10921</v>
      </c>
      <c r="AI172" s="133">
        <v>10921</v>
      </c>
      <c r="AJ172" s="133"/>
      <c r="AK172" s="133"/>
      <c r="AL172" s="133"/>
      <c r="AM172" s="133"/>
      <c r="AN172" s="479"/>
      <c r="AO172" s="133"/>
      <c r="AP172" s="133">
        <v>0</v>
      </c>
      <c r="AQ172" s="133">
        <f t="shared" si="167"/>
        <v>0</v>
      </c>
      <c r="AR172" s="133">
        <f t="shared" si="168"/>
        <v>0</v>
      </c>
      <c r="AS172" s="133"/>
      <c r="AT172" s="133"/>
      <c r="AU172" s="133"/>
      <c r="AV172" s="133"/>
      <c r="AW172" s="108">
        <f t="shared" si="169"/>
        <v>0</v>
      </c>
      <c r="AX172" s="108">
        <f t="shared" si="198"/>
        <v>0</v>
      </c>
      <c r="AY172" s="108"/>
      <c r="AZ172" s="108"/>
      <c r="BA172" s="108"/>
      <c r="BB172" s="108"/>
      <c r="BC172" s="108"/>
      <c r="BD172" s="108"/>
      <c r="BE172" s="359"/>
      <c r="BF172" s="109" t="s">
        <v>518</v>
      </c>
      <c r="BG172" s="116"/>
    </row>
    <row r="173" spans="1:59" ht="12.75" x14ac:dyDescent="0.2">
      <c r="A173" s="167"/>
      <c r="B173" s="127"/>
      <c r="C173" s="172"/>
      <c r="D173" s="173"/>
      <c r="E173" s="106" t="s">
        <v>283</v>
      </c>
      <c r="F173" s="107">
        <f t="shared" si="159"/>
        <v>66994</v>
      </c>
      <c r="G173" s="107">
        <f t="shared" si="160"/>
        <v>66996</v>
      </c>
      <c r="H173" s="108">
        <v>49715</v>
      </c>
      <c r="I173" s="108">
        <f t="shared" si="161"/>
        <v>49715</v>
      </c>
      <c r="J173" s="108">
        <f t="shared" si="162"/>
        <v>0</v>
      </c>
      <c r="K173" s="108"/>
      <c r="L173" s="108"/>
      <c r="M173" s="108"/>
      <c r="N173" s="108"/>
      <c r="O173" s="108"/>
      <c r="P173" s="108"/>
      <c r="Q173" s="108"/>
      <c r="R173" s="108"/>
      <c r="S173" s="108"/>
      <c r="T173" s="463"/>
      <c r="U173" s="108"/>
      <c r="V173" s="108"/>
      <c r="W173" s="108">
        <v>17279</v>
      </c>
      <c r="X173" s="108">
        <f t="shared" si="163"/>
        <v>17281</v>
      </c>
      <c r="Y173" s="108">
        <f t="shared" si="164"/>
        <v>2</v>
      </c>
      <c r="Z173" s="108"/>
      <c r="AA173" s="108">
        <v>2</v>
      </c>
      <c r="AB173" s="108"/>
      <c r="AC173" s="108"/>
      <c r="AD173" s="108"/>
      <c r="AE173" s="108"/>
      <c r="AF173" s="108">
        <v>0</v>
      </c>
      <c r="AG173" s="133">
        <f t="shared" si="165"/>
        <v>0</v>
      </c>
      <c r="AH173" s="133">
        <f t="shared" si="166"/>
        <v>0</v>
      </c>
      <c r="AI173" s="133"/>
      <c r="AJ173" s="133"/>
      <c r="AK173" s="133"/>
      <c r="AL173" s="133"/>
      <c r="AM173" s="133"/>
      <c r="AN173" s="479"/>
      <c r="AO173" s="133"/>
      <c r="AP173" s="133">
        <v>0</v>
      </c>
      <c r="AQ173" s="133">
        <f t="shared" si="167"/>
        <v>0</v>
      </c>
      <c r="AR173" s="133">
        <f t="shared" si="168"/>
        <v>0</v>
      </c>
      <c r="AS173" s="133"/>
      <c r="AT173" s="133"/>
      <c r="AU173" s="133"/>
      <c r="AV173" s="133"/>
      <c r="AW173" s="108">
        <f t="shared" si="169"/>
        <v>0</v>
      </c>
      <c r="AX173" s="108">
        <f t="shared" si="198"/>
        <v>0</v>
      </c>
      <c r="AY173" s="108"/>
      <c r="AZ173" s="108"/>
      <c r="BA173" s="108"/>
      <c r="BB173" s="108"/>
      <c r="BC173" s="108"/>
      <c r="BD173" s="108"/>
      <c r="BE173" s="359"/>
      <c r="BF173" s="109" t="s">
        <v>519</v>
      </c>
      <c r="BG173" s="116"/>
    </row>
    <row r="174" spans="1:59" ht="24" x14ac:dyDescent="0.2">
      <c r="A174" s="167">
        <v>90000051627</v>
      </c>
      <c r="B174" s="127"/>
      <c r="C174" s="533" t="s">
        <v>228</v>
      </c>
      <c r="D174" s="534"/>
      <c r="E174" s="106" t="s">
        <v>261</v>
      </c>
      <c r="F174" s="107">
        <f t="shared" si="159"/>
        <v>901050</v>
      </c>
      <c r="G174" s="107">
        <f t="shared" si="160"/>
        <v>910695</v>
      </c>
      <c r="H174" s="108">
        <v>432548</v>
      </c>
      <c r="I174" s="108">
        <f t="shared" si="161"/>
        <v>430726</v>
      </c>
      <c r="J174" s="108">
        <f t="shared" si="162"/>
        <v>-1822</v>
      </c>
      <c r="K174" s="108">
        <f>-7570-2705</f>
        <v>-10275</v>
      </c>
      <c r="L174" s="108"/>
      <c r="M174" s="108"/>
      <c r="N174" s="108"/>
      <c r="O174" s="108"/>
      <c r="P174" s="108"/>
      <c r="Q174" s="108"/>
      <c r="R174" s="108"/>
      <c r="S174" s="108"/>
      <c r="T174" s="463">
        <v>8453</v>
      </c>
      <c r="U174" s="108"/>
      <c r="V174" s="108"/>
      <c r="W174" s="108">
        <v>457807</v>
      </c>
      <c r="X174" s="108">
        <f t="shared" si="163"/>
        <v>466569</v>
      </c>
      <c r="Y174" s="108">
        <f t="shared" si="164"/>
        <v>8762</v>
      </c>
      <c r="Z174" s="108"/>
      <c r="AA174" s="108">
        <v>8762</v>
      </c>
      <c r="AB174" s="108"/>
      <c r="AC174" s="108"/>
      <c r="AD174" s="108"/>
      <c r="AE174" s="108"/>
      <c r="AF174" s="108">
        <v>10695</v>
      </c>
      <c r="AG174" s="133">
        <f t="shared" si="165"/>
        <v>13400</v>
      </c>
      <c r="AH174" s="133">
        <f t="shared" si="166"/>
        <v>2705</v>
      </c>
      <c r="AI174" s="133">
        <v>2705</v>
      </c>
      <c r="AJ174" s="133"/>
      <c r="AK174" s="133"/>
      <c r="AL174" s="133"/>
      <c r="AM174" s="133"/>
      <c r="AN174" s="479"/>
      <c r="AO174" s="133"/>
      <c r="AP174" s="133">
        <v>0</v>
      </c>
      <c r="AQ174" s="133">
        <f t="shared" si="167"/>
        <v>0</v>
      </c>
      <c r="AR174" s="133">
        <f t="shared" si="168"/>
        <v>0</v>
      </c>
      <c r="AS174" s="133"/>
      <c r="AT174" s="133"/>
      <c r="AU174" s="133"/>
      <c r="AV174" s="133"/>
      <c r="AW174" s="108">
        <f t="shared" si="169"/>
        <v>0</v>
      </c>
      <c r="AX174" s="108">
        <f t="shared" si="198"/>
        <v>0</v>
      </c>
      <c r="AY174" s="108"/>
      <c r="AZ174" s="108"/>
      <c r="BA174" s="108"/>
      <c r="BB174" s="108"/>
      <c r="BC174" s="108"/>
      <c r="BD174" s="108"/>
      <c r="BE174" s="359"/>
      <c r="BF174" s="109" t="s">
        <v>520</v>
      </c>
      <c r="BG174" s="116"/>
    </row>
    <row r="175" spans="1:59" ht="12.75" x14ac:dyDescent="0.2">
      <c r="A175" s="167"/>
      <c r="B175" s="127"/>
      <c r="C175" s="172"/>
      <c r="D175" s="173"/>
      <c r="E175" s="106" t="s">
        <v>283</v>
      </c>
      <c r="F175" s="107">
        <f t="shared" si="159"/>
        <v>125557</v>
      </c>
      <c r="G175" s="107">
        <f t="shared" si="160"/>
        <v>125557</v>
      </c>
      <c r="H175" s="108">
        <v>80247</v>
      </c>
      <c r="I175" s="108">
        <f t="shared" si="161"/>
        <v>80247</v>
      </c>
      <c r="J175" s="108">
        <f t="shared" si="162"/>
        <v>0</v>
      </c>
      <c r="K175" s="108"/>
      <c r="L175" s="108"/>
      <c r="M175" s="108"/>
      <c r="N175" s="108"/>
      <c r="O175" s="108"/>
      <c r="P175" s="108"/>
      <c r="Q175" s="108"/>
      <c r="R175" s="108"/>
      <c r="S175" s="108"/>
      <c r="T175" s="463"/>
      <c r="U175" s="108"/>
      <c r="V175" s="108"/>
      <c r="W175" s="108">
        <v>45310</v>
      </c>
      <c r="X175" s="108">
        <f t="shared" si="163"/>
        <v>45310</v>
      </c>
      <c r="Y175" s="108">
        <f t="shared" si="164"/>
        <v>0</v>
      </c>
      <c r="Z175" s="108"/>
      <c r="AA175" s="108"/>
      <c r="AB175" s="108"/>
      <c r="AC175" s="108"/>
      <c r="AD175" s="108"/>
      <c r="AE175" s="108"/>
      <c r="AF175" s="108">
        <v>0</v>
      </c>
      <c r="AG175" s="133">
        <f t="shared" si="165"/>
        <v>0</v>
      </c>
      <c r="AH175" s="133">
        <f t="shared" si="166"/>
        <v>0</v>
      </c>
      <c r="AI175" s="133"/>
      <c r="AJ175" s="133"/>
      <c r="AK175" s="133"/>
      <c r="AL175" s="133"/>
      <c r="AM175" s="133"/>
      <c r="AN175" s="479"/>
      <c r="AO175" s="133"/>
      <c r="AP175" s="133">
        <v>0</v>
      </c>
      <c r="AQ175" s="133">
        <f t="shared" si="167"/>
        <v>0</v>
      </c>
      <c r="AR175" s="133">
        <f t="shared" si="168"/>
        <v>0</v>
      </c>
      <c r="AS175" s="133"/>
      <c r="AT175" s="133"/>
      <c r="AU175" s="133"/>
      <c r="AV175" s="133"/>
      <c r="AW175" s="108">
        <f t="shared" si="169"/>
        <v>0</v>
      </c>
      <c r="AX175" s="108">
        <f t="shared" si="198"/>
        <v>0</v>
      </c>
      <c r="AY175" s="108"/>
      <c r="AZ175" s="108"/>
      <c r="BA175" s="108"/>
      <c r="BB175" s="108"/>
      <c r="BC175" s="108"/>
      <c r="BD175" s="108"/>
      <c r="BE175" s="359"/>
      <c r="BF175" s="109" t="s">
        <v>521</v>
      </c>
      <c r="BG175" s="116"/>
    </row>
    <row r="176" spans="1:59" ht="36" x14ac:dyDescent="0.2">
      <c r="A176" s="167">
        <v>90000053670</v>
      </c>
      <c r="B176" s="127"/>
      <c r="C176" s="533" t="s">
        <v>365</v>
      </c>
      <c r="D176" s="534"/>
      <c r="E176" s="106" t="s">
        <v>299</v>
      </c>
      <c r="F176" s="107">
        <f t="shared" si="159"/>
        <v>435986</v>
      </c>
      <c r="G176" s="107">
        <f t="shared" si="160"/>
        <v>448449</v>
      </c>
      <c r="H176" s="108">
        <v>256802</v>
      </c>
      <c r="I176" s="108">
        <f t="shared" si="161"/>
        <v>253513</v>
      </c>
      <c r="J176" s="108">
        <f t="shared" si="162"/>
        <v>-3289</v>
      </c>
      <c r="K176" s="108">
        <f>-6582-4000</f>
        <v>-10582</v>
      </c>
      <c r="L176" s="108"/>
      <c r="M176" s="108"/>
      <c r="N176" s="108"/>
      <c r="O176" s="108"/>
      <c r="P176" s="108"/>
      <c r="Q176" s="108"/>
      <c r="R176" s="108"/>
      <c r="S176" s="108"/>
      <c r="T176" s="463">
        <v>7293</v>
      </c>
      <c r="U176" s="108"/>
      <c r="V176" s="108"/>
      <c r="W176" s="108">
        <v>121590</v>
      </c>
      <c r="X176" s="108">
        <f t="shared" si="163"/>
        <v>123871</v>
      </c>
      <c r="Y176" s="108">
        <f t="shared" si="164"/>
        <v>2281</v>
      </c>
      <c r="Z176" s="108"/>
      <c r="AA176" s="108">
        <f>795+1486</f>
        <v>2281</v>
      </c>
      <c r="AB176" s="108"/>
      <c r="AC176" s="108"/>
      <c r="AD176" s="108"/>
      <c r="AE176" s="108"/>
      <c r="AF176" s="108">
        <v>56594</v>
      </c>
      <c r="AG176" s="133">
        <f t="shared" si="165"/>
        <v>69536</v>
      </c>
      <c r="AH176" s="133">
        <f t="shared" si="166"/>
        <v>12942</v>
      </c>
      <c r="AI176" s="133">
        <v>12942</v>
      </c>
      <c r="AJ176" s="133"/>
      <c r="AK176" s="133"/>
      <c r="AL176" s="133"/>
      <c r="AM176" s="133"/>
      <c r="AN176" s="479"/>
      <c r="AO176" s="133"/>
      <c r="AP176" s="133">
        <v>1000</v>
      </c>
      <c r="AQ176" s="133">
        <f t="shared" si="167"/>
        <v>1529</v>
      </c>
      <c r="AR176" s="133">
        <f t="shared" si="168"/>
        <v>529</v>
      </c>
      <c r="AS176" s="133">
        <f>479+50</f>
        <v>529</v>
      </c>
      <c r="AT176" s="133"/>
      <c r="AU176" s="133"/>
      <c r="AV176" s="133"/>
      <c r="AW176" s="108">
        <f t="shared" si="169"/>
        <v>0</v>
      </c>
      <c r="AX176" s="108">
        <f t="shared" si="198"/>
        <v>0</v>
      </c>
      <c r="AY176" s="108"/>
      <c r="AZ176" s="108"/>
      <c r="BA176" s="108"/>
      <c r="BB176" s="108"/>
      <c r="BC176" s="108"/>
      <c r="BD176" s="108"/>
      <c r="BE176" s="359"/>
      <c r="BF176" s="109" t="s">
        <v>522</v>
      </c>
      <c r="BG176" s="116"/>
    </row>
    <row r="177" spans="1:59" s="249" customFormat="1" ht="12.75" x14ac:dyDescent="0.2">
      <c r="A177" s="167"/>
      <c r="B177" s="127"/>
      <c r="C177" s="247"/>
      <c r="D177" s="248"/>
      <c r="E177" s="106" t="s">
        <v>283</v>
      </c>
      <c r="F177" s="107">
        <f t="shared" si="159"/>
        <v>12184</v>
      </c>
      <c r="G177" s="107">
        <f t="shared" si="160"/>
        <v>12184</v>
      </c>
      <c r="H177" s="108">
        <v>12184</v>
      </c>
      <c r="I177" s="108">
        <f t="shared" si="161"/>
        <v>12184</v>
      </c>
      <c r="J177" s="108">
        <f t="shared" si="162"/>
        <v>0</v>
      </c>
      <c r="K177" s="108"/>
      <c r="L177" s="108"/>
      <c r="M177" s="108"/>
      <c r="N177" s="108"/>
      <c r="O177" s="108"/>
      <c r="P177" s="108"/>
      <c r="Q177" s="108"/>
      <c r="R177" s="108"/>
      <c r="S177" s="108"/>
      <c r="T177" s="463"/>
      <c r="U177" s="108"/>
      <c r="V177" s="108"/>
      <c r="W177" s="108">
        <v>0</v>
      </c>
      <c r="X177" s="108">
        <f t="shared" si="163"/>
        <v>0</v>
      </c>
      <c r="Y177" s="108">
        <f t="shared" si="164"/>
        <v>0</v>
      </c>
      <c r="Z177" s="108"/>
      <c r="AA177" s="108"/>
      <c r="AB177" s="108"/>
      <c r="AC177" s="108"/>
      <c r="AD177" s="108"/>
      <c r="AE177" s="108"/>
      <c r="AF177" s="108">
        <v>0</v>
      </c>
      <c r="AG177" s="133">
        <f t="shared" si="165"/>
        <v>0</v>
      </c>
      <c r="AH177" s="133">
        <f t="shared" si="166"/>
        <v>0</v>
      </c>
      <c r="AI177" s="133"/>
      <c r="AJ177" s="133"/>
      <c r="AK177" s="133"/>
      <c r="AL177" s="133"/>
      <c r="AM177" s="133"/>
      <c r="AN177" s="479"/>
      <c r="AO177" s="133"/>
      <c r="AP177" s="133">
        <v>0</v>
      </c>
      <c r="AQ177" s="133">
        <f t="shared" si="167"/>
        <v>0</v>
      </c>
      <c r="AR177" s="133">
        <f t="shared" si="168"/>
        <v>0</v>
      </c>
      <c r="AS177" s="133"/>
      <c r="AT177" s="133"/>
      <c r="AU177" s="133"/>
      <c r="AV177" s="133"/>
      <c r="AW177" s="108">
        <f t="shared" si="169"/>
        <v>0</v>
      </c>
      <c r="AX177" s="108">
        <f t="shared" si="198"/>
        <v>0</v>
      </c>
      <c r="AY177" s="108"/>
      <c r="AZ177" s="108"/>
      <c r="BA177" s="108"/>
      <c r="BB177" s="108"/>
      <c r="BC177" s="108"/>
      <c r="BD177" s="108"/>
      <c r="BE177" s="359"/>
      <c r="BF177" s="109" t="s">
        <v>524</v>
      </c>
      <c r="BG177" s="116"/>
    </row>
    <row r="178" spans="1:59" ht="24" x14ac:dyDescent="0.2">
      <c r="A178" s="167">
        <v>90000051595</v>
      </c>
      <c r="B178" s="127"/>
      <c r="C178" s="533" t="s">
        <v>169</v>
      </c>
      <c r="D178" s="534"/>
      <c r="E178" s="106" t="s">
        <v>261</v>
      </c>
      <c r="F178" s="107">
        <f t="shared" si="159"/>
        <v>957925</v>
      </c>
      <c r="G178" s="107">
        <f t="shared" si="160"/>
        <v>968042</v>
      </c>
      <c r="H178" s="108">
        <v>481704</v>
      </c>
      <c r="I178" s="108">
        <f t="shared" si="161"/>
        <v>478354</v>
      </c>
      <c r="J178" s="108">
        <f t="shared" si="162"/>
        <v>-3350</v>
      </c>
      <c r="K178" s="108">
        <f>-8551-3000</f>
        <v>-11551</v>
      </c>
      <c r="L178" s="108"/>
      <c r="M178" s="108"/>
      <c r="N178" s="108"/>
      <c r="O178" s="108"/>
      <c r="P178" s="108"/>
      <c r="Q178" s="108"/>
      <c r="R178" s="108"/>
      <c r="S178" s="108"/>
      <c r="T178" s="463">
        <v>8201</v>
      </c>
      <c r="U178" s="108"/>
      <c r="V178" s="108"/>
      <c r="W178" s="108">
        <v>467329</v>
      </c>
      <c r="X178" s="108">
        <f t="shared" si="163"/>
        <v>476053</v>
      </c>
      <c r="Y178" s="108">
        <f t="shared" si="164"/>
        <v>8724</v>
      </c>
      <c r="Z178" s="108"/>
      <c r="AA178" s="108">
        <v>8724</v>
      </c>
      <c r="AB178" s="108"/>
      <c r="AC178" s="108"/>
      <c r="AD178" s="108"/>
      <c r="AE178" s="108"/>
      <c r="AF178" s="108">
        <v>8892</v>
      </c>
      <c r="AG178" s="133">
        <f t="shared" si="165"/>
        <v>13635</v>
      </c>
      <c r="AH178" s="133">
        <f t="shared" si="166"/>
        <v>4743</v>
      </c>
      <c r="AI178" s="133">
        <v>4743</v>
      </c>
      <c r="AJ178" s="133"/>
      <c r="AK178" s="133"/>
      <c r="AL178" s="133"/>
      <c r="AM178" s="133"/>
      <c r="AN178" s="479"/>
      <c r="AO178" s="133"/>
      <c r="AP178" s="133">
        <v>0</v>
      </c>
      <c r="AQ178" s="133">
        <f t="shared" si="167"/>
        <v>0</v>
      </c>
      <c r="AR178" s="133">
        <f t="shared" si="168"/>
        <v>0</v>
      </c>
      <c r="AS178" s="133"/>
      <c r="AT178" s="133"/>
      <c r="AU178" s="133"/>
      <c r="AV178" s="133"/>
      <c r="AW178" s="108">
        <f t="shared" si="169"/>
        <v>0</v>
      </c>
      <c r="AX178" s="108">
        <f t="shared" si="198"/>
        <v>0</v>
      </c>
      <c r="AY178" s="108"/>
      <c r="AZ178" s="108"/>
      <c r="BA178" s="108"/>
      <c r="BB178" s="108"/>
      <c r="BC178" s="108"/>
      <c r="BD178" s="108"/>
      <c r="BE178" s="359"/>
      <c r="BF178" s="109" t="s">
        <v>525</v>
      </c>
      <c r="BG178" s="116"/>
    </row>
    <row r="179" spans="1:59" ht="12.75" x14ac:dyDescent="0.2">
      <c r="A179" s="167"/>
      <c r="B179" s="127"/>
      <c r="C179" s="172"/>
      <c r="D179" s="173"/>
      <c r="E179" s="106" t="s">
        <v>283</v>
      </c>
      <c r="F179" s="107">
        <f t="shared" si="159"/>
        <v>127650</v>
      </c>
      <c r="G179" s="107">
        <f t="shared" si="160"/>
        <v>127650</v>
      </c>
      <c r="H179" s="108">
        <v>85947</v>
      </c>
      <c r="I179" s="108">
        <f t="shared" si="161"/>
        <v>85947</v>
      </c>
      <c r="J179" s="108">
        <f t="shared" si="162"/>
        <v>0</v>
      </c>
      <c r="K179" s="108"/>
      <c r="L179" s="108"/>
      <c r="M179" s="108"/>
      <c r="N179" s="108"/>
      <c r="O179" s="108"/>
      <c r="P179" s="108"/>
      <c r="Q179" s="108"/>
      <c r="R179" s="108"/>
      <c r="S179" s="108"/>
      <c r="T179" s="463"/>
      <c r="U179" s="108"/>
      <c r="V179" s="108"/>
      <c r="W179" s="108">
        <v>41703</v>
      </c>
      <c r="X179" s="108">
        <f t="shared" si="163"/>
        <v>41703</v>
      </c>
      <c r="Y179" s="108">
        <f t="shared" si="164"/>
        <v>0</v>
      </c>
      <c r="Z179" s="108"/>
      <c r="AA179" s="108"/>
      <c r="AB179" s="108"/>
      <c r="AC179" s="108"/>
      <c r="AD179" s="108"/>
      <c r="AE179" s="108"/>
      <c r="AF179" s="108">
        <v>0</v>
      </c>
      <c r="AG179" s="133">
        <f t="shared" si="165"/>
        <v>0</v>
      </c>
      <c r="AH179" s="133">
        <f t="shared" si="166"/>
        <v>0</v>
      </c>
      <c r="AI179" s="133"/>
      <c r="AJ179" s="133"/>
      <c r="AK179" s="133"/>
      <c r="AL179" s="133"/>
      <c r="AM179" s="133"/>
      <c r="AN179" s="479"/>
      <c r="AO179" s="133"/>
      <c r="AP179" s="133">
        <v>0</v>
      </c>
      <c r="AQ179" s="133">
        <f t="shared" si="167"/>
        <v>0</v>
      </c>
      <c r="AR179" s="133">
        <f t="shared" si="168"/>
        <v>0</v>
      </c>
      <c r="AS179" s="133"/>
      <c r="AT179" s="133"/>
      <c r="AU179" s="133"/>
      <c r="AV179" s="133"/>
      <c r="AW179" s="108">
        <f t="shared" si="169"/>
        <v>0</v>
      </c>
      <c r="AX179" s="108">
        <f t="shared" si="198"/>
        <v>0</v>
      </c>
      <c r="AY179" s="108"/>
      <c r="AZ179" s="108"/>
      <c r="BA179" s="108"/>
      <c r="BB179" s="108"/>
      <c r="BC179" s="108"/>
      <c r="BD179" s="108"/>
      <c r="BE179" s="359"/>
      <c r="BF179" s="109" t="s">
        <v>523</v>
      </c>
      <c r="BG179" s="116"/>
    </row>
    <row r="180" spans="1:59" ht="24" x14ac:dyDescent="0.2">
      <c r="A180" s="167">
        <v>90000056465</v>
      </c>
      <c r="B180" s="127"/>
      <c r="C180" s="533" t="s">
        <v>366</v>
      </c>
      <c r="D180" s="534"/>
      <c r="E180" s="106" t="s">
        <v>286</v>
      </c>
      <c r="F180" s="107">
        <f t="shared" si="159"/>
        <v>820095</v>
      </c>
      <c r="G180" s="107">
        <f t="shared" si="160"/>
        <v>799790</v>
      </c>
      <c r="H180" s="108">
        <v>407217</v>
      </c>
      <c r="I180" s="108">
        <f t="shared" si="161"/>
        <v>390625</v>
      </c>
      <c r="J180" s="108">
        <f t="shared" si="162"/>
        <v>-16592</v>
      </c>
      <c r="K180" s="108">
        <v>-16592</v>
      </c>
      <c r="L180" s="108"/>
      <c r="M180" s="108"/>
      <c r="N180" s="108"/>
      <c r="O180" s="108"/>
      <c r="P180" s="108"/>
      <c r="Q180" s="108"/>
      <c r="R180" s="108"/>
      <c r="S180" s="108"/>
      <c r="T180" s="463"/>
      <c r="U180" s="108"/>
      <c r="V180" s="108"/>
      <c r="W180" s="108">
        <v>317283</v>
      </c>
      <c r="X180" s="108">
        <f t="shared" si="163"/>
        <v>316701</v>
      </c>
      <c r="Y180" s="108">
        <f t="shared" si="164"/>
        <v>-582</v>
      </c>
      <c r="Z180" s="108"/>
      <c r="AA180" s="108">
        <v>-582</v>
      </c>
      <c r="AB180" s="108"/>
      <c r="AC180" s="108"/>
      <c r="AD180" s="108"/>
      <c r="AE180" s="108"/>
      <c r="AF180" s="108">
        <v>95595</v>
      </c>
      <c r="AG180" s="133">
        <f t="shared" si="165"/>
        <v>92238</v>
      </c>
      <c r="AH180" s="133">
        <f t="shared" si="166"/>
        <v>-3357</v>
      </c>
      <c r="AI180" s="133">
        <v>-3368</v>
      </c>
      <c r="AJ180" s="133"/>
      <c r="AK180" s="133">
        <v>11</v>
      </c>
      <c r="AL180" s="133"/>
      <c r="AM180" s="133"/>
      <c r="AN180" s="479"/>
      <c r="AO180" s="133"/>
      <c r="AP180" s="133">
        <v>0</v>
      </c>
      <c r="AQ180" s="133">
        <f t="shared" si="167"/>
        <v>237</v>
      </c>
      <c r="AR180" s="133">
        <f t="shared" si="168"/>
        <v>237</v>
      </c>
      <c r="AS180" s="133">
        <v>237</v>
      </c>
      <c r="AT180" s="133"/>
      <c r="AU180" s="133"/>
      <c r="AV180" s="133"/>
      <c r="AW180" s="108">
        <f t="shared" si="169"/>
        <v>-11</v>
      </c>
      <c r="AX180" s="108">
        <f t="shared" si="198"/>
        <v>-11</v>
      </c>
      <c r="AY180" s="108"/>
      <c r="AZ180" s="108"/>
      <c r="BA180" s="108">
        <v>-11</v>
      </c>
      <c r="BB180" s="108"/>
      <c r="BC180" s="108"/>
      <c r="BD180" s="108"/>
      <c r="BE180" s="359"/>
      <c r="BF180" s="109" t="s">
        <v>526</v>
      </c>
      <c r="BG180" s="116"/>
    </row>
    <row r="181" spans="1:59" s="409" customFormat="1" ht="48" x14ac:dyDescent="0.2">
      <c r="A181" s="167"/>
      <c r="B181" s="127"/>
      <c r="C181" s="407"/>
      <c r="D181" s="408"/>
      <c r="E181" s="106" t="s">
        <v>707</v>
      </c>
      <c r="F181" s="107">
        <f t="shared" si="159"/>
        <v>0</v>
      </c>
      <c r="G181" s="107">
        <f t="shared" si="160"/>
        <v>15450</v>
      </c>
      <c r="H181" s="108"/>
      <c r="I181" s="108">
        <f t="shared" ref="I181" si="199">H181+J181</f>
        <v>15450</v>
      </c>
      <c r="J181" s="108">
        <f t="shared" ref="J181" si="200">SUM(K181:V181)</f>
        <v>15450</v>
      </c>
      <c r="K181" s="108"/>
      <c r="L181" s="108"/>
      <c r="M181" s="108">
        <v>15060</v>
      </c>
      <c r="N181" s="108">
        <v>390</v>
      </c>
      <c r="O181" s="108"/>
      <c r="P181" s="108"/>
      <c r="Q181" s="108"/>
      <c r="R181" s="108"/>
      <c r="S181" s="108"/>
      <c r="T181" s="463"/>
      <c r="U181" s="108"/>
      <c r="V181" s="108"/>
      <c r="W181" s="108"/>
      <c r="X181" s="108">
        <f t="shared" ref="X181" si="201">W181+Y181</f>
        <v>0</v>
      </c>
      <c r="Y181" s="108">
        <f t="shared" ref="Y181" si="202">SUM(Z181:AE181)</f>
        <v>0</v>
      </c>
      <c r="Z181" s="108"/>
      <c r="AA181" s="108"/>
      <c r="AB181" s="108"/>
      <c r="AC181" s="108"/>
      <c r="AD181" s="108"/>
      <c r="AE181" s="108"/>
      <c r="AF181" s="108"/>
      <c r="AG181" s="133">
        <f t="shared" ref="AG181" si="203">AH181+AF181</f>
        <v>0</v>
      </c>
      <c r="AH181" s="133">
        <f t="shared" ref="AH181" si="204">SUM(AI181:AN181)</f>
        <v>0</v>
      </c>
      <c r="AI181" s="133"/>
      <c r="AJ181" s="133"/>
      <c r="AK181" s="133"/>
      <c r="AL181" s="133"/>
      <c r="AM181" s="133"/>
      <c r="AN181" s="479"/>
      <c r="AO181" s="133"/>
      <c r="AP181" s="133"/>
      <c r="AQ181" s="133">
        <f t="shared" ref="AQ181" si="205">AR181+AP181</f>
        <v>0</v>
      </c>
      <c r="AR181" s="133">
        <f t="shared" ref="AR181" si="206">SUM(AS181:AU181)</f>
        <v>0</v>
      </c>
      <c r="AS181" s="133"/>
      <c r="AT181" s="133"/>
      <c r="AU181" s="133"/>
      <c r="AV181" s="133"/>
      <c r="AW181" s="108">
        <f t="shared" ref="AW181" si="207">AX181+AV181</f>
        <v>0</v>
      </c>
      <c r="AX181" s="108">
        <f t="shared" si="198"/>
        <v>0</v>
      </c>
      <c r="AY181" s="108"/>
      <c r="AZ181" s="108"/>
      <c r="BA181" s="108"/>
      <c r="BB181" s="108"/>
      <c r="BC181" s="108"/>
      <c r="BD181" s="108"/>
      <c r="BE181" s="359"/>
      <c r="BF181" s="109" t="s">
        <v>708</v>
      </c>
      <c r="BG181" s="116"/>
    </row>
    <row r="182" spans="1:59" s="433" customFormat="1" ht="36" x14ac:dyDescent="0.2">
      <c r="A182" s="167"/>
      <c r="B182" s="127"/>
      <c r="C182" s="434"/>
      <c r="D182" s="435"/>
      <c r="E182" s="106" t="s">
        <v>733</v>
      </c>
      <c r="F182" s="107">
        <f t="shared" ref="F182" si="208">H182+W182+AF182+AO182+AP182+AV182</f>
        <v>0</v>
      </c>
      <c r="G182" s="107">
        <f t="shared" ref="G182" si="209">I182+X182+AG182+AO182+AQ182+AW182</f>
        <v>7531</v>
      </c>
      <c r="H182" s="108"/>
      <c r="I182" s="108">
        <f t="shared" ref="I182" si="210">H182+J182</f>
        <v>7531</v>
      </c>
      <c r="J182" s="108">
        <f t="shared" ref="J182" si="211">SUM(K182:V182)</f>
        <v>7531</v>
      </c>
      <c r="K182" s="108"/>
      <c r="L182" s="108"/>
      <c r="M182" s="108"/>
      <c r="N182" s="108"/>
      <c r="O182" s="108">
        <v>7531</v>
      </c>
      <c r="P182" s="108"/>
      <c r="Q182" s="108"/>
      <c r="R182" s="108"/>
      <c r="S182" s="108"/>
      <c r="T182" s="463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33"/>
      <c r="AH182" s="133"/>
      <c r="AI182" s="133"/>
      <c r="AJ182" s="133"/>
      <c r="AK182" s="133"/>
      <c r="AL182" s="133"/>
      <c r="AM182" s="133"/>
      <c r="AN182" s="479"/>
      <c r="AO182" s="133"/>
      <c r="AP182" s="133"/>
      <c r="AQ182" s="133"/>
      <c r="AR182" s="133"/>
      <c r="AS182" s="133"/>
      <c r="AT182" s="133"/>
      <c r="AU182" s="133"/>
      <c r="AV182" s="133"/>
      <c r="AW182" s="108"/>
      <c r="AX182" s="108"/>
      <c r="AY182" s="108"/>
      <c r="AZ182" s="108"/>
      <c r="BA182" s="108"/>
      <c r="BB182" s="108"/>
      <c r="BC182" s="108"/>
      <c r="BD182" s="108"/>
      <c r="BE182" s="359"/>
      <c r="BF182" s="109" t="s">
        <v>734</v>
      </c>
      <c r="BG182" s="116"/>
    </row>
    <row r="183" spans="1:59" ht="36" x14ac:dyDescent="0.2">
      <c r="A183" s="167">
        <v>90009249140</v>
      </c>
      <c r="B183" s="127"/>
      <c r="C183" s="533" t="s">
        <v>282</v>
      </c>
      <c r="D183" s="534"/>
      <c r="E183" s="106" t="s">
        <v>262</v>
      </c>
      <c r="F183" s="107">
        <f t="shared" si="159"/>
        <v>307707</v>
      </c>
      <c r="G183" s="107">
        <f t="shared" si="160"/>
        <v>308797</v>
      </c>
      <c r="H183" s="108">
        <v>289156</v>
      </c>
      <c r="I183" s="108">
        <f t="shared" si="161"/>
        <v>289831</v>
      </c>
      <c r="J183" s="108">
        <f t="shared" si="162"/>
        <v>675</v>
      </c>
      <c r="K183" s="108">
        <v>-7680</v>
      </c>
      <c r="L183" s="108"/>
      <c r="M183" s="108"/>
      <c r="N183" s="108"/>
      <c r="O183" s="108"/>
      <c r="P183" s="108"/>
      <c r="Q183" s="108"/>
      <c r="R183" s="108"/>
      <c r="S183" s="108"/>
      <c r="T183" s="463">
        <v>8355</v>
      </c>
      <c r="U183" s="108"/>
      <c r="V183" s="108"/>
      <c r="W183" s="108">
        <v>17149</v>
      </c>
      <c r="X183" s="108">
        <f t="shared" si="163"/>
        <v>17565</v>
      </c>
      <c r="Y183" s="108">
        <f t="shared" si="164"/>
        <v>416</v>
      </c>
      <c r="Z183" s="108"/>
      <c r="AA183" s="108">
        <v>416</v>
      </c>
      <c r="AB183" s="108"/>
      <c r="AC183" s="108"/>
      <c r="AD183" s="108"/>
      <c r="AE183" s="108"/>
      <c r="AF183" s="108">
        <v>1402</v>
      </c>
      <c r="AG183" s="133">
        <f t="shared" si="165"/>
        <v>1439</v>
      </c>
      <c r="AH183" s="133">
        <f t="shared" si="166"/>
        <v>37</v>
      </c>
      <c r="AI183" s="133">
        <v>37</v>
      </c>
      <c r="AJ183" s="133"/>
      <c r="AK183" s="133"/>
      <c r="AL183" s="133"/>
      <c r="AM183" s="133"/>
      <c r="AN183" s="479"/>
      <c r="AO183" s="133"/>
      <c r="AP183" s="133">
        <v>0</v>
      </c>
      <c r="AQ183" s="133">
        <f t="shared" si="167"/>
        <v>0</v>
      </c>
      <c r="AR183" s="133">
        <f t="shared" si="168"/>
        <v>0</v>
      </c>
      <c r="AS183" s="133"/>
      <c r="AT183" s="133"/>
      <c r="AU183" s="133"/>
      <c r="AV183" s="133"/>
      <c r="AW183" s="108">
        <f t="shared" si="169"/>
        <v>-38</v>
      </c>
      <c r="AX183" s="108">
        <f t="shared" ref="AX183:AX229" si="212">SUM(AY183:BE183)</f>
        <v>-38</v>
      </c>
      <c r="AY183" s="108">
        <v>-38</v>
      </c>
      <c r="AZ183" s="108"/>
      <c r="BA183" s="108"/>
      <c r="BB183" s="108"/>
      <c r="BC183" s="108"/>
      <c r="BD183" s="108"/>
      <c r="BE183" s="359"/>
      <c r="BF183" s="109" t="s">
        <v>527</v>
      </c>
      <c r="BG183" s="116"/>
    </row>
    <row r="184" spans="1:59" ht="12.75" x14ac:dyDescent="0.2">
      <c r="A184" s="167"/>
      <c r="B184" s="127"/>
      <c r="C184" s="172"/>
      <c r="D184" s="173"/>
      <c r="E184" s="106" t="s">
        <v>283</v>
      </c>
      <c r="F184" s="107">
        <f t="shared" si="159"/>
        <v>27225</v>
      </c>
      <c r="G184" s="107">
        <f t="shared" si="160"/>
        <v>27225</v>
      </c>
      <c r="H184" s="108">
        <v>27225</v>
      </c>
      <c r="I184" s="108">
        <f t="shared" si="161"/>
        <v>27225</v>
      </c>
      <c r="J184" s="108">
        <f t="shared" si="162"/>
        <v>0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463"/>
      <c r="U184" s="108"/>
      <c r="V184" s="108"/>
      <c r="W184" s="108">
        <v>0</v>
      </c>
      <c r="X184" s="108">
        <f t="shared" si="163"/>
        <v>0</v>
      </c>
      <c r="Y184" s="108">
        <f t="shared" si="164"/>
        <v>0</v>
      </c>
      <c r="Z184" s="108"/>
      <c r="AA184" s="108"/>
      <c r="AB184" s="108"/>
      <c r="AC184" s="108"/>
      <c r="AD184" s="108"/>
      <c r="AE184" s="108"/>
      <c r="AF184" s="108">
        <v>0</v>
      </c>
      <c r="AG184" s="133">
        <f t="shared" si="165"/>
        <v>0</v>
      </c>
      <c r="AH184" s="133">
        <f t="shared" si="166"/>
        <v>0</v>
      </c>
      <c r="AI184" s="133"/>
      <c r="AJ184" s="133"/>
      <c r="AK184" s="133"/>
      <c r="AL184" s="133"/>
      <c r="AM184" s="133"/>
      <c r="AN184" s="479"/>
      <c r="AO184" s="133"/>
      <c r="AP184" s="133">
        <v>0</v>
      </c>
      <c r="AQ184" s="133">
        <f t="shared" si="167"/>
        <v>0</v>
      </c>
      <c r="AR184" s="133">
        <f t="shared" si="168"/>
        <v>0</v>
      </c>
      <c r="AS184" s="133"/>
      <c r="AT184" s="133"/>
      <c r="AU184" s="133"/>
      <c r="AV184" s="133"/>
      <c r="AW184" s="108">
        <f t="shared" si="169"/>
        <v>0</v>
      </c>
      <c r="AX184" s="108">
        <f t="shared" si="212"/>
        <v>0</v>
      </c>
      <c r="AY184" s="108"/>
      <c r="AZ184" s="108"/>
      <c r="BA184" s="108"/>
      <c r="BB184" s="108"/>
      <c r="BC184" s="108"/>
      <c r="BD184" s="108"/>
      <c r="BE184" s="359"/>
      <c r="BF184" s="109" t="s">
        <v>528</v>
      </c>
      <c r="BG184" s="116"/>
    </row>
    <row r="185" spans="1:59" ht="36" x14ac:dyDescent="0.2">
      <c r="A185" s="167">
        <v>90009249210</v>
      </c>
      <c r="B185" s="127"/>
      <c r="C185" s="533" t="s">
        <v>188</v>
      </c>
      <c r="D185" s="534"/>
      <c r="E185" s="106" t="s">
        <v>262</v>
      </c>
      <c r="F185" s="107">
        <f t="shared" si="159"/>
        <v>560119</v>
      </c>
      <c r="G185" s="107">
        <f t="shared" si="160"/>
        <v>566336</v>
      </c>
      <c r="H185" s="108">
        <v>522278</v>
      </c>
      <c r="I185" s="108">
        <f t="shared" si="161"/>
        <v>527020</v>
      </c>
      <c r="J185" s="108">
        <f t="shared" si="162"/>
        <v>4742</v>
      </c>
      <c r="K185" s="108">
        <v>-16732</v>
      </c>
      <c r="L185" s="108"/>
      <c r="M185" s="108"/>
      <c r="N185" s="108"/>
      <c r="O185" s="108"/>
      <c r="P185" s="108"/>
      <c r="Q185" s="108"/>
      <c r="R185" s="108"/>
      <c r="S185" s="108"/>
      <c r="T185" s="463">
        <v>21474</v>
      </c>
      <c r="U185" s="108"/>
      <c r="V185" s="108"/>
      <c r="W185" s="108">
        <v>35124</v>
      </c>
      <c r="X185" s="108">
        <f t="shared" si="163"/>
        <v>36170</v>
      </c>
      <c r="Y185" s="108">
        <f t="shared" si="164"/>
        <v>1046</v>
      </c>
      <c r="Z185" s="108"/>
      <c r="AA185" s="108">
        <f>1041+5</f>
        <v>1046</v>
      </c>
      <c r="AB185" s="108"/>
      <c r="AC185" s="108"/>
      <c r="AD185" s="108"/>
      <c r="AE185" s="108"/>
      <c r="AF185" s="108">
        <v>2717</v>
      </c>
      <c r="AG185" s="133">
        <f t="shared" si="165"/>
        <v>3149</v>
      </c>
      <c r="AH185" s="133">
        <f t="shared" si="166"/>
        <v>432</v>
      </c>
      <c r="AI185" s="133">
        <v>-30</v>
      </c>
      <c r="AJ185" s="133"/>
      <c r="AK185" s="133">
        <v>462</v>
      </c>
      <c r="AL185" s="133"/>
      <c r="AM185" s="133"/>
      <c r="AN185" s="479"/>
      <c r="AO185" s="133"/>
      <c r="AP185" s="133">
        <v>0</v>
      </c>
      <c r="AQ185" s="133">
        <f t="shared" si="167"/>
        <v>0</v>
      </c>
      <c r="AR185" s="133">
        <f t="shared" si="168"/>
        <v>0</v>
      </c>
      <c r="AS185" s="133"/>
      <c r="AT185" s="133"/>
      <c r="AU185" s="133"/>
      <c r="AV185" s="133"/>
      <c r="AW185" s="108">
        <f t="shared" si="169"/>
        <v>-3</v>
      </c>
      <c r="AX185" s="108">
        <f t="shared" si="212"/>
        <v>-3</v>
      </c>
      <c r="AY185" s="108">
        <v>-3</v>
      </c>
      <c r="AZ185" s="108"/>
      <c r="BA185" s="108"/>
      <c r="BB185" s="108"/>
      <c r="BC185" s="108"/>
      <c r="BD185" s="108"/>
      <c r="BE185" s="359"/>
      <c r="BF185" s="109" t="s">
        <v>529</v>
      </c>
      <c r="BG185" s="116"/>
    </row>
    <row r="186" spans="1:59" ht="12.75" x14ac:dyDescent="0.2">
      <c r="A186" s="167"/>
      <c r="B186" s="127"/>
      <c r="C186" s="172"/>
      <c r="D186" s="173"/>
      <c r="E186" s="106" t="s">
        <v>283</v>
      </c>
      <c r="F186" s="107">
        <f t="shared" si="159"/>
        <v>67910</v>
      </c>
      <c r="G186" s="107">
        <f t="shared" si="160"/>
        <v>67910</v>
      </c>
      <c r="H186" s="108">
        <v>67910</v>
      </c>
      <c r="I186" s="108">
        <f t="shared" si="161"/>
        <v>67910</v>
      </c>
      <c r="J186" s="108">
        <f t="shared" si="162"/>
        <v>0</v>
      </c>
      <c r="K186" s="108"/>
      <c r="L186" s="108"/>
      <c r="M186" s="108"/>
      <c r="N186" s="108"/>
      <c r="O186" s="108"/>
      <c r="P186" s="108"/>
      <c r="Q186" s="108"/>
      <c r="R186" s="108"/>
      <c r="S186" s="108"/>
      <c r="T186" s="463"/>
      <c r="U186" s="108"/>
      <c r="V186" s="108"/>
      <c r="W186" s="108">
        <v>0</v>
      </c>
      <c r="X186" s="108">
        <f t="shared" si="163"/>
        <v>0</v>
      </c>
      <c r="Y186" s="108">
        <f t="shared" si="164"/>
        <v>0</v>
      </c>
      <c r="Z186" s="108"/>
      <c r="AA186" s="108"/>
      <c r="AB186" s="108"/>
      <c r="AC186" s="108"/>
      <c r="AD186" s="108"/>
      <c r="AE186" s="108"/>
      <c r="AF186" s="108">
        <v>0</v>
      </c>
      <c r="AG186" s="133">
        <f t="shared" si="165"/>
        <v>0</v>
      </c>
      <c r="AH186" s="133">
        <f t="shared" si="166"/>
        <v>0</v>
      </c>
      <c r="AI186" s="133"/>
      <c r="AJ186" s="133"/>
      <c r="AK186" s="133"/>
      <c r="AL186" s="133"/>
      <c r="AM186" s="133"/>
      <c r="AN186" s="479"/>
      <c r="AO186" s="133"/>
      <c r="AP186" s="133">
        <v>0</v>
      </c>
      <c r="AQ186" s="133">
        <f t="shared" si="167"/>
        <v>0</v>
      </c>
      <c r="AR186" s="133">
        <f t="shared" si="168"/>
        <v>0</v>
      </c>
      <c r="AS186" s="133"/>
      <c r="AT186" s="133"/>
      <c r="AU186" s="133"/>
      <c r="AV186" s="133"/>
      <c r="AW186" s="108">
        <f t="shared" si="169"/>
        <v>0</v>
      </c>
      <c r="AX186" s="108">
        <f t="shared" si="212"/>
        <v>0</v>
      </c>
      <c r="AY186" s="108"/>
      <c r="AZ186" s="108"/>
      <c r="BA186" s="108"/>
      <c r="BB186" s="108"/>
      <c r="BC186" s="108"/>
      <c r="BD186" s="108"/>
      <c r="BE186" s="359"/>
      <c r="BF186" s="109" t="s">
        <v>530</v>
      </c>
      <c r="BG186" s="116"/>
    </row>
    <row r="187" spans="1:59" ht="36" x14ac:dyDescent="0.2">
      <c r="A187" s="167">
        <v>90009249155</v>
      </c>
      <c r="B187" s="127"/>
      <c r="C187" s="533" t="s">
        <v>189</v>
      </c>
      <c r="D187" s="534"/>
      <c r="E187" s="106" t="s">
        <v>262</v>
      </c>
      <c r="F187" s="107">
        <f t="shared" si="159"/>
        <v>318397</v>
      </c>
      <c r="G187" s="107">
        <f t="shared" si="160"/>
        <v>321008</v>
      </c>
      <c r="H187" s="108">
        <v>297050</v>
      </c>
      <c r="I187" s="108">
        <f t="shared" si="161"/>
        <v>299140</v>
      </c>
      <c r="J187" s="108">
        <f t="shared" si="162"/>
        <v>2090</v>
      </c>
      <c r="K187" s="108">
        <v>-8316</v>
      </c>
      <c r="L187" s="108"/>
      <c r="M187" s="108"/>
      <c r="N187" s="108"/>
      <c r="O187" s="108"/>
      <c r="P187" s="108"/>
      <c r="Q187" s="108"/>
      <c r="R187" s="108"/>
      <c r="S187" s="108">
        <v>914</v>
      </c>
      <c r="T187" s="463">
        <v>9492</v>
      </c>
      <c r="U187" s="108"/>
      <c r="V187" s="108"/>
      <c r="W187" s="108">
        <v>20907</v>
      </c>
      <c r="X187" s="108">
        <f t="shared" si="163"/>
        <v>21494</v>
      </c>
      <c r="Y187" s="108">
        <f t="shared" si="164"/>
        <v>587</v>
      </c>
      <c r="Z187" s="108"/>
      <c r="AA187" s="108">
        <v>587</v>
      </c>
      <c r="AB187" s="108"/>
      <c r="AC187" s="108"/>
      <c r="AD187" s="108"/>
      <c r="AE187" s="108"/>
      <c r="AF187" s="108">
        <v>440</v>
      </c>
      <c r="AG187" s="133">
        <f t="shared" si="165"/>
        <v>411</v>
      </c>
      <c r="AH187" s="133">
        <f t="shared" si="166"/>
        <v>-29</v>
      </c>
      <c r="AI187" s="133">
        <v>-29</v>
      </c>
      <c r="AJ187" s="133"/>
      <c r="AK187" s="133"/>
      <c r="AL187" s="133"/>
      <c r="AM187" s="133"/>
      <c r="AN187" s="479"/>
      <c r="AO187" s="133"/>
      <c r="AP187" s="133">
        <v>0</v>
      </c>
      <c r="AQ187" s="133">
        <f t="shared" si="167"/>
        <v>0</v>
      </c>
      <c r="AR187" s="133">
        <f t="shared" si="168"/>
        <v>0</v>
      </c>
      <c r="AS187" s="133"/>
      <c r="AT187" s="133"/>
      <c r="AU187" s="133"/>
      <c r="AV187" s="133"/>
      <c r="AW187" s="108">
        <f t="shared" si="169"/>
        <v>-37</v>
      </c>
      <c r="AX187" s="108">
        <f t="shared" si="212"/>
        <v>-37</v>
      </c>
      <c r="AY187" s="108">
        <v>-37</v>
      </c>
      <c r="AZ187" s="108"/>
      <c r="BA187" s="108"/>
      <c r="BB187" s="108"/>
      <c r="BC187" s="108"/>
      <c r="BD187" s="108"/>
      <c r="BE187" s="359"/>
      <c r="BF187" s="109" t="s">
        <v>531</v>
      </c>
      <c r="BG187" s="116"/>
    </row>
    <row r="188" spans="1:59" ht="12.75" x14ac:dyDescent="0.2">
      <c r="A188" s="167"/>
      <c r="B188" s="127"/>
      <c r="C188" s="172"/>
      <c r="D188" s="173"/>
      <c r="E188" s="106" t="s">
        <v>283</v>
      </c>
      <c r="F188" s="107">
        <f t="shared" si="159"/>
        <v>24166</v>
      </c>
      <c r="G188" s="107">
        <f t="shared" si="160"/>
        <v>24166</v>
      </c>
      <c r="H188" s="108">
        <v>24166</v>
      </c>
      <c r="I188" s="108">
        <f t="shared" si="161"/>
        <v>24166</v>
      </c>
      <c r="J188" s="108">
        <f t="shared" si="162"/>
        <v>0</v>
      </c>
      <c r="K188" s="108"/>
      <c r="L188" s="108"/>
      <c r="M188" s="108"/>
      <c r="N188" s="108"/>
      <c r="O188" s="108"/>
      <c r="P188" s="108"/>
      <c r="Q188" s="108"/>
      <c r="R188" s="108"/>
      <c r="S188" s="108"/>
      <c r="T188" s="463"/>
      <c r="U188" s="108"/>
      <c r="V188" s="108"/>
      <c r="W188" s="108">
        <v>0</v>
      </c>
      <c r="X188" s="108">
        <f t="shared" si="163"/>
        <v>0</v>
      </c>
      <c r="Y188" s="108">
        <f t="shared" si="164"/>
        <v>0</v>
      </c>
      <c r="Z188" s="108"/>
      <c r="AA188" s="108"/>
      <c r="AB188" s="108"/>
      <c r="AC188" s="108"/>
      <c r="AD188" s="108"/>
      <c r="AE188" s="108"/>
      <c r="AF188" s="108">
        <v>0</v>
      </c>
      <c r="AG188" s="133">
        <f t="shared" si="165"/>
        <v>0</v>
      </c>
      <c r="AH188" s="133">
        <f t="shared" si="166"/>
        <v>0</v>
      </c>
      <c r="AI188" s="133"/>
      <c r="AJ188" s="133"/>
      <c r="AK188" s="133"/>
      <c r="AL188" s="133"/>
      <c r="AM188" s="133"/>
      <c r="AN188" s="479"/>
      <c r="AO188" s="133"/>
      <c r="AP188" s="133">
        <v>0</v>
      </c>
      <c r="AQ188" s="133">
        <f t="shared" si="167"/>
        <v>0</v>
      </c>
      <c r="AR188" s="133">
        <f t="shared" si="168"/>
        <v>0</v>
      </c>
      <c r="AS188" s="133"/>
      <c r="AT188" s="133"/>
      <c r="AU188" s="133"/>
      <c r="AV188" s="133"/>
      <c r="AW188" s="108">
        <f t="shared" si="169"/>
        <v>0</v>
      </c>
      <c r="AX188" s="108">
        <f t="shared" si="212"/>
        <v>0</v>
      </c>
      <c r="AY188" s="108"/>
      <c r="AZ188" s="108"/>
      <c r="BA188" s="108"/>
      <c r="BB188" s="108"/>
      <c r="BC188" s="108"/>
      <c r="BD188" s="108"/>
      <c r="BE188" s="359"/>
      <c r="BF188" s="109" t="s">
        <v>532</v>
      </c>
      <c r="BG188" s="116"/>
    </row>
    <row r="189" spans="1:59" ht="36" x14ac:dyDescent="0.2">
      <c r="A189" s="167">
        <v>90009249259</v>
      </c>
      <c r="B189" s="127"/>
      <c r="C189" s="533" t="s">
        <v>190</v>
      </c>
      <c r="D189" s="534"/>
      <c r="E189" s="106" t="s">
        <v>262</v>
      </c>
      <c r="F189" s="107">
        <f t="shared" si="159"/>
        <v>537841</v>
      </c>
      <c r="G189" s="107">
        <f t="shared" si="160"/>
        <v>553620</v>
      </c>
      <c r="H189" s="108">
        <v>491249</v>
      </c>
      <c r="I189" s="108">
        <f t="shared" si="161"/>
        <v>505591</v>
      </c>
      <c r="J189" s="108">
        <f t="shared" si="162"/>
        <v>14342</v>
      </c>
      <c r="K189" s="108">
        <f>-15601-113</f>
        <v>-15714</v>
      </c>
      <c r="L189" s="108"/>
      <c r="M189" s="108"/>
      <c r="N189" s="108"/>
      <c r="O189" s="108"/>
      <c r="P189" s="108"/>
      <c r="Q189" s="108"/>
      <c r="R189" s="108"/>
      <c r="S189" s="108"/>
      <c r="T189" s="463">
        <v>30056</v>
      </c>
      <c r="U189" s="108"/>
      <c r="V189" s="108"/>
      <c r="W189" s="108">
        <v>41596</v>
      </c>
      <c r="X189" s="108">
        <f t="shared" si="163"/>
        <v>42921</v>
      </c>
      <c r="Y189" s="108">
        <f t="shared" si="164"/>
        <v>1325</v>
      </c>
      <c r="Z189" s="108"/>
      <c r="AA189" s="108">
        <v>1325</v>
      </c>
      <c r="AB189" s="108"/>
      <c r="AC189" s="108"/>
      <c r="AD189" s="108"/>
      <c r="AE189" s="108"/>
      <c r="AF189" s="108">
        <v>5032</v>
      </c>
      <c r="AG189" s="133">
        <f t="shared" si="165"/>
        <v>5174</v>
      </c>
      <c r="AH189" s="133">
        <f t="shared" si="166"/>
        <v>142</v>
      </c>
      <c r="AI189" s="133">
        <v>142</v>
      </c>
      <c r="AJ189" s="133"/>
      <c r="AK189" s="133"/>
      <c r="AL189" s="133"/>
      <c r="AM189" s="133"/>
      <c r="AN189" s="479"/>
      <c r="AO189" s="133"/>
      <c r="AP189" s="133">
        <v>0</v>
      </c>
      <c r="AQ189" s="133">
        <f t="shared" si="167"/>
        <v>0</v>
      </c>
      <c r="AR189" s="133">
        <f t="shared" si="168"/>
        <v>0</v>
      </c>
      <c r="AS189" s="133"/>
      <c r="AT189" s="133"/>
      <c r="AU189" s="133"/>
      <c r="AV189" s="133">
        <v>-36</v>
      </c>
      <c r="AW189" s="108">
        <f t="shared" si="169"/>
        <v>-66</v>
      </c>
      <c r="AX189" s="108">
        <f t="shared" si="212"/>
        <v>-30</v>
      </c>
      <c r="AY189" s="108">
        <v>-30</v>
      </c>
      <c r="AZ189" s="108"/>
      <c r="BA189" s="108"/>
      <c r="BB189" s="108"/>
      <c r="BC189" s="108"/>
      <c r="BD189" s="108"/>
      <c r="BE189" s="359"/>
      <c r="BF189" s="109" t="s">
        <v>533</v>
      </c>
      <c r="BG189" s="116"/>
    </row>
    <row r="190" spans="1:59" ht="12.75" x14ac:dyDescent="0.2">
      <c r="A190" s="167"/>
      <c r="B190" s="127"/>
      <c r="C190" s="172"/>
      <c r="D190" s="173"/>
      <c r="E190" s="106" t="s">
        <v>283</v>
      </c>
      <c r="F190" s="107">
        <f t="shared" si="159"/>
        <v>62550</v>
      </c>
      <c r="G190" s="107">
        <f t="shared" si="160"/>
        <v>62550</v>
      </c>
      <c r="H190" s="108">
        <v>62550</v>
      </c>
      <c r="I190" s="108">
        <f t="shared" si="161"/>
        <v>62550</v>
      </c>
      <c r="J190" s="108">
        <f t="shared" si="162"/>
        <v>0</v>
      </c>
      <c r="K190" s="108"/>
      <c r="L190" s="108"/>
      <c r="M190" s="108"/>
      <c r="N190" s="108"/>
      <c r="O190" s="108"/>
      <c r="P190" s="108"/>
      <c r="Q190" s="108"/>
      <c r="R190" s="108"/>
      <c r="S190" s="108"/>
      <c r="T190" s="463"/>
      <c r="U190" s="108"/>
      <c r="V190" s="108"/>
      <c r="W190" s="108">
        <v>0</v>
      </c>
      <c r="X190" s="108">
        <f t="shared" si="163"/>
        <v>0</v>
      </c>
      <c r="Y190" s="108">
        <f t="shared" si="164"/>
        <v>0</v>
      </c>
      <c r="Z190" s="108"/>
      <c r="AA190" s="108"/>
      <c r="AB190" s="108"/>
      <c r="AC190" s="108"/>
      <c r="AD190" s="108"/>
      <c r="AE190" s="108"/>
      <c r="AF190" s="108">
        <v>0</v>
      </c>
      <c r="AG190" s="133">
        <f t="shared" si="165"/>
        <v>0</v>
      </c>
      <c r="AH190" s="133">
        <f t="shared" si="166"/>
        <v>0</v>
      </c>
      <c r="AI190" s="133"/>
      <c r="AJ190" s="133"/>
      <c r="AK190" s="133"/>
      <c r="AL190" s="133"/>
      <c r="AM190" s="133"/>
      <c r="AN190" s="479"/>
      <c r="AO190" s="133"/>
      <c r="AP190" s="133">
        <v>0</v>
      </c>
      <c r="AQ190" s="133">
        <f t="shared" si="167"/>
        <v>0</v>
      </c>
      <c r="AR190" s="133">
        <f t="shared" si="168"/>
        <v>0</v>
      </c>
      <c r="AS190" s="133"/>
      <c r="AT190" s="133"/>
      <c r="AU190" s="133"/>
      <c r="AV190" s="133"/>
      <c r="AW190" s="108">
        <f t="shared" si="169"/>
        <v>0</v>
      </c>
      <c r="AX190" s="108">
        <f t="shared" si="212"/>
        <v>0</v>
      </c>
      <c r="AY190" s="108"/>
      <c r="AZ190" s="108"/>
      <c r="BA190" s="108"/>
      <c r="BB190" s="108"/>
      <c r="BC190" s="108"/>
      <c r="BD190" s="108"/>
      <c r="BE190" s="359"/>
      <c r="BF190" s="109" t="s">
        <v>534</v>
      </c>
      <c r="BG190" s="116"/>
    </row>
    <row r="191" spans="1:59" ht="36" x14ac:dyDescent="0.2">
      <c r="A191" s="167">
        <v>90009249314</v>
      </c>
      <c r="B191" s="127"/>
      <c r="C191" s="533" t="s">
        <v>191</v>
      </c>
      <c r="D191" s="534"/>
      <c r="E191" s="106" t="s">
        <v>262</v>
      </c>
      <c r="F191" s="107">
        <f t="shared" si="159"/>
        <v>550328</v>
      </c>
      <c r="G191" s="107">
        <f t="shared" si="160"/>
        <v>566046</v>
      </c>
      <c r="H191" s="108">
        <v>493228</v>
      </c>
      <c r="I191" s="108">
        <f t="shared" si="161"/>
        <v>507307</v>
      </c>
      <c r="J191" s="108">
        <f t="shared" si="162"/>
        <v>14079</v>
      </c>
      <c r="K191" s="108">
        <v>-14836</v>
      </c>
      <c r="L191" s="108"/>
      <c r="M191" s="108"/>
      <c r="N191" s="108"/>
      <c r="O191" s="108"/>
      <c r="P191" s="108"/>
      <c r="Q191" s="108"/>
      <c r="R191" s="108"/>
      <c r="S191" s="108"/>
      <c r="T191" s="463">
        <v>28915</v>
      </c>
      <c r="U191" s="108"/>
      <c r="V191" s="108"/>
      <c r="W191" s="108">
        <v>52012</v>
      </c>
      <c r="X191" s="108">
        <f t="shared" si="163"/>
        <v>53412</v>
      </c>
      <c r="Y191" s="108">
        <f t="shared" si="164"/>
        <v>1400</v>
      </c>
      <c r="Z191" s="108"/>
      <c r="AA191" s="108">
        <v>1400</v>
      </c>
      <c r="AB191" s="108"/>
      <c r="AC191" s="108"/>
      <c r="AD191" s="108"/>
      <c r="AE191" s="108"/>
      <c r="AF191" s="108">
        <v>5142</v>
      </c>
      <c r="AG191" s="133">
        <f t="shared" si="165"/>
        <v>5364</v>
      </c>
      <c r="AH191" s="133">
        <f t="shared" si="166"/>
        <v>222</v>
      </c>
      <c r="AI191" s="133">
        <v>222</v>
      </c>
      <c r="AJ191" s="133"/>
      <c r="AK191" s="133"/>
      <c r="AL191" s="133"/>
      <c r="AM191" s="133"/>
      <c r="AN191" s="479"/>
      <c r="AO191" s="133"/>
      <c r="AP191" s="133">
        <v>0</v>
      </c>
      <c r="AQ191" s="133">
        <f t="shared" si="167"/>
        <v>0</v>
      </c>
      <c r="AR191" s="133">
        <f t="shared" si="168"/>
        <v>0</v>
      </c>
      <c r="AS191" s="133"/>
      <c r="AT191" s="133"/>
      <c r="AU191" s="133"/>
      <c r="AV191" s="133">
        <v>-54</v>
      </c>
      <c r="AW191" s="108">
        <f t="shared" si="169"/>
        <v>-37</v>
      </c>
      <c r="AX191" s="108">
        <f t="shared" si="212"/>
        <v>17</v>
      </c>
      <c r="AY191" s="108">
        <v>17</v>
      </c>
      <c r="AZ191" s="108"/>
      <c r="BA191" s="108"/>
      <c r="BB191" s="108"/>
      <c r="BC191" s="108"/>
      <c r="BD191" s="108"/>
      <c r="BE191" s="359"/>
      <c r="BF191" s="109" t="s">
        <v>535</v>
      </c>
      <c r="BG191" s="116"/>
    </row>
    <row r="192" spans="1:59" ht="12.75" x14ac:dyDescent="0.2">
      <c r="A192" s="167"/>
      <c r="B192" s="127"/>
      <c r="C192" s="172"/>
      <c r="D192" s="173"/>
      <c r="E192" s="106" t="s">
        <v>283</v>
      </c>
      <c r="F192" s="107">
        <f t="shared" si="159"/>
        <v>59071</v>
      </c>
      <c r="G192" s="107">
        <f t="shared" si="160"/>
        <v>59071</v>
      </c>
      <c r="H192" s="108">
        <v>59071</v>
      </c>
      <c r="I192" s="108">
        <f t="shared" si="161"/>
        <v>59071</v>
      </c>
      <c r="J192" s="108">
        <f t="shared" si="162"/>
        <v>0</v>
      </c>
      <c r="K192" s="108"/>
      <c r="L192" s="108"/>
      <c r="M192" s="108"/>
      <c r="N192" s="108"/>
      <c r="O192" s="108"/>
      <c r="P192" s="108"/>
      <c r="Q192" s="108"/>
      <c r="R192" s="108"/>
      <c r="S192" s="108"/>
      <c r="T192" s="463"/>
      <c r="U192" s="108"/>
      <c r="V192" s="108"/>
      <c r="W192" s="108">
        <v>0</v>
      </c>
      <c r="X192" s="108">
        <f t="shared" si="163"/>
        <v>0</v>
      </c>
      <c r="Y192" s="108">
        <f t="shared" si="164"/>
        <v>0</v>
      </c>
      <c r="Z192" s="108"/>
      <c r="AA192" s="108"/>
      <c r="AB192" s="108"/>
      <c r="AC192" s="108"/>
      <c r="AD192" s="108"/>
      <c r="AE192" s="108"/>
      <c r="AF192" s="108">
        <v>0</v>
      </c>
      <c r="AG192" s="133">
        <f t="shared" si="165"/>
        <v>0</v>
      </c>
      <c r="AH192" s="133">
        <f t="shared" si="166"/>
        <v>0</v>
      </c>
      <c r="AI192" s="133"/>
      <c r="AJ192" s="133"/>
      <c r="AK192" s="133"/>
      <c r="AL192" s="133"/>
      <c r="AM192" s="133"/>
      <c r="AN192" s="479"/>
      <c r="AO192" s="133"/>
      <c r="AP192" s="133">
        <v>0</v>
      </c>
      <c r="AQ192" s="133">
        <f t="shared" si="167"/>
        <v>0</v>
      </c>
      <c r="AR192" s="133">
        <f t="shared" si="168"/>
        <v>0</v>
      </c>
      <c r="AS192" s="133"/>
      <c r="AT192" s="133"/>
      <c r="AU192" s="133"/>
      <c r="AV192" s="133"/>
      <c r="AW192" s="108">
        <f t="shared" si="169"/>
        <v>0</v>
      </c>
      <c r="AX192" s="108">
        <f t="shared" si="212"/>
        <v>0</v>
      </c>
      <c r="AY192" s="108"/>
      <c r="AZ192" s="108"/>
      <c r="BA192" s="108"/>
      <c r="BB192" s="108"/>
      <c r="BC192" s="108"/>
      <c r="BD192" s="108"/>
      <c r="BE192" s="359"/>
      <c r="BF192" s="109" t="s">
        <v>536</v>
      </c>
      <c r="BG192" s="116"/>
    </row>
    <row r="193" spans="1:59" ht="36" x14ac:dyDescent="0.2">
      <c r="A193" s="167">
        <v>90009249189</v>
      </c>
      <c r="B193" s="127"/>
      <c r="C193" s="533" t="s">
        <v>192</v>
      </c>
      <c r="D193" s="534"/>
      <c r="E193" s="106" t="s">
        <v>262</v>
      </c>
      <c r="F193" s="107">
        <f t="shared" si="159"/>
        <v>545121</v>
      </c>
      <c r="G193" s="107">
        <f t="shared" si="160"/>
        <v>550246</v>
      </c>
      <c r="H193" s="108">
        <v>478727</v>
      </c>
      <c r="I193" s="108">
        <f t="shared" si="161"/>
        <v>481530</v>
      </c>
      <c r="J193" s="108">
        <f t="shared" si="162"/>
        <v>2803</v>
      </c>
      <c r="K193" s="108">
        <f>-14741-27</f>
        <v>-14768</v>
      </c>
      <c r="L193" s="108"/>
      <c r="M193" s="108"/>
      <c r="N193" s="108"/>
      <c r="O193" s="108"/>
      <c r="P193" s="108"/>
      <c r="Q193" s="108"/>
      <c r="R193" s="108"/>
      <c r="S193" s="108"/>
      <c r="T193" s="463">
        <v>17571</v>
      </c>
      <c r="U193" s="108"/>
      <c r="V193" s="108"/>
      <c r="W193" s="108">
        <v>62862</v>
      </c>
      <c r="X193" s="108">
        <f t="shared" si="163"/>
        <v>64641</v>
      </c>
      <c r="Y193" s="108">
        <f t="shared" si="164"/>
        <v>1779</v>
      </c>
      <c r="Z193" s="108"/>
      <c r="AA193" s="108">
        <v>1779</v>
      </c>
      <c r="AB193" s="108"/>
      <c r="AC193" s="108"/>
      <c r="AD193" s="108"/>
      <c r="AE193" s="108"/>
      <c r="AF193" s="108">
        <v>3532</v>
      </c>
      <c r="AG193" s="133">
        <f t="shared" si="165"/>
        <v>4075</v>
      </c>
      <c r="AH193" s="133">
        <f t="shared" si="166"/>
        <v>543</v>
      </c>
      <c r="AI193" s="133">
        <v>-66</v>
      </c>
      <c r="AJ193" s="133"/>
      <c r="AK193" s="133">
        <v>609</v>
      </c>
      <c r="AL193" s="133"/>
      <c r="AM193" s="133"/>
      <c r="AN193" s="479"/>
      <c r="AO193" s="133"/>
      <c r="AP193" s="133">
        <v>0</v>
      </c>
      <c r="AQ193" s="133">
        <f t="shared" si="167"/>
        <v>0</v>
      </c>
      <c r="AR193" s="133">
        <f t="shared" si="168"/>
        <v>0</v>
      </c>
      <c r="AS193" s="133"/>
      <c r="AT193" s="133"/>
      <c r="AU193" s="133"/>
      <c r="AV193" s="133"/>
      <c r="AW193" s="108">
        <f t="shared" si="169"/>
        <v>0</v>
      </c>
      <c r="AX193" s="108">
        <f t="shared" si="212"/>
        <v>0</v>
      </c>
      <c r="AY193" s="108"/>
      <c r="AZ193" s="108"/>
      <c r="BA193" s="108"/>
      <c r="BB193" s="108"/>
      <c r="BC193" s="108"/>
      <c r="BD193" s="108"/>
      <c r="BE193" s="359"/>
      <c r="BF193" s="109" t="s">
        <v>537</v>
      </c>
      <c r="BG193" s="116"/>
    </row>
    <row r="194" spans="1:59" ht="12.75" x14ac:dyDescent="0.2">
      <c r="A194" s="167"/>
      <c r="B194" s="127"/>
      <c r="C194" s="172"/>
      <c r="D194" s="173"/>
      <c r="E194" s="106" t="s">
        <v>283</v>
      </c>
      <c r="F194" s="107">
        <f t="shared" si="159"/>
        <v>57815</v>
      </c>
      <c r="G194" s="107">
        <f t="shared" si="160"/>
        <v>57815</v>
      </c>
      <c r="H194" s="108">
        <v>57815</v>
      </c>
      <c r="I194" s="108">
        <f t="shared" si="161"/>
        <v>57815</v>
      </c>
      <c r="J194" s="108">
        <f t="shared" si="162"/>
        <v>0</v>
      </c>
      <c r="K194" s="108"/>
      <c r="L194" s="108"/>
      <c r="M194" s="108"/>
      <c r="N194" s="108"/>
      <c r="O194" s="108"/>
      <c r="P194" s="108"/>
      <c r="Q194" s="108"/>
      <c r="R194" s="108"/>
      <c r="S194" s="108"/>
      <c r="T194" s="463"/>
      <c r="U194" s="108"/>
      <c r="V194" s="108"/>
      <c r="W194" s="108">
        <v>0</v>
      </c>
      <c r="X194" s="108">
        <f t="shared" si="163"/>
        <v>0</v>
      </c>
      <c r="Y194" s="108">
        <f t="shared" si="164"/>
        <v>0</v>
      </c>
      <c r="Z194" s="108"/>
      <c r="AA194" s="108"/>
      <c r="AB194" s="108"/>
      <c r="AC194" s="108"/>
      <c r="AD194" s="108"/>
      <c r="AE194" s="108"/>
      <c r="AF194" s="108">
        <v>0</v>
      </c>
      <c r="AG194" s="133">
        <f t="shared" si="165"/>
        <v>0</v>
      </c>
      <c r="AH194" s="133">
        <f t="shared" si="166"/>
        <v>0</v>
      </c>
      <c r="AI194" s="133"/>
      <c r="AJ194" s="133"/>
      <c r="AK194" s="133"/>
      <c r="AL194" s="133"/>
      <c r="AM194" s="133"/>
      <c r="AN194" s="479"/>
      <c r="AO194" s="133"/>
      <c r="AP194" s="133">
        <v>0</v>
      </c>
      <c r="AQ194" s="133">
        <f t="shared" si="167"/>
        <v>0</v>
      </c>
      <c r="AR194" s="133">
        <f t="shared" si="168"/>
        <v>0</v>
      </c>
      <c r="AS194" s="133"/>
      <c r="AT194" s="133"/>
      <c r="AU194" s="133"/>
      <c r="AV194" s="133"/>
      <c r="AW194" s="108">
        <f t="shared" si="169"/>
        <v>0</v>
      </c>
      <c r="AX194" s="108">
        <f t="shared" si="212"/>
        <v>0</v>
      </c>
      <c r="AY194" s="108"/>
      <c r="AZ194" s="108"/>
      <c r="BA194" s="108"/>
      <c r="BB194" s="108"/>
      <c r="BC194" s="108"/>
      <c r="BD194" s="108"/>
      <c r="BE194" s="359"/>
      <c r="BF194" s="109" t="s">
        <v>538</v>
      </c>
      <c r="BG194" s="116"/>
    </row>
    <row r="195" spans="1:59" ht="36" x14ac:dyDescent="0.2">
      <c r="A195" s="167">
        <v>90009249136</v>
      </c>
      <c r="B195" s="127"/>
      <c r="C195" s="533" t="s">
        <v>193</v>
      </c>
      <c r="D195" s="534"/>
      <c r="E195" s="106" t="s">
        <v>262</v>
      </c>
      <c r="F195" s="107">
        <f t="shared" si="159"/>
        <v>285604</v>
      </c>
      <c r="G195" s="107">
        <f t="shared" si="160"/>
        <v>286992</v>
      </c>
      <c r="H195" s="108">
        <v>274014</v>
      </c>
      <c r="I195" s="108">
        <f t="shared" si="161"/>
        <v>274914</v>
      </c>
      <c r="J195" s="108">
        <f t="shared" si="162"/>
        <v>900</v>
      </c>
      <c r="K195" s="108">
        <v>-8132</v>
      </c>
      <c r="L195" s="108"/>
      <c r="M195" s="108"/>
      <c r="N195" s="108"/>
      <c r="O195" s="108"/>
      <c r="P195" s="108"/>
      <c r="Q195" s="108"/>
      <c r="R195" s="108"/>
      <c r="S195" s="108"/>
      <c r="T195" s="463">
        <v>9032</v>
      </c>
      <c r="U195" s="108"/>
      <c r="V195" s="108"/>
      <c r="W195" s="108">
        <v>11064</v>
      </c>
      <c r="X195" s="108">
        <f t="shared" si="163"/>
        <v>11556</v>
      </c>
      <c r="Y195" s="108">
        <f t="shared" si="164"/>
        <v>492</v>
      </c>
      <c r="Z195" s="108"/>
      <c r="AA195" s="108">
        <v>492</v>
      </c>
      <c r="AB195" s="108"/>
      <c r="AC195" s="108"/>
      <c r="AD195" s="108"/>
      <c r="AE195" s="108"/>
      <c r="AF195" s="108">
        <v>526</v>
      </c>
      <c r="AG195" s="133">
        <f t="shared" si="165"/>
        <v>522</v>
      </c>
      <c r="AH195" s="133">
        <f t="shared" si="166"/>
        <v>-4</v>
      </c>
      <c r="AI195" s="133">
        <v>-4</v>
      </c>
      <c r="AJ195" s="133"/>
      <c r="AK195" s="133"/>
      <c r="AL195" s="133"/>
      <c r="AM195" s="133"/>
      <c r="AN195" s="479"/>
      <c r="AO195" s="133"/>
      <c r="AP195" s="133">
        <v>0</v>
      </c>
      <c r="AQ195" s="133">
        <f t="shared" si="167"/>
        <v>0</v>
      </c>
      <c r="AR195" s="133">
        <f t="shared" si="168"/>
        <v>0</v>
      </c>
      <c r="AS195" s="133"/>
      <c r="AT195" s="133"/>
      <c r="AU195" s="133"/>
      <c r="AV195" s="133"/>
      <c r="AW195" s="108">
        <f t="shared" si="169"/>
        <v>0</v>
      </c>
      <c r="AX195" s="108">
        <f t="shared" si="212"/>
        <v>0</v>
      </c>
      <c r="AY195" s="108"/>
      <c r="AZ195" s="108"/>
      <c r="BA195" s="108"/>
      <c r="BB195" s="108"/>
      <c r="BC195" s="108"/>
      <c r="BD195" s="108"/>
      <c r="BE195" s="359"/>
      <c r="BF195" s="109" t="s">
        <v>539</v>
      </c>
      <c r="BG195" s="116"/>
    </row>
    <row r="196" spans="1:59" ht="12.75" x14ac:dyDescent="0.2">
      <c r="A196" s="167"/>
      <c r="B196" s="127"/>
      <c r="C196" s="172"/>
      <c r="D196" s="173"/>
      <c r="E196" s="106" t="s">
        <v>283</v>
      </c>
      <c r="F196" s="107">
        <f t="shared" si="159"/>
        <v>25084</v>
      </c>
      <c r="G196" s="107">
        <f t="shared" si="160"/>
        <v>25084</v>
      </c>
      <c r="H196" s="108">
        <v>25084</v>
      </c>
      <c r="I196" s="108">
        <f t="shared" si="161"/>
        <v>25084</v>
      </c>
      <c r="J196" s="108">
        <f t="shared" si="162"/>
        <v>0</v>
      </c>
      <c r="K196" s="108"/>
      <c r="L196" s="108"/>
      <c r="M196" s="108"/>
      <c r="N196" s="108"/>
      <c r="O196" s="108"/>
      <c r="P196" s="108"/>
      <c r="Q196" s="108"/>
      <c r="R196" s="108"/>
      <c r="S196" s="108"/>
      <c r="T196" s="463"/>
      <c r="U196" s="108"/>
      <c r="V196" s="108"/>
      <c r="W196" s="108">
        <v>0</v>
      </c>
      <c r="X196" s="108">
        <f t="shared" si="163"/>
        <v>0</v>
      </c>
      <c r="Y196" s="108">
        <f t="shared" si="164"/>
        <v>0</v>
      </c>
      <c r="Z196" s="108"/>
      <c r="AA196" s="108"/>
      <c r="AB196" s="108"/>
      <c r="AC196" s="108"/>
      <c r="AD196" s="108"/>
      <c r="AE196" s="108"/>
      <c r="AF196" s="108">
        <v>0</v>
      </c>
      <c r="AG196" s="133">
        <f t="shared" si="165"/>
        <v>0</v>
      </c>
      <c r="AH196" s="133">
        <f t="shared" si="166"/>
        <v>0</v>
      </c>
      <c r="AI196" s="133"/>
      <c r="AJ196" s="133"/>
      <c r="AK196" s="133"/>
      <c r="AL196" s="133"/>
      <c r="AM196" s="133"/>
      <c r="AN196" s="479"/>
      <c r="AO196" s="133"/>
      <c r="AP196" s="133">
        <v>0</v>
      </c>
      <c r="AQ196" s="133">
        <f t="shared" si="167"/>
        <v>0</v>
      </c>
      <c r="AR196" s="133">
        <f t="shared" si="168"/>
        <v>0</v>
      </c>
      <c r="AS196" s="133"/>
      <c r="AT196" s="133"/>
      <c r="AU196" s="133"/>
      <c r="AV196" s="133"/>
      <c r="AW196" s="108">
        <f t="shared" si="169"/>
        <v>0</v>
      </c>
      <c r="AX196" s="108">
        <f t="shared" si="212"/>
        <v>0</v>
      </c>
      <c r="AY196" s="108"/>
      <c r="AZ196" s="108"/>
      <c r="BA196" s="108"/>
      <c r="BB196" s="108"/>
      <c r="BC196" s="108"/>
      <c r="BD196" s="108"/>
      <c r="BE196" s="359"/>
      <c r="BF196" s="109" t="s">
        <v>540</v>
      </c>
      <c r="BG196" s="116"/>
    </row>
    <row r="197" spans="1:59" ht="36" x14ac:dyDescent="0.2">
      <c r="A197" s="167">
        <v>90009563202</v>
      </c>
      <c r="B197" s="127"/>
      <c r="C197" s="533" t="s">
        <v>361</v>
      </c>
      <c r="D197" s="534"/>
      <c r="E197" s="106" t="s">
        <v>262</v>
      </c>
      <c r="F197" s="107">
        <f t="shared" si="159"/>
        <v>298318</v>
      </c>
      <c r="G197" s="107">
        <f t="shared" si="160"/>
        <v>311402</v>
      </c>
      <c r="H197" s="108">
        <v>19728</v>
      </c>
      <c r="I197" s="108">
        <f t="shared" si="161"/>
        <v>19728</v>
      </c>
      <c r="J197" s="108">
        <f t="shared" si="162"/>
        <v>0</v>
      </c>
      <c r="K197" s="108"/>
      <c r="L197" s="108"/>
      <c r="M197" s="108"/>
      <c r="N197" s="108"/>
      <c r="O197" s="108"/>
      <c r="P197" s="108"/>
      <c r="Q197" s="108"/>
      <c r="R197" s="108"/>
      <c r="S197" s="108"/>
      <c r="T197" s="463"/>
      <c r="U197" s="108"/>
      <c r="V197" s="108"/>
      <c r="W197" s="108">
        <v>277347</v>
      </c>
      <c r="X197" s="108">
        <f t="shared" si="163"/>
        <v>290432</v>
      </c>
      <c r="Y197" s="108">
        <f t="shared" si="164"/>
        <v>13085</v>
      </c>
      <c r="Z197" s="108"/>
      <c r="AA197" s="108">
        <v>13085</v>
      </c>
      <c r="AB197" s="108"/>
      <c r="AC197" s="108"/>
      <c r="AD197" s="108"/>
      <c r="AE197" s="108"/>
      <c r="AF197" s="108">
        <v>1243</v>
      </c>
      <c r="AG197" s="133">
        <f t="shared" si="165"/>
        <v>1242</v>
      </c>
      <c r="AH197" s="133">
        <f t="shared" si="166"/>
        <v>-1</v>
      </c>
      <c r="AI197" s="133">
        <v>-1</v>
      </c>
      <c r="AJ197" s="133"/>
      <c r="AK197" s="133"/>
      <c r="AL197" s="133"/>
      <c r="AM197" s="133"/>
      <c r="AN197" s="479"/>
      <c r="AO197" s="133"/>
      <c r="AP197" s="133">
        <v>0</v>
      </c>
      <c r="AQ197" s="133">
        <f t="shared" si="167"/>
        <v>0</v>
      </c>
      <c r="AR197" s="133">
        <f t="shared" si="168"/>
        <v>0</v>
      </c>
      <c r="AS197" s="133"/>
      <c r="AT197" s="133"/>
      <c r="AU197" s="133"/>
      <c r="AV197" s="133"/>
      <c r="AW197" s="108">
        <f t="shared" si="169"/>
        <v>0</v>
      </c>
      <c r="AX197" s="108">
        <f t="shared" si="212"/>
        <v>0</v>
      </c>
      <c r="AY197" s="108"/>
      <c r="AZ197" s="108"/>
      <c r="BA197" s="108"/>
      <c r="BB197" s="108"/>
      <c r="BC197" s="108"/>
      <c r="BD197" s="108"/>
      <c r="BE197" s="359"/>
      <c r="BF197" s="109" t="s">
        <v>541</v>
      </c>
      <c r="BG197" s="116"/>
    </row>
    <row r="198" spans="1:59" ht="36" x14ac:dyDescent="0.2">
      <c r="A198" s="167">
        <v>90009249206</v>
      </c>
      <c r="B198" s="127"/>
      <c r="C198" s="533" t="s">
        <v>194</v>
      </c>
      <c r="D198" s="534"/>
      <c r="E198" s="106" t="s">
        <v>262</v>
      </c>
      <c r="F198" s="107">
        <f t="shared" si="159"/>
        <v>567431</v>
      </c>
      <c r="G198" s="107">
        <f t="shared" si="160"/>
        <v>573471</v>
      </c>
      <c r="H198" s="108">
        <v>514416</v>
      </c>
      <c r="I198" s="108">
        <f t="shared" si="161"/>
        <v>518559</v>
      </c>
      <c r="J198" s="108">
        <f t="shared" si="162"/>
        <v>4143</v>
      </c>
      <c r="K198" s="108">
        <v>-15291</v>
      </c>
      <c r="L198" s="108"/>
      <c r="M198" s="108"/>
      <c r="N198" s="108"/>
      <c r="O198" s="108"/>
      <c r="P198" s="108"/>
      <c r="Q198" s="108"/>
      <c r="R198" s="108"/>
      <c r="S198" s="108"/>
      <c r="T198" s="463">
        <v>19434</v>
      </c>
      <c r="U198" s="108"/>
      <c r="V198" s="108"/>
      <c r="W198" s="108">
        <v>47805</v>
      </c>
      <c r="X198" s="108">
        <f t="shared" si="163"/>
        <v>49300</v>
      </c>
      <c r="Y198" s="108">
        <f t="shared" si="164"/>
        <v>1495</v>
      </c>
      <c r="Z198" s="108"/>
      <c r="AA198" s="108">
        <v>1495</v>
      </c>
      <c r="AB198" s="108"/>
      <c r="AC198" s="108"/>
      <c r="AD198" s="108"/>
      <c r="AE198" s="108"/>
      <c r="AF198" s="108">
        <v>5370</v>
      </c>
      <c r="AG198" s="133">
        <f t="shared" si="165"/>
        <v>5772</v>
      </c>
      <c r="AH198" s="133">
        <f t="shared" si="166"/>
        <v>402</v>
      </c>
      <c r="AI198" s="133">
        <v>402</v>
      </c>
      <c r="AJ198" s="133"/>
      <c r="AK198" s="133"/>
      <c r="AL198" s="133"/>
      <c r="AM198" s="133"/>
      <c r="AN198" s="479"/>
      <c r="AO198" s="133"/>
      <c r="AP198" s="133">
        <v>0</v>
      </c>
      <c r="AQ198" s="133">
        <f t="shared" si="167"/>
        <v>0</v>
      </c>
      <c r="AR198" s="133">
        <f t="shared" si="168"/>
        <v>0</v>
      </c>
      <c r="AS198" s="133"/>
      <c r="AT198" s="133"/>
      <c r="AU198" s="133"/>
      <c r="AV198" s="133">
        <v>-160</v>
      </c>
      <c r="AW198" s="108">
        <f t="shared" si="169"/>
        <v>-160</v>
      </c>
      <c r="AX198" s="108">
        <f t="shared" si="212"/>
        <v>0</v>
      </c>
      <c r="AY198" s="108"/>
      <c r="AZ198" s="108"/>
      <c r="BA198" s="108"/>
      <c r="BB198" s="108"/>
      <c r="BC198" s="108"/>
      <c r="BD198" s="108"/>
      <c r="BE198" s="359"/>
      <c r="BF198" s="109" t="s">
        <v>542</v>
      </c>
      <c r="BG198" s="116"/>
    </row>
    <row r="199" spans="1:59" ht="12.75" x14ac:dyDescent="0.2">
      <c r="A199" s="167"/>
      <c r="B199" s="127"/>
      <c r="C199" s="172"/>
      <c r="D199" s="173"/>
      <c r="E199" s="106" t="s">
        <v>283</v>
      </c>
      <c r="F199" s="107">
        <f t="shared" si="159"/>
        <v>68522</v>
      </c>
      <c r="G199" s="107">
        <f t="shared" si="160"/>
        <v>68522</v>
      </c>
      <c r="H199" s="108">
        <v>68522</v>
      </c>
      <c r="I199" s="108">
        <f t="shared" si="161"/>
        <v>68522</v>
      </c>
      <c r="J199" s="108">
        <f t="shared" si="162"/>
        <v>0</v>
      </c>
      <c r="K199" s="108"/>
      <c r="L199" s="108"/>
      <c r="M199" s="108"/>
      <c r="N199" s="108"/>
      <c r="O199" s="108"/>
      <c r="P199" s="108"/>
      <c r="Q199" s="108"/>
      <c r="R199" s="108"/>
      <c r="S199" s="108"/>
      <c r="T199" s="463"/>
      <c r="U199" s="108"/>
      <c r="V199" s="108"/>
      <c r="W199" s="108">
        <v>0</v>
      </c>
      <c r="X199" s="108">
        <f t="shared" si="163"/>
        <v>0</v>
      </c>
      <c r="Y199" s="108">
        <f t="shared" si="164"/>
        <v>0</v>
      </c>
      <c r="Z199" s="108"/>
      <c r="AA199" s="108"/>
      <c r="AB199" s="108"/>
      <c r="AC199" s="108"/>
      <c r="AD199" s="108"/>
      <c r="AE199" s="108"/>
      <c r="AF199" s="108">
        <v>0</v>
      </c>
      <c r="AG199" s="133">
        <f t="shared" si="165"/>
        <v>0</v>
      </c>
      <c r="AH199" s="133">
        <f t="shared" si="166"/>
        <v>0</v>
      </c>
      <c r="AI199" s="133"/>
      <c r="AJ199" s="133"/>
      <c r="AK199" s="133"/>
      <c r="AL199" s="133"/>
      <c r="AM199" s="133"/>
      <c r="AN199" s="479"/>
      <c r="AO199" s="133"/>
      <c r="AP199" s="133">
        <v>0</v>
      </c>
      <c r="AQ199" s="133">
        <f t="shared" si="167"/>
        <v>0</v>
      </c>
      <c r="AR199" s="133">
        <f t="shared" si="168"/>
        <v>0</v>
      </c>
      <c r="AS199" s="133"/>
      <c r="AT199" s="133"/>
      <c r="AU199" s="133"/>
      <c r="AV199" s="133"/>
      <c r="AW199" s="108">
        <f t="shared" si="169"/>
        <v>0</v>
      </c>
      <c r="AX199" s="108">
        <f t="shared" si="212"/>
        <v>0</v>
      </c>
      <c r="AY199" s="108"/>
      <c r="AZ199" s="108"/>
      <c r="BA199" s="108"/>
      <c r="BB199" s="108"/>
      <c r="BC199" s="108"/>
      <c r="BD199" s="108"/>
      <c r="BE199" s="359"/>
      <c r="BF199" s="109" t="s">
        <v>543</v>
      </c>
      <c r="BG199" s="116"/>
    </row>
    <row r="200" spans="1:59" ht="36" x14ac:dyDescent="0.2">
      <c r="A200" s="167">
        <v>90009251357</v>
      </c>
      <c r="B200" s="127"/>
      <c r="C200" s="533" t="s">
        <v>195</v>
      </c>
      <c r="D200" s="534"/>
      <c r="E200" s="106" t="s">
        <v>262</v>
      </c>
      <c r="F200" s="107">
        <f t="shared" si="159"/>
        <v>350739</v>
      </c>
      <c r="G200" s="107">
        <f t="shared" si="160"/>
        <v>352070</v>
      </c>
      <c r="H200" s="108">
        <v>318233</v>
      </c>
      <c r="I200" s="108">
        <f t="shared" si="161"/>
        <v>318721</v>
      </c>
      <c r="J200" s="108">
        <f t="shared" si="162"/>
        <v>488</v>
      </c>
      <c r="K200" s="108">
        <v>-10018</v>
      </c>
      <c r="L200" s="108"/>
      <c r="M200" s="108"/>
      <c r="N200" s="108"/>
      <c r="O200" s="108"/>
      <c r="P200" s="108"/>
      <c r="Q200" s="108"/>
      <c r="R200" s="108"/>
      <c r="S200" s="108"/>
      <c r="T200" s="463">
        <v>10506</v>
      </c>
      <c r="U200" s="108"/>
      <c r="V200" s="108"/>
      <c r="W200" s="108">
        <v>31461</v>
      </c>
      <c r="X200" s="108">
        <f t="shared" si="163"/>
        <v>32445</v>
      </c>
      <c r="Y200" s="108">
        <f t="shared" si="164"/>
        <v>984</v>
      </c>
      <c r="Z200" s="108"/>
      <c r="AA200" s="108">
        <v>984</v>
      </c>
      <c r="AB200" s="108"/>
      <c r="AC200" s="108"/>
      <c r="AD200" s="108"/>
      <c r="AE200" s="108"/>
      <c r="AF200" s="108">
        <v>1049</v>
      </c>
      <c r="AG200" s="133">
        <f t="shared" si="165"/>
        <v>840</v>
      </c>
      <c r="AH200" s="133">
        <f t="shared" si="166"/>
        <v>-209</v>
      </c>
      <c r="AI200" s="133">
        <v>-209</v>
      </c>
      <c r="AJ200" s="133"/>
      <c r="AK200" s="133"/>
      <c r="AL200" s="133"/>
      <c r="AM200" s="133"/>
      <c r="AN200" s="479"/>
      <c r="AO200" s="133"/>
      <c r="AP200" s="133">
        <v>50</v>
      </c>
      <c r="AQ200" s="133">
        <f t="shared" si="167"/>
        <v>156</v>
      </c>
      <c r="AR200" s="133">
        <f t="shared" si="168"/>
        <v>106</v>
      </c>
      <c r="AS200" s="133">
        <v>106</v>
      </c>
      <c r="AT200" s="133"/>
      <c r="AU200" s="133"/>
      <c r="AV200" s="133">
        <v>-54</v>
      </c>
      <c r="AW200" s="108">
        <f t="shared" si="169"/>
        <v>-92</v>
      </c>
      <c r="AX200" s="108">
        <f t="shared" si="212"/>
        <v>-38</v>
      </c>
      <c r="AY200" s="108">
        <v>-38</v>
      </c>
      <c r="AZ200" s="108"/>
      <c r="BA200" s="108"/>
      <c r="BB200" s="108"/>
      <c r="BC200" s="108"/>
      <c r="BD200" s="108"/>
      <c r="BE200" s="359"/>
      <c r="BF200" s="109" t="s">
        <v>544</v>
      </c>
      <c r="BG200" s="116"/>
    </row>
    <row r="201" spans="1:59" ht="12.75" x14ac:dyDescent="0.2">
      <c r="A201" s="167"/>
      <c r="B201" s="127"/>
      <c r="C201" s="172"/>
      <c r="D201" s="173"/>
      <c r="E201" s="106" t="s">
        <v>283</v>
      </c>
      <c r="F201" s="107">
        <f t="shared" si="159"/>
        <v>31814</v>
      </c>
      <c r="G201" s="107">
        <f t="shared" si="160"/>
        <v>31814</v>
      </c>
      <c r="H201" s="108">
        <v>31814</v>
      </c>
      <c r="I201" s="108">
        <f t="shared" si="161"/>
        <v>31814</v>
      </c>
      <c r="J201" s="108">
        <f t="shared" si="162"/>
        <v>0</v>
      </c>
      <c r="K201" s="108"/>
      <c r="L201" s="108"/>
      <c r="M201" s="108"/>
      <c r="N201" s="108"/>
      <c r="O201" s="108"/>
      <c r="P201" s="108"/>
      <c r="Q201" s="108"/>
      <c r="R201" s="108"/>
      <c r="S201" s="108"/>
      <c r="T201" s="463"/>
      <c r="U201" s="108"/>
      <c r="V201" s="108"/>
      <c r="W201" s="108">
        <v>0</v>
      </c>
      <c r="X201" s="108">
        <f t="shared" si="163"/>
        <v>0</v>
      </c>
      <c r="Y201" s="108">
        <f t="shared" si="164"/>
        <v>0</v>
      </c>
      <c r="Z201" s="108"/>
      <c r="AA201" s="108"/>
      <c r="AB201" s="108"/>
      <c r="AC201" s="108"/>
      <c r="AD201" s="108"/>
      <c r="AE201" s="108"/>
      <c r="AF201" s="108">
        <v>0</v>
      </c>
      <c r="AG201" s="133">
        <f t="shared" si="165"/>
        <v>0</v>
      </c>
      <c r="AH201" s="133">
        <f t="shared" si="166"/>
        <v>0</v>
      </c>
      <c r="AI201" s="133"/>
      <c r="AJ201" s="133"/>
      <c r="AK201" s="133"/>
      <c r="AL201" s="133"/>
      <c r="AM201" s="133"/>
      <c r="AN201" s="479"/>
      <c r="AO201" s="133"/>
      <c r="AP201" s="133">
        <v>0</v>
      </c>
      <c r="AQ201" s="133">
        <f t="shared" si="167"/>
        <v>0</v>
      </c>
      <c r="AR201" s="133">
        <f t="shared" si="168"/>
        <v>0</v>
      </c>
      <c r="AS201" s="133"/>
      <c r="AT201" s="133"/>
      <c r="AU201" s="133"/>
      <c r="AV201" s="133"/>
      <c r="AW201" s="108">
        <f t="shared" si="169"/>
        <v>0</v>
      </c>
      <c r="AX201" s="108">
        <f t="shared" si="212"/>
        <v>0</v>
      </c>
      <c r="AY201" s="108"/>
      <c r="AZ201" s="108"/>
      <c r="BA201" s="108"/>
      <c r="BB201" s="108"/>
      <c r="BC201" s="108"/>
      <c r="BD201" s="108"/>
      <c r="BE201" s="359"/>
      <c r="BF201" s="109" t="s">
        <v>545</v>
      </c>
      <c r="BG201" s="116"/>
    </row>
    <row r="202" spans="1:59" ht="24" x14ac:dyDescent="0.2">
      <c r="A202" s="167">
        <v>90000051542</v>
      </c>
      <c r="B202" s="127"/>
      <c r="C202" s="533" t="s">
        <v>20</v>
      </c>
      <c r="D202" s="534"/>
      <c r="E202" s="106" t="s">
        <v>261</v>
      </c>
      <c r="F202" s="107">
        <f t="shared" si="159"/>
        <v>1052394</v>
      </c>
      <c r="G202" s="107">
        <f t="shared" si="160"/>
        <v>1070114</v>
      </c>
      <c r="H202" s="108">
        <v>433641</v>
      </c>
      <c r="I202" s="108">
        <f t="shared" si="161"/>
        <v>436892</v>
      </c>
      <c r="J202" s="108">
        <f t="shared" si="162"/>
        <v>3251</v>
      </c>
      <c r="K202" s="108">
        <v>-7603</v>
      </c>
      <c r="L202" s="108"/>
      <c r="M202" s="108"/>
      <c r="N202" s="108"/>
      <c r="O202" s="108"/>
      <c r="P202" s="108"/>
      <c r="Q202" s="108"/>
      <c r="R202" s="108"/>
      <c r="S202" s="108"/>
      <c r="T202" s="463">
        <v>10854</v>
      </c>
      <c r="U202" s="108"/>
      <c r="V202" s="108"/>
      <c r="W202" s="108">
        <v>601402</v>
      </c>
      <c r="X202" s="108">
        <f t="shared" si="163"/>
        <v>611430</v>
      </c>
      <c r="Y202" s="108">
        <f t="shared" si="164"/>
        <v>10028</v>
      </c>
      <c r="Z202" s="108"/>
      <c r="AA202" s="108">
        <v>10028</v>
      </c>
      <c r="AB202" s="108"/>
      <c r="AC202" s="108"/>
      <c r="AD202" s="108"/>
      <c r="AE202" s="108"/>
      <c r="AF202" s="108">
        <v>17351</v>
      </c>
      <c r="AG202" s="133">
        <f t="shared" si="165"/>
        <v>21792</v>
      </c>
      <c r="AH202" s="133">
        <f t="shared" si="166"/>
        <v>4441</v>
      </c>
      <c r="AI202" s="133">
        <v>4441</v>
      </c>
      <c r="AJ202" s="133"/>
      <c r="AK202" s="133"/>
      <c r="AL202" s="133"/>
      <c r="AM202" s="133"/>
      <c r="AN202" s="479"/>
      <c r="AO202" s="133"/>
      <c r="AP202" s="133">
        <v>0</v>
      </c>
      <c r="AQ202" s="133">
        <f t="shared" si="167"/>
        <v>0</v>
      </c>
      <c r="AR202" s="133">
        <f t="shared" si="168"/>
        <v>0</v>
      </c>
      <c r="AS202" s="133"/>
      <c r="AT202" s="133"/>
      <c r="AU202" s="133"/>
      <c r="AV202" s="133"/>
      <c r="AW202" s="108">
        <f t="shared" si="169"/>
        <v>0</v>
      </c>
      <c r="AX202" s="108">
        <f t="shared" si="212"/>
        <v>0</v>
      </c>
      <c r="AY202" s="108"/>
      <c r="AZ202" s="108"/>
      <c r="BA202" s="108"/>
      <c r="BB202" s="108"/>
      <c r="BC202" s="108"/>
      <c r="BD202" s="108"/>
      <c r="BE202" s="359"/>
      <c r="BF202" s="109" t="s">
        <v>546</v>
      </c>
      <c r="BG202" s="116"/>
    </row>
    <row r="203" spans="1:59" ht="12.75" x14ac:dyDescent="0.2">
      <c r="A203" s="167"/>
      <c r="B203" s="127"/>
      <c r="C203" s="172"/>
      <c r="D203" s="173"/>
      <c r="E203" s="106" t="s">
        <v>283</v>
      </c>
      <c r="F203" s="107">
        <f t="shared" si="159"/>
        <v>145772</v>
      </c>
      <c r="G203" s="107">
        <f t="shared" si="160"/>
        <v>145772</v>
      </c>
      <c r="H203" s="108">
        <v>104589</v>
      </c>
      <c r="I203" s="108">
        <f t="shared" si="161"/>
        <v>104589</v>
      </c>
      <c r="J203" s="108">
        <f t="shared" si="162"/>
        <v>0</v>
      </c>
      <c r="K203" s="108"/>
      <c r="L203" s="108"/>
      <c r="M203" s="108"/>
      <c r="N203" s="108"/>
      <c r="O203" s="108"/>
      <c r="P203" s="108"/>
      <c r="Q203" s="108"/>
      <c r="R203" s="108"/>
      <c r="S203" s="108"/>
      <c r="T203" s="463"/>
      <c r="U203" s="108"/>
      <c r="V203" s="108"/>
      <c r="W203" s="108">
        <v>41183</v>
      </c>
      <c r="X203" s="108">
        <f t="shared" si="163"/>
        <v>41183</v>
      </c>
      <c r="Y203" s="108">
        <f t="shared" si="164"/>
        <v>0</v>
      </c>
      <c r="Z203" s="108"/>
      <c r="AA203" s="108"/>
      <c r="AB203" s="108"/>
      <c r="AC203" s="108"/>
      <c r="AD203" s="108"/>
      <c r="AE203" s="108"/>
      <c r="AF203" s="108">
        <v>0</v>
      </c>
      <c r="AG203" s="133">
        <f t="shared" si="165"/>
        <v>0</v>
      </c>
      <c r="AH203" s="133">
        <f t="shared" si="166"/>
        <v>0</v>
      </c>
      <c r="AI203" s="133"/>
      <c r="AJ203" s="133"/>
      <c r="AK203" s="133"/>
      <c r="AL203" s="133"/>
      <c r="AM203" s="133"/>
      <c r="AN203" s="479"/>
      <c r="AO203" s="133"/>
      <c r="AP203" s="133">
        <v>0</v>
      </c>
      <c r="AQ203" s="133">
        <f t="shared" si="167"/>
        <v>0</v>
      </c>
      <c r="AR203" s="133">
        <f t="shared" si="168"/>
        <v>0</v>
      </c>
      <c r="AS203" s="133"/>
      <c r="AT203" s="133"/>
      <c r="AU203" s="133"/>
      <c r="AV203" s="133"/>
      <c r="AW203" s="108">
        <f t="shared" si="169"/>
        <v>0</v>
      </c>
      <c r="AX203" s="108">
        <f t="shared" si="212"/>
        <v>0</v>
      </c>
      <c r="AY203" s="108"/>
      <c r="AZ203" s="108"/>
      <c r="BA203" s="108"/>
      <c r="BB203" s="108"/>
      <c r="BC203" s="108"/>
      <c r="BD203" s="108"/>
      <c r="BE203" s="359"/>
      <c r="BF203" s="109" t="s">
        <v>547</v>
      </c>
      <c r="BG203" s="116"/>
    </row>
    <row r="204" spans="1:59" s="177" customFormat="1" ht="24" x14ac:dyDescent="0.2">
      <c r="A204" s="167"/>
      <c r="B204" s="127"/>
      <c r="C204" s="178"/>
      <c r="D204" s="179"/>
      <c r="E204" s="106" t="s">
        <v>407</v>
      </c>
      <c r="F204" s="107">
        <f t="shared" si="159"/>
        <v>23797</v>
      </c>
      <c r="G204" s="107">
        <f t="shared" si="160"/>
        <v>23797</v>
      </c>
      <c r="H204" s="108">
        <v>23797</v>
      </c>
      <c r="I204" s="108">
        <f t="shared" si="161"/>
        <v>23797</v>
      </c>
      <c r="J204" s="108">
        <f t="shared" si="162"/>
        <v>0</v>
      </c>
      <c r="K204" s="108"/>
      <c r="L204" s="108"/>
      <c r="M204" s="108"/>
      <c r="N204" s="108"/>
      <c r="O204" s="108"/>
      <c r="P204" s="108"/>
      <c r="Q204" s="108"/>
      <c r="R204" s="108"/>
      <c r="S204" s="108"/>
      <c r="T204" s="463"/>
      <c r="U204" s="108"/>
      <c r="V204" s="108"/>
      <c r="W204" s="108">
        <v>0</v>
      </c>
      <c r="X204" s="108">
        <f t="shared" si="163"/>
        <v>0</v>
      </c>
      <c r="Y204" s="108">
        <f t="shared" si="164"/>
        <v>0</v>
      </c>
      <c r="Z204" s="108"/>
      <c r="AA204" s="108"/>
      <c r="AB204" s="108"/>
      <c r="AC204" s="108"/>
      <c r="AD204" s="108"/>
      <c r="AE204" s="108"/>
      <c r="AF204" s="108">
        <v>0</v>
      </c>
      <c r="AG204" s="133">
        <f t="shared" si="165"/>
        <v>0</v>
      </c>
      <c r="AH204" s="133">
        <f t="shared" si="166"/>
        <v>0</v>
      </c>
      <c r="AI204" s="133"/>
      <c r="AJ204" s="133"/>
      <c r="AK204" s="133"/>
      <c r="AL204" s="133"/>
      <c r="AM204" s="133"/>
      <c r="AN204" s="479"/>
      <c r="AO204" s="133"/>
      <c r="AP204" s="133">
        <v>0</v>
      </c>
      <c r="AQ204" s="133">
        <f t="shared" si="167"/>
        <v>0</v>
      </c>
      <c r="AR204" s="133">
        <f t="shared" si="168"/>
        <v>0</v>
      </c>
      <c r="AS204" s="133"/>
      <c r="AT204" s="133"/>
      <c r="AU204" s="133"/>
      <c r="AV204" s="133"/>
      <c r="AW204" s="108">
        <f t="shared" si="169"/>
        <v>0</v>
      </c>
      <c r="AX204" s="108">
        <f t="shared" si="212"/>
        <v>0</v>
      </c>
      <c r="AY204" s="108"/>
      <c r="AZ204" s="108"/>
      <c r="BA204" s="108"/>
      <c r="BB204" s="108"/>
      <c r="BC204" s="108"/>
      <c r="BD204" s="108"/>
      <c r="BE204" s="359"/>
      <c r="BF204" s="109" t="s">
        <v>548</v>
      </c>
      <c r="BG204" s="116"/>
    </row>
    <row r="205" spans="1:59" ht="24" x14ac:dyDescent="0.2">
      <c r="A205" s="167">
        <v>90001175873</v>
      </c>
      <c r="B205" s="127"/>
      <c r="C205" s="533" t="s">
        <v>170</v>
      </c>
      <c r="D205" s="534"/>
      <c r="E205" s="106" t="s">
        <v>261</v>
      </c>
      <c r="F205" s="107">
        <f t="shared" si="159"/>
        <v>642410</v>
      </c>
      <c r="G205" s="107">
        <f t="shared" si="160"/>
        <v>664497</v>
      </c>
      <c r="H205" s="108">
        <v>249941</v>
      </c>
      <c r="I205" s="108">
        <f t="shared" si="161"/>
        <v>257887</v>
      </c>
      <c r="J205" s="108">
        <f t="shared" si="162"/>
        <v>7946</v>
      </c>
      <c r="K205" s="108">
        <f>-4997-3000</f>
        <v>-7997</v>
      </c>
      <c r="L205" s="108"/>
      <c r="M205" s="108"/>
      <c r="N205" s="108"/>
      <c r="O205" s="108"/>
      <c r="P205" s="108"/>
      <c r="Q205" s="108">
        <v>9186</v>
      </c>
      <c r="R205" s="108"/>
      <c r="S205" s="108"/>
      <c r="T205" s="463">
        <v>6757</v>
      </c>
      <c r="U205" s="108"/>
      <c r="V205" s="108"/>
      <c r="W205" s="108">
        <v>382605</v>
      </c>
      <c r="X205" s="108">
        <f t="shared" si="163"/>
        <v>389436</v>
      </c>
      <c r="Y205" s="108">
        <f t="shared" si="164"/>
        <v>6831</v>
      </c>
      <c r="Z205" s="108"/>
      <c r="AA205" s="108">
        <v>6831</v>
      </c>
      <c r="AB205" s="108"/>
      <c r="AC205" s="108"/>
      <c r="AD205" s="108"/>
      <c r="AE205" s="108"/>
      <c r="AF205" s="108">
        <v>9764</v>
      </c>
      <c r="AG205" s="133">
        <f t="shared" si="165"/>
        <v>16445</v>
      </c>
      <c r="AH205" s="133">
        <f t="shared" si="166"/>
        <v>6681</v>
      </c>
      <c r="AI205" s="133">
        <v>6656</v>
      </c>
      <c r="AJ205" s="133"/>
      <c r="AK205" s="133">
        <v>25</v>
      </c>
      <c r="AL205" s="133"/>
      <c r="AM205" s="133"/>
      <c r="AN205" s="479"/>
      <c r="AO205" s="133"/>
      <c r="AP205" s="133">
        <v>100</v>
      </c>
      <c r="AQ205" s="133">
        <f t="shared" si="167"/>
        <v>729</v>
      </c>
      <c r="AR205" s="133">
        <f t="shared" si="168"/>
        <v>629</v>
      </c>
      <c r="AS205" s="133">
        <v>629</v>
      </c>
      <c r="AT205" s="133"/>
      <c r="AU205" s="133"/>
      <c r="AV205" s="133"/>
      <c r="AW205" s="108">
        <f t="shared" si="169"/>
        <v>0</v>
      </c>
      <c r="AX205" s="108">
        <f t="shared" si="212"/>
        <v>0</v>
      </c>
      <c r="AY205" s="108"/>
      <c r="AZ205" s="108"/>
      <c r="BA205" s="108"/>
      <c r="BB205" s="108"/>
      <c r="BC205" s="108"/>
      <c r="BD205" s="108"/>
      <c r="BE205" s="359"/>
      <c r="BF205" s="109" t="s">
        <v>549</v>
      </c>
      <c r="BG205" s="116"/>
    </row>
    <row r="206" spans="1:59" ht="12.75" x14ac:dyDescent="0.2">
      <c r="A206" s="167"/>
      <c r="B206" s="127"/>
      <c r="C206" s="172"/>
      <c r="D206" s="173"/>
      <c r="E206" s="106" t="s">
        <v>283</v>
      </c>
      <c r="F206" s="107">
        <f t="shared" si="159"/>
        <v>95116</v>
      </c>
      <c r="G206" s="107">
        <f t="shared" si="160"/>
        <v>95118</v>
      </c>
      <c r="H206" s="108">
        <v>33881</v>
      </c>
      <c r="I206" s="108">
        <f t="shared" si="161"/>
        <v>33881</v>
      </c>
      <c r="J206" s="108">
        <f t="shared" si="162"/>
        <v>0</v>
      </c>
      <c r="K206" s="108"/>
      <c r="L206" s="108"/>
      <c r="M206" s="108"/>
      <c r="N206" s="108"/>
      <c r="O206" s="108"/>
      <c r="P206" s="108"/>
      <c r="Q206" s="108"/>
      <c r="R206" s="108"/>
      <c r="S206" s="108"/>
      <c r="T206" s="463"/>
      <c r="U206" s="108"/>
      <c r="V206" s="108"/>
      <c r="W206" s="108">
        <v>61235</v>
      </c>
      <c r="X206" s="108">
        <f t="shared" si="163"/>
        <v>61237</v>
      </c>
      <c r="Y206" s="108">
        <f t="shared" si="164"/>
        <v>2</v>
      </c>
      <c r="Z206" s="108"/>
      <c r="AA206" s="108">
        <v>2</v>
      </c>
      <c r="AB206" s="108"/>
      <c r="AC206" s="108"/>
      <c r="AD206" s="108"/>
      <c r="AE206" s="108"/>
      <c r="AF206" s="108">
        <v>0</v>
      </c>
      <c r="AG206" s="133">
        <f t="shared" si="165"/>
        <v>0</v>
      </c>
      <c r="AH206" s="133">
        <f t="shared" si="166"/>
        <v>0</v>
      </c>
      <c r="AI206" s="133"/>
      <c r="AJ206" s="133"/>
      <c r="AK206" s="133"/>
      <c r="AL206" s="133"/>
      <c r="AM206" s="133"/>
      <c r="AN206" s="479"/>
      <c r="AO206" s="133"/>
      <c r="AP206" s="133">
        <v>0</v>
      </c>
      <c r="AQ206" s="133">
        <f t="shared" si="167"/>
        <v>0</v>
      </c>
      <c r="AR206" s="133">
        <f t="shared" si="168"/>
        <v>0</v>
      </c>
      <c r="AS206" s="133"/>
      <c r="AT206" s="133"/>
      <c r="AU206" s="133"/>
      <c r="AV206" s="133"/>
      <c r="AW206" s="108">
        <f t="shared" si="169"/>
        <v>0</v>
      </c>
      <c r="AX206" s="108">
        <f t="shared" si="212"/>
        <v>0</v>
      </c>
      <c r="AY206" s="108"/>
      <c r="AZ206" s="108"/>
      <c r="BA206" s="108"/>
      <c r="BB206" s="108"/>
      <c r="BC206" s="108"/>
      <c r="BD206" s="108"/>
      <c r="BE206" s="359"/>
      <c r="BF206" s="109" t="s">
        <v>550</v>
      </c>
      <c r="BG206" s="116"/>
    </row>
    <row r="207" spans="1:59" ht="24" x14ac:dyDescent="0.2">
      <c r="A207" s="167">
        <v>90009251361</v>
      </c>
      <c r="B207" s="127"/>
      <c r="C207" s="533" t="s">
        <v>229</v>
      </c>
      <c r="D207" s="534"/>
      <c r="E207" s="106" t="s">
        <v>261</v>
      </c>
      <c r="F207" s="107">
        <f t="shared" si="159"/>
        <v>620337</v>
      </c>
      <c r="G207" s="107">
        <f t="shared" si="160"/>
        <v>634129</v>
      </c>
      <c r="H207" s="108">
        <v>440657</v>
      </c>
      <c r="I207" s="108">
        <f t="shared" si="161"/>
        <v>449118</v>
      </c>
      <c r="J207" s="108">
        <f t="shared" si="162"/>
        <v>8461</v>
      </c>
      <c r="K207" s="108">
        <v>-8812</v>
      </c>
      <c r="L207" s="108"/>
      <c r="M207" s="108"/>
      <c r="N207" s="108"/>
      <c r="O207" s="108"/>
      <c r="P207" s="108"/>
      <c r="Q207" s="108"/>
      <c r="R207" s="108"/>
      <c r="S207" s="108"/>
      <c r="T207" s="463">
        <v>17273</v>
      </c>
      <c r="U207" s="108"/>
      <c r="V207" s="108"/>
      <c r="W207" s="108">
        <v>160184</v>
      </c>
      <c r="X207" s="108">
        <f t="shared" si="163"/>
        <v>163515</v>
      </c>
      <c r="Y207" s="108">
        <f t="shared" si="164"/>
        <v>3331</v>
      </c>
      <c r="Z207" s="108"/>
      <c r="AA207" s="108">
        <v>3331</v>
      </c>
      <c r="AB207" s="108"/>
      <c r="AC207" s="108"/>
      <c r="AD207" s="108"/>
      <c r="AE207" s="108"/>
      <c r="AF207" s="108">
        <v>19496</v>
      </c>
      <c r="AG207" s="133">
        <f t="shared" si="165"/>
        <v>21496</v>
      </c>
      <c r="AH207" s="133">
        <f t="shared" si="166"/>
        <v>2000</v>
      </c>
      <c r="AI207" s="133">
        <v>2000</v>
      </c>
      <c r="AJ207" s="133"/>
      <c r="AK207" s="133"/>
      <c r="AL207" s="133"/>
      <c r="AM207" s="133"/>
      <c r="AN207" s="479"/>
      <c r="AO207" s="133"/>
      <c r="AP207" s="133">
        <v>0</v>
      </c>
      <c r="AQ207" s="133">
        <f t="shared" si="167"/>
        <v>0</v>
      </c>
      <c r="AR207" s="133">
        <f t="shared" si="168"/>
        <v>0</v>
      </c>
      <c r="AS207" s="133"/>
      <c r="AT207" s="133"/>
      <c r="AU207" s="133"/>
      <c r="AV207" s="133"/>
      <c r="AW207" s="108">
        <f t="shared" si="169"/>
        <v>0</v>
      </c>
      <c r="AX207" s="108">
        <f t="shared" si="212"/>
        <v>0</v>
      </c>
      <c r="AY207" s="108"/>
      <c r="AZ207" s="108"/>
      <c r="BA207" s="108"/>
      <c r="BB207" s="108"/>
      <c r="BC207" s="108"/>
      <c r="BD207" s="108"/>
      <c r="BE207" s="359"/>
      <c r="BF207" s="109" t="s">
        <v>551</v>
      </c>
      <c r="BG207" s="116"/>
    </row>
    <row r="208" spans="1:59" ht="12.75" x14ac:dyDescent="0.2">
      <c r="A208" s="167"/>
      <c r="B208" s="127"/>
      <c r="C208" s="172"/>
      <c r="D208" s="173"/>
      <c r="E208" s="106" t="s">
        <v>283</v>
      </c>
      <c r="F208" s="107">
        <f t="shared" si="159"/>
        <v>65847</v>
      </c>
      <c r="G208" s="107">
        <f t="shared" si="160"/>
        <v>72453</v>
      </c>
      <c r="H208" s="108">
        <v>39767</v>
      </c>
      <c r="I208" s="108">
        <f t="shared" si="161"/>
        <v>39767</v>
      </c>
      <c r="J208" s="108">
        <f t="shared" si="162"/>
        <v>0</v>
      </c>
      <c r="K208" s="108"/>
      <c r="L208" s="108"/>
      <c r="M208" s="108"/>
      <c r="N208" s="108"/>
      <c r="O208" s="108"/>
      <c r="P208" s="108"/>
      <c r="Q208" s="108"/>
      <c r="R208" s="108"/>
      <c r="S208" s="108"/>
      <c r="T208" s="463"/>
      <c r="U208" s="108"/>
      <c r="V208" s="108"/>
      <c r="W208" s="108">
        <v>26080</v>
      </c>
      <c r="X208" s="108">
        <f t="shared" si="163"/>
        <v>32686</v>
      </c>
      <c r="Y208" s="108">
        <f t="shared" si="164"/>
        <v>6606</v>
      </c>
      <c r="Z208" s="108"/>
      <c r="AA208" s="108">
        <v>6606</v>
      </c>
      <c r="AB208" s="108"/>
      <c r="AC208" s="108"/>
      <c r="AD208" s="108"/>
      <c r="AE208" s="108"/>
      <c r="AF208" s="108">
        <v>0</v>
      </c>
      <c r="AG208" s="133">
        <f t="shared" si="165"/>
        <v>0</v>
      </c>
      <c r="AH208" s="133">
        <f t="shared" si="166"/>
        <v>0</v>
      </c>
      <c r="AI208" s="133"/>
      <c r="AJ208" s="133"/>
      <c r="AK208" s="133"/>
      <c r="AL208" s="133"/>
      <c r="AM208" s="133"/>
      <c r="AN208" s="479"/>
      <c r="AO208" s="133"/>
      <c r="AP208" s="133">
        <v>0</v>
      </c>
      <c r="AQ208" s="133">
        <f t="shared" si="167"/>
        <v>0</v>
      </c>
      <c r="AR208" s="133">
        <f t="shared" si="168"/>
        <v>0</v>
      </c>
      <c r="AS208" s="133"/>
      <c r="AT208" s="133"/>
      <c r="AU208" s="133"/>
      <c r="AV208" s="133"/>
      <c r="AW208" s="108">
        <f t="shared" si="169"/>
        <v>0</v>
      </c>
      <c r="AX208" s="108">
        <f t="shared" si="212"/>
        <v>0</v>
      </c>
      <c r="AY208" s="108"/>
      <c r="AZ208" s="108"/>
      <c r="BA208" s="108"/>
      <c r="BB208" s="108"/>
      <c r="BC208" s="108"/>
      <c r="BD208" s="108"/>
      <c r="BE208" s="359"/>
      <c r="BF208" s="109" t="s">
        <v>552</v>
      </c>
      <c r="BG208" s="116"/>
    </row>
    <row r="209" spans="1:59" s="249" customFormat="1" ht="36" x14ac:dyDescent="0.2">
      <c r="A209" s="167"/>
      <c r="B209" s="127"/>
      <c r="C209" s="247"/>
      <c r="D209" s="248"/>
      <c r="E209" s="106" t="s">
        <v>395</v>
      </c>
      <c r="F209" s="107">
        <f t="shared" si="159"/>
        <v>465</v>
      </c>
      <c r="G209" s="107">
        <f t="shared" si="160"/>
        <v>465</v>
      </c>
      <c r="H209" s="108">
        <v>465</v>
      </c>
      <c r="I209" s="108">
        <f t="shared" si="161"/>
        <v>465</v>
      </c>
      <c r="J209" s="108">
        <f t="shared" si="162"/>
        <v>0</v>
      </c>
      <c r="K209" s="108"/>
      <c r="L209" s="108"/>
      <c r="M209" s="108"/>
      <c r="N209" s="108"/>
      <c r="O209" s="108"/>
      <c r="P209" s="108"/>
      <c r="Q209" s="108"/>
      <c r="R209" s="108"/>
      <c r="S209" s="108"/>
      <c r="T209" s="463"/>
      <c r="U209" s="108"/>
      <c r="V209" s="108"/>
      <c r="W209" s="108">
        <v>0</v>
      </c>
      <c r="X209" s="108">
        <f t="shared" si="163"/>
        <v>0</v>
      </c>
      <c r="Y209" s="108">
        <f t="shared" si="164"/>
        <v>0</v>
      </c>
      <c r="Z209" s="108"/>
      <c r="AA209" s="108"/>
      <c r="AB209" s="108"/>
      <c r="AC209" s="108"/>
      <c r="AD209" s="108"/>
      <c r="AE209" s="108"/>
      <c r="AF209" s="108">
        <v>0</v>
      </c>
      <c r="AG209" s="133">
        <f t="shared" si="165"/>
        <v>0</v>
      </c>
      <c r="AH209" s="133">
        <f t="shared" si="166"/>
        <v>0</v>
      </c>
      <c r="AI209" s="133"/>
      <c r="AJ209" s="133"/>
      <c r="AK209" s="133"/>
      <c r="AL209" s="133"/>
      <c r="AM209" s="133"/>
      <c r="AN209" s="479"/>
      <c r="AO209" s="133"/>
      <c r="AP209" s="133">
        <v>0</v>
      </c>
      <c r="AQ209" s="133">
        <f t="shared" si="167"/>
        <v>0</v>
      </c>
      <c r="AR209" s="133">
        <f t="shared" si="168"/>
        <v>0</v>
      </c>
      <c r="AS209" s="133"/>
      <c r="AT209" s="133"/>
      <c r="AU209" s="133"/>
      <c r="AV209" s="133"/>
      <c r="AW209" s="108">
        <f t="shared" si="169"/>
        <v>0</v>
      </c>
      <c r="AX209" s="108">
        <f t="shared" si="212"/>
        <v>0</v>
      </c>
      <c r="AY209" s="108"/>
      <c r="AZ209" s="108"/>
      <c r="BA209" s="108"/>
      <c r="BB209" s="108"/>
      <c r="BC209" s="108"/>
      <c r="BD209" s="108"/>
      <c r="BE209" s="359"/>
      <c r="BF209" s="109" t="s">
        <v>553</v>
      </c>
      <c r="BG209" s="116"/>
    </row>
    <row r="210" spans="1:59" ht="24" x14ac:dyDescent="0.2">
      <c r="A210" s="167">
        <v>90000051699</v>
      </c>
      <c r="B210" s="127"/>
      <c r="C210" s="533" t="s">
        <v>230</v>
      </c>
      <c r="D210" s="534"/>
      <c r="E210" s="106" t="s">
        <v>261</v>
      </c>
      <c r="F210" s="107">
        <f t="shared" si="159"/>
        <v>643858</v>
      </c>
      <c r="G210" s="107">
        <f t="shared" si="160"/>
        <v>654427</v>
      </c>
      <c r="H210" s="108">
        <v>416657</v>
      </c>
      <c r="I210" s="108">
        <f t="shared" si="161"/>
        <v>416984</v>
      </c>
      <c r="J210" s="108">
        <f t="shared" si="162"/>
        <v>327</v>
      </c>
      <c r="K210" s="108">
        <f>-11559-3000</f>
        <v>-14559</v>
      </c>
      <c r="L210" s="108"/>
      <c r="M210" s="108"/>
      <c r="N210" s="108"/>
      <c r="O210" s="108"/>
      <c r="P210" s="108"/>
      <c r="Q210" s="108"/>
      <c r="R210" s="108"/>
      <c r="S210" s="108"/>
      <c r="T210" s="463">
        <v>14886</v>
      </c>
      <c r="U210" s="108"/>
      <c r="V210" s="108"/>
      <c r="W210" s="108">
        <v>179138</v>
      </c>
      <c r="X210" s="108">
        <f t="shared" si="163"/>
        <v>182601</v>
      </c>
      <c r="Y210" s="108">
        <f t="shared" si="164"/>
        <v>3463</v>
      </c>
      <c r="Z210" s="108"/>
      <c r="AA210" s="108">
        <v>3463</v>
      </c>
      <c r="AB210" s="108"/>
      <c r="AC210" s="108"/>
      <c r="AD210" s="108"/>
      <c r="AE210" s="108"/>
      <c r="AF210" s="108">
        <v>48063</v>
      </c>
      <c r="AG210" s="133">
        <f t="shared" si="165"/>
        <v>54842</v>
      </c>
      <c r="AH210" s="133">
        <f t="shared" si="166"/>
        <v>6779</v>
      </c>
      <c r="AI210" s="133">
        <v>6779</v>
      </c>
      <c r="AJ210" s="133"/>
      <c r="AK210" s="133"/>
      <c r="AL210" s="133"/>
      <c r="AM210" s="133"/>
      <c r="AN210" s="479"/>
      <c r="AO210" s="133"/>
      <c r="AP210" s="133">
        <v>0</v>
      </c>
      <c r="AQ210" s="133">
        <f t="shared" si="167"/>
        <v>0</v>
      </c>
      <c r="AR210" s="133">
        <f t="shared" si="168"/>
        <v>0</v>
      </c>
      <c r="AS210" s="133"/>
      <c r="AT210" s="133"/>
      <c r="AU210" s="133"/>
      <c r="AV210" s="133"/>
      <c r="AW210" s="108">
        <f t="shared" si="169"/>
        <v>0</v>
      </c>
      <c r="AX210" s="108">
        <f t="shared" si="212"/>
        <v>0</v>
      </c>
      <c r="AY210" s="108"/>
      <c r="AZ210" s="108"/>
      <c r="BA210" s="108"/>
      <c r="BB210" s="108"/>
      <c r="BC210" s="108"/>
      <c r="BD210" s="108"/>
      <c r="BE210" s="359"/>
      <c r="BF210" s="109" t="s">
        <v>554</v>
      </c>
      <c r="BG210" s="116"/>
    </row>
    <row r="211" spans="1:59" ht="12.75" x14ac:dyDescent="0.2">
      <c r="A211" s="167"/>
      <c r="B211" s="127"/>
      <c r="C211" s="172"/>
      <c r="D211" s="173"/>
      <c r="E211" s="106" t="s">
        <v>283</v>
      </c>
      <c r="F211" s="107">
        <f t="shared" si="159"/>
        <v>65135</v>
      </c>
      <c r="G211" s="107">
        <f t="shared" si="160"/>
        <v>65136</v>
      </c>
      <c r="H211" s="108">
        <v>42711</v>
      </c>
      <c r="I211" s="108">
        <f t="shared" si="161"/>
        <v>42711</v>
      </c>
      <c r="J211" s="108">
        <f t="shared" si="162"/>
        <v>0</v>
      </c>
      <c r="K211" s="108"/>
      <c r="L211" s="108"/>
      <c r="M211" s="108"/>
      <c r="N211" s="108"/>
      <c r="O211" s="108"/>
      <c r="P211" s="108"/>
      <c r="Q211" s="108"/>
      <c r="R211" s="108"/>
      <c r="S211" s="108"/>
      <c r="T211" s="463"/>
      <c r="U211" s="108"/>
      <c r="V211" s="108"/>
      <c r="W211" s="108">
        <v>22424</v>
      </c>
      <c r="X211" s="108">
        <f t="shared" si="163"/>
        <v>22425</v>
      </c>
      <c r="Y211" s="108">
        <f t="shared" si="164"/>
        <v>1</v>
      </c>
      <c r="Z211" s="108"/>
      <c r="AA211" s="108">
        <v>1</v>
      </c>
      <c r="AB211" s="108"/>
      <c r="AC211" s="108"/>
      <c r="AD211" s="108"/>
      <c r="AE211" s="108"/>
      <c r="AF211" s="108">
        <v>0</v>
      </c>
      <c r="AG211" s="133">
        <f t="shared" si="165"/>
        <v>0</v>
      </c>
      <c r="AH211" s="133">
        <f t="shared" si="166"/>
        <v>0</v>
      </c>
      <c r="AI211" s="133"/>
      <c r="AJ211" s="133"/>
      <c r="AK211" s="133"/>
      <c r="AL211" s="133"/>
      <c r="AM211" s="133"/>
      <c r="AN211" s="479"/>
      <c r="AO211" s="133"/>
      <c r="AP211" s="133">
        <v>0</v>
      </c>
      <c r="AQ211" s="133">
        <f t="shared" si="167"/>
        <v>0</v>
      </c>
      <c r="AR211" s="133">
        <f t="shared" si="168"/>
        <v>0</v>
      </c>
      <c r="AS211" s="133"/>
      <c r="AT211" s="133"/>
      <c r="AU211" s="133"/>
      <c r="AV211" s="133"/>
      <c r="AW211" s="108">
        <f t="shared" si="169"/>
        <v>0</v>
      </c>
      <c r="AX211" s="108">
        <f t="shared" si="212"/>
        <v>0</v>
      </c>
      <c r="AY211" s="108"/>
      <c r="AZ211" s="108"/>
      <c r="BA211" s="108"/>
      <c r="BB211" s="108"/>
      <c r="BC211" s="108"/>
      <c r="BD211" s="108"/>
      <c r="BE211" s="359"/>
      <c r="BF211" s="109" t="s">
        <v>555</v>
      </c>
      <c r="BG211" s="116"/>
    </row>
    <row r="212" spans="1:59" ht="24" x14ac:dyDescent="0.2">
      <c r="A212" s="167">
        <v>90000051612</v>
      </c>
      <c r="B212" s="127"/>
      <c r="C212" s="533" t="s">
        <v>231</v>
      </c>
      <c r="D212" s="534"/>
      <c r="E212" s="106" t="s">
        <v>261</v>
      </c>
      <c r="F212" s="107">
        <f t="shared" si="159"/>
        <v>616586</v>
      </c>
      <c r="G212" s="107">
        <f t="shared" si="160"/>
        <v>619368</v>
      </c>
      <c r="H212" s="108">
        <v>306161</v>
      </c>
      <c r="I212" s="108">
        <f t="shared" si="161"/>
        <v>301202</v>
      </c>
      <c r="J212" s="108">
        <f t="shared" si="162"/>
        <v>-4959</v>
      </c>
      <c r="K212" s="108">
        <f>-7097-1704</f>
        <v>-8801</v>
      </c>
      <c r="L212" s="108"/>
      <c r="M212" s="108"/>
      <c r="N212" s="108"/>
      <c r="O212" s="108"/>
      <c r="P212" s="108"/>
      <c r="Q212" s="108"/>
      <c r="R212" s="108"/>
      <c r="S212" s="108"/>
      <c r="T212" s="463">
        <v>3842</v>
      </c>
      <c r="U212" s="108"/>
      <c r="V212" s="108"/>
      <c r="W212" s="108">
        <v>303033</v>
      </c>
      <c r="X212" s="108">
        <f t="shared" si="163"/>
        <v>309070</v>
      </c>
      <c r="Y212" s="108">
        <f t="shared" si="164"/>
        <v>6037</v>
      </c>
      <c r="Z212" s="108"/>
      <c r="AA212" s="108">
        <v>6037</v>
      </c>
      <c r="AB212" s="108"/>
      <c r="AC212" s="108"/>
      <c r="AD212" s="108"/>
      <c r="AE212" s="108"/>
      <c r="AF212" s="108">
        <v>7392</v>
      </c>
      <c r="AG212" s="133">
        <f t="shared" si="165"/>
        <v>9096</v>
      </c>
      <c r="AH212" s="133">
        <f t="shared" si="166"/>
        <v>1704</v>
      </c>
      <c r="AI212" s="133">
        <v>1704</v>
      </c>
      <c r="AJ212" s="133"/>
      <c r="AK212" s="133"/>
      <c r="AL212" s="133"/>
      <c r="AM212" s="133"/>
      <c r="AN212" s="479"/>
      <c r="AO212" s="133"/>
      <c r="AP212" s="133">
        <v>0</v>
      </c>
      <c r="AQ212" s="133">
        <f t="shared" si="167"/>
        <v>0</v>
      </c>
      <c r="AR212" s="133">
        <f t="shared" si="168"/>
        <v>0</v>
      </c>
      <c r="AS212" s="133"/>
      <c r="AT212" s="133"/>
      <c r="AU212" s="133"/>
      <c r="AV212" s="133"/>
      <c r="AW212" s="108">
        <f t="shared" si="169"/>
        <v>0</v>
      </c>
      <c r="AX212" s="108">
        <f t="shared" si="212"/>
        <v>0</v>
      </c>
      <c r="AY212" s="108"/>
      <c r="AZ212" s="108"/>
      <c r="BA212" s="108"/>
      <c r="BB212" s="108"/>
      <c r="BC212" s="108"/>
      <c r="BD212" s="108"/>
      <c r="BE212" s="359"/>
      <c r="BF212" s="109" t="s">
        <v>556</v>
      </c>
      <c r="BG212" s="116"/>
    </row>
    <row r="213" spans="1:59" ht="12.75" x14ac:dyDescent="0.2">
      <c r="A213" s="167"/>
      <c r="B213" s="127"/>
      <c r="C213" s="161"/>
      <c r="D213" s="162"/>
      <c r="E213" s="106" t="s">
        <v>283</v>
      </c>
      <c r="F213" s="107">
        <f t="shared" ref="F213:F229" si="213">H213+W213+AF213+AO213+AP213+AV213</f>
        <v>85474</v>
      </c>
      <c r="G213" s="107">
        <f t="shared" ref="G213:G229" si="214">I213+X213+AG213+AO213+AQ213+AW213</f>
        <v>91898</v>
      </c>
      <c r="H213" s="108">
        <v>51098</v>
      </c>
      <c r="I213" s="108">
        <f t="shared" ref="I213:I229" si="215">H213+J213</f>
        <v>51098</v>
      </c>
      <c r="J213" s="108">
        <f t="shared" ref="J213:J229" si="216">SUM(K213:V213)</f>
        <v>0</v>
      </c>
      <c r="K213" s="108"/>
      <c r="L213" s="108"/>
      <c r="M213" s="108"/>
      <c r="N213" s="108"/>
      <c r="O213" s="108"/>
      <c r="P213" s="108"/>
      <c r="Q213" s="108"/>
      <c r="R213" s="108"/>
      <c r="S213" s="108"/>
      <c r="T213" s="463"/>
      <c r="U213" s="108"/>
      <c r="V213" s="108"/>
      <c r="W213" s="108">
        <v>34376</v>
      </c>
      <c r="X213" s="108">
        <f t="shared" ref="X213:X224" si="217">W213+Y213</f>
        <v>40800</v>
      </c>
      <c r="Y213" s="108">
        <f t="shared" ref="Y213:Y224" si="218">SUM(Z213:AE213)</f>
        <v>6424</v>
      </c>
      <c r="Z213" s="108"/>
      <c r="AA213" s="108">
        <v>6424</v>
      </c>
      <c r="AB213" s="108"/>
      <c r="AC213" s="108"/>
      <c r="AD213" s="108"/>
      <c r="AE213" s="108"/>
      <c r="AF213" s="108">
        <v>0</v>
      </c>
      <c r="AG213" s="133">
        <f t="shared" ref="AG213:AG224" si="219">AH213+AF213</f>
        <v>0</v>
      </c>
      <c r="AH213" s="133">
        <f t="shared" ref="AH213:AH224" si="220">SUM(AI213:AN213)</f>
        <v>0</v>
      </c>
      <c r="AI213" s="133"/>
      <c r="AJ213" s="133"/>
      <c r="AK213" s="133"/>
      <c r="AL213" s="133"/>
      <c r="AM213" s="133"/>
      <c r="AN213" s="479"/>
      <c r="AO213" s="133"/>
      <c r="AP213" s="133">
        <v>0</v>
      </c>
      <c r="AQ213" s="133">
        <f t="shared" ref="AQ213:AQ224" si="221">AR213+AP213</f>
        <v>0</v>
      </c>
      <c r="AR213" s="133">
        <f t="shared" ref="AR213:AR224" si="222">SUM(AS213:AU213)</f>
        <v>0</v>
      </c>
      <c r="AS213" s="133"/>
      <c r="AT213" s="133"/>
      <c r="AU213" s="133"/>
      <c r="AV213" s="133"/>
      <c r="AW213" s="108">
        <f t="shared" ref="AW213:AW229" si="223">AX213+AV213</f>
        <v>0</v>
      </c>
      <c r="AX213" s="108">
        <f t="shared" si="212"/>
        <v>0</v>
      </c>
      <c r="AY213" s="108"/>
      <c r="AZ213" s="108"/>
      <c r="BA213" s="108"/>
      <c r="BB213" s="108"/>
      <c r="BC213" s="108"/>
      <c r="BD213" s="108"/>
      <c r="BE213" s="359"/>
      <c r="BF213" s="109" t="s">
        <v>557</v>
      </c>
      <c r="BG213" s="116"/>
    </row>
    <row r="214" spans="1:59" ht="24" x14ac:dyDescent="0.2">
      <c r="A214" s="167">
        <v>90009251342</v>
      </c>
      <c r="B214" s="127"/>
      <c r="C214" s="533" t="s">
        <v>284</v>
      </c>
      <c r="D214" s="534"/>
      <c r="E214" s="106" t="s">
        <v>261</v>
      </c>
      <c r="F214" s="107">
        <f t="shared" si="213"/>
        <v>765677</v>
      </c>
      <c r="G214" s="107">
        <f t="shared" si="214"/>
        <v>770101</v>
      </c>
      <c r="H214" s="108">
        <v>46092</v>
      </c>
      <c r="I214" s="108">
        <f t="shared" si="215"/>
        <v>46092</v>
      </c>
      <c r="J214" s="108">
        <f t="shared" si="216"/>
        <v>0</v>
      </c>
      <c r="K214" s="108"/>
      <c r="L214" s="108"/>
      <c r="M214" s="108"/>
      <c r="N214" s="108"/>
      <c r="O214" s="108"/>
      <c r="P214" s="108"/>
      <c r="Q214" s="108"/>
      <c r="R214" s="108"/>
      <c r="S214" s="108"/>
      <c r="T214" s="463"/>
      <c r="U214" s="108"/>
      <c r="V214" s="108"/>
      <c r="W214" s="108">
        <v>708355</v>
      </c>
      <c r="X214" s="108">
        <f t="shared" si="217"/>
        <v>711634</v>
      </c>
      <c r="Y214" s="108">
        <f t="shared" si="218"/>
        <v>3279</v>
      </c>
      <c r="Z214" s="108"/>
      <c r="AA214" s="108">
        <v>3279</v>
      </c>
      <c r="AB214" s="108"/>
      <c r="AC214" s="108"/>
      <c r="AD214" s="108"/>
      <c r="AE214" s="108"/>
      <c r="AF214" s="108">
        <v>11230</v>
      </c>
      <c r="AG214" s="133">
        <f t="shared" si="219"/>
        <v>12375</v>
      </c>
      <c r="AH214" s="133">
        <f t="shared" si="220"/>
        <v>1145</v>
      </c>
      <c r="AI214" s="133">
        <v>1145</v>
      </c>
      <c r="AJ214" s="133"/>
      <c r="AK214" s="133"/>
      <c r="AL214" s="133"/>
      <c r="AM214" s="133"/>
      <c r="AN214" s="479"/>
      <c r="AO214" s="133"/>
      <c r="AP214" s="133">
        <v>0</v>
      </c>
      <c r="AQ214" s="133">
        <f t="shared" si="221"/>
        <v>0</v>
      </c>
      <c r="AR214" s="133">
        <f t="shared" si="222"/>
        <v>0</v>
      </c>
      <c r="AS214" s="133"/>
      <c r="AT214" s="133"/>
      <c r="AU214" s="133"/>
      <c r="AV214" s="133"/>
      <c r="AW214" s="108">
        <f t="shared" si="223"/>
        <v>0</v>
      </c>
      <c r="AX214" s="108">
        <f t="shared" si="212"/>
        <v>0</v>
      </c>
      <c r="AY214" s="108"/>
      <c r="AZ214" s="108"/>
      <c r="BA214" s="108"/>
      <c r="BB214" s="108"/>
      <c r="BC214" s="108"/>
      <c r="BD214" s="108"/>
      <c r="BE214" s="359"/>
      <c r="BF214" s="109" t="s">
        <v>558</v>
      </c>
      <c r="BG214" s="116"/>
    </row>
    <row r="215" spans="1:59" s="424" customFormat="1" ht="24" x14ac:dyDescent="0.2">
      <c r="A215" s="167"/>
      <c r="B215" s="127"/>
      <c r="C215" s="425"/>
      <c r="D215" s="426"/>
      <c r="E215" s="106" t="s">
        <v>726</v>
      </c>
      <c r="F215" s="107">
        <f>H215+W215+AF215+AO215+AP215+AV215</f>
        <v>0</v>
      </c>
      <c r="G215" s="107">
        <f>I215+X215+AG215+AO215+AQ215+AW215</f>
        <v>400</v>
      </c>
      <c r="H215" s="108"/>
      <c r="I215" s="108">
        <f>H215+J215</f>
        <v>400</v>
      </c>
      <c r="J215" s="108">
        <f>SUM(K215:V215)</f>
        <v>400</v>
      </c>
      <c r="K215" s="108"/>
      <c r="L215" s="108"/>
      <c r="M215" s="108"/>
      <c r="N215" s="108"/>
      <c r="O215" s="108">
        <v>400</v>
      </c>
      <c r="P215" s="108"/>
      <c r="Q215" s="108"/>
      <c r="R215" s="108"/>
      <c r="S215" s="108"/>
      <c r="T215" s="463"/>
      <c r="U215" s="108"/>
      <c r="V215" s="108"/>
      <c r="W215" s="108"/>
      <c r="X215" s="108">
        <f>W215+Y215</f>
        <v>0</v>
      </c>
      <c r="Y215" s="108">
        <f t="shared" ref="Y215" si="224">SUM(Z215:AE215)</f>
        <v>0</v>
      </c>
      <c r="Z215" s="108"/>
      <c r="AA215" s="108"/>
      <c r="AB215" s="108"/>
      <c r="AC215" s="108"/>
      <c r="AD215" s="108"/>
      <c r="AE215" s="108"/>
      <c r="AF215" s="108"/>
      <c r="AG215" s="133">
        <f t="shared" ref="AG215" si="225">AH215+AF215</f>
        <v>0</v>
      </c>
      <c r="AH215" s="133">
        <f t="shared" ref="AH215" si="226">SUM(AI215:AN215)</f>
        <v>0</v>
      </c>
      <c r="AI215" s="133"/>
      <c r="AJ215" s="133"/>
      <c r="AK215" s="133"/>
      <c r="AL215" s="133"/>
      <c r="AM215" s="133"/>
      <c r="AN215" s="479"/>
      <c r="AO215" s="133"/>
      <c r="AP215" s="133"/>
      <c r="AQ215" s="133">
        <f t="shared" ref="AQ215" si="227">AR215+AP215</f>
        <v>0</v>
      </c>
      <c r="AR215" s="133">
        <f t="shared" ref="AR215" si="228">SUM(AS215:AU215)</f>
        <v>0</v>
      </c>
      <c r="AS215" s="133"/>
      <c r="AT215" s="133"/>
      <c r="AU215" s="133"/>
      <c r="AV215" s="133"/>
      <c r="AW215" s="108">
        <f t="shared" ref="AW215" si="229">AX215+AV215</f>
        <v>0</v>
      </c>
      <c r="AX215" s="108">
        <f t="shared" si="212"/>
        <v>0</v>
      </c>
      <c r="AY215" s="108"/>
      <c r="AZ215" s="108"/>
      <c r="BA215" s="108"/>
      <c r="BB215" s="108"/>
      <c r="BC215" s="108"/>
      <c r="BD215" s="108"/>
      <c r="BE215" s="359"/>
      <c r="BF215" s="109" t="s">
        <v>727</v>
      </c>
      <c r="BG215" s="116"/>
    </row>
    <row r="216" spans="1:59" ht="36" x14ac:dyDescent="0.2">
      <c r="A216" s="167">
        <v>90009249367</v>
      </c>
      <c r="B216" s="127"/>
      <c r="C216" s="533" t="s">
        <v>367</v>
      </c>
      <c r="D216" s="534"/>
      <c r="E216" s="106" t="s">
        <v>285</v>
      </c>
      <c r="F216" s="107">
        <f t="shared" si="213"/>
        <v>1219591</v>
      </c>
      <c r="G216" s="107">
        <f t="shared" si="214"/>
        <v>1201306</v>
      </c>
      <c r="H216" s="108">
        <v>860563</v>
      </c>
      <c r="I216" s="108">
        <f t="shared" si="215"/>
        <v>831224</v>
      </c>
      <c r="J216" s="108">
        <f t="shared" si="216"/>
        <v>-29339</v>
      </c>
      <c r="K216" s="108">
        <f>-31567-8952</f>
        <v>-40519</v>
      </c>
      <c r="L216" s="108"/>
      <c r="M216" s="108"/>
      <c r="N216" s="108"/>
      <c r="O216" s="108"/>
      <c r="P216" s="108"/>
      <c r="Q216" s="108"/>
      <c r="R216" s="108"/>
      <c r="S216" s="108"/>
      <c r="T216" s="463">
        <f>4525+6655</f>
        <v>11180</v>
      </c>
      <c r="U216" s="108"/>
      <c r="V216" s="108"/>
      <c r="W216" s="108">
        <v>328460</v>
      </c>
      <c r="X216" s="108">
        <f t="shared" si="217"/>
        <v>329996</v>
      </c>
      <c r="Y216" s="108">
        <f t="shared" si="218"/>
        <v>1536</v>
      </c>
      <c r="Z216" s="108"/>
      <c r="AA216" s="108">
        <v>1536</v>
      </c>
      <c r="AB216" s="108"/>
      <c r="AC216" s="108"/>
      <c r="AD216" s="108"/>
      <c r="AE216" s="108"/>
      <c r="AF216" s="108">
        <v>25289</v>
      </c>
      <c r="AG216" s="133">
        <f>AH216+AF216</f>
        <v>34866</v>
      </c>
      <c r="AH216" s="133">
        <f>SUM(AI216:AN216)</f>
        <v>9577</v>
      </c>
      <c r="AI216" s="133">
        <f>8743+209</f>
        <v>8952</v>
      </c>
      <c r="AJ216" s="133"/>
      <c r="AK216" s="133"/>
      <c r="AL216" s="133"/>
      <c r="AM216" s="133">
        <v>625</v>
      </c>
      <c r="AN216" s="479"/>
      <c r="AO216" s="133"/>
      <c r="AP216" s="133">
        <v>5279</v>
      </c>
      <c r="AQ216" s="133">
        <f t="shared" si="221"/>
        <v>5845</v>
      </c>
      <c r="AR216" s="133">
        <f t="shared" si="222"/>
        <v>566</v>
      </c>
      <c r="AS216" s="133">
        <v>566</v>
      </c>
      <c r="AT216" s="133"/>
      <c r="AU216" s="133"/>
      <c r="AV216" s="133"/>
      <c r="AW216" s="108">
        <f t="shared" si="223"/>
        <v>-625</v>
      </c>
      <c r="AX216" s="108">
        <f t="shared" si="212"/>
        <v>-625</v>
      </c>
      <c r="AY216" s="108"/>
      <c r="AZ216" s="108"/>
      <c r="BA216" s="108"/>
      <c r="BB216" s="108"/>
      <c r="BC216" s="108"/>
      <c r="BD216" s="108">
        <v>-625</v>
      </c>
      <c r="BE216" s="359"/>
      <c r="BF216" s="109" t="s">
        <v>559</v>
      </c>
      <c r="BG216" s="116"/>
    </row>
    <row r="217" spans="1:59" s="151" customFormat="1" ht="12.75" x14ac:dyDescent="0.2">
      <c r="A217" s="167"/>
      <c r="B217" s="127"/>
      <c r="C217" s="172"/>
      <c r="D217" s="173"/>
      <c r="E217" s="106" t="s">
        <v>316</v>
      </c>
      <c r="F217" s="107">
        <f t="shared" si="213"/>
        <v>189420</v>
      </c>
      <c r="G217" s="107">
        <f t="shared" si="214"/>
        <v>201571</v>
      </c>
      <c r="H217" s="108">
        <v>189420</v>
      </c>
      <c r="I217" s="108">
        <f t="shared" si="215"/>
        <v>176438</v>
      </c>
      <c r="J217" s="108">
        <f t="shared" si="216"/>
        <v>-12982</v>
      </c>
      <c r="K217" s="108">
        <v>-12982</v>
      </c>
      <c r="L217" s="108"/>
      <c r="M217" s="108"/>
      <c r="N217" s="108"/>
      <c r="O217" s="108"/>
      <c r="P217" s="108"/>
      <c r="Q217" s="108"/>
      <c r="R217" s="108"/>
      <c r="S217" s="108"/>
      <c r="T217" s="463"/>
      <c r="U217" s="108"/>
      <c r="V217" s="108"/>
      <c r="W217" s="108">
        <v>0</v>
      </c>
      <c r="X217" s="108">
        <f t="shared" si="217"/>
        <v>0</v>
      </c>
      <c r="Y217" s="108">
        <f t="shared" si="218"/>
        <v>0</v>
      </c>
      <c r="Z217" s="108"/>
      <c r="AA217" s="108"/>
      <c r="AB217" s="108"/>
      <c r="AC217" s="108"/>
      <c r="AD217" s="108"/>
      <c r="AE217" s="108"/>
      <c r="AF217" s="108">
        <v>0</v>
      </c>
      <c r="AG217" s="133">
        <f t="shared" si="219"/>
        <v>24954</v>
      </c>
      <c r="AH217" s="133">
        <f t="shared" si="220"/>
        <v>24954</v>
      </c>
      <c r="AI217" s="133">
        <v>24954</v>
      </c>
      <c r="AJ217" s="133"/>
      <c r="AK217" s="133"/>
      <c r="AL217" s="133"/>
      <c r="AM217" s="133"/>
      <c r="AN217" s="479"/>
      <c r="AO217" s="133"/>
      <c r="AP217" s="133">
        <v>0</v>
      </c>
      <c r="AQ217" s="133">
        <f t="shared" si="221"/>
        <v>179</v>
      </c>
      <c r="AR217" s="133">
        <f t="shared" si="222"/>
        <v>179</v>
      </c>
      <c r="AS217" s="133">
        <v>179</v>
      </c>
      <c r="AT217" s="133"/>
      <c r="AU217" s="133"/>
      <c r="AV217" s="133"/>
      <c r="AW217" s="108">
        <f t="shared" si="223"/>
        <v>0</v>
      </c>
      <c r="AX217" s="108">
        <f t="shared" si="212"/>
        <v>0</v>
      </c>
      <c r="AY217" s="108"/>
      <c r="AZ217" s="108"/>
      <c r="BA217" s="108"/>
      <c r="BB217" s="108"/>
      <c r="BC217" s="108"/>
      <c r="BD217" s="108"/>
      <c r="BE217" s="359"/>
      <c r="BF217" s="109" t="s">
        <v>560</v>
      </c>
      <c r="BG217" s="116" t="s">
        <v>619</v>
      </c>
    </row>
    <row r="218" spans="1:59" s="254" customFormat="1" ht="12.75" x14ac:dyDescent="0.2">
      <c r="A218" s="167">
        <v>90010478153</v>
      </c>
      <c r="B218" s="127"/>
      <c r="C218" s="533" t="s">
        <v>618</v>
      </c>
      <c r="D218" s="534"/>
      <c r="E218" s="106" t="s">
        <v>399</v>
      </c>
      <c r="F218" s="107">
        <f t="shared" si="213"/>
        <v>107950</v>
      </c>
      <c r="G218" s="107">
        <f t="shared" si="214"/>
        <v>107950</v>
      </c>
      <c r="H218" s="108">
        <v>107950</v>
      </c>
      <c r="I218" s="108">
        <f t="shared" si="215"/>
        <v>107950</v>
      </c>
      <c r="J218" s="108">
        <f t="shared" si="216"/>
        <v>0</v>
      </c>
      <c r="K218" s="108"/>
      <c r="L218" s="108"/>
      <c r="M218" s="108"/>
      <c r="N218" s="108"/>
      <c r="O218" s="108"/>
      <c r="P218" s="108"/>
      <c r="Q218" s="108"/>
      <c r="R218" s="108"/>
      <c r="S218" s="108"/>
      <c r="T218" s="463"/>
      <c r="U218" s="108"/>
      <c r="V218" s="108"/>
      <c r="W218" s="108">
        <v>0</v>
      </c>
      <c r="X218" s="108">
        <f t="shared" si="217"/>
        <v>0</v>
      </c>
      <c r="Y218" s="108">
        <f t="shared" si="218"/>
        <v>0</v>
      </c>
      <c r="Z218" s="108"/>
      <c r="AA218" s="108"/>
      <c r="AB218" s="108"/>
      <c r="AC218" s="108"/>
      <c r="AD218" s="108"/>
      <c r="AE218" s="108"/>
      <c r="AF218" s="108">
        <v>0</v>
      </c>
      <c r="AG218" s="133">
        <f t="shared" si="219"/>
        <v>0</v>
      </c>
      <c r="AH218" s="133">
        <f t="shared" si="220"/>
        <v>0</v>
      </c>
      <c r="AI218" s="133"/>
      <c r="AJ218" s="133"/>
      <c r="AK218" s="133"/>
      <c r="AL218" s="133"/>
      <c r="AM218" s="133"/>
      <c r="AN218" s="479"/>
      <c r="AO218" s="133"/>
      <c r="AP218" s="133">
        <v>0</v>
      </c>
      <c r="AQ218" s="133">
        <f t="shared" si="221"/>
        <v>0</v>
      </c>
      <c r="AR218" s="133">
        <f t="shared" si="222"/>
        <v>0</v>
      </c>
      <c r="AS218" s="133"/>
      <c r="AT218" s="133"/>
      <c r="AU218" s="133"/>
      <c r="AV218" s="133"/>
      <c r="AW218" s="108">
        <f t="shared" si="223"/>
        <v>0</v>
      </c>
      <c r="AX218" s="108">
        <f t="shared" si="212"/>
        <v>0</v>
      </c>
      <c r="AY218" s="108"/>
      <c r="AZ218" s="108"/>
      <c r="BA218" s="108"/>
      <c r="BB218" s="108"/>
      <c r="BC218" s="108"/>
      <c r="BD218" s="108"/>
      <c r="BE218" s="359"/>
      <c r="BF218" s="109" t="s">
        <v>561</v>
      </c>
      <c r="BG218" s="116"/>
    </row>
    <row r="219" spans="1:59" ht="24" x14ac:dyDescent="0.2">
      <c r="A219" s="167">
        <v>90000783949</v>
      </c>
      <c r="B219" s="127"/>
      <c r="C219" s="533" t="s">
        <v>19</v>
      </c>
      <c r="D219" s="534"/>
      <c r="E219" s="106" t="s">
        <v>261</v>
      </c>
      <c r="F219" s="107">
        <f t="shared" si="213"/>
        <v>544934</v>
      </c>
      <c r="G219" s="107">
        <f t="shared" si="214"/>
        <v>548628</v>
      </c>
      <c r="H219" s="108">
        <v>277282</v>
      </c>
      <c r="I219" s="108">
        <f t="shared" si="215"/>
        <v>276649</v>
      </c>
      <c r="J219" s="108">
        <f t="shared" si="216"/>
        <v>-633</v>
      </c>
      <c r="K219" s="108">
        <f>-9105-1026</f>
        <v>-10131</v>
      </c>
      <c r="L219" s="108"/>
      <c r="M219" s="108"/>
      <c r="N219" s="108"/>
      <c r="O219" s="108"/>
      <c r="P219" s="108"/>
      <c r="Q219" s="108"/>
      <c r="R219" s="108"/>
      <c r="S219" s="108"/>
      <c r="T219" s="463">
        <v>9498</v>
      </c>
      <c r="U219" s="108"/>
      <c r="V219" s="108"/>
      <c r="W219" s="108">
        <v>261130</v>
      </c>
      <c r="X219" s="108">
        <f t="shared" si="217"/>
        <v>264158</v>
      </c>
      <c r="Y219" s="108">
        <f t="shared" si="218"/>
        <v>3028</v>
      </c>
      <c r="Z219" s="108"/>
      <c r="AA219" s="108">
        <v>3028</v>
      </c>
      <c r="AB219" s="108"/>
      <c r="AC219" s="108"/>
      <c r="AD219" s="108"/>
      <c r="AE219" s="108"/>
      <c r="AF219" s="108">
        <v>6502</v>
      </c>
      <c r="AG219" s="133">
        <f t="shared" si="219"/>
        <v>7801</v>
      </c>
      <c r="AH219" s="133">
        <f t="shared" si="220"/>
        <v>1299</v>
      </c>
      <c r="AI219" s="133">
        <v>1099</v>
      </c>
      <c r="AJ219" s="133"/>
      <c r="AK219" s="133"/>
      <c r="AL219" s="133">
        <v>200</v>
      </c>
      <c r="AM219" s="133"/>
      <c r="AN219" s="479"/>
      <c r="AO219" s="133"/>
      <c r="AP219" s="133">
        <v>20</v>
      </c>
      <c r="AQ219" s="133">
        <f t="shared" si="221"/>
        <v>20</v>
      </c>
      <c r="AR219" s="133">
        <f t="shared" si="222"/>
        <v>0</v>
      </c>
      <c r="AS219" s="133"/>
      <c r="AT219" s="133"/>
      <c r="AU219" s="133"/>
      <c r="AV219" s="133"/>
      <c r="AW219" s="108">
        <f t="shared" si="223"/>
        <v>0</v>
      </c>
      <c r="AX219" s="108">
        <f t="shared" si="212"/>
        <v>0</v>
      </c>
      <c r="AY219" s="108"/>
      <c r="AZ219" s="108"/>
      <c r="BA219" s="108"/>
      <c r="BB219" s="108"/>
      <c r="BC219" s="108"/>
      <c r="BD219" s="108"/>
      <c r="BE219" s="359"/>
      <c r="BF219" s="109" t="s">
        <v>562</v>
      </c>
      <c r="BG219" s="116"/>
    </row>
    <row r="220" spans="1:59" ht="12.75" x14ac:dyDescent="0.2">
      <c r="A220" s="167"/>
      <c r="B220" s="127"/>
      <c r="C220" s="172"/>
      <c r="D220" s="173"/>
      <c r="E220" s="106" t="s">
        <v>283</v>
      </c>
      <c r="F220" s="107">
        <f t="shared" si="213"/>
        <v>48611</v>
      </c>
      <c r="G220" s="107">
        <f t="shared" si="214"/>
        <v>50280</v>
      </c>
      <c r="H220" s="108">
        <v>32482</v>
      </c>
      <c r="I220" s="108">
        <f t="shared" si="215"/>
        <v>32482</v>
      </c>
      <c r="J220" s="108">
        <f t="shared" si="216"/>
        <v>0</v>
      </c>
      <c r="K220" s="108"/>
      <c r="L220" s="108"/>
      <c r="M220" s="108"/>
      <c r="N220" s="108"/>
      <c r="O220" s="108"/>
      <c r="P220" s="108"/>
      <c r="Q220" s="108"/>
      <c r="R220" s="108"/>
      <c r="S220" s="108"/>
      <c r="T220" s="463"/>
      <c r="U220" s="108"/>
      <c r="V220" s="108"/>
      <c r="W220" s="108">
        <v>16129</v>
      </c>
      <c r="X220" s="108">
        <f t="shared" si="217"/>
        <v>17798</v>
      </c>
      <c r="Y220" s="108">
        <f t="shared" si="218"/>
        <v>1669</v>
      </c>
      <c r="Z220" s="108"/>
      <c r="AA220" s="108">
        <v>1669</v>
      </c>
      <c r="AB220" s="108"/>
      <c r="AC220" s="108"/>
      <c r="AD220" s="108"/>
      <c r="AE220" s="108"/>
      <c r="AF220" s="108">
        <v>0</v>
      </c>
      <c r="AG220" s="133">
        <f t="shared" si="219"/>
        <v>0</v>
      </c>
      <c r="AH220" s="133">
        <f t="shared" si="220"/>
        <v>0</v>
      </c>
      <c r="AI220" s="133"/>
      <c r="AJ220" s="133"/>
      <c r="AK220" s="133"/>
      <c r="AL220" s="133"/>
      <c r="AM220" s="133"/>
      <c r="AN220" s="479"/>
      <c r="AO220" s="133"/>
      <c r="AP220" s="133">
        <v>0</v>
      </c>
      <c r="AQ220" s="133">
        <f t="shared" si="221"/>
        <v>0</v>
      </c>
      <c r="AR220" s="133">
        <f t="shared" si="222"/>
        <v>0</v>
      </c>
      <c r="AS220" s="133"/>
      <c r="AT220" s="133"/>
      <c r="AU220" s="133"/>
      <c r="AV220" s="133"/>
      <c r="AW220" s="108">
        <f t="shared" si="223"/>
        <v>0</v>
      </c>
      <c r="AX220" s="108">
        <f t="shared" si="212"/>
        <v>0</v>
      </c>
      <c r="AY220" s="108"/>
      <c r="AZ220" s="108"/>
      <c r="BA220" s="108"/>
      <c r="BB220" s="108"/>
      <c r="BC220" s="108"/>
      <c r="BD220" s="108"/>
      <c r="BE220" s="359"/>
      <c r="BF220" s="109" t="s">
        <v>563</v>
      </c>
      <c r="BG220" s="116"/>
    </row>
    <row r="221" spans="1:59" s="249" customFormat="1" ht="60" x14ac:dyDescent="0.2">
      <c r="A221" s="167"/>
      <c r="B221" s="127"/>
      <c r="C221" s="247"/>
      <c r="D221" s="248"/>
      <c r="E221" s="106" t="s">
        <v>402</v>
      </c>
      <c r="F221" s="107">
        <f t="shared" si="213"/>
        <v>4794</v>
      </c>
      <c r="G221" s="107">
        <f t="shared" si="214"/>
        <v>4672</v>
      </c>
      <c r="H221" s="108">
        <v>4794</v>
      </c>
      <c r="I221" s="108">
        <f t="shared" si="215"/>
        <v>4672</v>
      </c>
      <c r="J221" s="108">
        <f t="shared" si="216"/>
        <v>-122</v>
      </c>
      <c r="K221" s="108">
        <v>-122</v>
      </c>
      <c r="L221" s="108"/>
      <c r="M221" s="108"/>
      <c r="N221" s="108"/>
      <c r="O221" s="108"/>
      <c r="P221" s="108"/>
      <c r="Q221" s="108"/>
      <c r="R221" s="108"/>
      <c r="S221" s="108"/>
      <c r="T221" s="463"/>
      <c r="U221" s="108"/>
      <c r="V221" s="108"/>
      <c r="W221" s="108">
        <v>0</v>
      </c>
      <c r="X221" s="108">
        <f t="shared" si="217"/>
        <v>0</v>
      </c>
      <c r="Y221" s="108">
        <f t="shared" si="218"/>
        <v>0</v>
      </c>
      <c r="Z221" s="108"/>
      <c r="AA221" s="108"/>
      <c r="AB221" s="108"/>
      <c r="AC221" s="108"/>
      <c r="AD221" s="108"/>
      <c r="AE221" s="108"/>
      <c r="AF221" s="108">
        <v>0</v>
      </c>
      <c r="AG221" s="133">
        <f t="shared" si="219"/>
        <v>0</v>
      </c>
      <c r="AH221" s="133">
        <f t="shared" si="220"/>
        <v>0</v>
      </c>
      <c r="AI221" s="133"/>
      <c r="AJ221" s="133"/>
      <c r="AK221" s="133"/>
      <c r="AL221" s="133"/>
      <c r="AM221" s="133"/>
      <c r="AN221" s="479"/>
      <c r="AO221" s="133"/>
      <c r="AP221" s="133">
        <v>0</v>
      </c>
      <c r="AQ221" s="133">
        <f t="shared" si="221"/>
        <v>0</v>
      </c>
      <c r="AR221" s="133">
        <f t="shared" si="222"/>
        <v>0</v>
      </c>
      <c r="AS221" s="133"/>
      <c r="AT221" s="133"/>
      <c r="AU221" s="133"/>
      <c r="AV221" s="133"/>
      <c r="AW221" s="108">
        <f t="shared" si="223"/>
        <v>0</v>
      </c>
      <c r="AX221" s="108">
        <f t="shared" si="212"/>
        <v>0</v>
      </c>
      <c r="AY221" s="108"/>
      <c r="AZ221" s="108"/>
      <c r="BA221" s="108"/>
      <c r="BB221" s="108"/>
      <c r="BC221" s="108"/>
      <c r="BD221" s="108"/>
      <c r="BE221" s="359"/>
      <c r="BF221" s="109" t="s">
        <v>564</v>
      </c>
      <c r="BG221" s="116"/>
    </row>
    <row r="222" spans="1:59" ht="24" x14ac:dyDescent="0.2">
      <c r="A222" s="167">
        <v>90000051646</v>
      </c>
      <c r="B222" s="127"/>
      <c r="C222" s="533" t="s">
        <v>171</v>
      </c>
      <c r="D222" s="534"/>
      <c r="E222" s="106" t="s">
        <v>261</v>
      </c>
      <c r="F222" s="107">
        <f t="shared" si="213"/>
        <v>380279</v>
      </c>
      <c r="G222" s="107">
        <f t="shared" si="214"/>
        <v>383861</v>
      </c>
      <c r="H222" s="108">
        <v>96904</v>
      </c>
      <c r="I222" s="108">
        <f t="shared" si="215"/>
        <v>95339</v>
      </c>
      <c r="J222" s="108">
        <f t="shared" si="216"/>
        <v>-1565</v>
      </c>
      <c r="K222" s="108">
        <v>-2264</v>
      </c>
      <c r="L222" s="108"/>
      <c r="M222" s="108"/>
      <c r="N222" s="108"/>
      <c r="O222" s="108"/>
      <c r="P222" s="108"/>
      <c r="Q222" s="108"/>
      <c r="R222" s="108"/>
      <c r="S222" s="108"/>
      <c r="T222" s="463">
        <v>699</v>
      </c>
      <c r="U222" s="108"/>
      <c r="V222" s="108"/>
      <c r="W222" s="108">
        <v>283375</v>
      </c>
      <c r="X222" s="108">
        <f t="shared" si="217"/>
        <v>288522</v>
      </c>
      <c r="Y222" s="108">
        <f t="shared" si="218"/>
        <v>5147</v>
      </c>
      <c r="Z222" s="108"/>
      <c r="AA222" s="108">
        <v>5147</v>
      </c>
      <c r="AB222" s="108"/>
      <c r="AC222" s="108"/>
      <c r="AD222" s="108"/>
      <c r="AE222" s="108"/>
      <c r="AF222" s="108">
        <v>0</v>
      </c>
      <c r="AG222" s="133">
        <f t="shared" si="219"/>
        <v>0</v>
      </c>
      <c r="AH222" s="133">
        <f t="shared" si="220"/>
        <v>0</v>
      </c>
      <c r="AI222" s="133"/>
      <c r="AJ222" s="133"/>
      <c r="AK222" s="133"/>
      <c r="AL222" s="133"/>
      <c r="AM222" s="133"/>
      <c r="AN222" s="479"/>
      <c r="AO222" s="133"/>
      <c r="AP222" s="133">
        <v>0</v>
      </c>
      <c r="AQ222" s="133">
        <f t="shared" si="221"/>
        <v>0</v>
      </c>
      <c r="AR222" s="133">
        <f t="shared" si="222"/>
        <v>0</v>
      </c>
      <c r="AS222" s="133"/>
      <c r="AT222" s="133"/>
      <c r="AU222" s="133"/>
      <c r="AV222" s="133"/>
      <c r="AW222" s="108">
        <f t="shared" si="223"/>
        <v>0</v>
      </c>
      <c r="AX222" s="108">
        <f t="shared" si="212"/>
        <v>0</v>
      </c>
      <c r="AY222" s="108"/>
      <c r="AZ222" s="108"/>
      <c r="BA222" s="108"/>
      <c r="BB222" s="108"/>
      <c r="BC222" s="108"/>
      <c r="BD222" s="108"/>
      <c r="BE222" s="359"/>
      <c r="BF222" s="109" t="s">
        <v>565</v>
      </c>
      <c r="BG222" s="116"/>
    </row>
    <row r="223" spans="1:59" s="150" customFormat="1" ht="12.75" x14ac:dyDescent="0.2">
      <c r="A223" s="167"/>
      <c r="B223" s="127"/>
      <c r="C223" s="172"/>
      <c r="D223" s="173"/>
      <c r="E223" s="106" t="s">
        <v>283</v>
      </c>
      <c r="F223" s="107">
        <f t="shared" si="213"/>
        <v>72313</v>
      </c>
      <c r="G223" s="107">
        <f t="shared" si="214"/>
        <v>72313</v>
      </c>
      <c r="H223" s="108">
        <v>72313</v>
      </c>
      <c r="I223" s="108">
        <f t="shared" si="215"/>
        <v>72313</v>
      </c>
      <c r="J223" s="108">
        <f t="shared" si="216"/>
        <v>0</v>
      </c>
      <c r="K223" s="108"/>
      <c r="L223" s="108"/>
      <c r="M223" s="108"/>
      <c r="N223" s="108"/>
      <c r="O223" s="108"/>
      <c r="P223" s="108"/>
      <c r="Q223" s="108"/>
      <c r="R223" s="108"/>
      <c r="S223" s="108"/>
      <c r="T223" s="463"/>
      <c r="U223" s="108"/>
      <c r="V223" s="108"/>
      <c r="W223" s="108">
        <v>0</v>
      </c>
      <c r="X223" s="108">
        <f t="shared" si="217"/>
        <v>0</v>
      </c>
      <c r="Y223" s="108">
        <f t="shared" si="218"/>
        <v>0</v>
      </c>
      <c r="Z223" s="108"/>
      <c r="AA223" s="108"/>
      <c r="AB223" s="108"/>
      <c r="AC223" s="108"/>
      <c r="AD223" s="108"/>
      <c r="AE223" s="108"/>
      <c r="AF223" s="108">
        <v>0</v>
      </c>
      <c r="AG223" s="133">
        <f t="shared" si="219"/>
        <v>0</v>
      </c>
      <c r="AH223" s="133">
        <f t="shared" si="220"/>
        <v>0</v>
      </c>
      <c r="AI223" s="133"/>
      <c r="AJ223" s="133"/>
      <c r="AK223" s="133"/>
      <c r="AL223" s="133"/>
      <c r="AM223" s="133"/>
      <c r="AN223" s="479"/>
      <c r="AO223" s="133"/>
      <c r="AP223" s="133">
        <v>0</v>
      </c>
      <c r="AQ223" s="133">
        <f t="shared" si="221"/>
        <v>0</v>
      </c>
      <c r="AR223" s="133">
        <f t="shared" si="222"/>
        <v>0</v>
      </c>
      <c r="AS223" s="133"/>
      <c r="AT223" s="133"/>
      <c r="AU223" s="133"/>
      <c r="AV223" s="133"/>
      <c r="AW223" s="108">
        <f t="shared" si="223"/>
        <v>0</v>
      </c>
      <c r="AX223" s="108">
        <f t="shared" si="212"/>
        <v>0</v>
      </c>
      <c r="AY223" s="108"/>
      <c r="AZ223" s="108"/>
      <c r="BA223" s="108"/>
      <c r="BB223" s="108"/>
      <c r="BC223" s="108"/>
      <c r="BD223" s="108"/>
      <c r="BE223" s="359"/>
      <c r="BF223" s="109" t="s">
        <v>566</v>
      </c>
      <c r="BG223" s="116"/>
    </row>
    <row r="224" spans="1:59" s="159" customFormat="1" ht="38.25" customHeight="1" x14ac:dyDescent="0.2">
      <c r="A224" s="167">
        <v>40008006745</v>
      </c>
      <c r="B224" s="127"/>
      <c r="C224" s="533" t="s">
        <v>396</v>
      </c>
      <c r="D224" s="534"/>
      <c r="E224" s="106" t="s">
        <v>283</v>
      </c>
      <c r="F224" s="107">
        <f t="shared" si="213"/>
        <v>25897</v>
      </c>
      <c r="G224" s="107">
        <f t="shared" si="214"/>
        <v>31385</v>
      </c>
      <c r="H224" s="108">
        <v>0</v>
      </c>
      <c r="I224" s="108">
        <f t="shared" si="215"/>
        <v>0</v>
      </c>
      <c r="J224" s="108">
        <f t="shared" si="216"/>
        <v>0</v>
      </c>
      <c r="K224" s="108"/>
      <c r="L224" s="108"/>
      <c r="M224" s="108"/>
      <c r="N224" s="108"/>
      <c r="O224" s="108"/>
      <c r="P224" s="108"/>
      <c r="Q224" s="108"/>
      <c r="R224" s="108"/>
      <c r="S224" s="108"/>
      <c r="T224" s="463"/>
      <c r="U224" s="108"/>
      <c r="V224" s="108"/>
      <c r="W224" s="108">
        <v>25897</v>
      </c>
      <c r="X224" s="108">
        <f t="shared" si="217"/>
        <v>31385</v>
      </c>
      <c r="Y224" s="108">
        <f t="shared" si="218"/>
        <v>5488</v>
      </c>
      <c r="Z224" s="108"/>
      <c r="AA224" s="108">
        <v>5488</v>
      </c>
      <c r="AB224" s="108"/>
      <c r="AC224" s="108"/>
      <c r="AD224" s="108"/>
      <c r="AE224" s="108"/>
      <c r="AF224" s="108">
        <v>0</v>
      </c>
      <c r="AG224" s="133">
        <f t="shared" si="219"/>
        <v>0</v>
      </c>
      <c r="AH224" s="133">
        <f t="shared" si="220"/>
        <v>0</v>
      </c>
      <c r="AI224" s="133"/>
      <c r="AJ224" s="133"/>
      <c r="AK224" s="133"/>
      <c r="AL224" s="133"/>
      <c r="AM224" s="133"/>
      <c r="AN224" s="479"/>
      <c r="AO224" s="133"/>
      <c r="AP224" s="133">
        <v>0</v>
      </c>
      <c r="AQ224" s="133">
        <f t="shared" si="221"/>
        <v>0</v>
      </c>
      <c r="AR224" s="133">
        <f t="shared" si="222"/>
        <v>0</v>
      </c>
      <c r="AS224" s="133"/>
      <c r="AT224" s="133"/>
      <c r="AU224" s="133"/>
      <c r="AV224" s="133"/>
      <c r="AW224" s="108">
        <f t="shared" si="223"/>
        <v>0</v>
      </c>
      <c r="AX224" s="108">
        <f t="shared" si="212"/>
        <v>0</v>
      </c>
      <c r="AY224" s="108"/>
      <c r="AZ224" s="108"/>
      <c r="BA224" s="108"/>
      <c r="BB224" s="108"/>
      <c r="BC224" s="108"/>
      <c r="BD224" s="108"/>
      <c r="BE224" s="359"/>
      <c r="BF224" s="109" t="s">
        <v>567</v>
      </c>
      <c r="BG224" s="116"/>
    </row>
    <row r="225" spans="1:59" ht="60" x14ac:dyDescent="0.2">
      <c r="A225" s="167"/>
      <c r="B225" s="127"/>
      <c r="C225" s="533" t="s">
        <v>185</v>
      </c>
      <c r="D225" s="534"/>
      <c r="E225" s="198" t="s">
        <v>313</v>
      </c>
      <c r="F225" s="107">
        <f t="shared" si="213"/>
        <v>400000</v>
      </c>
      <c r="G225" s="107">
        <f t="shared" si="214"/>
        <v>400000</v>
      </c>
      <c r="H225" s="239"/>
      <c r="I225" s="239">
        <f t="shared" si="215"/>
        <v>0</v>
      </c>
      <c r="J225" s="239">
        <f t="shared" si="216"/>
        <v>0</v>
      </c>
      <c r="K225" s="239"/>
      <c r="L225" s="239"/>
      <c r="M225" s="239"/>
      <c r="N225" s="239"/>
      <c r="O225" s="239"/>
      <c r="P225" s="239"/>
      <c r="Q225" s="239"/>
      <c r="R225" s="239"/>
      <c r="S225" s="239"/>
      <c r="T225" s="470"/>
      <c r="U225" s="239"/>
      <c r="V225" s="239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463"/>
      <c r="AO225" s="108">
        <v>400000</v>
      </c>
      <c r="AP225" s="133"/>
      <c r="AQ225" s="133"/>
      <c r="AR225" s="133"/>
      <c r="AS225" s="133"/>
      <c r="AT225" s="133"/>
      <c r="AU225" s="133"/>
      <c r="AV225" s="133"/>
      <c r="AW225" s="108">
        <f t="shared" si="223"/>
        <v>0</v>
      </c>
      <c r="AX225" s="108">
        <f t="shared" si="212"/>
        <v>0</v>
      </c>
      <c r="AY225" s="108"/>
      <c r="AZ225" s="108"/>
      <c r="BA225" s="108"/>
      <c r="BB225" s="108"/>
      <c r="BC225" s="108"/>
      <c r="BD225" s="108"/>
      <c r="BE225" s="359"/>
      <c r="BF225" s="109"/>
      <c r="BG225" s="116"/>
    </row>
    <row r="226" spans="1:59" ht="24" x14ac:dyDescent="0.2">
      <c r="A226" s="167"/>
      <c r="B226" s="127"/>
      <c r="C226" s="208"/>
      <c r="D226" s="165"/>
      <c r="E226" s="198" t="s">
        <v>152</v>
      </c>
      <c r="F226" s="107">
        <f t="shared" si="213"/>
        <v>540691</v>
      </c>
      <c r="G226" s="107">
        <f t="shared" si="214"/>
        <v>540691</v>
      </c>
      <c r="H226" s="108"/>
      <c r="I226" s="108">
        <f t="shared" si="215"/>
        <v>0</v>
      </c>
      <c r="J226" s="108">
        <f t="shared" si="216"/>
        <v>0</v>
      </c>
      <c r="K226" s="108"/>
      <c r="L226" s="108"/>
      <c r="M226" s="108"/>
      <c r="N226" s="108"/>
      <c r="O226" s="108"/>
      <c r="P226" s="108"/>
      <c r="Q226" s="108"/>
      <c r="R226" s="108"/>
      <c r="S226" s="108"/>
      <c r="T226" s="463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463"/>
      <c r="AO226" s="108">
        <v>540691</v>
      </c>
      <c r="AP226" s="133"/>
      <c r="AQ226" s="133"/>
      <c r="AR226" s="133"/>
      <c r="AS226" s="133"/>
      <c r="AT226" s="133"/>
      <c r="AU226" s="133"/>
      <c r="AV226" s="133"/>
      <c r="AW226" s="108">
        <f t="shared" si="223"/>
        <v>0</v>
      </c>
      <c r="AX226" s="108">
        <f t="shared" si="212"/>
        <v>0</v>
      </c>
      <c r="AY226" s="108"/>
      <c r="AZ226" s="108"/>
      <c r="BA226" s="108"/>
      <c r="BB226" s="108"/>
      <c r="BC226" s="108"/>
      <c r="BD226" s="108"/>
      <c r="BE226" s="359"/>
      <c r="BF226" s="109"/>
      <c r="BG226" s="116"/>
    </row>
    <row r="227" spans="1:59" s="160" customFormat="1" ht="24" x14ac:dyDescent="0.2">
      <c r="A227" s="167"/>
      <c r="B227" s="127"/>
      <c r="C227" s="208"/>
      <c r="D227" s="165"/>
      <c r="E227" s="198" t="s">
        <v>308</v>
      </c>
      <c r="F227" s="107">
        <f t="shared" si="213"/>
        <v>284577</v>
      </c>
      <c r="G227" s="107">
        <f t="shared" si="214"/>
        <v>284577</v>
      </c>
      <c r="H227" s="108"/>
      <c r="I227" s="108">
        <f t="shared" si="215"/>
        <v>0</v>
      </c>
      <c r="J227" s="108">
        <f t="shared" si="216"/>
        <v>0</v>
      </c>
      <c r="K227" s="108"/>
      <c r="L227" s="108"/>
      <c r="M227" s="108"/>
      <c r="N227" s="108"/>
      <c r="O227" s="108"/>
      <c r="P227" s="108"/>
      <c r="Q227" s="108"/>
      <c r="R227" s="108"/>
      <c r="S227" s="108"/>
      <c r="T227" s="463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463"/>
      <c r="AO227" s="108">
        <v>284577</v>
      </c>
      <c r="AP227" s="133"/>
      <c r="AQ227" s="133"/>
      <c r="AR227" s="133"/>
      <c r="AS227" s="133"/>
      <c r="AT227" s="133"/>
      <c r="AU227" s="133"/>
      <c r="AV227" s="133"/>
      <c r="AW227" s="108">
        <f t="shared" si="223"/>
        <v>0</v>
      </c>
      <c r="AX227" s="108">
        <f t="shared" si="212"/>
        <v>0</v>
      </c>
      <c r="AY227" s="108"/>
      <c r="AZ227" s="108"/>
      <c r="BA227" s="108"/>
      <c r="BB227" s="108"/>
      <c r="BC227" s="108"/>
      <c r="BD227" s="108"/>
      <c r="BE227" s="359"/>
      <c r="BF227" s="109"/>
      <c r="BG227" s="116"/>
    </row>
    <row r="228" spans="1:59" ht="24" x14ac:dyDescent="0.2">
      <c r="A228" s="167"/>
      <c r="B228" s="127"/>
      <c r="C228" s="208"/>
      <c r="D228" s="165"/>
      <c r="E228" s="198" t="s">
        <v>309</v>
      </c>
      <c r="F228" s="107">
        <f t="shared" si="213"/>
        <v>95785</v>
      </c>
      <c r="G228" s="107">
        <f t="shared" si="214"/>
        <v>95785</v>
      </c>
      <c r="H228" s="108"/>
      <c r="I228" s="108">
        <f t="shared" si="215"/>
        <v>0</v>
      </c>
      <c r="J228" s="108">
        <f t="shared" si="216"/>
        <v>0</v>
      </c>
      <c r="K228" s="108"/>
      <c r="L228" s="108"/>
      <c r="M228" s="108"/>
      <c r="N228" s="108"/>
      <c r="O228" s="108"/>
      <c r="P228" s="108"/>
      <c r="Q228" s="108"/>
      <c r="R228" s="108"/>
      <c r="S228" s="108"/>
      <c r="T228" s="463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463"/>
      <c r="AO228" s="108">
        <v>95785</v>
      </c>
      <c r="AP228" s="133"/>
      <c r="AQ228" s="133"/>
      <c r="AR228" s="133"/>
      <c r="AS228" s="133"/>
      <c r="AT228" s="133"/>
      <c r="AU228" s="133"/>
      <c r="AV228" s="133"/>
      <c r="AW228" s="108">
        <f t="shared" si="223"/>
        <v>0</v>
      </c>
      <c r="AX228" s="108">
        <f t="shared" si="212"/>
        <v>0</v>
      </c>
      <c r="AY228" s="108"/>
      <c r="AZ228" s="108"/>
      <c r="BA228" s="108"/>
      <c r="BB228" s="108"/>
      <c r="BC228" s="108"/>
      <c r="BD228" s="108"/>
      <c r="BE228" s="359"/>
      <c r="BF228" s="109"/>
      <c r="BG228" s="116"/>
    </row>
    <row r="229" spans="1:59" s="199" customFormat="1" ht="48" x14ac:dyDescent="0.2">
      <c r="A229" s="167"/>
      <c r="B229" s="202"/>
      <c r="C229" s="208"/>
      <c r="D229" s="165"/>
      <c r="E229" s="198" t="s">
        <v>319</v>
      </c>
      <c r="F229" s="107">
        <f t="shared" si="213"/>
        <v>122000</v>
      </c>
      <c r="G229" s="107">
        <f t="shared" si="214"/>
        <v>122000</v>
      </c>
      <c r="H229" s="108"/>
      <c r="I229" s="108">
        <f t="shared" si="215"/>
        <v>0</v>
      </c>
      <c r="J229" s="108">
        <f t="shared" si="216"/>
        <v>0</v>
      </c>
      <c r="K229" s="108"/>
      <c r="L229" s="108"/>
      <c r="M229" s="108"/>
      <c r="N229" s="108"/>
      <c r="O229" s="108"/>
      <c r="P229" s="108"/>
      <c r="Q229" s="108"/>
      <c r="R229" s="108"/>
      <c r="S229" s="108"/>
      <c r="T229" s="463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33"/>
      <c r="AH229" s="133"/>
      <c r="AI229" s="133"/>
      <c r="AJ229" s="133"/>
      <c r="AK229" s="133"/>
      <c r="AL229" s="133"/>
      <c r="AM229" s="133"/>
      <c r="AN229" s="479"/>
      <c r="AO229" s="133">
        <v>122000</v>
      </c>
      <c r="AP229" s="133"/>
      <c r="AQ229" s="133"/>
      <c r="AR229" s="133"/>
      <c r="AS229" s="133"/>
      <c r="AT229" s="133"/>
      <c r="AU229" s="133"/>
      <c r="AV229" s="133"/>
      <c r="AW229" s="108">
        <f t="shared" si="223"/>
        <v>0</v>
      </c>
      <c r="AX229" s="108">
        <f t="shared" si="212"/>
        <v>0</v>
      </c>
      <c r="AY229" s="108"/>
      <c r="AZ229" s="108"/>
      <c r="BA229" s="108"/>
      <c r="BB229" s="108"/>
      <c r="BC229" s="108"/>
      <c r="BD229" s="108"/>
      <c r="BE229" s="359"/>
      <c r="BF229" s="109"/>
      <c r="BG229" s="116"/>
    </row>
    <row r="230" spans="1:59" ht="13.5" thickBot="1" x14ac:dyDescent="0.25">
      <c r="A230" s="167"/>
      <c r="B230" s="145"/>
      <c r="C230" s="556"/>
      <c r="D230" s="557"/>
      <c r="E230" s="163"/>
      <c r="F230" s="94"/>
      <c r="G230" s="94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464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132"/>
      <c r="AH230" s="132"/>
      <c r="AI230" s="132"/>
      <c r="AJ230" s="132"/>
      <c r="AK230" s="132"/>
      <c r="AL230" s="132"/>
      <c r="AM230" s="132"/>
      <c r="AN230" s="480"/>
      <c r="AO230" s="132"/>
      <c r="AP230" s="132"/>
      <c r="AQ230" s="132"/>
      <c r="AR230" s="132"/>
      <c r="AS230" s="132"/>
      <c r="AT230" s="132"/>
      <c r="AU230" s="132"/>
      <c r="AV230" s="132"/>
      <c r="AW230" s="95"/>
      <c r="AX230" s="95"/>
      <c r="AY230" s="95"/>
      <c r="AZ230" s="95"/>
      <c r="BA230" s="95"/>
      <c r="BB230" s="95"/>
      <c r="BC230" s="95"/>
      <c r="BD230" s="95"/>
      <c r="BE230" s="360"/>
      <c r="BF230" s="96"/>
      <c r="BG230" s="117"/>
    </row>
    <row r="231" spans="1:59" ht="12.75" thickBot="1" x14ac:dyDescent="0.25">
      <c r="A231" s="220"/>
      <c r="B231" s="536" t="s">
        <v>21</v>
      </c>
      <c r="C231" s="536"/>
      <c r="D231" s="217" t="s">
        <v>22</v>
      </c>
      <c r="E231" s="15"/>
      <c r="F231" s="9">
        <f t="shared" ref="F231:AO231" si="230">SUM(F232:F259)</f>
        <v>6101684</v>
      </c>
      <c r="G231" s="9">
        <f t="shared" si="230"/>
        <v>6017937</v>
      </c>
      <c r="H231" s="9">
        <f t="shared" si="230"/>
        <v>4782826</v>
      </c>
      <c r="I231" s="9">
        <f t="shared" si="230"/>
        <v>4697092</v>
      </c>
      <c r="J231" s="9">
        <f t="shared" si="230"/>
        <v>-85734</v>
      </c>
      <c r="K231" s="9">
        <f>SUM(K232:K259)</f>
        <v>-86714</v>
      </c>
      <c r="L231" s="9">
        <f t="shared" si="230"/>
        <v>-1</v>
      </c>
      <c r="M231" s="9">
        <f t="shared" si="230"/>
        <v>-5559</v>
      </c>
      <c r="N231" s="9">
        <f t="shared" si="230"/>
        <v>24275</v>
      </c>
      <c r="O231" s="9">
        <f t="shared" si="230"/>
        <v>0</v>
      </c>
      <c r="P231" s="9">
        <f t="shared" si="230"/>
        <v>3344</v>
      </c>
      <c r="Q231" s="9">
        <f t="shared" si="230"/>
        <v>0</v>
      </c>
      <c r="R231" s="9">
        <f t="shared" si="230"/>
        <v>0</v>
      </c>
      <c r="S231" s="9">
        <f t="shared" si="230"/>
        <v>-21079</v>
      </c>
      <c r="T231" s="462">
        <f t="shared" si="230"/>
        <v>0</v>
      </c>
      <c r="U231" s="9">
        <f t="shared" si="230"/>
        <v>0</v>
      </c>
      <c r="V231" s="9">
        <f t="shared" si="230"/>
        <v>0</v>
      </c>
      <c r="W231" s="9">
        <f t="shared" si="230"/>
        <v>313070</v>
      </c>
      <c r="X231" s="9">
        <f t="shared" si="230"/>
        <v>313071</v>
      </c>
      <c r="Y231" s="9">
        <f t="shared" si="230"/>
        <v>1</v>
      </c>
      <c r="Z231" s="9">
        <f t="shared" si="230"/>
        <v>0</v>
      </c>
      <c r="AA231" s="9">
        <f t="shared" si="230"/>
        <v>1</v>
      </c>
      <c r="AB231" s="9">
        <f t="shared" si="230"/>
        <v>0</v>
      </c>
      <c r="AC231" s="9">
        <f t="shared" si="230"/>
        <v>0</v>
      </c>
      <c r="AD231" s="9">
        <f t="shared" si="230"/>
        <v>0</v>
      </c>
      <c r="AE231" s="9">
        <f t="shared" si="230"/>
        <v>0</v>
      </c>
      <c r="AF231" s="9">
        <f t="shared" si="230"/>
        <v>652452</v>
      </c>
      <c r="AG231" s="9">
        <f t="shared" si="230"/>
        <v>655252</v>
      </c>
      <c r="AH231" s="9">
        <f t="shared" si="230"/>
        <v>2800</v>
      </c>
      <c r="AI231" s="9">
        <f t="shared" si="230"/>
        <v>1768</v>
      </c>
      <c r="AJ231" s="9">
        <f t="shared" si="230"/>
        <v>0</v>
      </c>
      <c r="AK231" s="9">
        <f t="shared" si="230"/>
        <v>0</v>
      </c>
      <c r="AL231" s="9">
        <f t="shared" si="230"/>
        <v>952</v>
      </c>
      <c r="AM231" s="9">
        <f t="shared" si="230"/>
        <v>80</v>
      </c>
      <c r="AN231" s="462">
        <f t="shared" si="230"/>
        <v>0</v>
      </c>
      <c r="AO231" s="9">
        <f t="shared" si="230"/>
        <v>348605</v>
      </c>
      <c r="AP231" s="131">
        <f>SUM(AP232:AP259)</f>
        <v>4731</v>
      </c>
      <c r="AQ231" s="131">
        <f t="shared" ref="AQ231:AU231" si="231">SUM(AQ232:AQ259)</f>
        <v>4949</v>
      </c>
      <c r="AR231" s="131">
        <f t="shared" si="231"/>
        <v>218</v>
      </c>
      <c r="AS231" s="131">
        <f t="shared" si="231"/>
        <v>218</v>
      </c>
      <c r="AT231" s="131">
        <f t="shared" si="231"/>
        <v>0</v>
      </c>
      <c r="AU231" s="131">
        <f t="shared" si="231"/>
        <v>0</v>
      </c>
      <c r="AV231" s="131">
        <f>SUM(AV232:AV259)</f>
        <v>0</v>
      </c>
      <c r="AW231" s="131">
        <f t="shared" ref="AW231:BE231" si="232">SUM(AW232:AW259)</f>
        <v>-1032</v>
      </c>
      <c r="AX231" s="131">
        <f t="shared" si="232"/>
        <v>-1032</v>
      </c>
      <c r="AY231" s="131">
        <f t="shared" si="232"/>
        <v>0</v>
      </c>
      <c r="AZ231" s="131">
        <f t="shared" si="232"/>
        <v>0</v>
      </c>
      <c r="BA231" s="131">
        <f t="shared" si="232"/>
        <v>0</v>
      </c>
      <c r="BB231" s="131">
        <f t="shared" si="232"/>
        <v>0</v>
      </c>
      <c r="BC231" s="131">
        <f t="shared" ref="BC231" si="233">SUM(BC232:BC259)</f>
        <v>-952</v>
      </c>
      <c r="BD231" s="131">
        <f t="shared" si="232"/>
        <v>-80</v>
      </c>
      <c r="BE231" s="131">
        <f t="shared" si="232"/>
        <v>0</v>
      </c>
      <c r="BF231" s="17"/>
      <c r="BG231" s="118"/>
    </row>
    <row r="232" spans="1:59" s="210" customFormat="1" ht="48.75" thickTop="1" x14ac:dyDescent="0.2">
      <c r="A232" s="167">
        <v>90000056357</v>
      </c>
      <c r="B232" s="219"/>
      <c r="C232" s="531" t="s">
        <v>5</v>
      </c>
      <c r="D232" s="532"/>
      <c r="E232" s="221" t="s">
        <v>639</v>
      </c>
      <c r="F232" s="262">
        <f t="shared" ref="F232:F258" si="234">H232+W232+AF232+AO232+AP232+AV232</f>
        <v>47500</v>
      </c>
      <c r="G232" s="262">
        <f t="shared" ref="G232:G258" si="235">I232+X232+AG232+AO232+AQ232+AW232</f>
        <v>47274</v>
      </c>
      <c r="H232" s="263">
        <v>47500</v>
      </c>
      <c r="I232" s="263">
        <f t="shared" ref="I232:I258" si="236">H232+J232</f>
        <v>47274</v>
      </c>
      <c r="J232" s="263">
        <f t="shared" ref="J232:J258" si="237">SUM(K232:V232)</f>
        <v>-226</v>
      </c>
      <c r="K232" s="263"/>
      <c r="L232" s="263"/>
      <c r="M232" s="263"/>
      <c r="N232" s="263"/>
      <c r="O232" s="263"/>
      <c r="P232" s="263">
        <v>3344</v>
      </c>
      <c r="Q232" s="263"/>
      <c r="R232" s="263">
        <v>-3570</v>
      </c>
      <c r="S232" s="263"/>
      <c r="T232" s="466"/>
      <c r="U232" s="263"/>
      <c r="V232" s="263"/>
      <c r="W232" s="263">
        <v>0</v>
      </c>
      <c r="X232" s="263">
        <f t="shared" ref="X232:X256" si="238">W232+Y232</f>
        <v>0</v>
      </c>
      <c r="Y232" s="263">
        <f t="shared" ref="Y232:Y256" si="239">SUM(Z232:AE232)</f>
        <v>0</v>
      </c>
      <c r="Z232" s="263"/>
      <c r="AA232" s="263"/>
      <c r="AB232" s="263"/>
      <c r="AC232" s="263"/>
      <c r="AD232" s="263"/>
      <c r="AE232" s="263"/>
      <c r="AF232" s="263">
        <v>0</v>
      </c>
      <c r="AG232" s="264">
        <f t="shared" ref="AG232:AG256" si="240">AH232+AF232</f>
        <v>0</v>
      </c>
      <c r="AH232" s="264">
        <f t="shared" ref="AH232:AH256" si="241">SUM(AI232:AN232)</f>
        <v>0</v>
      </c>
      <c r="AI232" s="264"/>
      <c r="AJ232" s="264"/>
      <c r="AK232" s="264"/>
      <c r="AL232" s="264"/>
      <c r="AM232" s="264"/>
      <c r="AN232" s="482"/>
      <c r="AO232" s="264"/>
      <c r="AP232" s="264">
        <v>0</v>
      </c>
      <c r="AQ232" s="264">
        <f t="shared" ref="AQ232:AQ256" si="242">AR232+AP232</f>
        <v>0</v>
      </c>
      <c r="AR232" s="264">
        <f t="shared" ref="AR232:AR256" si="243">SUM(AS232:AU232)</f>
        <v>0</v>
      </c>
      <c r="AS232" s="264"/>
      <c r="AT232" s="264"/>
      <c r="AU232" s="264"/>
      <c r="AV232" s="264"/>
      <c r="AW232" s="263">
        <f t="shared" ref="AW232:AW258" si="244">AX232+AV232</f>
        <v>0</v>
      </c>
      <c r="AX232" s="263">
        <f t="shared" ref="AX232:AX258" si="245">SUM(AY232:BE232)</f>
        <v>0</v>
      </c>
      <c r="AY232" s="263"/>
      <c r="AZ232" s="263"/>
      <c r="BA232" s="263"/>
      <c r="BB232" s="263"/>
      <c r="BC232" s="263"/>
      <c r="BD232" s="263"/>
      <c r="BE232" s="362"/>
      <c r="BF232" s="274" t="s">
        <v>467</v>
      </c>
      <c r="BG232" s="117" t="s">
        <v>591</v>
      </c>
    </row>
    <row r="233" spans="1:59" s="261" customFormat="1" ht="24" x14ac:dyDescent="0.2">
      <c r="A233" s="167"/>
      <c r="B233" s="129"/>
      <c r="C233" s="156"/>
      <c r="D233" s="157"/>
      <c r="E233" s="222" t="s">
        <v>640</v>
      </c>
      <c r="F233" s="107">
        <f t="shared" si="234"/>
        <v>40366</v>
      </c>
      <c r="G233" s="107">
        <f t="shared" si="235"/>
        <v>21679</v>
      </c>
      <c r="H233" s="108">
        <v>40366</v>
      </c>
      <c r="I233" s="108">
        <f t="shared" si="236"/>
        <v>21679</v>
      </c>
      <c r="J233" s="108">
        <f t="shared" si="237"/>
        <v>-18687</v>
      </c>
      <c r="K233" s="108"/>
      <c r="L233" s="108">
        <v>-1</v>
      </c>
      <c r="M233" s="108">
        <v>-5559</v>
      </c>
      <c r="N233" s="108"/>
      <c r="O233" s="108"/>
      <c r="P233" s="108">
        <v>-16697</v>
      </c>
      <c r="Q233" s="108"/>
      <c r="R233" s="108">
        <v>3570</v>
      </c>
      <c r="S233" s="108"/>
      <c r="T233" s="463"/>
      <c r="U233" s="108"/>
      <c r="V233" s="108"/>
      <c r="W233" s="108">
        <v>0</v>
      </c>
      <c r="X233" s="108">
        <f t="shared" si="238"/>
        <v>0</v>
      </c>
      <c r="Y233" s="108">
        <f t="shared" si="239"/>
        <v>0</v>
      </c>
      <c r="Z233" s="108"/>
      <c r="AA233" s="108"/>
      <c r="AB233" s="108"/>
      <c r="AC233" s="108"/>
      <c r="AD233" s="108"/>
      <c r="AE233" s="108"/>
      <c r="AF233" s="108">
        <v>0</v>
      </c>
      <c r="AG233" s="133">
        <f t="shared" si="240"/>
        <v>0</v>
      </c>
      <c r="AH233" s="133">
        <f t="shared" si="241"/>
        <v>0</v>
      </c>
      <c r="AI233" s="133"/>
      <c r="AJ233" s="133"/>
      <c r="AK233" s="133"/>
      <c r="AL233" s="133"/>
      <c r="AM233" s="133"/>
      <c r="AN233" s="479"/>
      <c r="AO233" s="133"/>
      <c r="AP233" s="133">
        <v>0</v>
      </c>
      <c r="AQ233" s="133">
        <f t="shared" si="242"/>
        <v>0</v>
      </c>
      <c r="AR233" s="133">
        <f t="shared" si="243"/>
        <v>0</v>
      </c>
      <c r="AS233" s="133"/>
      <c r="AT233" s="133"/>
      <c r="AU233" s="133"/>
      <c r="AV233" s="133"/>
      <c r="AW233" s="108">
        <f t="shared" si="244"/>
        <v>0</v>
      </c>
      <c r="AX233" s="108">
        <f t="shared" si="245"/>
        <v>0</v>
      </c>
      <c r="AY233" s="108"/>
      <c r="AZ233" s="108"/>
      <c r="BA233" s="108"/>
      <c r="BB233" s="108"/>
      <c r="BC233" s="108"/>
      <c r="BD233" s="108"/>
      <c r="BE233" s="359"/>
      <c r="BF233" s="109" t="s">
        <v>468</v>
      </c>
      <c r="BG233" s="116" t="s">
        <v>591</v>
      </c>
    </row>
    <row r="234" spans="1:59" s="446" customFormat="1" ht="48" x14ac:dyDescent="0.2">
      <c r="A234" s="167"/>
      <c r="B234" s="129"/>
      <c r="C234" s="156"/>
      <c r="D234" s="157"/>
      <c r="E234" s="222" t="s">
        <v>746</v>
      </c>
      <c r="F234" s="107">
        <f t="shared" ref="F234" si="246">H234+W234+AF234+AO234+AP234+AV234</f>
        <v>0</v>
      </c>
      <c r="G234" s="107">
        <f t="shared" ref="G234" si="247">I234+X234+AG234+AO234+AQ234+AW234</f>
        <v>16697</v>
      </c>
      <c r="H234" s="108"/>
      <c r="I234" s="108">
        <f t="shared" ref="I234" si="248">H234+J234</f>
        <v>16697</v>
      </c>
      <c r="J234" s="108">
        <f t="shared" ref="J234" si="249">SUM(K234:V234)</f>
        <v>16697</v>
      </c>
      <c r="K234" s="108"/>
      <c r="L234" s="108"/>
      <c r="M234" s="108"/>
      <c r="N234" s="108"/>
      <c r="O234" s="108"/>
      <c r="P234" s="108">
        <v>16697</v>
      </c>
      <c r="Q234" s="108"/>
      <c r="R234" s="108"/>
      <c r="S234" s="108"/>
      <c r="T234" s="463"/>
      <c r="U234" s="108"/>
      <c r="V234" s="108"/>
      <c r="W234" s="108"/>
      <c r="X234" s="108">
        <f t="shared" ref="X234" si="250">W234+Y234</f>
        <v>0</v>
      </c>
      <c r="Y234" s="108">
        <f t="shared" ref="Y234" si="251">SUM(Z234:AE234)</f>
        <v>0</v>
      </c>
      <c r="Z234" s="108"/>
      <c r="AA234" s="108"/>
      <c r="AB234" s="108"/>
      <c r="AC234" s="108"/>
      <c r="AD234" s="108"/>
      <c r="AE234" s="108"/>
      <c r="AF234" s="108"/>
      <c r="AG234" s="133">
        <f t="shared" ref="AG234" si="252">AH234+AF234</f>
        <v>0</v>
      </c>
      <c r="AH234" s="133">
        <f t="shared" ref="AH234" si="253">SUM(AI234:AN234)</f>
        <v>0</v>
      </c>
      <c r="AI234" s="133"/>
      <c r="AJ234" s="133"/>
      <c r="AK234" s="133"/>
      <c r="AL234" s="133"/>
      <c r="AM234" s="133"/>
      <c r="AN234" s="479"/>
      <c r="AO234" s="133"/>
      <c r="AP234" s="133"/>
      <c r="AQ234" s="133">
        <f t="shared" ref="AQ234" si="254">AR234+AP234</f>
        <v>0</v>
      </c>
      <c r="AR234" s="133">
        <f t="shared" ref="AR234" si="255">SUM(AS234:AU234)</f>
        <v>0</v>
      </c>
      <c r="AS234" s="133"/>
      <c r="AT234" s="133"/>
      <c r="AU234" s="133"/>
      <c r="AV234" s="133"/>
      <c r="AW234" s="108">
        <f t="shared" ref="AW234" si="256">AX234+AV234</f>
        <v>0</v>
      </c>
      <c r="AX234" s="108">
        <f t="shared" si="245"/>
        <v>0</v>
      </c>
      <c r="AY234" s="108"/>
      <c r="AZ234" s="108"/>
      <c r="BA234" s="108"/>
      <c r="BB234" s="108"/>
      <c r="BC234" s="108"/>
      <c r="BD234" s="108"/>
      <c r="BE234" s="359"/>
      <c r="BF234" s="109" t="s">
        <v>747</v>
      </c>
      <c r="BG234" s="116" t="s">
        <v>591</v>
      </c>
    </row>
    <row r="235" spans="1:59" ht="12.75" x14ac:dyDescent="0.2">
      <c r="A235" s="167">
        <v>90000594245</v>
      </c>
      <c r="B235" s="127"/>
      <c r="C235" s="533" t="s">
        <v>23</v>
      </c>
      <c r="D235" s="534"/>
      <c r="E235" s="106" t="s">
        <v>209</v>
      </c>
      <c r="F235" s="107">
        <f t="shared" si="234"/>
        <v>793230</v>
      </c>
      <c r="G235" s="107">
        <f t="shared" si="235"/>
        <v>790553</v>
      </c>
      <c r="H235" s="108">
        <v>793230</v>
      </c>
      <c r="I235" s="108">
        <f t="shared" si="236"/>
        <v>790553</v>
      </c>
      <c r="J235" s="108">
        <f t="shared" si="237"/>
        <v>-2677</v>
      </c>
      <c r="K235" s="108"/>
      <c r="L235" s="108"/>
      <c r="M235" s="108"/>
      <c r="N235" s="108">
        <v>870</v>
      </c>
      <c r="O235" s="108"/>
      <c r="P235" s="108"/>
      <c r="Q235" s="108"/>
      <c r="R235" s="108"/>
      <c r="S235" s="108">
        <v>-3547</v>
      </c>
      <c r="T235" s="463"/>
      <c r="U235" s="108"/>
      <c r="V235" s="108"/>
      <c r="W235" s="108">
        <v>0</v>
      </c>
      <c r="X235" s="108">
        <f t="shared" si="238"/>
        <v>0</v>
      </c>
      <c r="Y235" s="108">
        <f t="shared" si="239"/>
        <v>0</v>
      </c>
      <c r="Z235" s="108"/>
      <c r="AA235" s="108"/>
      <c r="AB235" s="108"/>
      <c r="AC235" s="108"/>
      <c r="AD235" s="108"/>
      <c r="AE235" s="108"/>
      <c r="AF235" s="108">
        <v>0</v>
      </c>
      <c r="AG235" s="133">
        <f t="shared" si="240"/>
        <v>952</v>
      </c>
      <c r="AH235" s="133">
        <f t="shared" si="241"/>
        <v>952</v>
      </c>
      <c r="AI235" s="133"/>
      <c r="AJ235" s="133"/>
      <c r="AK235" s="133"/>
      <c r="AL235" s="133">
        <v>952</v>
      </c>
      <c r="AM235" s="133"/>
      <c r="AN235" s="479"/>
      <c r="AO235" s="133"/>
      <c r="AP235" s="133">
        <v>0</v>
      </c>
      <c r="AQ235" s="133">
        <f t="shared" si="242"/>
        <v>0</v>
      </c>
      <c r="AR235" s="133">
        <f t="shared" si="243"/>
        <v>0</v>
      </c>
      <c r="AS235" s="133"/>
      <c r="AT235" s="133"/>
      <c r="AU235" s="133"/>
      <c r="AV235" s="133"/>
      <c r="AW235" s="108">
        <f t="shared" si="244"/>
        <v>-952</v>
      </c>
      <c r="AX235" s="108">
        <f t="shared" si="245"/>
        <v>-952</v>
      </c>
      <c r="AY235" s="108"/>
      <c r="AZ235" s="108"/>
      <c r="BA235" s="108"/>
      <c r="BB235" s="108"/>
      <c r="BC235" s="108">
        <v>-952</v>
      </c>
      <c r="BD235" s="108"/>
      <c r="BE235" s="359"/>
      <c r="BF235" s="109" t="s">
        <v>568</v>
      </c>
      <c r="BG235" s="116"/>
    </row>
    <row r="236" spans="1:59" s="210" customFormat="1" ht="24" x14ac:dyDescent="0.2">
      <c r="A236" s="167"/>
      <c r="B236" s="127"/>
      <c r="C236" s="208"/>
      <c r="D236" s="209"/>
      <c r="E236" s="106" t="s">
        <v>236</v>
      </c>
      <c r="F236" s="107">
        <f t="shared" si="234"/>
        <v>303784</v>
      </c>
      <c r="G236" s="107">
        <f t="shared" si="235"/>
        <v>303784</v>
      </c>
      <c r="H236" s="108">
        <v>20604</v>
      </c>
      <c r="I236" s="108">
        <f t="shared" si="236"/>
        <v>20604</v>
      </c>
      <c r="J236" s="108">
        <f t="shared" si="237"/>
        <v>0</v>
      </c>
      <c r="K236" s="108"/>
      <c r="L236" s="108"/>
      <c r="M236" s="108"/>
      <c r="N236" s="108"/>
      <c r="O236" s="108"/>
      <c r="P236" s="108"/>
      <c r="Q236" s="108"/>
      <c r="R236" s="108"/>
      <c r="S236" s="108"/>
      <c r="T236" s="463"/>
      <c r="U236" s="108"/>
      <c r="V236" s="108"/>
      <c r="W236" s="108">
        <v>283180</v>
      </c>
      <c r="X236" s="108">
        <f t="shared" si="238"/>
        <v>283180</v>
      </c>
      <c r="Y236" s="108">
        <f t="shared" si="239"/>
        <v>0</v>
      </c>
      <c r="Z236" s="108"/>
      <c r="AA236" s="108"/>
      <c r="AB236" s="108"/>
      <c r="AC236" s="108"/>
      <c r="AD236" s="108"/>
      <c r="AE236" s="108"/>
      <c r="AF236" s="108">
        <v>0</v>
      </c>
      <c r="AG236" s="133">
        <f t="shared" si="240"/>
        <v>0</v>
      </c>
      <c r="AH236" s="133">
        <f t="shared" si="241"/>
        <v>0</v>
      </c>
      <c r="AI236" s="133"/>
      <c r="AJ236" s="133"/>
      <c r="AK236" s="133"/>
      <c r="AL236" s="133"/>
      <c r="AM236" s="133"/>
      <c r="AN236" s="479"/>
      <c r="AO236" s="133"/>
      <c r="AP236" s="133">
        <v>0</v>
      </c>
      <c r="AQ236" s="133">
        <f t="shared" si="242"/>
        <v>0</v>
      </c>
      <c r="AR236" s="133">
        <f t="shared" si="243"/>
        <v>0</v>
      </c>
      <c r="AS236" s="133"/>
      <c r="AT236" s="133"/>
      <c r="AU236" s="133"/>
      <c r="AV236" s="133"/>
      <c r="AW236" s="108">
        <f t="shared" si="244"/>
        <v>0</v>
      </c>
      <c r="AX236" s="108">
        <f t="shared" si="245"/>
        <v>0</v>
      </c>
      <c r="AY236" s="108"/>
      <c r="AZ236" s="108"/>
      <c r="BA236" s="108"/>
      <c r="BB236" s="108"/>
      <c r="BC236" s="108"/>
      <c r="BD236" s="108"/>
      <c r="BE236" s="359"/>
      <c r="BF236" s="109" t="s">
        <v>569</v>
      </c>
      <c r="BG236" s="116" t="s">
        <v>620</v>
      </c>
    </row>
    <row r="237" spans="1:59" ht="24" x14ac:dyDescent="0.2">
      <c r="A237" s="167"/>
      <c r="B237" s="127"/>
      <c r="C237" s="208"/>
      <c r="D237" s="209"/>
      <c r="E237" s="106" t="s">
        <v>237</v>
      </c>
      <c r="F237" s="107">
        <f t="shared" si="234"/>
        <v>192514</v>
      </c>
      <c r="G237" s="107">
        <f t="shared" si="235"/>
        <v>192514</v>
      </c>
      <c r="H237" s="108">
        <v>188244</v>
      </c>
      <c r="I237" s="108">
        <f t="shared" si="236"/>
        <v>188244</v>
      </c>
      <c r="J237" s="108">
        <f t="shared" si="237"/>
        <v>0</v>
      </c>
      <c r="K237" s="108"/>
      <c r="L237" s="108"/>
      <c r="M237" s="108"/>
      <c r="N237" s="108"/>
      <c r="O237" s="108"/>
      <c r="P237" s="108"/>
      <c r="Q237" s="108"/>
      <c r="R237" s="108"/>
      <c r="S237" s="108"/>
      <c r="T237" s="463"/>
      <c r="U237" s="108"/>
      <c r="V237" s="108"/>
      <c r="W237" s="108">
        <v>4270</v>
      </c>
      <c r="X237" s="108">
        <f t="shared" si="238"/>
        <v>4270</v>
      </c>
      <c r="Y237" s="108">
        <f t="shared" si="239"/>
        <v>0</v>
      </c>
      <c r="Z237" s="108"/>
      <c r="AA237" s="108"/>
      <c r="AB237" s="108"/>
      <c r="AC237" s="108"/>
      <c r="AD237" s="108"/>
      <c r="AE237" s="108"/>
      <c r="AF237" s="108">
        <v>0</v>
      </c>
      <c r="AG237" s="133">
        <f t="shared" si="240"/>
        <v>0</v>
      </c>
      <c r="AH237" s="133">
        <f t="shared" si="241"/>
        <v>0</v>
      </c>
      <c r="AI237" s="133"/>
      <c r="AJ237" s="133"/>
      <c r="AK237" s="133"/>
      <c r="AL237" s="133"/>
      <c r="AM237" s="133"/>
      <c r="AN237" s="479"/>
      <c r="AO237" s="133"/>
      <c r="AP237" s="133">
        <v>0</v>
      </c>
      <c r="AQ237" s="133">
        <f t="shared" si="242"/>
        <v>0</v>
      </c>
      <c r="AR237" s="133">
        <f t="shared" si="243"/>
        <v>0</v>
      </c>
      <c r="AS237" s="133"/>
      <c r="AT237" s="133"/>
      <c r="AU237" s="133"/>
      <c r="AV237" s="133"/>
      <c r="AW237" s="108">
        <f t="shared" si="244"/>
        <v>0</v>
      </c>
      <c r="AX237" s="108">
        <f t="shared" si="245"/>
        <v>0</v>
      </c>
      <c r="AY237" s="108"/>
      <c r="AZ237" s="108"/>
      <c r="BA237" s="108"/>
      <c r="BB237" s="108"/>
      <c r="BC237" s="108"/>
      <c r="BD237" s="108"/>
      <c r="BE237" s="359"/>
      <c r="BF237" s="109" t="s">
        <v>570</v>
      </c>
      <c r="BG237" s="116" t="s">
        <v>620</v>
      </c>
    </row>
    <row r="238" spans="1:59" ht="24" x14ac:dyDescent="0.2">
      <c r="A238" s="167"/>
      <c r="B238" s="127"/>
      <c r="C238" s="208"/>
      <c r="D238" s="209"/>
      <c r="E238" s="106" t="s">
        <v>238</v>
      </c>
      <c r="F238" s="107">
        <f t="shared" si="234"/>
        <v>336284</v>
      </c>
      <c r="G238" s="107">
        <f t="shared" si="235"/>
        <v>333426</v>
      </c>
      <c r="H238" s="108">
        <v>334148</v>
      </c>
      <c r="I238" s="108">
        <f t="shared" si="236"/>
        <v>331148</v>
      </c>
      <c r="J238" s="108">
        <f t="shared" si="237"/>
        <v>-3000</v>
      </c>
      <c r="K238" s="108"/>
      <c r="L238" s="108"/>
      <c r="M238" s="108"/>
      <c r="N238" s="108"/>
      <c r="O238" s="108">
        <v>-3000</v>
      </c>
      <c r="P238" s="108"/>
      <c r="Q238" s="108"/>
      <c r="R238" s="108"/>
      <c r="S238" s="108"/>
      <c r="T238" s="463"/>
      <c r="U238" s="108"/>
      <c r="V238" s="108"/>
      <c r="W238" s="108">
        <v>0</v>
      </c>
      <c r="X238" s="108">
        <f t="shared" si="238"/>
        <v>0</v>
      </c>
      <c r="Y238" s="108">
        <f t="shared" si="239"/>
        <v>0</v>
      </c>
      <c r="Z238" s="108"/>
      <c r="AA238" s="108"/>
      <c r="AB238" s="108"/>
      <c r="AC238" s="108"/>
      <c r="AD238" s="108"/>
      <c r="AE238" s="108"/>
      <c r="AF238" s="108">
        <v>2136</v>
      </c>
      <c r="AG238" s="133">
        <f t="shared" si="240"/>
        <v>2278</v>
      </c>
      <c r="AH238" s="133">
        <f t="shared" si="241"/>
        <v>142</v>
      </c>
      <c r="AI238" s="133">
        <v>142</v>
      </c>
      <c r="AJ238" s="133"/>
      <c r="AK238" s="133"/>
      <c r="AL238" s="133"/>
      <c r="AM238" s="133"/>
      <c r="AN238" s="479"/>
      <c r="AO238" s="133"/>
      <c r="AP238" s="133">
        <v>0</v>
      </c>
      <c r="AQ238" s="133">
        <f t="shared" si="242"/>
        <v>0</v>
      </c>
      <c r="AR238" s="133">
        <f t="shared" si="243"/>
        <v>0</v>
      </c>
      <c r="AS238" s="133"/>
      <c r="AT238" s="133"/>
      <c r="AU238" s="133"/>
      <c r="AV238" s="133"/>
      <c r="AW238" s="108">
        <f t="shared" si="244"/>
        <v>0</v>
      </c>
      <c r="AX238" s="108">
        <f t="shared" si="245"/>
        <v>0</v>
      </c>
      <c r="AY238" s="108"/>
      <c r="AZ238" s="108"/>
      <c r="BA238" s="108"/>
      <c r="BB238" s="108"/>
      <c r="BC238" s="108"/>
      <c r="BD238" s="108"/>
      <c r="BE238" s="359"/>
      <c r="BF238" s="109" t="s">
        <v>571</v>
      </c>
      <c r="BG238" s="116" t="s">
        <v>621</v>
      </c>
    </row>
    <row r="239" spans="1:59" ht="24" x14ac:dyDescent="0.2">
      <c r="A239" s="167"/>
      <c r="B239" s="127"/>
      <c r="C239" s="208"/>
      <c r="D239" s="209"/>
      <c r="E239" s="106" t="s">
        <v>239</v>
      </c>
      <c r="F239" s="107">
        <f t="shared" si="234"/>
        <v>261300</v>
      </c>
      <c r="G239" s="107">
        <f t="shared" si="235"/>
        <v>261300</v>
      </c>
      <c r="H239" s="108">
        <v>261300</v>
      </c>
      <c r="I239" s="108">
        <f t="shared" si="236"/>
        <v>261300</v>
      </c>
      <c r="J239" s="108">
        <f t="shared" si="237"/>
        <v>0</v>
      </c>
      <c r="K239" s="108"/>
      <c r="L239" s="108"/>
      <c r="M239" s="108"/>
      <c r="N239" s="108"/>
      <c r="O239" s="108"/>
      <c r="P239" s="108"/>
      <c r="Q239" s="108"/>
      <c r="R239" s="108"/>
      <c r="S239" s="108"/>
      <c r="T239" s="463"/>
      <c r="U239" s="108"/>
      <c r="V239" s="108"/>
      <c r="W239" s="108">
        <v>0</v>
      </c>
      <c r="X239" s="108">
        <f t="shared" si="238"/>
        <v>0</v>
      </c>
      <c r="Y239" s="108">
        <f t="shared" si="239"/>
        <v>0</v>
      </c>
      <c r="Z239" s="108"/>
      <c r="AA239" s="108"/>
      <c r="AB239" s="108"/>
      <c r="AC239" s="108"/>
      <c r="AD239" s="108"/>
      <c r="AE239" s="108"/>
      <c r="AF239" s="108">
        <v>0</v>
      </c>
      <c r="AG239" s="133">
        <f t="shared" si="240"/>
        <v>0</v>
      </c>
      <c r="AH239" s="133">
        <f t="shared" si="241"/>
        <v>0</v>
      </c>
      <c r="AI239" s="133"/>
      <c r="AJ239" s="133"/>
      <c r="AK239" s="133"/>
      <c r="AL239" s="133"/>
      <c r="AM239" s="133"/>
      <c r="AN239" s="479"/>
      <c r="AO239" s="133"/>
      <c r="AP239" s="133">
        <v>0</v>
      </c>
      <c r="AQ239" s="133">
        <f t="shared" si="242"/>
        <v>0</v>
      </c>
      <c r="AR239" s="133">
        <f t="shared" si="243"/>
        <v>0</v>
      </c>
      <c r="AS239" s="133"/>
      <c r="AT239" s="133"/>
      <c r="AU239" s="133"/>
      <c r="AV239" s="133"/>
      <c r="AW239" s="108">
        <f t="shared" si="244"/>
        <v>0</v>
      </c>
      <c r="AX239" s="108">
        <f t="shared" si="245"/>
        <v>0</v>
      </c>
      <c r="AY239" s="108"/>
      <c r="AZ239" s="108"/>
      <c r="BA239" s="108"/>
      <c r="BB239" s="108"/>
      <c r="BC239" s="108"/>
      <c r="BD239" s="108"/>
      <c r="BE239" s="359"/>
      <c r="BF239" s="109" t="s">
        <v>572</v>
      </c>
      <c r="BG239" s="116" t="s">
        <v>622</v>
      </c>
    </row>
    <row r="240" spans="1:59" ht="24" x14ac:dyDescent="0.2">
      <c r="A240" s="167"/>
      <c r="B240" s="127"/>
      <c r="C240" s="208"/>
      <c r="D240" s="209"/>
      <c r="E240" s="106" t="s">
        <v>353</v>
      </c>
      <c r="F240" s="107">
        <f t="shared" si="234"/>
        <v>372216</v>
      </c>
      <c r="G240" s="107">
        <f t="shared" si="235"/>
        <v>372216</v>
      </c>
      <c r="H240" s="108">
        <v>372216</v>
      </c>
      <c r="I240" s="108">
        <f t="shared" si="236"/>
        <v>372216</v>
      </c>
      <c r="J240" s="108">
        <f t="shared" si="237"/>
        <v>0</v>
      </c>
      <c r="K240" s="108"/>
      <c r="L240" s="108"/>
      <c r="M240" s="108"/>
      <c r="N240" s="108"/>
      <c r="O240" s="108"/>
      <c r="P240" s="108"/>
      <c r="Q240" s="108"/>
      <c r="R240" s="108"/>
      <c r="S240" s="108"/>
      <c r="T240" s="463"/>
      <c r="U240" s="108"/>
      <c r="V240" s="108"/>
      <c r="W240" s="108">
        <v>0</v>
      </c>
      <c r="X240" s="108">
        <f t="shared" si="238"/>
        <v>0</v>
      </c>
      <c r="Y240" s="108">
        <f t="shared" si="239"/>
        <v>0</v>
      </c>
      <c r="Z240" s="108"/>
      <c r="AA240" s="108"/>
      <c r="AB240" s="108"/>
      <c r="AC240" s="108"/>
      <c r="AD240" s="108"/>
      <c r="AE240" s="108"/>
      <c r="AF240" s="108">
        <v>0</v>
      </c>
      <c r="AG240" s="133">
        <f t="shared" si="240"/>
        <v>0</v>
      </c>
      <c r="AH240" s="133">
        <f t="shared" si="241"/>
        <v>0</v>
      </c>
      <c r="AI240" s="133"/>
      <c r="AJ240" s="133"/>
      <c r="AK240" s="133"/>
      <c r="AL240" s="133"/>
      <c r="AM240" s="133"/>
      <c r="AN240" s="479"/>
      <c r="AO240" s="133"/>
      <c r="AP240" s="133">
        <v>0</v>
      </c>
      <c r="AQ240" s="133">
        <f t="shared" si="242"/>
        <v>0</v>
      </c>
      <c r="AR240" s="133">
        <f t="shared" si="243"/>
        <v>0</v>
      </c>
      <c r="AS240" s="133"/>
      <c r="AT240" s="133"/>
      <c r="AU240" s="133"/>
      <c r="AV240" s="133"/>
      <c r="AW240" s="108">
        <f t="shared" si="244"/>
        <v>0</v>
      </c>
      <c r="AX240" s="108">
        <f t="shared" si="245"/>
        <v>0</v>
      </c>
      <c r="AY240" s="108"/>
      <c r="AZ240" s="108"/>
      <c r="BA240" s="108"/>
      <c r="BB240" s="108"/>
      <c r="BC240" s="108"/>
      <c r="BD240" s="108"/>
      <c r="BE240" s="359"/>
      <c r="BF240" s="109" t="s">
        <v>573</v>
      </c>
      <c r="BG240" s="116" t="s">
        <v>623</v>
      </c>
    </row>
    <row r="241" spans="1:59" s="210" customFormat="1" ht="24" x14ac:dyDescent="0.2">
      <c r="A241" s="167"/>
      <c r="B241" s="127"/>
      <c r="C241" s="208"/>
      <c r="D241" s="209"/>
      <c r="E241" s="106" t="s">
        <v>352</v>
      </c>
      <c r="F241" s="107">
        <f t="shared" si="234"/>
        <v>445830</v>
      </c>
      <c r="G241" s="107">
        <f t="shared" si="235"/>
        <v>448830</v>
      </c>
      <c r="H241" s="108">
        <v>445830</v>
      </c>
      <c r="I241" s="108">
        <f t="shared" si="236"/>
        <v>448830</v>
      </c>
      <c r="J241" s="108">
        <f t="shared" si="237"/>
        <v>3000</v>
      </c>
      <c r="K241" s="108"/>
      <c r="L241" s="108"/>
      <c r="M241" s="108"/>
      <c r="N241" s="108"/>
      <c r="O241" s="108">
        <v>3000</v>
      </c>
      <c r="P241" s="108"/>
      <c r="Q241" s="108"/>
      <c r="R241" s="108"/>
      <c r="S241" s="108"/>
      <c r="T241" s="463"/>
      <c r="U241" s="108"/>
      <c r="V241" s="108"/>
      <c r="W241" s="108">
        <v>0</v>
      </c>
      <c r="X241" s="108">
        <f t="shared" si="238"/>
        <v>0</v>
      </c>
      <c r="Y241" s="108">
        <f t="shared" si="239"/>
        <v>0</v>
      </c>
      <c r="Z241" s="108"/>
      <c r="AA241" s="108"/>
      <c r="AB241" s="108"/>
      <c r="AC241" s="108"/>
      <c r="AD241" s="108"/>
      <c r="AE241" s="108"/>
      <c r="AF241" s="108">
        <v>0</v>
      </c>
      <c r="AG241" s="133">
        <f t="shared" si="240"/>
        <v>0</v>
      </c>
      <c r="AH241" s="133">
        <f t="shared" si="241"/>
        <v>0</v>
      </c>
      <c r="AI241" s="133"/>
      <c r="AJ241" s="133"/>
      <c r="AK241" s="133"/>
      <c r="AL241" s="133"/>
      <c r="AM241" s="133"/>
      <c r="AN241" s="479"/>
      <c r="AO241" s="133"/>
      <c r="AP241" s="133">
        <v>0</v>
      </c>
      <c r="AQ241" s="133">
        <f t="shared" si="242"/>
        <v>0</v>
      </c>
      <c r="AR241" s="133">
        <f t="shared" si="243"/>
        <v>0</v>
      </c>
      <c r="AS241" s="133"/>
      <c r="AT241" s="133"/>
      <c r="AU241" s="133"/>
      <c r="AV241" s="133"/>
      <c r="AW241" s="108">
        <f t="shared" si="244"/>
        <v>0</v>
      </c>
      <c r="AX241" s="108">
        <f t="shared" si="245"/>
        <v>0</v>
      </c>
      <c r="AY241" s="108"/>
      <c r="AZ241" s="108"/>
      <c r="BA241" s="108"/>
      <c r="BB241" s="108"/>
      <c r="BC241" s="108"/>
      <c r="BD241" s="108"/>
      <c r="BE241" s="359"/>
      <c r="BF241" s="109" t="s">
        <v>574</v>
      </c>
      <c r="BG241" s="116" t="s">
        <v>622</v>
      </c>
    </row>
    <row r="242" spans="1:59" ht="24" x14ac:dyDescent="0.2">
      <c r="A242" s="167"/>
      <c r="B242" s="127"/>
      <c r="C242" s="161"/>
      <c r="D242" s="162"/>
      <c r="E242" s="106" t="s">
        <v>362</v>
      </c>
      <c r="F242" s="107">
        <f t="shared" si="234"/>
        <v>59177</v>
      </c>
      <c r="G242" s="107">
        <f t="shared" si="235"/>
        <v>62724</v>
      </c>
      <c r="H242" s="108">
        <v>59177</v>
      </c>
      <c r="I242" s="108">
        <f t="shared" si="236"/>
        <v>62724</v>
      </c>
      <c r="J242" s="108">
        <f t="shared" si="237"/>
        <v>3547</v>
      </c>
      <c r="K242" s="108"/>
      <c r="L242" s="108"/>
      <c r="M242" s="108"/>
      <c r="N242" s="108"/>
      <c r="O242" s="108"/>
      <c r="P242" s="108"/>
      <c r="Q242" s="108"/>
      <c r="R242" s="108"/>
      <c r="S242" s="108">
        <v>3547</v>
      </c>
      <c r="T242" s="463"/>
      <c r="U242" s="108"/>
      <c r="V242" s="108"/>
      <c r="W242" s="108">
        <v>0</v>
      </c>
      <c r="X242" s="108">
        <f t="shared" si="238"/>
        <v>0</v>
      </c>
      <c r="Y242" s="108">
        <f t="shared" si="239"/>
        <v>0</v>
      </c>
      <c r="Z242" s="108"/>
      <c r="AA242" s="108"/>
      <c r="AB242" s="108"/>
      <c r="AC242" s="108"/>
      <c r="AD242" s="108"/>
      <c r="AE242" s="108"/>
      <c r="AF242" s="108">
        <v>0</v>
      </c>
      <c r="AG242" s="133">
        <f t="shared" si="240"/>
        <v>0</v>
      </c>
      <c r="AH242" s="133">
        <f t="shared" si="241"/>
        <v>0</v>
      </c>
      <c r="AI242" s="133"/>
      <c r="AJ242" s="133"/>
      <c r="AK242" s="133"/>
      <c r="AL242" s="133"/>
      <c r="AM242" s="133"/>
      <c r="AN242" s="479"/>
      <c r="AO242" s="133"/>
      <c r="AP242" s="133">
        <v>0</v>
      </c>
      <c r="AQ242" s="133">
        <f t="shared" si="242"/>
        <v>0</v>
      </c>
      <c r="AR242" s="133">
        <f t="shared" si="243"/>
        <v>0</v>
      </c>
      <c r="AS242" s="133"/>
      <c r="AT242" s="133"/>
      <c r="AU242" s="133"/>
      <c r="AV242" s="133"/>
      <c r="AW242" s="108">
        <f t="shared" si="244"/>
        <v>0</v>
      </c>
      <c r="AX242" s="108">
        <f t="shared" si="245"/>
        <v>0</v>
      </c>
      <c r="AY242" s="108"/>
      <c r="AZ242" s="108"/>
      <c r="BA242" s="108"/>
      <c r="BB242" s="108"/>
      <c r="BC242" s="108"/>
      <c r="BD242" s="108"/>
      <c r="BE242" s="359"/>
      <c r="BF242" s="109" t="s">
        <v>575</v>
      </c>
      <c r="BG242" s="116"/>
    </row>
    <row r="243" spans="1:59" s="414" customFormat="1" ht="24" x14ac:dyDescent="0.2">
      <c r="A243" s="167"/>
      <c r="B243" s="127"/>
      <c r="C243" s="412"/>
      <c r="D243" s="413"/>
      <c r="E243" s="106" t="s">
        <v>712</v>
      </c>
      <c r="F243" s="107">
        <f t="shared" si="234"/>
        <v>0</v>
      </c>
      <c r="G243" s="107">
        <f t="shared" si="235"/>
        <v>23405</v>
      </c>
      <c r="H243" s="108"/>
      <c r="I243" s="108">
        <f t="shared" ref="I243" si="257">H243+J243</f>
        <v>23405</v>
      </c>
      <c r="J243" s="108">
        <f t="shared" ref="J243" si="258">SUM(K243:V243)</f>
        <v>23405</v>
      </c>
      <c r="K243" s="108"/>
      <c r="L243" s="108"/>
      <c r="M243" s="108"/>
      <c r="N243" s="108">
        <v>23405</v>
      </c>
      <c r="O243" s="108"/>
      <c r="P243" s="108"/>
      <c r="Q243" s="108"/>
      <c r="R243" s="108"/>
      <c r="S243" s="108"/>
      <c r="T243" s="463"/>
      <c r="U243" s="108"/>
      <c r="V243" s="108"/>
      <c r="W243" s="108"/>
      <c r="X243" s="108">
        <f t="shared" ref="X243" si="259">W243+Y243</f>
        <v>0</v>
      </c>
      <c r="Y243" s="108">
        <f t="shared" ref="Y243" si="260">SUM(Z243:AE243)</f>
        <v>0</v>
      </c>
      <c r="Z243" s="108"/>
      <c r="AA243" s="108"/>
      <c r="AB243" s="108"/>
      <c r="AC243" s="108"/>
      <c r="AD243" s="108"/>
      <c r="AE243" s="108"/>
      <c r="AF243" s="108"/>
      <c r="AG243" s="133">
        <f t="shared" ref="AG243" si="261">AH243+AF243</f>
        <v>0</v>
      </c>
      <c r="AH243" s="133">
        <f t="shared" ref="AH243" si="262">SUM(AI243:AN243)</f>
        <v>0</v>
      </c>
      <c r="AI243" s="133"/>
      <c r="AJ243" s="133"/>
      <c r="AK243" s="133"/>
      <c r="AL243" s="133"/>
      <c r="AM243" s="133"/>
      <c r="AN243" s="479"/>
      <c r="AO243" s="133"/>
      <c r="AP243" s="133"/>
      <c r="AQ243" s="133">
        <f t="shared" ref="AQ243" si="263">AR243+AP243</f>
        <v>0</v>
      </c>
      <c r="AR243" s="133">
        <f t="shared" ref="AR243" si="264">SUM(AS243:AU243)</f>
        <v>0</v>
      </c>
      <c r="AS243" s="133"/>
      <c r="AT243" s="133"/>
      <c r="AU243" s="133"/>
      <c r="AV243" s="133"/>
      <c r="AW243" s="108">
        <f t="shared" ref="AW243" si="265">AX243+AV243</f>
        <v>0</v>
      </c>
      <c r="AX243" s="108">
        <f t="shared" si="245"/>
        <v>0</v>
      </c>
      <c r="AY243" s="108"/>
      <c r="AZ243" s="108"/>
      <c r="BA243" s="108"/>
      <c r="BB243" s="108"/>
      <c r="BC243" s="108"/>
      <c r="BD243" s="108"/>
      <c r="BE243" s="359"/>
      <c r="BF243" s="109" t="s">
        <v>713</v>
      </c>
      <c r="BG243" s="116"/>
    </row>
    <row r="244" spans="1:59" ht="24" x14ac:dyDescent="0.2">
      <c r="A244" s="167">
        <v>90001876536</v>
      </c>
      <c r="B244" s="127"/>
      <c r="C244" s="533" t="s">
        <v>388</v>
      </c>
      <c r="D244" s="534"/>
      <c r="E244" s="106" t="s">
        <v>241</v>
      </c>
      <c r="F244" s="107">
        <f t="shared" si="234"/>
        <v>1254043</v>
      </c>
      <c r="G244" s="107">
        <f t="shared" si="235"/>
        <v>1227448</v>
      </c>
      <c r="H244" s="108">
        <v>584856</v>
      </c>
      <c r="I244" s="108">
        <f t="shared" si="236"/>
        <v>556634</v>
      </c>
      <c r="J244" s="108">
        <f t="shared" si="237"/>
        <v>-28222</v>
      </c>
      <c r="K244" s="108">
        <v>-28273</v>
      </c>
      <c r="L244" s="108"/>
      <c r="M244" s="108"/>
      <c r="N244" s="108"/>
      <c r="O244" s="108"/>
      <c r="P244" s="108"/>
      <c r="Q244" s="108"/>
      <c r="R244" s="108"/>
      <c r="S244" s="108">
        <v>51</v>
      </c>
      <c r="T244" s="463"/>
      <c r="U244" s="108"/>
      <c r="V244" s="108"/>
      <c r="W244" s="108">
        <v>25620</v>
      </c>
      <c r="X244" s="108">
        <f t="shared" si="238"/>
        <v>25621</v>
      </c>
      <c r="Y244" s="108">
        <f t="shared" si="239"/>
        <v>1</v>
      </c>
      <c r="Z244" s="108"/>
      <c r="AA244" s="108">
        <v>1</v>
      </c>
      <c r="AB244" s="108"/>
      <c r="AC244" s="108"/>
      <c r="AD244" s="108"/>
      <c r="AE244" s="108"/>
      <c r="AF244" s="108">
        <v>642663</v>
      </c>
      <c r="AG244" s="133">
        <f t="shared" si="240"/>
        <v>644369</v>
      </c>
      <c r="AH244" s="133">
        <f t="shared" si="241"/>
        <v>1706</v>
      </c>
      <c r="AI244" s="133">
        <v>1626</v>
      </c>
      <c r="AJ244" s="133"/>
      <c r="AK244" s="133"/>
      <c r="AL244" s="133"/>
      <c r="AM244" s="133">
        <v>80</v>
      </c>
      <c r="AN244" s="479"/>
      <c r="AO244" s="133"/>
      <c r="AP244" s="133">
        <v>904</v>
      </c>
      <c r="AQ244" s="133">
        <f t="shared" si="242"/>
        <v>904</v>
      </c>
      <c r="AR244" s="133">
        <f t="shared" si="243"/>
        <v>0</v>
      </c>
      <c r="AS244" s="133"/>
      <c r="AT244" s="133"/>
      <c r="AU244" s="133"/>
      <c r="AV244" s="133"/>
      <c r="AW244" s="108">
        <f t="shared" si="244"/>
        <v>-80</v>
      </c>
      <c r="AX244" s="108">
        <f t="shared" si="245"/>
        <v>-80</v>
      </c>
      <c r="AY244" s="108"/>
      <c r="AZ244" s="108"/>
      <c r="BA244" s="108"/>
      <c r="BB244" s="108"/>
      <c r="BC244" s="108"/>
      <c r="BD244" s="108">
        <v>-80</v>
      </c>
      <c r="BE244" s="359"/>
      <c r="BF244" s="109" t="s">
        <v>576</v>
      </c>
      <c r="BG244" s="116"/>
    </row>
    <row r="245" spans="1:59" ht="36" x14ac:dyDescent="0.2">
      <c r="A245" s="167"/>
      <c r="B245" s="127"/>
      <c r="C245" s="161"/>
      <c r="D245" s="162"/>
      <c r="E245" s="106" t="s">
        <v>242</v>
      </c>
      <c r="F245" s="107">
        <f t="shared" si="234"/>
        <v>29412</v>
      </c>
      <c r="G245" s="107">
        <f t="shared" si="235"/>
        <v>27884</v>
      </c>
      <c r="H245" s="108">
        <v>26059</v>
      </c>
      <c r="I245" s="108">
        <f t="shared" si="236"/>
        <v>24531</v>
      </c>
      <c r="J245" s="108">
        <f t="shared" si="237"/>
        <v>-1528</v>
      </c>
      <c r="K245" s="108">
        <v>-1528</v>
      </c>
      <c r="L245" s="108"/>
      <c r="M245" s="108"/>
      <c r="N245" s="108"/>
      <c r="O245" s="108"/>
      <c r="P245" s="108"/>
      <c r="Q245" s="108"/>
      <c r="R245" s="108"/>
      <c r="S245" s="108"/>
      <c r="T245" s="463"/>
      <c r="U245" s="108"/>
      <c r="V245" s="108"/>
      <c r="W245" s="108">
        <v>0</v>
      </c>
      <c r="X245" s="108">
        <f t="shared" si="238"/>
        <v>0</v>
      </c>
      <c r="Y245" s="108">
        <f t="shared" si="239"/>
        <v>0</v>
      </c>
      <c r="Z245" s="108"/>
      <c r="AA245" s="108"/>
      <c r="AB245" s="108"/>
      <c r="AC245" s="108"/>
      <c r="AD245" s="108"/>
      <c r="AE245" s="108"/>
      <c r="AF245" s="108">
        <v>3353</v>
      </c>
      <c r="AG245" s="133">
        <f t="shared" si="240"/>
        <v>3353</v>
      </c>
      <c r="AH245" s="133">
        <f t="shared" si="241"/>
        <v>0</v>
      </c>
      <c r="AI245" s="133"/>
      <c r="AJ245" s="133"/>
      <c r="AK245" s="133"/>
      <c r="AL245" s="133"/>
      <c r="AM245" s="133"/>
      <c r="AN245" s="479"/>
      <c r="AO245" s="133"/>
      <c r="AP245" s="133">
        <v>0</v>
      </c>
      <c r="AQ245" s="133">
        <f t="shared" si="242"/>
        <v>0</v>
      </c>
      <c r="AR245" s="133">
        <f t="shared" si="243"/>
        <v>0</v>
      </c>
      <c r="AS245" s="133"/>
      <c r="AT245" s="133"/>
      <c r="AU245" s="133"/>
      <c r="AV245" s="133"/>
      <c r="AW245" s="108">
        <f t="shared" si="244"/>
        <v>0</v>
      </c>
      <c r="AX245" s="108">
        <f t="shared" si="245"/>
        <v>0</v>
      </c>
      <c r="AY245" s="108"/>
      <c r="AZ245" s="108"/>
      <c r="BA245" s="108"/>
      <c r="BB245" s="108"/>
      <c r="BC245" s="108"/>
      <c r="BD245" s="108"/>
      <c r="BE245" s="359"/>
      <c r="BF245" s="109" t="s">
        <v>577</v>
      </c>
      <c r="BG245" s="116"/>
    </row>
    <row r="246" spans="1:59" ht="12.75" x14ac:dyDescent="0.2">
      <c r="A246" s="167"/>
      <c r="B246" s="127"/>
      <c r="C246" s="161"/>
      <c r="D246" s="162"/>
      <c r="E246" s="106" t="s">
        <v>289</v>
      </c>
      <c r="F246" s="107">
        <f t="shared" si="234"/>
        <v>34485</v>
      </c>
      <c r="G246" s="107">
        <f t="shared" si="235"/>
        <v>32728</v>
      </c>
      <c r="H246" s="108">
        <v>34485</v>
      </c>
      <c r="I246" s="108">
        <f t="shared" si="236"/>
        <v>32728</v>
      </c>
      <c r="J246" s="108">
        <f t="shared" si="237"/>
        <v>-1757</v>
      </c>
      <c r="K246" s="108">
        <v>-1757</v>
      </c>
      <c r="L246" s="108"/>
      <c r="M246" s="108"/>
      <c r="N246" s="108"/>
      <c r="O246" s="108"/>
      <c r="P246" s="108"/>
      <c r="Q246" s="108"/>
      <c r="R246" s="108"/>
      <c r="S246" s="108"/>
      <c r="T246" s="463"/>
      <c r="U246" s="108"/>
      <c r="V246" s="108"/>
      <c r="W246" s="108">
        <v>0</v>
      </c>
      <c r="X246" s="108">
        <f t="shared" si="238"/>
        <v>0</v>
      </c>
      <c r="Y246" s="108">
        <f t="shared" si="239"/>
        <v>0</v>
      </c>
      <c r="Z246" s="108"/>
      <c r="AA246" s="108"/>
      <c r="AB246" s="108"/>
      <c r="AC246" s="108"/>
      <c r="AD246" s="108"/>
      <c r="AE246" s="108"/>
      <c r="AF246" s="108">
        <v>0</v>
      </c>
      <c r="AG246" s="133">
        <f t="shared" si="240"/>
        <v>0</v>
      </c>
      <c r="AH246" s="133">
        <f t="shared" si="241"/>
        <v>0</v>
      </c>
      <c r="AI246" s="133"/>
      <c r="AJ246" s="133"/>
      <c r="AK246" s="133"/>
      <c r="AL246" s="133"/>
      <c r="AM246" s="133"/>
      <c r="AN246" s="479"/>
      <c r="AO246" s="133"/>
      <c r="AP246" s="133">
        <v>0</v>
      </c>
      <c r="AQ246" s="133">
        <f t="shared" si="242"/>
        <v>0</v>
      </c>
      <c r="AR246" s="133">
        <f t="shared" si="243"/>
        <v>0</v>
      </c>
      <c r="AS246" s="133"/>
      <c r="AT246" s="133"/>
      <c r="AU246" s="133"/>
      <c r="AV246" s="133"/>
      <c r="AW246" s="108">
        <f t="shared" si="244"/>
        <v>0</v>
      </c>
      <c r="AX246" s="108">
        <f t="shared" si="245"/>
        <v>0</v>
      </c>
      <c r="AY246" s="108"/>
      <c r="AZ246" s="108"/>
      <c r="BA246" s="108"/>
      <c r="BB246" s="108"/>
      <c r="BC246" s="108"/>
      <c r="BD246" s="108"/>
      <c r="BE246" s="359"/>
      <c r="BF246" s="109" t="s">
        <v>578</v>
      </c>
      <c r="BG246" s="116"/>
    </row>
    <row r="247" spans="1:59" ht="24" x14ac:dyDescent="0.2">
      <c r="A247" s="167"/>
      <c r="B247" s="127"/>
      <c r="C247" s="161"/>
      <c r="D247" s="162"/>
      <c r="E247" s="106" t="s">
        <v>245</v>
      </c>
      <c r="F247" s="107">
        <f t="shared" si="234"/>
        <v>10550</v>
      </c>
      <c r="G247" s="107">
        <f t="shared" si="235"/>
        <v>10550</v>
      </c>
      <c r="H247" s="108">
        <v>10550</v>
      </c>
      <c r="I247" s="108">
        <f t="shared" si="236"/>
        <v>10550</v>
      </c>
      <c r="J247" s="108">
        <f t="shared" si="237"/>
        <v>0</v>
      </c>
      <c r="K247" s="108"/>
      <c r="L247" s="108"/>
      <c r="M247" s="108"/>
      <c r="N247" s="108"/>
      <c r="O247" s="108"/>
      <c r="P247" s="108"/>
      <c r="Q247" s="108"/>
      <c r="R247" s="108"/>
      <c r="S247" s="108"/>
      <c r="T247" s="463"/>
      <c r="U247" s="108"/>
      <c r="V247" s="108"/>
      <c r="W247" s="108">
        <v>0</v>
      </c>
      <c r="X247" s="108">
        <f t="shared" si="238"/>
        <v>0</v>
      </c>
      <c r="Y247" s="108">
        <f t="shared" si="239"/>
        <v>0</v>
      </c>
      <c r="Z247" s="108"/>
      <c r="AA247" s="108"/>
      <c r="AB247" s="108"/>
      <c r="AC247" s="108"/>
      <c r="AD247" s="108"/>
      <c r="AE247" s="108"/>
      <c r="AF247" s="108">
        <v>0</v>
      </c>
      <c r="AG247" s="133">
        <f t="shared" si="240"/>
        <v>0</v>
      </c>
      <c r="AH247" s="133">
        <f t="shared" si="241"/>
        <v>0</v>
      </c>
      <c r="AI247" s="133"/>
      <c r="AJ247" s="133"/>
      <c r="AK247" s="133"/>
      <c r="AL247" s="133"/>
      <c r="AM247" s="133"/>
      <c r="AN247" s="479"/>
      <c r="AO247" s="133"/>
      <c r="AP247" s="133">
        <v>0</v>
      </c>
      <c r="AQ247" s="133">
        <f t="shared" si="242"/>
        <v>0</v>
      </c>
      <c r="AR247" s="133">
        <f t="shared" si="243"/>
        <v>0</v>
      </c>
      <c r="AS247" s="133"/>
      <c r="AT247" s="133"/>
      <c r="AU247" s="133"/>
      <c r="AV247" s="133"/>
      <c r="AW247" s="108">
        <f t="shared" si="244"/>
        <v>0</v>
      </c>
      <c r="AX247" s="108">
        <f t="shared" si="245"/>
        <v>0</v>
      </c>
      <c r="AY247" s="108"/>
      <c r="AZ247" s="108"/>
      <c r="BA247" s="108"/>
      <c r="BB247" s="108"/>
      <c r="BC247" s="108"/>
      <c r="BD247" s="108"/>
      <c r="BE247" s="359"/>
      <c r="BF247" s="109" t="s">
        <v>579</v>
      </c>
      <c r="BG247" s="116"/>
    </row>
    <row r="248" spans="1:59" ht="12.75" x14ac:dyDescent="0.2">
      <c r="A248" s="167"/>
      <c r="B248" s="127"/>
      <c r="C248" s="161"/>
      <c r="D248" s="162"/>
      <c r="E248" s="106" t="s">
        <v>243</v>
      </c>
      <c r="F248" s="107">
        <f t="shared" si="234"/>
        <v>91508</v>
      </c>
      <c r="G248" s="107">
        <f t="shared" si="235"/>
        <v>87771</v>
      </c>
      <c r="H248" s="108">
        <v>91508</v>
      </c>
      <c r="I248" s="108">
        <f t="shared" si="236"/>
        <v>87771</v>
      </c>
      <c r="J248" s="108">
        <f t="shared" si="237"/>
        <v>-3737</v>
      </c>
      <c r="K248" s="108">
        <v>-3737</v>
      </c>
      <c r="L248" s="108"/>
      <c r="M248" s="108"/>
      <c r="N248" s="108"/>
      <c r="O248" s="108"/>
      <c r="P248" s="108"/>
      <c r="Q248" s="108"/>
      <c r="R248" s="108"/>
      <c r="S248" s="108"/>
      <c r="T248" s="463"/>
      <c r="U248" s="108"/>
      <c r="V248" s="108"/>
      <c r="W248" s="108">
        <v>0</v>
      </c>
      <c r="X248" s="108">
        <f t="shared" si="238"/>
        <v>0</v>
      </c>
      <c r="Y248" s="108">
        <f t="shared" si="239"/>
        <v>0</v>
      </c>
      <c r="Z248" s="108"/>
      <c r="AA248" s="108"/>
      <c r="AB248" s="108"/>
      <c r="AC248" s="108"/>
      <c r="AD248" s="108"/>
      <c r="AE248" s="108"/>
      <c r="AF248" s="108">
        <v>0</v>
      </c>
      <c r="AG248" s="133">
        <f t="shared" si="240"/>
        <v>0</v>
      </c>
      <c r="AH248" s="133">
        <f t="shared" si="241"/>
        <v>0</v>
      </c>
      <c r="AI248" s="133"/>
      <c r="AJ248" s="133"/>
      <c r="AK248" s="133"/>
      <c r="AL248" s="133"/>
      <c r="AM248" s="133"/>
      <c r="AN248" s="479"/>
      <c r="AO248" s="133"/>
      <c r="AP248" s="133">
        <v>0</v>
      </c>
      <c r="AQ248" s="133">
        <f t="shared" si="242"/>
        <v>0</v>
      </c>
      <c r="AR248" s="133">
        <f t="shared" si="243"/>
        <v>0</v>
      </c>
      <c r="AS248" s="133"/>
      <c r="AT248" s="133"/>
      <c r="AU248" s="133"/>
      <c r="AV248" s="133"/>
      <c r="AW248" s="108">
        <f t="shared" si="244"/>
        <v>0</v>
      </c>
      <c r="AX248" s="108">
        <f t="shared" si="245"/>
        <v>0</v>
      </c>
      <c r="AY248" s="108"/>
      <c r="AZ248" s="108"/>
      <c r="BA248" s="108"/>
      <c r="BB248" s="108"/>
      <c r="BC248" s="108"/>
      <c r="BD248" s="108"/>
      <c r="BE248" s="359"/>
      <c r="BF248" s="109" t="s">
        <v>580</v>
      </c>
      <c r="BG248" s="116"/>
    </row>
    <row r="249" spans="1:59" ht="24" x14ac:dyDescent="0.2">
      <c r="A249" s="167"/>
      <c r="B249" s="127"/>
      <c r="C249" s="161"/>
      <c r="D249" s="162"/>
      <c r="E249" s="106" t="s">
        <v>356</v>
      </c>
      <c r="F249" s="107">
        <f t="shared" si="234"/>
        <v>400606</v>
      </c>
      <c r="G249" s="107">
        <f t="shared" si="235"/>
        <v>356346</v>
      </c>
      <c r="H249" s="108">
        <v>400606</v>
      </c>
      <c r="I249" s="108">
        <f t="shared" si="236"/>
        <v>356346</v>
      </c>
      <c r="J249" s="108">
        <f t="shared" si="237"/>
        <v>-44260</v>
      </c>
      <c r="K249" s="108">
        <v>-22830</v>
      </c>
      <c r="L249" s="108"/>
      <c r="M249" s="108"/>
      <c r="N249" s="108"/>
      <c r="O249" s="108"/>
      <c r="P249" s="108"/>
      <c r="Q249" s="108"/>
      <c r="R249" s="108"/>
      <c r="S249" s="108">
        <v>-21430</v>
      </c>
      <c r="T249" s="463"/>
      <c r="U249" s="108"/>
      <c r="V249" s="108"/>
      <c r="W249" s="108">
        <v>0</v>
      </c>
      <c r="X249" s="108">
        <f t="shared" si="238"/>
        <v>0</v>
      </c>
      <c r="Y249" s="108">
        <f t="shared" si="239"/>
        <v>0</v>
      </c>
      <c r="Z249" s="108"/>
      <c r="AA249" s="108"/>
      <c r="AB249" s="108"/>
      <c r="AC249" s="108"/>
      <c r="AD249" s="108"/>
      <c r="AE249" s="108"/>
      <c r="AF249" s="108">
        <v>0</v>
      </c>
      <c r="AG249" s="133">
        <f t="shared" si="240"/>
        <v>0</v>
      </c>
      <c r="AH249" s="133">
        <f t="shared" si="241"/>
        <v>0</v>
      </c>
      <c r="AI249" s="133"/>
      <c r="AJ249" s="133"/>
      <c r="AK249" s="133"/>
      <c r="AL249" s="133"/>
      <c r="AM249" s="133"/>
      <c r="AN249" s="479"/>
      <c r="AO249" s="133"/>
      <c r="AP249" s="133">
        <v>0</v>
      </c>
      <c r="AQ249" s="133">
        <f t="shared" si="242"/>
        <v>0</v>
      </c>
      <c r="AR249" s="133">
        <f t="shared" si="243"/>
        <v>0</v>
      </c>
      <c r="AS249" s="133"/>
      <c r="AT249" s="133"/>
      <c r="AU249" s="133"/>
      <c r="AV249" s="133"/>
      <c r="AW249" s="108">
        <f t="shared" si="244"/>
        <v>0</v>
      </c>
      <c r="AX249" s="108">
        <f t="shared" si="245"/>
        <v>0</v>
      </c>
      <c r="AY249" s="108"/>
      <c r="AZ249" s="108"/>
      <c r="BA249" s="108"/>
      <c r="BB249" s="108"/>
      <c r="BC249" s="108"/>
      <c r="BD249" s="108"/>
      <c r="BE249" s="359"/>
      <c r="BF249" s="109" t="s">
        <v>581</v>
      </c>
      <c r="BG249" s="116"/>
    </row>
    <row r="250" spans="1:59" ht="24" x14ac:dyDescent="0.2">
      <c r="A250" s="167"/>
      <c r="B250" s="127"/>
      <c r="C250" s="161"/>
      <c r="D250" s="162"/>
      <c r="E250" s="106" t="s">
        <v>244</v>
      </c>
      <c r="F250" s="107">
        <f t="shared" si="234"/>
        <v>44078</v>
      </c>
      <c r="G250" s="107">
        <f t="shared" si="235"/>
        <v>41886</v>
      </c>
      <c r="H250" s="108">
        <v>44078</v>
      </c>
      <c r="I250" s="108">
        <f t="shared" si="236"/>
        <v>41886</v>
      </c>
      <c r="J250" s="108">
        <f t="shared" si="237"/>
        <v>-2192</v>
      </c>
      <c r="K250" s="108">
        <v>-2192</v>
      </c>
      <c r="L250" s="108"/>
      <c r="M250" s="108"/>
      <c r="N250" s="108"/>
      <c r="O250" s="108"/>
      <c r="P250" s="108"/>
      <c r="Q250" s="108"/>
      <c r="R250" s="108"/>
      <c r="S250" s="108"/>
      <c r="T250" s="463"/>
      <c r="U250" s="108"/>
      <c r="V250" s="108"/>
      <c r="W250" s="108">
        <v>0</v>
      </c>
      <c r="X250" s="108">
        <f t="shared" si="238"/>
        <v>0</v>
      </c>
      <c r="Y250" s="108">
        <f t="shared" si="239"/>
        <v>0</v>
      </c>
      <c r="Z250" s="108"/>
      <c r="AA250" s="108"/>
      <c r="AB250" s="108"/>
      <c r="AC250" s="108"/>
      <c r="AD250" s="108"/>
      <c r="AE250" s="108"/>
      <c r="AF250" s="108">
        <v>0</v>
      </c>
      <c r="AG250" s="133">
        <f t="shared" si="240"/>
        <v>0</v>
      </c>
      <c r="AH250" s="133">
        <f t="shared" si="241"/>
        <v>0</v>
      </c>
      <c r="AI250" s="133"/>
      <c r="AJ250" s="133"/>
      <c r="AK250" s="133"/>
      <c r="AL250" s="133"/>
      <c r="AM250" s="133"/>
      <c r="AN250" s="479"/>
      <c r="AO250" s="133"/>
      <c r="AP250" s="133">
        <v>0</v>
      </c>
      <c r="AQ250" s="133">
        <f t="shared" si="242"/>
        <v>0</v>
      </c>
      <c r="AR250" s="133">
        <f t="shared" si="243"/>
        <v>0</v>
      </c>
      <c r="AS250" s="133"/>
      <c r="AT250" s="133"/>
      <c r="AU250" s="133"/>
      <c r="AV250" s="133"/>
      <c r="AW250" s="108">
        <f t="shared" si="244"/>
        <v>0</v>
      </c>
      <c r="AX250" s="108">
        <f t="shared" si="245"/>
        <v>0</v>
      </c>
      <c r="AY250" s="108"/>
      <c r="AZ250" s="108"/>
      <c r="BA250" s="108"/>
      <c r="BB250" s="108"/>
      <c r="BC250" s="108"/>
      <c r="BD250" s="108"/>
      <c r="BE250" s="359"/>
      <c r="BF250" s="109" t="s">
        <v>582</v>
      </c>
      <c r="BG250" s="116"/>
    </row>
    <row r="251" spans="1:59" s="174" customFormat="1" ht="24" x14ac:dyDescent="0.2">
      <c r="A251" s="167"/>
      <c r="B251" s="127"/>
      <c r="C251" s="175"/>
      <c r="D251" s="176"/>
      <c r="E251" s="106" t="s">
        <v>300</v>
      </c>
      <c r="F251" s="107">
        <f t="shared" si="234"/>
        <v>32634</v>
      </c>
      <c r="G251" s="107">
        <f t="shared" si="235"/>
        <v>30847</v>
      </c>
      <c r="H251" s="108">
        <v>32634</v>
      </c>
      <c r="I251" s="108">
        <f t="shared" si="236"/>
        <v>30847</v>
      </c>
      <c r="J251" s="108">
        <f t="shared" si="237"/>
        <v>-1787</v>
      </c>
      <c r="K251" s="108">
        <v>-1787</v>
      </c>
      <c r="L251" s="108"/>
      <c r="M251" s="108"/>
      <c r="N251" s="108"/>
      <c r="O251" s="108"/>
      <c r="P251" s="108"/>
      <c r="Q251" s="108"/>
      <c r="R251" s="108"/>
      <c r="S251" s="108"/>
      <c r="T251" s="463"/>
      <c r="U251" s="108"/>
      <c r="V251" s="108"/>
      <c r="W251" s="108">
        <v>0</v>
      </c>
      <c r="X251" s="108">
        <f t="shared" si="238"/>
        <v>0</v>
      </c>
      <c r="Y251" s="108">
        <f t="shared" si="239"/>
        <v>0</v>
      </c>
      <c r="Z251" s="108"/>
      <c r="AA251" s="108"/>
      <c r="AB251" s="108"/>
      <c r="AC251" s="108"/>
      <c r="AD251" s="108"/>
      <c r="AE251" s="108"/>
      <c r="AF251" s="108">
        <v>0</v>
      </c>
      <c r="AG251" s="133">
        <f t="shared" si="240"/>
        <v>0</v>
      </c>
      <c r="AH251" s="133">
        <f t="shared" si="241"/>
        <v>0</v>
      </c>
      <c r="AI251" s="133"/>
      <c r="AJ251" s="133"/>
      <c r="AK251" s="133"/>
      <c r="AL251" s="133"/>
      <c r="AM251" s="133"/>
      <c r="AN251" s="479"/>
      <c r="AO251" s="133"/>
      <c r="AP251" s="133">
        <v>0</v>
      </c>
      <c r="AQ251" s="133">
        <f t="shared" si="242"/>
        <v>0</v>
      </c>
      <c r="AR251" s="133">
        <f t="shared" si="243"/>
        <v>0</v>
      </c>
      <c r="AS251" s="133"/>
      <c r="AT251" s="133"/>
      <c r="AU251" s="133"/>
      <c r="AV251" s="133"/>
      <c r="AW251" s="108">
        <f t="shared" si="244"/>
        <v>0</v>
      </c>
      <c r="AX251" s="108">
        <f t="shared" si="245"/>
        <v>0</v>
      </c>
      <c r="AY251" s="108"/>
      <c r="AZ251" s="108"/>
      <c r="BA251" s="108"/>
      <c r="BB251" s="108"/>
      <c r="BC251" s="108"/>
      <c r="BD251" s="108"/>
      <c r="BE251" s="359"/>
      <c r="BF251" s="109" t="s">
        <v>583</v>
      </c>
      <c r="BG251" s="116"/>
    </row>
    <row r="252" spans="1:59" s="155" customFormat="1" ht="48" x14ac:dyDescent="0.2">
      <c r="A252" s="167"/>
      <c r="B252" s="127"/>
      <c r="C252" s="161"/>
      <c r="D252" s="162"/>
      <c r="E252" s="106" t="s">
        <v>290</v>
      </c>
      <c r="F252" s="107">
        <f t="shared" si="234"/>
        <v>189232</v>
      </c>
      <c r="G252" s="107">
        <f t="shared" si="235"/>
        <v>183223</v>
      </c>
      <c r="H252" s="108">
        <v>189232</v>
      </c>
      <c r="I252" s="108">
        <f t="shared" si="236"/>
        <v>183223</v>
      </c>
      <c r="J252" s="108">
        <f t="shared" si="237"/>
        <v>-6009</v>
      </c>
      <c r="K252" s="108">
        <v>-6309</v>
      </c>
      <c r="L252" s="108"/>
      <c r="M252" s="108"/>
      <c r="N252" s="108"/>
      <c r="O252" s="108"/>
      <c r="P252" s="108"/>
      <c r="Q252" s="108"/>
      <c r="R252" s="108"/>
      <c r="S252" s="108">
        <v>300</v>
      </c>
      <c r="T252" s="463"/>
      <c r="U252" s="108"/>
      <c r="V252" s="108"/>
      <c r="W252" s="108">
        <v>0</v>
      </c>
      <c r="X252" s="108">
        <f t="shared" si="238"/>
        <v>0</v>
      </c>
      <c r="Y252" s="108">
        <f t="shared" si="239"/>
        <v>0</v>
      </c>
      <c r="Z252" s="108"/>
      <c r="AA252" s="108"/>
      <c r="AB252" s="108"/>
      <c r="AC252" s="108"/>
      <c r="AD252" s="108"/>
      <c r="AE252" s="108"/>
      <c r="AF252" s="108">
        <v>0</v>
      </c>
      <c r="AG252" s="133">
        <f t="shared" si="240"/>
        <v>0</v>
      </c>
      <c r="AH252" s="133">
        <f t="shared" si="241"/>
        <v>0</v>
      </c>
      <c r="AI252" s="133"/>
      <c r="AJ252" s="133"/>
      <c r="AK252" s="133"/>
      <c r="AL252" s="133"/>
      <c r="AM252" s="133"/>
      <c r="AN252" s="479"/>
      <c r="AO252" s="133"/>
      <c r="AP252" s="133">
        <v>0</v>
      </c>
      <c r="AQ252" s="133">
        <f t="shared" si="242"/>
        <v>0</v>
      </c>
      <c r="AR252" s="133">
        <f t="shared" si="243"/>
        <v>0</v>
      </c>
      <c r="AS252" s="133"/>
      <c r="AT252" s="133"/>
      <c r="AU252" s="133"/>
      <c r="AV252" s="133"/>
      <c r="AW252" s="108">
        <f t="shared" si="244"/>
        <v>0</v>
      </c>
      <c r="AX252" s="108">
        <f t="shared" si="245"/>
        <v>0</v>
      </c>
      <c r="AY252" s="108"/>
      <c r="AZ252" s="108"/>
      <c r="BA252" s="108"/>
      <c r="BB252" s="108"/>
      <c r="BC252" s="108"/>
      <c r="BD252" s="108"/>
      <c r="BE252" s="359"/>
      <c r="BF252" s="109" t="s">
        <v>584</v>
      </c>
      <c r="BG252" s="116"/>
    </row>
    <row r="253" spans="1:59" ht="24" x14ac:dyDescent="0.2">
      <c r="A253" s="167"/>
      <c r="B253" s="127"/>
      <c r="C253" s="161"/>
      <c r="D253" s="162"/>
      <c r="E253" s="106" t="s">
        <v>403</v>
      </c>
      <c r="F253" s="107">
        <f t="shared" si="234"/>
        <v>78015</v>
      </c>
      <c r="G253" s="107">
        <f t="shared" si="235"/>
        <v>74586</v>
      </c>
      <c r="H253" s="108">
        <v>78015</v>
      </c>
      <c r="I253" s="108">
        <f t="shared" si="236"/>
        <v>74586</v>
      </c>
      <c r="J253" s="108">
        <f t="shared" si="237"/>
        <v>-3429</v>
      </c>
      <c r="K253" s="108">
        <v>-3429</v>
      </c>
      <c r="L253" s="108"/>
      <c r="M253" s="108"/>
      <c r="N253" s="108"/>
      <c r="O253" s="108"/>
      <c r="P253" s="108"/>
      <c r="Q253" s="108"/>
      <c r="R253" s="108"/>
      <c r="S253" s="108"/>
      <c r="T253" s="463"/>
      <c r="U253" s="108"/>
      <c r="V253" s="108"/>
      <c r="W253" s="108">
        <v>0</v>
      </c>
      <c r="X253" s="108">
        <f t="shared" si="238"/>
        <v>0</v>
      </c>
      <c r="Y253" s="108">
        <f t="shared" si="239"/>
        <v>0</v>
      </c>
      <c r="Z253" s="108"/>
      <c r="AA253" s="108"/>
      <c r="AB253" s="108"/>
      <c r="AC253" s="108"/>
      <c r="AD253" s="108"/>
      <c r="AE253" s="108"/>
      <c r="AF253" s="108">
        <v>0</v>
      </c>
      <c r="AG253" s="133">
        <f t="shared" si="240"/>
        <v>0</v>
      </c>
      <c r="AH253" s="133">
        <f t="shared" si="241"/>
        <v>0</v>
      </c>
      <c r="AI253" s="133"/>
      <c r="AJ253" s="133"/>
      <c r="AK253" s="133"/>
      <c r="AL253" s="133"/>
      <c r="AM253" s="133"/>
      <c r="AN253" s="479"/>
      <c r="AO253" s="133"/>
      <c r="AP253" s="133">
        <v>0</v>
      </c>
      <c r="AQ253" s="133">
        <f t="shared" si="242"/>
        <v>0</v>
      </c>
      <c r="AR253" s="133">
        <f t="shared" si="243"/>
        <v>0</v>
      </c>
      <c r="AS253" s="133"/>
      <c r="AT253" s="133"/>
      <c r="AU253" s="133"/>
      <c r="AV253" s="133"/>
      <c r="AW253" s="108">
        <f t="shared" si="244"/>
        <v>0</v>
      </c>
      <c r="AX253" s="108">
        <f t="shared" si="245"/>
        <v>0</v>
      </c>
      <c r="AY253" s="108"/>
      <c r="AZ253" s="108"/>
      <c r="BA253" s="108"/>
      <c r="BB253" s="108"/>
      <c r="BC253" s="108"/>
      <c r="BD253" s="108"/>
      <c r="BE253" s="359"/>
      <c r="BF253" s="109" t="s">
        <v>585</v>
      </c>
      <c r="BG253" s="116"/>
    </row>
    <row r="254" spans="1:59" ht="24" x14ac:dyDescent="0.2">
      <c r="A254" s="167">
        <v>90001868844</v>
      </c>
      <c r="B254" s="127"/>
      <c r="C254" s="533" t="s">
        <v>397</v>
      </c>
      <c r="D254" s="534"/>
      <c r="E254" s="106" t="s">
        <v>219</v>
      </c>
      <c r="F254" s="107">
        <f t="shared" si="234"/>
        <v>592428</v>
      </c>
      <c r="G254" s="107">
        <f t="shared" si="235"/>
        <v>577774</v>
      </c>
      <c r="H254" s="108">
        <v>584301</v>
      </c>
      <c r="I254" s="108">
        <f t="shared" si="236"/>
        <v>569429</v>
      </c>
      <c r="J254" s="108">
        <f t="shared" si="237"/>
        <v>-14872</v>
      </c>
      <c r="K254" s="108">
        <v>-14872</v>
      </c>
      <c r="L254" s="108"/>
      <c r="M254" s="108"/>
      <c r="N254" s="108"/>
      <c r="O254" s="108"/>
      <c r="P254" s="108"/>
      <c r="Q254" s="108"/>
      <c r="R254" s="108"/>
      <c r="S254" s="108"/>
      <c r="T254" s="463"/>
      <c r="U254" s="108"/>
      <c r="V254" s="108"/>
      <c r="W254" s="108">
        <v>0</v>
      </c>
      <c r="X254" s="108">
        <f t="shared" si="238"/>
        <v>0</v>
      </c>
      <c r="Y254" s="108">
        <f t="shared" si="239"/>
        <v>0</v>
      </c>
      <c r="Z254" s="108"/>
      <c r="AA254" s="108"/>
      <c r="AB254" s="108"/>
      <c r="AC254" s="108"/>
      <c r="AD254" s="108"/>
      <c r="AE254" s="108"/>
      <c r="AF254" s="108">
        <v>4300</v>
      </c>
      <c r="AG254" s="133">
        <f t="shared" si="240"/>
        <v>4300</v>
      </c>
      <c r="AH254" s="133">
        <f t="shared" si="241"/>
        <v>0</v>
      </c>
      <c r="AI254" s="133"/>
      <c r="AJ254" s="133"/>
      <c r="AK254" s="133"/>
      <c r="AL254" s="133"/>
      <c r="AM254" s="133"/>
      <c r="AN254" s="479"/>
      <c r="AO254" s="133"/>
      <c r="AP254" s="133">
        <v>3827</v>
      </c>
      <c r="AQ254" s="133">
        <f t="shared" si="242"/>
        <v>4045</v>
      </c>
      <c r="AR254" s="133">
        <f t="shared" si="243"/>
        <v>218</v>
      </c>
      <c r="AS254" s="133">
        <v>218</v>
      </c>
      <c r="AT254" s="133"/>
      <c r="AU254" s="133"/>
      <c r="AV254" s="133"/>
      <c r="AW254" s="108">
        <f t="shared" si="244"/>
        <v>0</v>
      </c>
      <c r="AX254" s="108">
        <f t="shared" si="245"/>
        <v>0</v>
      </c>
      <c r="AY254" s="108"/>
      <c r="AZ254" s="108"/>
      <c r="BA254" s="108"/>
      <c r="BB254" s="108"/>
      <c r="BC254" s="108"/>
      <c r="BD254" s="108"/>
      <c r="BE254" s="359"/>
      <c r="BF254" s="109" t="s">
        <v>586</v>
      </c>
      <c r="BG254" s="116"/>
    </row>
    <row r="255" spans="1:59" ht="24" x14ac:dyDescent="0.2">
      <c r="A255" s="167"/>
      <c r="B255" s="127"/>
      <c r="C255" s="161"/>
      <c r="D255" s="162"/>
      <c r="E255" s="106" t="s">
        <v>245</v>
      </c>
      <c r="F255" s="107">
        <f t="shared" si="234"/>
        <v>890</v>
      </c>
      <c r="G255" s="107">
        <f t="shared" si="235"/>
        <v>890</v>
      </c>
      <c r="H255" s="108">
        <v>890</v>
      </c>
      <c r="I255" s="108">
        <f t="shared" si="236"/>
        <v>890</v>
      </c>
      <c r="J255" s="108">
        <f t="shared" si="237"/>
        <v>0</v>
      </c>
      <c r="K255" s="108"/>
      <c r="L255" s="108"/>
      <c r="M255" s="108"/>
      <c r="N255" s="108"/>
      <c r="O255" s="108"/>
      <c r="P255" s="108"/>
      <c r="Q255" s="108"/>
      <c r="R255" s="108"/>
      <c r="S255" s="108"/>
      <c r="T255" s="463"/>
      <c r="U255" s="108"/>
      <c r="V255" s="108"/>
      <c r="W255" s="108">
        <v>0</v>
      </c>
      <c r="X255" s="108">
        <f t="shared" si="238"/>
        <v>0</v>
      </c>
      <c r="Y255" s="108">
        <f t="shared" si="239"/>
        <v>0</v>
      </c>
      <c r="Z255" s="108"/>
      <c r="AA255" s="108"/>
      <c r="AB255" s="108"/>
      <c r="AC255" s="108"/>
      <c r="AD255" s="108"/>
      <c r="AE255" s="108"/>
      <c r="AF255" s="108">
        <v>0</v>
      </c>
      <c r="AG255" s="108">
        <f t="shared" si="240"/>
        <v>0</v>
      </c>
      <c r="AH255" s="108">
        <f t="shared" si="241"/>
        <v>0</v>
      </c>
      <c r="AI255" s="108"/>
      <c r="AJ255" s="108"/>
      <c r="AK255" s="108"/>
      <c r="AL255" s="108"/>
      <c r="AM255" s="108"/>
      <c r="AN255" s="463"/>
      <c r="AO255" s="108"/>
      <c r="AP255" s="133">
        <v>0</v>
      </c>
      <c r="AQ255" s="133">
        <f t="shared" si="242"/>
        <v>0</v>
      </c>
      <c r="AR255" s="133">
        <f t="shared" si="243"/>
        <v>0</v>
      </c>
      <c r="AS255" s="133"/>
      <c r="AT255" s="133"/>
      <c r="AU255" s="133"/>
      <c r="AV255" s="133"/>
      <c r="AW255" s="108">
        <f t="shared" si="244"/>
        <v>0</v>
      </c>
      <c r="AX255" s="108">
        <f t="shared" si="245"/>
        <v>0</v>
      </c>
      <c r="AY255" s="108"/>
      <c r="AZ255" s="108"/>
      <c r="BA255" s="108"/>
      <c r="BB255" s="108"/>
      <c r="BC255" s="108"/>
      <c r="BD255" s="108"/>
      <c r="BE255" s="359"/>
      <c r="BF255" s="109" t="s">
        <v>587</v>
      </c>
      <c r="BG255" s="116"/>
    </row>
    <row r="256" spans="1:59" ht="24" x14ac:dyDescent="0.2">
      <c r="A256" s="167">
        <v>90000091456</v>
      </c>
      <c r="B256" s="127"/>
      <c r="C256" s="533" t="s">
        <v>226</v>
      </c>
      <c r="D256" s="534"/>
      <c r="E256" s="106" t="s">
        <v>220</v>
      </c>
      <c r="F256" s="107">
        <f t="shared" si="234"/>
        <v>142997</v>
      </c>
      <c r="G256" s="107">
        <f t="shared" si="235"/>
        <v>142997</v>
      </c>
      <c r="H256" s="108">
        <v>142997</v>
      </c>
      <c r="I256" s="108">
        <f t="shared" si="236"/>
        <v>142997</v>
      </c>
      <c r="J256" s="108">
        <f t="shared" si="237"/>
        <v>0</v>
      </c>
      <c r="K256" s="108"/>
      <c r="L256" s="108"/>
      <c r="M256" s="108"/>
      <c r="N256" s="108"/>
      <c r="O256" s="108"/>
      <c r="P256" s="108"/>
      <c r="Q256" s="108"/>
      <c r="R256" s="108"/>
      <c r="S256" s="108"/>
      <c r="T256" s="463"/>
      <c r="U256" s="108"/>
      <c r="V256" s="108"/>
      <c r="W256" s="108">
        <v>0</v>
      </c>
      <c r="X256" s="108">
        <f t="shared" si="238"/>
        <v>0</v>
      </c>
      <c r="Y256" s="108">
        <f t="shared" si="239"/>
        <v>0</v>
      </c>
      <c r="Z256" s="108"/>
      <c r="AA256" s="108"/>
      <c r="AB256" s="108"/>
      <c r="AC256" s="108"/>
      <c r="AD256" s="108"/>
      <c r="AE256" s="108"/>
      <c r="AF256" s="108">
        <v>0</v>
      </c>
      <c r="AG256" s="133">
        <f t="shared" si="240"/>
        <v>0</v>
      </c>
      <c r="AH256" s="133">
        <f t="shared" si="241"/>
        <v>0</v>
      </c>
      <c r="AI256" s="133"/>
      <c r="AJ256" s="133"/>
      <c r="AK256" s="133"/>
      <c r="AL256" s="133"/>
      <c r="AM256" s="133"/>
      <c r="AN256" s="479"/>
      <c r="AO256" s="133"/>
      <c r="AP256" s="133">
        <v>0</v>
      </c>
      <c r="AQ256" s="133">
        <f t="shared" si="242"/>
        <v>0</v>
      </c>
      <c r="AR256" s="133">
        <f t="shared" si="243"/>
        <v>0</v>
      </c>
      <c r="AS256" s="133"/>
      <c r="AT256" s="133"/>
      <c r="AU256" s="133"/>
      <c r="AV256" s="133"/>
      <c r="AW256" s="108">
        <f t="shared" si="244"/>
        <v>0</v>
      </c>
      <c r="AX256" s="108">
        <f t="shared" si="245"/>
        <v>0</v>
      </c>
      <c r="AY256" s="108"/>
      <c r="AZ256" s="108"/>
      <c r="BA256" s="108"/>
      <c r="BB256" s="108"/>
      <c r="BC256" s="108"/>
      <c r="BD256" s="108"/>
      <c r="BE256" s="359"/>
      <c r="BF256" s="109" t="s">
        <v>588</v>
      </c>
      <c r="BG256" s="116"/>
    </row>
    <row r="257" spans="1:59" ht="60" x14ac:dyDescent="0.2">
      <c r="A257" s="167"/>
      <c r="B257" s="127"/>
      <c r="C257" s="533" t="s">
        <v>185</v>
      </c>
      <c r="D257" s="534"/>
      <c r="E257" s="198" t="s">
        <v>311</v>
      </c>
      <c r="F257" s="107">
        <f>H257+W257+AF257+AO257+AP257+AV257</f>
        <v>241889</v>
      </c>
      <c r="G257" s="107">
        <f t="shared" si="235"/>
        <v>241889</v>
      </c>
      <c r="H257" s="108"/>
      <c r="I257" s="108">
        <f t="shared" si="236"/>
        <v>0</v>
      </c>
      <c r="J257" s="108">
        <f t="shared" si="237"/>
        <v>0</v>
      </c>
      <c r="K257" s="108"/>
      <c r="L257" s="108"/>
      <c r="M257" s="108"/>
      <c r="N257" s="108"/>
      <c r="O257" s="108"/>
      <c r="P257" s="108"/>
      <c r="Q257" s="108"/>
      <c r="R257" s="108"/>
      <c r="S257" s="108"/>
      <c r="T257" s="463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463"/>
      <c r="AO257" s="108">
        <v>241889</v>
      </c>
      <c r="AP257" s="133"/>
      <c r="AQ257" s="133"/>
      <c r="AR257" s="133"/>
      <c r="AS257" s="133"/>
      <c r="AT257" s="133"/>
      <c r="AU257" s="133"/>
      <c r="AV257" s="133"/>
      <c r="AW257" s="108">
        <f t="shared" si="244"/>
        <v>0</v>
      </c>
      <c r="AX257" s="108">
        <f t="shared" si="245"/>
        <v>0</v>
      </c>
      <c r="AY257" s="108"/>
      <c r="AZ257" s="108"/>
      <c r="BA257" s="108"/>
      <c r="BB257" s="108"/>
      <c r="BC257" s="108"/>
      <c r="BD257" s="108"/>
      <c r="BE257" s="359"/>
      <c r="BF257" s="109"/>
      <c r="BG257" s="116"/>
    </row>
    <row r="258" spans="1:59" s="160" customFormat="1" ht="48" x14ac:dyDescent="0.2">
      <c r="A258" s="167"/>
      <c r="B258" s="127"/>
      <c r="C258" s="208"/>
      <c r="D258" s="209"/>
      <c r="E258" s="198" t="s">
        <v>294</v>
      </c>
      <c r="F258" s="107">
        <f t="shared" si="234"/>
        <v>106716</v>
      </c>
      <c r="G258" s="107">
        <f t="shared" si="235"/>
        <v>106716</v>
      </c>
      <c r="H258" s="108"/>
      <c r="I258" s="108">
        <f t="shared" si="236"/>
        <v>0</v>
      </c>
      <c r="J258" s="108">
        <f t="shared" si="237"/>
        <v>0</v>
      </c>
      <c r="K258" s="108"/>
      <c r="L258" s="108"/>
      <c r="M258" s="108"/>
      <c r="N258" s="108"/>
      <c r="O258" s="108"/>
      <c r="P258" s="108"/>
      <c r="Q258" s="108"/>
      <c r="R258" s="108"/>
      <c r="S258" s="108"/>
      <c r="T258" s="463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463"/>
      <c r="AO258" s="108">
        <v>106716</v>
      </c>
      <c r="AP258" s="133"/>
      <c r="AQ258" s="133"/>
      <c r="AR258" s="133"/>
      <c r="AS258" s="133"/>
      <c r="AT258" s="133"/>
      <c r="AU258" s="133"/>
      <c r="AV258" s="133"/>
      <c r="AW258" s="108">
        <f t="shared" si="244"/>
        <v>0</v>
      </c>
      <c r="AX258" s="108">
        <f t="shared" si="245"/>
        <v>0</v>
      </c>
      <c r="AY258" s="108"/>
      <c r="AZ258" s="108"/>
      <c r="BA258" s="108"/>
      <c r="BB258" s="108"/>
      <c r="BC258" s="108"/>
      <c r="BD258" s="108"/>
      <c r="BE258" s="359"/>
      <c r="BF258" s="109"/>
      <c r="BG258" s="116"/>
    </row>
    <row r="259" spans="1:59" ht="12.75" thickBot="1" x14ac:dyDescent="0.25">
      <c r="A259" s="147"/>
      <c r="B259" s="143"/>
      <c r="C259" s="554"/>
      <c r="D259" s="555"/>
      <c r="E259" s="24"/>
      <c r="F259" s="94"/>
      <c r="G259" s="94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464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132"/>
      <c r="AH259" s="132"/>
      <c r="AI259" s="132"/>
      <c r="AJ259" s="132"/>
      <c r="AK259" s="132"/>
      <c r="AL259" s="132"/>
      <c r="AM259" s="132"/>
      <c r="AN259" s="480"/>
      <c r="AO259" s="132"/>
      <c r="AP259" s="132"/>
      <c r="AQ259" s="132"/>
      <c r="AR259" s="132"/>
      <c r="AS259" s="132"/>
      <c r="AT259" s="132"/>
      <c r="AU259" s="132"/>
      <c r="AV259" s="132"/>
      <c r="AW259" s="95"/>
      <c r="AX259" s="95"/>
      <c r="AY259" s="95"/>
      <c r="AZ259" s="95"/>
      <c r="BA259" s="95"/>
      <c r="BB259" s="95"/>
      <c r="BC259" s="95"/>
      <c r="BD259" s="95"/>
      <c r="BE259" s="360"/>
      <c r="BF259" s="96"/>
      <c r="BG259" s="119"/>
    </row>
    <row r="260" spans="1:59" ht="13.5" thickTop="1" thickBot="1" x14ac:dyDescent="0.25">
      <c r="A260" s="148"/>
      <c r="B260" s="550" t="s">
        <v>133</v>
      </c>
      <c r="C260" s="550"/>
      <c r="D260" s="551"/>
      <c r="E260" s="19"/>
      <c r="F260" s="21">
        <f t="shared" ref="F260:G260" si="266">SUM(F261)</f>
        <v>331658</v>
      </c>
      <c r="G260" s="21">
        <f t="shared" si="266"/>
        <v>370763</v>
      </c>
      <c r="H260" s="21">
        <f>SUM(H261)</f>
        <v>646370</v>
      </c>
      <c r="I260" s="21">
        <f t="shared" ref="I260:V260" si="267">SUM(I261)</f>
        <v>338489</v>
      </c>
      <c r="J260" s="21">
        <f t="shared" si="267"/>
        <v>-307881</v>
      </c>
      <c r="K260" s="21">
        <f t="shared" si="267"/>
        <v>-257566</v>
      </c>
      <c r="L260" s="21">
        <f t="shared" si="267"/>
        <v>0</v>
      </c>
      <c r="M260" s="21">
        <f t="shared" si="267"/>
        <v>-141452</v>
      </c>
      <c r="N260" s="21">
        <f t="shared" si="267"/>
        <v>6938</v>
      </c>
      <c r="O260" s="21">
        <f t="shared" si="267"/>
        <v>4740</v>
      </c>
      <c r="P260" s="21">
        <f t="shared" si="267"/>
        <v>-2920</v>
      </c>
      <c r="Q260" s="21">
        <f t="shared" si="267"/>
        <v>61300</v>
      </c>
      <c r="R260" s="21">
        <f t="shared" si="267"/>
        <v>0</v>
      </c>
      <c r="S260" s="21">
        <f t="shared" si="267"/>
        <v>21079</v>
      </c>
      <c r="T260" s="471">
        <f t="shared" si="267"/>
        <v>0</v>
      </c>
      <c r="U260" s="21">
        <f t="shared" si="267"/>
        <v>0</v>
      </c>
      <c r="V260" s="21">
        <f t="shared" si="267"/>
        <v>0</v>
      </c>
      <c r="W260" s="21">
        <f t="shared" ref="W260:BE260" si="268">SUM(W261)</f>
        <v>0</v>
      </c>
      <c r="X260" s="21">
        <f t="shared" si="268"/>
        <v>65242</v>
      </c>
      <c r="Y260" s="21">
        <f t="shared" si="268"/>
        <v>65242</v>
      </c>
      <c r="Z260" s="21">
        <f t="shared" si="268"/>
        <v>140039</v>
      </c>
      <c r="AA260" s="21">
        <f t="shared" si="268"/>
        <v>-74797</v>
      </c>
      <c r="AB260" s="21">
        <f t="shared" si="268"/>
        <v>0</v>
      </c>
      <c r="AC260" s="21">
        <f t="shared" si="268"/>
        <v>0</v>
      </c>
      <c r="AD260" s="21">
        <f t="shared" si="268"/>
        <v>0</v>
      </c>
      <c r="AE260" s="21">
        <f t="shared" si="268"/>
        <v>0</v>
      </c>
      <c r="AF260" s="21">
        <f t="shared" si="268"/>
        <v>67330</v>
      </c>
      <c r="AG260" s="21">
        <f t="shared" si="268"/>
        <v>24894</v>
      </c>
      <c r="AH260" s="21">
        <f t="shared" si="268"/>
        <v>-42436</v>
      </c>
      <c r="AI260" s="21">
        <f t="shared" si="268"/>
        <v>-3126</v>
      </c>
      <c r="AJ260" s="21">
        <f t="shared" si="268"/>
        <v>-4171</v>
      </c>
      <c r="AK260" s="21">
        <f t="shared" si="268"/>
        <v>-9342</v>
      </c>
      <c r="AL260" s="21">
        <f t="shared" si="268"/>
        <v>-5269</v>
      </c>
      <c r="AM260" s="21">
        <f t="shared" si="268"/>
        <v>-20528</v>
      </c>
      <c r="AN260" s="471">
        <f t="shared" si="268"/>
        <v>0</v>
      </c>
      <c r="AO260" s="110">
        <f t="shared" si="268"/>
        <v>0</v>
      </c>
      <c r="AP260" s="110">
        <f t="shared" si="268"/>
        <v>229</v>
      </c>
      <c r="AQ260" s="110">
        <f t="shared" si="268"/>
        <v>0</v>
      </c>
      <c r="AR260" s="110">
        <f t="shared" si="268"/>
        <v>-229</v>
      </c>
      <c r="AS260" s="110">
        <f t="shared" si="268"/>
        <v>-229</v>
      </c>
      <c r="AT260" s="110">
        <f t="shared" si="268"/>
        <v>0</v>
      </c>
      <c r="AU260" s="110">
        <f t="shared" si="268"/>
        <v>0</v>
      </c>
      <c r="AV260" s="110">
        <f t="shared" si="268"/>
        <v>-382271</v>
      </c>
      <c r="AW260" s="110">
        <f t="shared" si="268"/>
        <v>-57862</v>
      </c>
      <c r="AX260" s="110">
        <f t="shared" si="268"/>
        <v>324409</v>
      </c>
      <c r="AY260" s="110">
        <f t="shared" si="268"/>
        <v>356697</v>
      </c>
      <c r="AZ260" s="110">
        <f t="shared" si="268"/>
        <v>-936</v>
      </c>
      <c r="BA260" s="110">
        <f t="shared" si="268"/>
        <v>-3416</v>
      </c>
      <c r="BB260" s="110">
        <f t="shared" si="268"/>
        <v>111</v>
      </c>
      <c r="BC260" s="110">
        <f t="shared" si="268"/>
        <v>-28047</v>
      </c>
      <c r="BD260" s="110">
        <f t="shared" si="268"/>
        <v>0</v>
      </c>
      <c r="BE260" s="110">
        <f t="shared" si="268"/>
        <v>0</v>
      </c>
      <c r="BF260" s="22"/>
      <c r="BG260" s="120"/>
    </row>
    <row r="261" spans="1:59" ht="14.25" thickTop="1" thickBot="1" x14ac:dyDescent="0.25">
      <c r="A261" s="149"/>
      <c r="B261" s="146"/>
      <c r="C261" s="552" t="s">
        <v>129</v>
      </c>
      <c r="D261" s="553"/>
      <c r="E261" s="11"/>
      <c r="F261" s="14">
        <f>H261+W261+AF261+AO261+AP261+AV261</f>
        <v>331658</v>
      </c>
      <c r="G261" s="14">
        <f>I261+X261+AG261+AO261+AQ261+AW261</f>
        <v>370763</v>
      </c>
      <c r="H261" s="12">
        <f>12708+382271+350000-150000-609+102000-50000</f>
        <v>646370</v>
      </c>
      <c r="I261" s="12">
        <f>H261+J261</f>
        <v>338489</v>
      </c>
      <c r="J261" s="12">
        <f>SUM(K261:V261)</f>
        <v>-307881</v>
      </c>
      <c r="K261" s="12">
        <f>800-354901-1796+23+5711+16629+72294+5470-1796</f>
        <v>-257566</v>
      </c>
      <c r="L261" s="12"/>
      <c r="M261" s="12">
        <f>1+835+3281+936+2828+2170+101+101-87127-64578</f>
        <v>-141452</v>
      </c>
      <c r="N261" s="12">
        <f>700+5538+700</f>
        <v>6938</v>
      </c>
      <c r="O261" s="12">
        <f>2716+2716-692</f>
        <v>4740</v>
      </c>
      <c r="P261" s="12">
        <f>-1011-3709+900+900</f>
        <v>-2920</v>
      </c>
      <c r="Q261" s="12">
        <f>14260+14260+5206+13787+13787</f>
        <v>61300</v>
      </c>
      <c r="R261" s="12"/>
      <c r="S261" s="12">
        <v>21079</v>
      </c>
      <c r="T261" s="472"/>
      <c r="U261" s="12"/>
      <c r="V261" s="12"/>
      <c r="W261" s="12"/>
      <c r="X261" s="12">
        <f t="shared" ref="X261" si="269">W261+Y261</f>
        <v>65242</v>
      </c>
      <c r="Y261" s="12">
        <f t="shared" ref="Y261" si="270">SUM(Z261:AE261)</f>
        <v>65242</v>
      </c>
      <c r="Z261" s="12">
        <f>65958+15649+5297+13916+38248+5+609+357+5470-5470</f>
        <v>140039</v>
      </c>
      <c r="AA261" s="12">
        <f>-38249-5-609-1-13916-13148-5233-3279-357</f>
        <v>-74797</v>
      </c>
      <c r="AB261" s="12"/>
      <c r="AC261" s="12"/>
      <c r="AD261" s="12"/>
      <c r="AE261" s="12"/>
      <c r="AF261" s="12">
        <v>67330</v>
      </c>
      <c r="AG261" s="137">
        <f t="shared" ref="AG261" si="271">AH261+AF261</f>
        <v>24894</v>
      </c>
      <c r="AH261" s="137">
        <f t="shared" ref="AH261" si="272">SUM(AI261:AN261)</f>
        <v>-42436</v>
      </c>
      <c r="AI261" s="137">
        <f>-3211+110-25</f>
        <v>-3126</v>
      </c>
      <c r="AJ261" s="137">
        <v>-4171</v>
      </c>
      <c r="AK261" s="137">
        <v>-9342</v>
      </c>
      <c r="AL261" s="137">
        <v>-5269</v>
      </c>
      <c r="AM261" s="137">
        <f>-19114-900-514</f>
        <v>-20528</v>
      </c>
      <c r="AN261" s="485"/>
      <c r="AO261" s="137"/>
      <c r="AP261" s="137">
        <f>179+50</f>
        <v>229</v>
      </c>
      <c r="AQ261" s="137">
        <f t="shared" ref="AQ261" si="273">AR261+AP261</f>
        <v>0</v>
      </c>
      <c r="AR261" s="137">
        <f t="shared" ref="AR261" si="274">SUM(AS261:AU261)</f>
        <v>-229</v>
      </c>
      <c r="AS261" s="137">
        <f>-50-179</f>
        <v>-229</v>
      </c>
      <c r="AT261" s="137"/>
      <c r="AU261" s="137"/>
      <c r="AV261" s="137">
        <f>-295-199-372-443-432-380530</f>
        <v>-382271</v>
      </c>
      <c r="AW261" s="12">
        <f t="shared" ref="AW261" si="275">AX261+AV261</f>
        <v>-57862</v>
      </c>
      <c r="AX261" s="12">
        <f>SUM(AY261:BE261)</f>
        <v>324409</v>
      </c>
      <c r="AY261" s="12">
        <f>354901+1796</f>
        <v>356697</v>
      </c>
      <c r="AZ261" s="12">
        <f>-835-101</f>
        <v>-936</v>
      </c>
      <c r="BA261" s="12">
        <f>-700-2716</f>
        <v>-3416</v>
      </c>
      <c r="BB261" s="12">
        <f>1811-800-900</f>
        <v>111</v>
      </c>
      <c r="BC261" s="12">
        <f>-14260-13787</f>
        <v>-28047</v>
      </c>
      <c r="BD261" s="12"/>
      <c r="BE261" s="365"/>
      <c r="BF261" s="13"/>
      <c r="BG261" s="120"/>
    </row>
    <row r="262" spans="1:59" ht="27" customHeight="1" thickTop="1" thickBot="1" x14ac:dyDescent="0.25">
      <c r="A262" s="148"/>
      <c r="B262" s="550" t="s">
        <v>130</v>
      </c>
      <c r="C262" s="550"/>
      <c r="D262" s="551"/>
      <c r="E262" s="19"/>
      <c r="F262" s="20">
        <f>H262+W262+AF262+AO262+AP262+AV262</f>
        <v>94211245.799999997</v>
      </c>
      <c r="G262" s="20">
        <f>I262+X262+AG262+AO262+AQ262+AW262</f>
        <v>94020568.799999997</v>
      </c>
      <c r="H262" s="21">
        <f t="shared" ref="H262:AN262" si="276">H13+H27+H35-SUM(H62:H64)+H67+H80-H89+H93+H101-SUM(H136:H138)+H141-SUM(H225:H228)+H231-SUM(H257:H258)-H78</f>
        <v>83731147.799999997</v>
      </c>
      <c r="I262" s="21">
        <f t="shared" si="276"/>
        <v>83353831.799999997</v>
      </c>
      <c r="J262" s="21">
        <f t="shared" si="276"/>
        <v>-377316</v>
      </c>
      <c r="K262" s="21">
        <f t="shared" si="276"/>
        <v>-377195</v>
      </c>
      <c r="L262" s="21">
        <f t="shared" si="276"/>
        <v>0</v>
      </c>
      <c r="M262" s="21">
        <f t="shared" si="276"/>
        <v>-12756</v>
      </c>
      <c r="N262" s="21">
        <f t="shared" si="276"/>
        <v>9128</v>
      </c>
      <c r="O262" s="21">
        <f t="shared" si="276"/>
        <v>16952</v>
      </c>
      <c r="P262" s="21">
        <f t="shared" si="276"/>
        <v>2426</v>
      </c>
      <c r="Q262" s="21">
        <f t="shared" si="276"/>
        <v>2374</v>
      </c>
      <c r="R262" s="21">
        <f t="shared" si="276"/>
        <v>0</v>
      </c>
      <c r="S262" s="21">
        <f t="shared" si="276"/>
        <v>-21079</v>
      </c>
      <c r="T262" s="471">
        <f t="shared" si="276"/>
        <v>2834</v>
      </c>
      <c r="U262" s="21">
        <f t="shared" si="276"/>
        <v>0</v>
      </c>
      <c r="V262" s="21">
        <f t="shared" si="276"/>
        <v>0</v>
      </c>
      <c r="W262" s="21">
        <f t="shared" si="276"/>
        <v>10074323</v>
      </c>
      <c r="X262" s="21">
        <f t="shared" si="276"/>
        <v>10303011</v>
      </c>
      <c r="Y262" s="21">
        <f t="shared" si="276"/>
        <v>228688</v>
      </c>
      <c r="Z262" s="21">
        <f t="shared" si="276"/>
        <v>66245</v>
      </c>
      <c r="AA262" s="21">
        <f t="shared" si="276"/>
        <v>162443</v>
      </c>
      <c r="AB262" s="21">
        <f t="shared" si="276"/>
        <v>0</v>
      </c>
      <c r="AC262" s="21">
        <f t="shared" si="276"/>
        <v>0</v>
      </c>
      <c r="AD262" s="21">
        <f t="shared" si="276"/>
        <v>0</v>
      </c>
      <c r="AE262" s="21">
        <f t="shared" si="276"/>
        <v>0</v>
      </c>
      <c r="AF262" s="21">
        <f t="shared" si="276"/>
        <v>1817290</v>
      </c>
      <c r="AG262" s="21">
        <f t="shared" si="276"/>
        <v>2002051</v>
      </c>
      <c r="AH262" s="21">
        <f t="shared" si="276"/>
        <v>184761</v>
      </c>
      <c r="AI262" s="21">
        <f t="shared" si="276"/>
        <v>81182</v>
      </c>
      <c r="AJ262" s="21">
        <f t="shared" si="276"/>
        <v>21361</v>
      </c>
      <c r="AK262" s="21">
        <f t="shared" si="276"/>
        <v>40869</v>
      </c>
      <c r="AL262" s="21">
        <f t="shared" si="276"/>
        <v>19583</v>
      </c>
      <c r="AM262" s="21">
        <f t="shared" si="276"/>
        <v>21266</v>
      </c>
      <c r="AN262" s="471">
        <f t="shared" si="276"/>
        <v>500</v>
      </c>
      <c r="AO262" s="21">
        <f>AO13+AO27+AO35-SUM(AO62:AO64)+AO67+AO80-SUM(AO89:AO91)+AO93+AO101-SUM(AO136:AO139)+AO141-SUM(AO225:AO229)+AO231-SUM(AO257:AO258)-AO78</f>
        <v>0</v>
      </c>
      <c r="AP262" s="110">
        <f t="shared" ref="AP262:BE262" si="277">AP13+AP27+AP35-SUM(AP62:AP64)+AP67+AP80-AP89+AP93+AP101-SUM(AP136:AP138)+AP141-SUM(AP225:AP228)+AP231-SUM(AP257:AP258)-AP78</f>
        <v>12654</v>
      </c>
      <c r="AQ262" s="110">
        <f t="shared" si="277"/>
        <v>15288</v>
      </c>
      <c r="AR262" s="110">
        <f t="shared" si="277"/>
        <v>2634</v>
      </c>
      <c r="AS262" s="110">
        <f t="shared" si="277"/>
        <v>2634</v>
      </c>
      <c r="AT262" s="110">
        <f t="shared" si="277"/>
        <v>0</v>
      </c>
      <c r="AU262" s="110">
        <f t="shared" si="277"/>
        <v>0</v>
      </c>
      <c r="AV262" s="110">
        <f t="shared" si="277"/>
        <v>-1424169</v>
      </c>
      <c r="AW262" s="110">
        <f t="shared" si="277"/>
        <v>-1653613</v>
      </c>
      <c r="AX262" s="110">
        <f t="shared" si="277"/>
        <v>-229444</v>
      </c>
      <c r="AY262" s="110">
        <f t="shared" si="277"/>
        <v>-204975</v>
      </c>
      <c r="AZ262" s="110">
        <f t="shared" si="277"/>
        <v>0</v>
      </c>
      <c r="BA262" s="110">
        <f t="shared" si="277"/>
        <v>-24765</v>
      </c>
      <c r="BB262" s="110">
        <f t="shared" si="277"/>
        <v>2698</v>
      </c>
      <c r="BC262" s="110">
        <f t="shared" si="277"/>
        <v>-1664</v>
      </c>
      <c r="BD262" s="110">
        <f t="shared" si="277"/>
        <v>-738</v>
      </c>
      <c r="BE262" s="110">
        <f t="shared" si="277"/>
        <v>0</v>
      </c>
      <c r="BF262" s="22"/>
      <c r="BG262" s="121"/>
    </row>
    <row r="263" spans="1:59" ht="13.5" thickTop="1" thickBot="1" x14ac:dyDescent="0.25">
      <c r="A263" s="148"/>
      <c r="B263" s="550" t="s">
        <v>131</v>
      </c>
      <c r="C263" s="550"/>
      <c r="D263" s="551"/>
      <c r="E263" s="8"/>
      <c r="F263" s="16">
        <f>H263+W263+AF263+AO263+AP263+AV263</f>
        <v>100728562.8</v>
      </c>
      <c r="G263" s="16">
        <f>I263+X263+AG263+AO263+AQ263+AW263</f>
        <v>100576990.8</v>
      </c>
      <c r="H263" s="9">
        <f t="shared" ref="H263:AM263" si="278">SUM(H13,H27,H35,H67,H80,H93,H101,H141,H231,H260)</f>
        <v>84377517.799999997</v>
      </c>
      <c r="I263" s="9">
        <f t="shared" si="278"/>
        <v>83692320.799999997</v>
      </c>
      <c r="J263" s="9">
        <f t="shared" si="278"/>
        <v>-685197</v>
      </c>
      <c r="K263" s="9">
        <f t="shared" si="278"/>
        <v>-634761</v>
      </c>
      <c r="L263" s="9">
        <f t="shared" si="278"/>
        <v>0</v>
      </c>
      <c r="M263" s="9">
        <f t="shared" si="278"/>
        <v>-154208</v>
      </c>
      <c r="N263" s="9">
        <f t="shared" si="278"/>
        <v>16066</v>
      </c>
      <c r="O263" s="9">
        <f t="shared" si="278"/>
        <v>21692</v>
      </c>
      <c r="P263" s="9">
        <f t="shared" si="278"/>
        <v>-494</v>
      </c>
      <c r="Q263" s="9">
        <f t="shared" si="278"/>
        <v>63674</v>
      </c>
      <c r="R263" s="9">
        <f t="shared" si="278"/>
        <v>0</v>
      </c>
      <c r="S263" s="9">
        <f t="shared" si="278"/>
        <v>0</v>
      </c>
      <c r="T263" s="462">
        <f t="shared" si="278"/>
        <v>2834</v>
      </c>
      <c r="U263" s="9">
        <f t="shared" si="278"/>
        <v>0</v>
      </c>
      <c r="V263" s="9">
        <f t="shared" si="278"/>
        <v>0</v>
      </c>
      <c r="W263" s="9">
        <f t="shared" si="278"/>
        <v>10074323</v>
      </c>
      <c r="X263" s="9">
        <f t="shared" si="278"/>
        <v>10368253</v>
      </c>
      <c r="Y263" s="9">
        <f t="shared" si="278"/>
        <v>293930</v>
      </c>
      <c r="Z263" s="9">
        <f t="shared" si="278"/>
        <v>206284</v>
      </c>
      <c r="AA263" s="9">
        <f t="shared" si="278"/>
        <v>87646</v>
      </c>
      <c r="AB263" s="9">
        <f t="shared" si="278"/>
        <v>0</v>
      </c>
      <c r="AC263" s="9">
        <f t="shared" si="278"/>
        <v>0</v>
      </c>
      <c r="AD263" s="9">
        <f t="shared" si="278"/>
        <v>0</v>
      </c>
      <c r="AE263" s="9">
        <f t="shared" si="278"/>
        <v>0</v>
      </c>
      <c r="AF263" s="9">
        <f t="shared" si="278"/>
        <v>1884620</v>
      </c>
      <c r="AG263" s="9">
        <f t="shared" si="278"/>
        <v>2026945</v>
      </c>
      <c r="AH263" s="9">
        <f t="shared" si="278"/>
        <v>142325</v>
      </c>
      <c r="AI263" s="9">
        <f t="shared" si="278"/>
        <v>78056</v>
      </c>
      <c r="AJ263" s="9">
        <f t="shared" si="278"/>
        <v>17190</v>
      </c>
      <c r="AK263" s="9">
        <f t="shared" si="278"/>
        <v>31527</v>
      </c>
      <c r="AL263" s="9">
        <f>SUM(AL13,AL27,AL35,AL67,AL80,AL93,AL101,AL141,AL231,AL260)</f>
        <v>14314</v>
      </c>
      <c r="AM263" s="9">
        <f t="shared" si="278"/>
        <v>738</v>
      </c>
      <c r="AN263" s="462">
        <f t="shared" ref="AN263:BE263" si="279">SUM(AN13,AN27,AN35,AN67,AN80,AN93,AN101,AN141,AN231,AN260)</f>
        <v>500</v>
      </c>
      <c r="AO263" s="131">
        <f t="shared" si="279"/>
        <v>6185659</v>
      </c>
      <c r="AP263" s="131">
        <f t="shared" si="279"/>
        <v>12883</v>
      </c>
      <c r="AQ263" s="131">
        <f t="shared" si="279"/>
        <v>15288</v>
      </c>
      <c r="AR263" s="131">
        <f t="shared" si="279"/>
        <v>2405</v>
      </c>
      <c r="AS263" s="131">
        <f t="shared" si="279"/>
        <v>2405</v>
      </c>
      <c r="AT263" s="131">
        <f t="shared" si="279"/>
        <v>0</v>
      </c>
      <c r="AU263" s="131">
        <f t="shared" si="279"/>
        <v>0</v>
      </c>
      <c r="AV263" s="131">
        <f t="shared" si="279"/>
        <v>-1806440</v>
      </c>
      <c r="AW263" s="131">
        <f t="shared" si="279"/>
        <v>-1711475</v>
      </c>
      <c r="AX263" s="131">
        <f t="shared" si="279"/>
        <v>94965</v>
      </c>
      <c r="AY263" s="131">
        <f t="shared" si="279"/>
        <v>151722</v>
      </c>
      <c r="AZ263" s="131">
        <f t="shared" si="279"/>
        <v>-936</v>
      </c>
      <c r="BA263" s="131">
        <f t="shared" si="279"/>
        <v>-28181</v>
      </c>
      <c r="BB263" s="131">
        <f t="shared" si="279"/>
        <v>2809</v>
      </c>
      <c r="BC263" s="131">
        <f t="shared" si="279"/>
        <v>-29711</v>
      </c>
      <c r="BD263" s="131">
        <f t="shared" si="279"/>
        <v>-738</v>
      </c>
      <c r="BE263" s="131">
        <f t="shared" si="279"/>
        <v>0</v>
      </c>
      <c r="BF263" s="23"/>
      <c r="BG263" s="121"/>
    </row>
    <row r="264" spans="1:59" ht="12.75" hidden="1" outlineLevel="1" thickTop="1" x14ac:dyDescent="0.2">
      <c r="C264" s="24"/>
      <c r="D264" s="25" t="s">
        <v>24</v>
      </c>
      <c r="E264" s="25"/>
      <c r="F264" s="26">
        <f t="shared" ref="F264:AK264" si="280">SUM(F14:F26,F28:F34,F36:F64,F68:F77,F78,F81:F88,F94:F100,F102:F140,F142:F224,F232:F259,F260,F89:F92,F225:F230)</f>
        <v>100728562.8</v>
      </c>
      <c r="G264" s="26">
        <f t="shared" si="280"/>
        <v>100558130.8</v>
      </c>
      <c r="H264" s="26">
        <f t="shared" si="280"/>
        <v>84377517.799999997</v>
      </c>
      <c r="I264" s="26">
        <f t="shared" si="280"/>
        <v>83673460.799999997</v>
      </c>
      <c r="J264" s="26">
        <f t="shared" si="280"/>
        <v>-704057</v>
      </c>
      <c r="K264" s="26">
        <f t="shared" si="280"/>
        <v>-634761</v>
      </c>
      <c r="L264" s="26">
        <f t="shared" si="280"/>
        <v>0</v>
      </c>
      <c r="M264" s="26">
        <f t="shared" si="280"/>
        <v>-154208</v>
      </c>
      <c r="N264" s="26">
        <f t="shared" si="280"/>
        <v>16066</v>
      </c>
      <c r="O264" s="26">
        <f t="shared" si="280"/>
        <v>21692</v>
      </c>
      <c r="P264" s="26">
        <f t="shared" si="280"/>
        <v>-494</v>
      </c>
      <c r="Q264" s="26">
        <f t="shared" si="280"/>
        <v>44814</v>
      </c>
      <c r="R264" s="26">
        <f t="shared" si="280"/>
        <v>0</v>
      </c>
      <c r="S264" s="26">
        <f t="shared" si="280"/>
        <v>0</v>
      </c>
      <c r="T264" s="473">
        <f t="shared" si="280"/>
        <v>2834</v>
      </c>
      <c r="U264" s="26">
        <f t="shared" si="280"/>
        <v>0</v>
      </c>
      <c r="V264" s="26">
        <f t="shared" si="280"/>
        <v>0</v>
      </c>
      <c r="W264" s="26">
        <f t="shared" si="280"/>
        <v>10074323</v>
      </c>
      <c r="X264" s="26">
        <f t="shared" si="280"/>
        <v>10368253</v>
      </c>
      <c r="Y264" s="26">
        <f t="shared" si="280"/>
        <v>293930</v>
      </c>
      <c r="Z264" s="26">
        <f t="shared" si="280"/>
        <v>206284</v>
      </c>
      <c r="AA264" s="26">
        <f t="shared" si="280"/>
        <v>87646</v>
      </c>
      <c r="AB264" s="26">
        <f t="shared" si="280"/>
        <v>0</v>
      </c>
      <c r="AC264" s="26">
        <f t="shared" si="280"/>
        <v>0</v>
      </c>
      <c r="AD264" s="26">
        <f t="shared" si="280"/>
        <v>0</v>
      </c>
      <c r="AE264" s="26">
        <f t="shared" si="280"/>
        <v>0</v>
      </c>
      <c r="AF264" s="26">
        <f t="shared" si="280"/>
        <v>1884620</v>
      </c>
      <c r="AG264" s="26">
        <f t="shared" si="280"/>
        <v>2026945</v>
      </c>
      <c r="AH264" s="26">
        <f t="shared" si="280"/>
        <v>142325</v>
      </c>
      <c r="AI264" s="26">
        <f t="shared" si="280"/>
        <v>78056</v>
      </c>
      <c r="AJ264" s="26">
        <f t="shared" si="280"/>
        <v>17190</v>
      </c>
      <c r="AK264" s="26">
        <f t="shared" si="280"/>
        <v>31527</v>
      </c>
      <c r="AL264" s="26">
        <f t="shared" ref="AL264:BE264" si="281">SUM(AL14:AL26,AL28:AL34,AL36:AL64,AL68:AL77,AL78,AL81:AL88,AL94:AL100,AL102:AL140,AL142:AL224,AL232:AL259,AL260,AL89:AL92,AL225:AL230)</f>
        <v>14314</v>
      </c>
      <c r="AM264" s="26">
        <f t="shared" si="281"/>
        <v>738</v>
      </c>
      <c r="AN264" s="473">
        <f t="shared" si="281"/>
        <v>500</v>
      </c>
      <c r="AO264" s="26">
        <f t="shared" si="281"/>
        <v>6185659</v>
      </c>
      <c r="AP264" s="26">
        <f t="shared" si="281"/>
        <v>12883</v>
      </c>
      <c r="AQ264" s="26">
        <f t="shared" si="281"/>
        <v>15288</v>
      </c>
      <c r="AR264" s="26">
        <f t="shared" si="281"/>
        <v>2405</v>
      </c>
      <c r="AS264" s="26">
        <f t="shared" si="281"/>
        <v>2405</v>
      </c>
      <c r="AT264" s="26">
        <f t="shared" si="281"/>
        <v>0</v>
      </c>
      <c r="AU264" s="26">
        <f t="shared" si="281"/>
        <v>0</v>
      </c>
      <c r="AV264" s="26">
        <f t="shared" si="281"/>
        <v>-1806440</v>
      </c>
      <c r="AW264" s="26">
        <f t="shared" si="281"/>
        <v>-1711475</v>
      </c>
      <c r="AX264" s="26">
        <f t="shared" si="281"/>
        <v>94965</v>
      </c>
      <c r="AY264" s="26">
        <f t="shared" si="281"/>
        <v>151722</v>
      </c>
      <c r="AZ264" s="26">
        <f t="shared" si="281"/>
        <v>-936</v>
      </c>
      <c r="BA264" s="26">
        <f t="shared" si="281"/>
        <v>-28181</v>
      </c>
      <c r="BB264" s="26">
        <f t="shared" si="281"/>
        <v>2809</v>
      </c>
      <c r="BC264" s="26">
        <f t="shared" si="281"/>
        <v>-29711</v>
      </c>
      <c r="BD264" s="26">
        <f t="shared" si="281"/>
        <v>-738</v>
      </c>
      <c r="BE264" s="26">
        <f t="shared" si="281"/>
        <v>0</v>
      </c>
      <c r="BF264" s="27"/>
    </row>
    <row r="265" spans="1:59" hidden="1" outlineLevel="1" x14ac:dyDescent="0.2">
      <c r="C265" s="24"/>
      <c r="D265" s="25" t="s">
        <v>25</v>
      </c>
      <c r="E265" s="25"/>
      <c r="F265" s="26">
        <f t="shared" ref="F265:AK265" si="282">SUM(F13,F27,F35,F67,F80,F93,F101,F141,F231,F260)</f>
        <v>100728562.8</v>
      </c>
      <c r="G265" s="26">
        <f t="shared" si="282"/>
        <v>100576990.8</v>
      </c>
      <c r="H265" s="26">
        <f t="shared" si="282"/>
        <v>84377517.799999997</v>
      </c>
      <c r="I265" s="26">
        <f t="shared" si="282"/>
        <v>83692320.799999997</v>
      </c>
      <c r="J265" s="26">
        <f t="shared" si="282"/>
        <v>-685197</v>
      </c>
      <c r="K265" s="26">
        <f t="shared" si="282"/>
        <v>-634761</v>
      </c>
      <c r="L265" s="26">
        <f t="shared" si="282"/>
        <v>0</v>
      </c>
      <c r="M265" s="26">
        <f t="shared" si="282"/>
        <v>-154208</v>
      </c>
      <c r="N265" s="26">
        <f t="shared" si="282"/>
        <v>16066</v>
      </c>
      <c r="O265" s="26">
        <f t="shared" si="282"/>
        <v>21692</v>
      </c>
      <c r="P265" s="26">
        <f t="shared" si="282"/>
        <v>-494</v>
      </c>
      <c r="Q265" s="26">
        <f t="shared" si="282"/>
        <v>63674</v>
      </c>
      <c r="R265" s="26">
        <f t="shared" si="282"/>
        <v>0</v>
      </c>
      <c r="S265" s="26">
        <f t="shared" si="282"/>
        <v>0</v>
      </c>
      <c r="T265" s="473">
        <f t="shared" si="282"/>
        <v>2834</v>
      </c>
      <c r="U265" s="26">
        <f t="shared" si="282"/>
        <v>0</v>
      </c>
      <c r="V265" s="26">
        <f t="shared" si="282"/>
        <v>0</v>
      </c>
      <c r="W265" s="26">
        <f t="shared" si="282"/>
        <v>10074323</v>
      </c>
      <c r="X265" s="26">
        <f t="shared" si="282"/>
        <v>10368253</v>
      </c>
      <c r="Y265" s="26">
        <f t="shared" si="282"/>
        <v>293930</v>
      </c>
      <c r="Z265" s="26">
        <f t="shared" si="282"/>
        <v>206284</v>
      </c>
      <c r="AA265" s="26">
        <f t="shared" si="282"/>
        <v>87646</v>
      </c>
      <c r="AB265" s="26">
        <f t="shared" si="282"/>
        <v>0</v>
      </c>
      <c r="AC265" s="26">
        <f t="shared" si="282"/>
        <v>0</v>
      </c>
      <c r="AD265" s="26">
        <f t="shared" si="282"/>
        <v>0</v>
      </c>
      <c r="AE265" s="26">
        <f t="shared" si="282"/>
        <v>0</v>
      </c>
      <c r="AF265" s="26">
        <f t="shared" si="282"/>
        <v>1884620</v>
      </c>
      <c r="AG265" s="26">
        <f t="shared" si="282"/>
        <v>2026945</v>
      </c>
      <c r="AH265" s="26">
        <f t="shared" si="282"/>
        <v>142325</v>
      </c>
      <c r="AI265" s="26">
        <f t="shared" si="282"/>
        <v>78056</v>
      </c>
      <c r="AJ265" s="26">
        <f t="shared" si="282"/>
        <v>17190</v>
      </c>
      <c r="AK265" s="26">
        <f t="shared" si="282"/>
        <v>31527</v>
      </c>
      <c r="AL265" s="26">
        <f t="shared" ref="AL265:BE265" si="283">SUM(AL13,AL27,AL35,AL67,AL80,AL93,AL101,AL141,AL231,AL260)</f>
        <v>14314</v>
      </c>
      <c r="AM265" s="26">
        <f t="shared" si="283"/>
        <v>738</v>
      </c>
      <c r="AN265" s="473">
        <f t="shared" si="283"/>
        <v>500</v>
      </c>
      <c r="AO265" s="26">
        <f t="shared" si="283"/>
        <v>6185659</v>
      </c>
      <c r="AP265" s="26">
        <f t="shared" si="283"/>
        <v>12883</v>
      </c>
      <c r="AQ265" s="26">
        <f t="shared" si="283"/>
        <v>15288</v>
      </c>
      <c r="AR265" s="26">
        <f t="shared" si="283"/>
        <v>2405</v>
      </c>
      <c r="AS265" s="26">
        <f t="shared" si="283"/>
        <v>2405</v>
      </c>
      <c r="AT265" s="26">
        <f t="shared" si="283"/>
        <v>0</v>
      </c>
      <c r="AU265" s="26">
        <f t="shared" si="283"/>
        <v>0</v>
      </c>
      <c r="AV265" s="26">
        <f t="shared" si="283"/>
        <v>-1806440</v>
      </c>
      <c r="AW265" s="26">
        <f t="shared" si="283"/>
        <v>-1711475</v>
      </c>
      <c r="AX265" s="26">
        <f t="shared" si="283"/>
        <v>94965</v>
      </c>
      <c r="AY265" s="26">
        <f t="shared" si="283"/>
        <v>151722</v>
      </c>
      <c r="AZ265" s="26">
        <f t="shared" si="283"/>
        <v>-936</v>
      </c>
      <c r="BA265" s="26">
        <f t="shared" si="283"/>
        <v>-28181</v>
      </c>
      <c r="BB265" s="26">
        <f t="shared" si="283"/>
        <v>2809</v>
      </c>
      <c r="BC265" s="26">
        <f t="shared" si="283"/>
        <v>-29711</v>
      </c>
      <c r="BD265" s="26">
        <f t="shared" si="283"/>
        <v>-738</v>
      </c>
      <c r="BE265" s="26">
        <f t="shared" si="283"/>
        <v>0</v>
      </c>
      <c r="BF265" s="27"/>
    </row>
    <row r="266" spans="1:59" hidden="1" outlineLevel="1" x14ac:dyDescent="0.2">
      <c r="C266" s="24"/>
      <c r="D266" s="25" t="s">
        <v>26</v>
      </c>
      <c r="E266" s="25"/>
      <c r="F266" s="25"/>
      <c r="G266" s="28" t="str">
        <f t="shared" ref="G266:BF266" si="284">IF(G263=G264=G265,"PROBLEM","")</f>
        <v/>
      </c>
      <c r="H266" s="28" t="str">
        <f t="shared" si="284"/>
        <v/>
      </c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474"/>
      <c r="U266" s="28"/>
      <c r="V266" s="28"/>
      <c r="W266" s="28" t="str">
        <f t="shared" si="284"/>
        <v/>
      </c>
      <c r="X266" s="28"/>
      <c r="Y266" s="28"/>
      <c r="Z266" s="28"/>
      <c r="AA266" s="28"/>
      <c r="AB266" s="28"/>
      <c r="AC266" s="28"/>
      <c r="AD266" s="28"/>
      <c r="AE266" s="28"/>
      <c r="AF266" s="28" t="str">
        <f t="shared" si="284"/>
        <v/>
      </c>
      <c r="AG266" s="28"/>
      <c r="AH266" s="28"/>
      <c r="AI266" s="28"/>
      <c r="AJ266" s="28"/>
      <c r="AK266" s="28"/>
      <c r="AL266" s="28"/>
      <c r="AM266" s="28"/>
      <c r="AN266" s="474"/>
      <c r="AO266" s="28" t="str">
        <f t="shared" si="284"/>
        <v/>
      </c>
      <c r="AP266" s="28" t="str">
        <f t="shared" si="284"/>
        <v/>
      </c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9" t="str">
        <f t="shared" si="284"/>
        <v/>
      </c>
    </row>
    <row r="267" spans="1:59" hidden="1" outlineLevel="1" x14ac:dyDescent="0.2">
      <c r="C267" s="24"/>
      <c r="D267" s="18"/>
      <c r="E267" s="18"/>
      <c r="F267" s="18"/>
    </row>
    <row r="268" spans="1:59" s="32" customFormat="1" hidden="1" outlineLevel="1" x14ac:dyDescent="0.2">
      <c r="C268" s="30"/>
      <c r="D268" s="31"/>
      <c r="E268" s="31" t="s">
        <v>354</v>
      </c>
      <c r="F268" s="31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47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475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4"/>
    </row>
    <row r="269" spans="1:59" hidden="1" outlineLevel="1" x14ac:dyDescent="0.2">
      <c r="C269" s="24"/>
      <c r="D269" s="18"/>
      <c r="E269" s="18"/>
      <c r="F269" s="18"/>
      <c r="G269" s="486">
        <f>Ienemumi!AG154-G263</f>
        <v>0.20000000298023224</v>
      </c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</row>
    <row r="270" spans="1:59" ht="12.75" collapsed="1" thickTop="1" x14ac:dyDescent="0.2">
      <c r="C270" s="24"/>
      <c r="D270" s="18"/>
      <c r="E270" s="18"/>
      <c r="F270" s="18"/>
      <c r="G270" s="228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476"/>
      <c r="U270" s="284"/>
      <c r="V270" s="284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</row>
    <row r="271" spans="1:59" x14ac:dyDescent="0.2">
      <c r="C271" s="24"/>
      <c r="D271" s="18"/>
      <c r="E271" s="18"/>
      <c r="F271" s="18"/>
    </row>
    <row r="272" spans="1:59" x14ac:dyDescent="0.2">
      <c r="C272" s="24"/>
      <c r="D272" s="18"/>
      <c r="E272" s="18"/>
      <c r="F272" s="18"/>
      <c r="G272" s="228"/>
    </row>
    <row r="273" spans="3:6" x14ac:dyDescent="0.2">
      <c r="C273" s="24"/>
      <c r="D273" s="18"/>
      <c r="E273" s="18"/>
      <c r="F273" s="18"/>
    </row>
    <row r="274" spans="3:6" x14ac:dyDescent="0.2">
      <c r="C274" s="24"/>
      <c r="D274" s="18"/>
      <c r="E274" s="18"/>
      <c r="F274" s="18"/>
    </row>
    <row r="275" spans="3:6" x14ac:dyDescent="0.2">
      <c r="C275" s="24"/>
      <c r="D275" s="18"/>
      <c r="E275" s="18"/>
      <c r="F275" s="18"/>
    </row>
    <row r="276" spans="3:6" x14ac:dyDescent="0.2">
      <c r="C276" s="24"/>
      <c r="D276" s="18"/>
      <c r="E276" s="18"/>
      <c r="F276" s="18"/>
    </row>
    <row r="277" spans="3:6" x14ac:dyDescent="0.2">
      <c r="C277" s="24"/>
      <c r="D277" s="18"/>
      <c r="E277" s="18"/>
      <c r="F277" s="18"/>
    </row>
    <row r="278" spans="3:6" x14ac:dyDescent="0.2">
      <c r="C278" s="24"/>
      <c r="D278" s="18"/>
      <c r="E278" s="18"/>
      <c r="F278" s="18"/>
    </row>
    <row r="279" spans="3:6" x14ac:dyDescent="0.2">
      <c r="C279" s="24"/>
      <c r="D279" s="18"/>
      <c r="E279" s="18"/>
      <c r="F279" s="18"/>
    </row>
    <row r="280" spans="3:6" x14ac:dyDescent="0.2">
      <c r="C280" s="24"/>
      <c r="D280" s="18"/>
      <c r="E280" s="18"/>
      <c r="F280" s="18"/>
    </row>
    <row r="281" spans="3:6" x14ac:dyDescent="0.2">
      <c r="C281" s="24"/>
      <c r="D281" s="18"/>
      <c r="E281" s="18"/>
      <c r="F281" s="18"/>
    </row>
    <row r="282" spans="3:6" x14ac:dyDescent="0.2">
      <c r="C282" s="24"/>
      <c r="D282" s="18"/>
      <c r="E282" s="18"/>
      <c r="F282" s="18"/>
    </row>
    <row r="283" spans="3:6" x14ac:dyDescent="0.2">
      <c r="C283" s="24"/>
      <c r="D283" s="18"/>
      <c r="E283" s="18"/>
      <c r="F283" s="18"/>
    </row>
    <row r="284" spans="3:6" x14ac:dyDescent="0.2">
      <c r="C284" s="24"/>
      <c r="D284" s="18"/>
      <c r="E284" s="18"/>
      <c r="F284" s="18"/>
    </row>
    <row r="285" spans="3:6" x14ac:dyDescent="0.2">
      <c r="C285" s="24"/>
      <c r="D285" s="18"/>
      <c r="E285" s="18"/>
      <c r="F285" s="18"/>
    </row>
    <row r="286" spans="3:6" x14ac:dyDescent="0.2">
      <c r="C286" s="24"/>
      <c r="D286" s="18"/>
      <c r="E286" s="18"/>
      <c r="F286" s="18"/>
    </row>
    <row r="287" spans="3:6" x14ac:dyDescent="0.2">
      <c r="C287" s="24"/>
      <c r="D287" s="18"/>
      <c r="E287" s="18"/>
      <c r="F287" s="18"/>
    </row>
    <row r="288" spans="3:6" x14ac:dyDescent="0.2">
      <c r="C288" s="24"/>
      <c r="D288" s="18"/>
      <c r="E288" s="18"/>
      <c r="F288" s="18"/>
    </row>
    <row r="289" spans="3:6" x14ac:dyDescent="0.2">
      <c r="C289" s="24"/>
      <c r="D289" s="18"/>
      <c r="E289" s="18"/>
      <c r="F289" s="18"/>
    </row>
    <row r="290" spans="3:6" x14ac:dyDescent="0.2">
      <c r="C290" s="24"/>
      <c r="D290" s="18"/>
      <c r="E290" s="18"/>
      <c r="F290" s="18"/>
    </row>
    <row r="291" spans="3:6" x14ac:dyDescent="0.2">
      <c r="C291" s="24"/>
      <c r="D291" s="18"/>
      <c r="E291" s="18"/>
      <c r="F291" s="18"/>
    </row>
    <row r="292" spans="3:6" x14ac:dyDescent="0.2">
      <c r="C292" s="24"/>
      <c r="D292" s="18"/>
      <c r="E292" s="18"/>
      <c r="F292" s="18"/>
    </row>
    <row r="293" spans="3:6" x14ac:dyDescent="0.2">
      <c r="C293" s="24"/>
      <c r="D293" s="18"/>
      <c r="E293" s="18"/>
      <c r="F293" s="18"/>
    </row>
    <row r="294" spans="3:6" x14ac:dyDescent="0.2">
      <c r="C294" s="24"/>
      <c r="D294" s="18"/>
      <c r="E294" s="18"/>
      <c r="F294" s="18"/>
    </row>
    <row r="295" spans="3:6" x14ac:dyDescent="0.2">
      <c r="C295" s="24"/>
      <c r="D295" s="18"/>
      <c r="E295" s="18"/>
      <c r="F295" s="18"/>
    </row>
    <row r="296" spans="3:6" x14ac:dyDescent="0.2">
      <c r="C296" s="24"/>
      <c r="D296" s="18"/>
      <c r="E296" s="18"/>
      <c r="F296" s="18"/>
    </row>
    <row r="297" spans="3:6" x14ac:dyDescent="0.2">
      <c r="C297" s="24"/>
      <c r="D297" s="18"/>
      <c r="E297" s="18"/>
      <c r="F297" s="18"/>
    </row>
    <row r="298" spans="3:6" x14ac:dyDescent="0.2">
      <c r="C298" s="24"/>
      <c r="D298" s="18"/>
      <c r="E298" s="18"/>
      <c r="F298" s="18"/>
    </row>
    <row r="299" spans="3:6" x14ac:dyDescent="0.2">
      <c r="C299" s="24"/>
      <c r="D299" s="18"/>
      <c r="E299" s="18"/>
      <c r="F299" s="18"/>
    </row>
    <row r="300" spans="3:6" x14ac:dyDescent="0.2">
      <c r="C300" s="24"/>
      <c r="D300" s="18"/>
      <c r="E300" s="18"/>
      <c r="F300" s="18"/>
    </row>
    <row r="301" spans="3:6" x14ac:dyDescent="0.2">
      <c r="C301" s="24"/>
      <c r="D301" s="18"/>
      <c r="E301" s="18"/>
      <c r="F301" s="18"/>
    </row>
    <row r="302" spans="3:6" x14ac:dyDescent="0.2">
      <c r="C302" s="24"/>
      <c r="D302" s="18"/>
      <c r="E302" s="18"/>
      <c r="F302" s="18"/>
    </row>
    <row r="303" spans="3:6" x14ac:dyDescent="0.2">
      <c r="C303" s="24"/>
      <c r="D303" s="18"/>
      <c r="E303" s="18"/>
      <c r="F303" s="18"/>
    </row>
    <row r="304" spans="3:6" x14ac:dyDescent="0.2">
      <c r="C304" s="24"/>
      <c r="D304" s="18"/>
      <c r="E304" s="18"/>
      <c r="F304" s="18"/>
    </row>
    <row r="305" spans="3:6" x14ac:dyDescent="0.2">
      <c r="C305" s="24"/>
      <c r="D305" s="18"/>
      <c r="E305" s="18"/>
      <c r="F305" s="18"/>
    </row>
    <row r="306" spans="3:6" x14ac:dyDescent="0.2">
      <c r="C306" s="24"/>
      <c r="D306" s="18"/>
      <c r="E306" s="18"/>
      <c r="F306" s="18"/>
    </row>
    <row r="307" spans="3:6" x14ac:dyDescent="0.2">
      <c r="C307" s="24"/>
      <c r="D307" s="18"/>
      <c r="E307" s="18"/>
      <c r="F307" s="18"/>
    </row>
    <row r="308" spans="3:6" x14ac:dyDescent="0.2">
      <c r="C308" s="24"/>
      <c r="D308" s="18"/>
      <c r="E308" s="18"/>
      <c r="F308" s="18"/>
    </row>
    <row r="309" spans="3:6" x14ac:dyDescent="0.2">
      <c r="C309" s="24"/>
      <c r="D309" s="18"/>
      <c r="E309" s="18"/>
      <c r="F309" s="18"/>
    </row>
    <row r="310" spans="3:6" x14ac:dyDescent="0.2">
      <c r="C310" s="24"/>
      <c r="D310" s="18"/>
      <c r="E310" s="18"/>
      <c r="F310" s="18"/>
    </row>
    <row r="311" spans="3:6" x14ac:dyDescent="0.2">
      <c r="C311" s="24"/>
      <c r="D311" s="18"/>
      <c r="E311" s="18"/>
      <c r="F311" s="18"/>
    </row>
    <row r="312" spans="3:6" x14ac:dyDescent="0.2">
      <c r="C312" s="24"/>
      <c r="D312" s="18"/>
      <c r="E312" s="18"/>
      <c r="F312" s="18"/>
    </row>
    <row r="313" spans="3:6" x14ac:dyDescent="0.2">
      <c r="C313" s="24"/>
      <c r="D313" s="18"/>
      <c r="E313" s="18"/>
      <c r="F313" s="18"/>
    </row>
    <row r="314" spans="3:6" x14ac:dyDescent="0.2">
      <c r="C314" s="24"/>
      <c r="D314" s="18"/>
      <c r="E314" s="18"/>
      <c r="F314" s="18"/>
    </row>
    <row r="315" spans="3:6" x14ac:dyDescent="0.2">
      <c r="C315" s="24"/>
      <c r="D315" s="18"/>
      <c r="E315" s="18"/>
      <c r="F315" s="18"/>
    </row>
    <row r="316" spans="3:6" x14ac:dyDescent="0.2">
      <c r="C316" s="24"/>
      <c r="D316" s="18"/>
      <c r="E316" s="18"/>
      <c r="F316" s="18"/>
    </row>
    <row r="317" spans="3:6" x14ac:dyDescent="0.2">
      <c r="C317" s="24"/>
      <c r="D317" s="18"/>
      <c r="E317" s="18"/>
      <c r="F317" s="18"/>
    </row>
    <row r="318" spans="3:6" x14ac:dyDescent="0.2">
      <c r="C318" s="24"/>
      <c r="D318" s="18"/>
      <c r="E318" s="18"/>
      <c r="F318" s="18"/>
    </row>
    <row r="319" spans="3:6" x14ac:dyDescent="0.2">
      <c r="C319" s="24"/>
      <c r="D319" s="18"/>
      <c r="E319" s="18"/>
      <c r="F319" s="18"/>
    </row>
    <row r="320" spans="3:6" x14ac:dyDescent="0.2">
      <c r="C320" s="24"/>
      <c r="D320" s="18"/>
      <c r="E320" s="18"/>
      <c r="F320" s="18"/>
    </row>
    <row r="321" spans="3:6" x14ac:dyDescent="0.2">
      <c r="C321" s="24"/>
      <c r="D321" s="18"/>
      <c r="E321" s="18"/>
      <c r="F321" s="18"/>
    </row>
    <row r="322" spans="3:6" x14ac:dyDescent="0.2">
      <c r="C322" s="24"/>
      <c r="D322" s="18"/>
      <c r="E322" s="18"/>
      <c r="F322" s="18"/>
    </row>
    <row r="323" spans="3:6" x14ac:dyDescent="0.2">
      <c r="C323" s="24"/>
      <c r="D323" s="18"/>
      <c r="E323" s="18"/>
      <c r="F323" s="18"/>
    </row>
    <row r="324" spans="3:6" x14ac:dyDescent="0.2">
      <c r="C324" s="24"/>
      <c r="D324" s="18"/>
      <c r="E324" s="18"/>
      <c r="F324" s="18"/>
    </row>
    <row r="325" spans="3:6" x14ac:dyDescent="0.2">
      <c r="C325" s="24"/>
      <c r="D325" s="18"/>
      <c r="E325" s="18"/>
      <c r="F325" s="18"/>
    </row>
    <row r="326" spans="3:6" x14ac:dyDescent="0.2">
      <c r="C326" s="24"/>
      <c r="D326" s="18"/>
      <c r="E326" s="18"/>
      <c r="F326" s="18"/>
    </row>
    <row r="327" spans="3:6" x14ac:dyDescent="0.2">
      <c r="C327" s="24"/>
      <c r="D327" s="18"/>
      <c r="E327" s="18"/>
      <c r="F327" s="18"/>
    </row>
    <row r="328" spans="3:6" x14ac:dyDescent="0.2">
      <c r="C328" s="24"/>
      <c r="D328" s="18"/>
      <c r="E328" s="18"/>
      <c r="F328" s="18"/>
    </row>
    <row r="329" spans="3:6" x14ac:dyDescent="0.2">
      <c r="C329" s="24"/>
      <c r="D329" s="18"/>
      <c r="E329" s="18"/>
      <c r="F329" s="18"/>
    </row>
    <row r="330" spans="3:6" x14ac:dyDescent="0.2">
      <c r="C330" s="24"/>
      <c r="D330" s="18"/>
      <c r="E330" s="18"/>
      <c r="F330" s="18"/>
    </row>
    <row r="331" spans="3:6" x14ac:dyDescent="0.2">
      <c r="C331" s="24"/>
      <c r="D331" s="18"/>
      <c r="E331" s="18"/>
      <c r="F331" s="18"/>
    </row>
    <row r="332" spans="3:6" x14ac:dyDescent="0.2">
      <c r="C332" s="24"/>
      <c r="D332" s="18"/>
      <c r="E332" s="18"/>
      <c r="F332" s="18"/>
    </row>
    <row r="333" spans="3:6" x14ac:dyDescent="0.2">
      <c r="C333" s="24"/>
      <c r="D333" s="18"/>
      <c r="E333" s="18"/>
      <c r="F333" s="18"/>
    </row>
    <row r="334" spans="3:6" x14ac:dyDescent="0.2">
      <c r="C334" s="24"/>
      <c r="D334" s="18"/>
      <c r="E334" s="18"/>
      <c r="F334" s="18"/>
    </row>
    <row r="335" spans="3:6" x14ac:dyDescent="0.2">
      <c r="C335" s="24"/>
      <c r="D335" s="18"/>
      <c r="E335" s="18"/>
      <c r="F335" s="18"/>
    </row>
    <row r="336" spans="3:6" x14ac:dyDescent="0.2">
      <c r="C336" s="24"/>
      <c r="D336" s="18"/>
      <c r="E336" s="18"/>
      <c r="F336" s="18"/>
    </row>
    <row r="337" spans="3:6" x14ac:dyDescent="0.2">
      <c r="C337" s="24"/>
      <c r="D337" s="18"/>
      <c r="E337" s="18"/>
      <c r="F337" s="18"/>
    </row>
    <row r="338" spans="3:6" x14ac:dyDescent="0.2">
      <c r="C338" s="24"/>
      <c r="D338" s="18"/>
      <c r="E338" s="18"/>
      <c r="F338" s="18"/>
    </row>
    <row r="339" spans="3:6" x14ac:dyDescent="0.2">
      <c r="C339" s="24"/>
      <c r="D339" s="18"/>
      <c r="E339" s="18"/>
      <c r="F339" s="18"/>
    </row>
    <row r="340" spans="3:6" x14ac:dyDescent="0.2">
      <c r="C340" s="24"/>
      <c r="D340" s="18"/>
      <c r="E340" s="18"/>
      <c r="F340" s="18"/>
    </row>
    <row r="341" spans="3:6" x14ac:dyDescent="0.2">
      <c r="C341" s="24"/>
      <c r="D341" s="18"/>
      <c r="E341" s="18"/>
      <c r="F341" s="18"/>
    </row>
    <row r="342" spans="3:6" x14ac:dyDescent="0.2">
      <c r="C342" s="24"/>
      <c r="D342" s="18"/>
      <c r="E342" s="18"/>
      <c r="F342" s="18"/>
    </row>
    <row r="343" spans="3:6" x14ac:dyDescent="0.2">
      <c r="C343" s="24"/>
      <c r="D343" s="18"/>
      <c r="E343" s="18"/>
      <c r="F343" s="18"/>
    </row>
    <row r="344" spans="3:6" x14ac:dyDescent="0.2">
      <c r="C344" s="24"/>
      <c r="D344" s="18"/>
      <c r="E344" s="18"/>
      <c r="F344" s="18"/>
    </row>
    <row r="345" spans="3:6" x14ac:dyDescent="0.2">
      <c r="C345" s="24"/>
      <c r="D345" s="18"/>
      <c r="E345" s="18"/>
      <c r="F345" s="18"/>
    </row>
    <row r="346" spans="3:6" x14ac:dyDescent="0.2">
      <c r="C346" s="24"/>
      <c r="D346" s="18"/>
      <c r="E346" s="18"/>
      <c r="F346" s="18"/>
    </row>
    <row r="347" spans="3:6" x14ac:dyDescent="0.2">
      <c r="C347" s="24"/>
      <c r="D347" s="18"/>
      <c r="E347" s="18"/>
      <c r="F347" s="18"/>
    </row>
    <row r="348" spans="3:6" x14ac:dyDescent="0.2">
      <c r="C348" s="24"/>
      <c r="D348" s="18"/>
      <c r="E348" s="18"/>
      <c r="F348" s="18"/>
    </row>
    <row r="349" spans="3:6" x14ac:dyDescent="0.2">
      <c r="C349" s="24"/>
      <c r="D349" s="18"/>
      <c r="E349" s="18"/>
      <c r="F349" s="18"/>
    </row>
    <row r="350" spans="3:6" x14ac:dyDescent="0.2">
      <c r="C350" s="24"/>
      <c r="D350" s="18"/>
      <c r="E350" s="18"/>
      <c r="F350" s="18"/>
    </row>
    <row r="351" spans="3:6" x14ac:dyDescent="0.2">
      <c r="C351" s="24"/>
      <c r="D351" s="18"/>
      <c r="E351" s="18"/>
      <c r="F351" s="18"/>
    </row>
    <row r="352" spans="3:6" x14ac:dyDescent="0.2">
      <c r="C352" s="24"/>
      <c r="D352" s="18"/>
      <c r="E352" s="18"/>
      <c r="F352" s="18"/>
    </row>
    <row r="353" spans="3:6" x14ac:dyDescent="0.2">
      <c r="C353" s="24"/>
      <c r="D353" s="18"/>
      <c r="E353" s="18"/>
      <c r="F353" s="18"/>
    </row>
    <row r="354" spans="3:6" x14ac:dyDescent="0.2">
      <c r="C354" s="24"/>
      <c r="D354" s="18"/>
      <c r="E354" s="18"/>
      <c r="F354" s="18"/>
    </row>
    <row r="355" spans="3:6" x14ac:dyDescent="0.2">
      <c r="C355" s="24"/>
      <c r="D355" s="18"/>
      <c r="E355" s="18"/>
      <c r="F355" s="18"/>
    </row>
    <row r="356" spans="3:6" x14ac:dyDescent="0.2">
      <c r="C356" s="24"/>
      <c r="D356" s="18"/>
      <c r="E356" s="18"/>
      <c r="F356" s="18"/>
    </row>
    <row r="357" spans="3:6" x14ac:dyDescent="0.2">
      <c r="C357" s="24"/>
      <c r="D357" s="18"/>
      <c r="E357" s="18"/>
      <c r="F357" s="18"/>
    </row>
    <row r="358" spans="3:6" x14ac:dyDescent="0.2">
      <c r="C358" s="24"/>
      <c r="D358" s="18"/>
      <c r="E358" s="18"/>
      <c r="F358" s="18"/>
    </row>
    <row r="359" spans="3:6" x14ac:dyDescent="0.2">
      <c r="C359" s="24"/>
      <c r="D359" s="18"/>
      <c r="E359" s="18"/>
      <c r="F359" s="18"/>
    </row>
    <row r="360" spans="3:6" x14ac:dyDescent="0.2">
      <c r="C360" s="24"/>
      <c r="D360" s="18"/>
      <c r="E360" s="18"/>
      <c r="F360" s="18"/>
    </row>
    <row r="361" spans="3:6" x14ac:dyDescent="0.2">
      <c r="C361" s="24"/>
      <c r="D361" s="18"/>
      <c r="E361" s="18"/>
      <c r="F361" s="18"/>
    </row>
    <row r="362" spans="3:6" x14ac:dyDescent="0.2">
      <c r="C362" s="24"/>
      <c r="D362" s="18"/>
      <c r="E362" s="18"/>
      <c r="F362" s="18"/>
    </row>
    <row r="363" spans="3:6" x14ac:dyDescent="0.2">
      <c r="C363" s="24"/>
      <c r="D363" s="18"/>
      <c r="E363" s="18"/>
      <c r="F363" s="18"/>
    </row>
    <row r="364" spans="3:6" x14ac:dyDescent="0.2">
      <c r="C364" s="24"/>
      <c r="D364" s="18"/>
      <c r="E364" s="18"/>
      <c r="F364" s="18"/>
    </row>
    <row r="365" spans="3:6" x14ac:dyDescent="0.2">
      <c r="C365" s="24"/>
      <c r="D365" s="18"/>
      <c r="E365" s="18"/>
      <c r="F365" s="18"/>
    </row>
    <row r="366" spans="3:6" x14ac:dyDescent="0.2">
      <c r="C366" s="24"/>
      <c r="D366" s="18"/>
      <c r="E366" s="18"/>
      <c r="F366" s="18"/>
    </row>
    <row r="367" spans="3:6" x14ac:dyDescent="0.2">
      <c r="C367" s="24"/>
      <c r="D367" s="18"/>
      <c r="E367" s="18"/>
      <c r="F367" s="18"/>
    </row>
    <row r="368" spans="3:6" x14ac:dyDescent="0.2">
      <c r="C368" s="24"/>
      <c r="D368" s="18"/>
      <c r="E368" s="18"/>
      <c r="F368" s="18"/>
    </row>
    <row r="369" spans="3:6" x14ac:dyDescent="0.2">
      <c r="C369" s="24"/>
      <c r="D369" s="18"/>
      <c r="E369" s="18"/>
      <c r="F369" s="18"/>
    </row>
    <row r="370" spans="3:6" x14ac:dyDescent="0.2">
      <c r="C370" s="24"/>
      <c r="D370" s="18"/>
      <c r="E370" s="18"/>
      <c r="F370" s="18"/>
    </row>
    <row r="371" spans="3:6" x14ac:dyDescent="0.2">
      <c r="C371" s="24"/>
      <c r="D371" s="18"/>
      <c r="E371" s="18"/>
      <c r="F371" s="18"/>
    </row>
    <row r="372" spans="3:6" x14ac:dyDescent="0.2">
      <c r="C372" s="24"/>
      <c r="D372" s="18"/>
      <c r="E372" s="18"/>
      <c r="F372" s="18"/>
    </row>
    <row r="373" spans="3:6" x14ac:dyDescent="0.2">
      <c r="C373" s="24"/>
      <c r="D373" s="18"/>
      <c r="E373" s="18"/>
      <c r="F373" s="18"/>
    </row>
    <row r="374" spans="3:6" x14ac:dyDescent="0.2">
      <c r="C374" s="24"/>
      <c r="D374" s="18"/>
      <c r="E374" s="18"/>
      <c r="F374" s="18"/>
    </row>
    <row r="375" spans="3:6" x14ac:dyDescent="0.2">
      <c r="C375" s="24"/>
      <c r="D375" s="18"/>
      <c r="E375" s="18"/>
      <c r="F375" s="18"/>
    </row>
    <row r="376" spans="3:6" x14ac:dyDescent="0.2">
      <c r="C376" s="24"/>
      <c r="D376" s="18"/>
      <c r="E376" s="18"/>
      <c r="F376" s="18"/>
    </row>
    <row r="377" spans="3:6" x14ac:dyDescent="0.2">
      <c r="C377" s="24"/>
      <c r="D377" s="18"/>
      <c r="E377" s="18"/>
      <c r="F377" s="18"/>
    </row>
    <row r="378" spans="3:6" x14ac:dyDescent="0.2">
      <c r="C378" s="24"/>
      <c r="D378" s="18"/>
      <c r="E378" s="18"/>
      <c r="F378" s="18"/>
    </row>
    <row r="379" spans="3:6" x14ac:dyDescent="0.2">
      <c r="C379" s="24"/>
      <c r="D379" s="18"/>
      <c r="E379" s="18"/>
      <c r="F379" s="18"/>
    </row>
    <row r="380" spans="3:6" x14ac:dyDescent="0.2">
      <c r="C380" s="24"/>
      <c r="D380" s="18"/>
      <c r="E380" s="18"/>
      <c r="F380" s="18"/>
    </row>
    <row r="381" spans="3:6" x14ac:dyDescent="0.2">
      <c r="C381" s="24"/>
      <c r="D381" s="18"/>
      <c r="E381" s="18"/>
      <c r="F381" s="18"/>
    </row>
    <row r="382" spans="3:6" x14ac:dyDescent="0.2">
      <c r="C382" s="24"/>
      <c r="D382" s="18"/>
      <c r="E382" s="18"/>
      <c r="F382" s="18"/>
    </row>
    <row r="383" spans="3:6" x14ac:dyDescent="0.2">
      <c r="C383" s="24"/>
      <c r="D383" s="18"/>
      <c r="E383" s="18"/>
      <c r="F383" s="18"/>
    </row>
    <row r="384" spans="3:6" x14ac:dyDescent="0.2">
      <c r="C384" s="24"/>
      <c r="D384" s="18"/>
      <c r="E384" s="18"/>
      <c r="F384" s="18"/>
    </row>
    <row r="385" spans="3:6" x14ac:dyDescent="0.2">
      <c r="C385" s="24"/>
      <c r="D385" s="18"/>
      <c r="E385" s="18"/>
      <c r="F385" s="18"/>
    </row>
    <row r="386" spans="3:6" x14ac:dyDescent="0.2">
      <c r="C386" s="24"/>
      <c r="D386" s="18"/>
      <c r="E386" s="18"/>
      <c r="F386" s="18"/>
    </row>
    <row r="387" spans="3:6" x14ac:dyDescent="0.2">
      <c r="C387" s="24"/>
      <c r="D387" s="18"/>
      <c r="E387" s="18"/>
      <c r="F387" s="18"/>
    </row>
    <row r="388" spans="3:6" x14ac:dyDescent="0.2">
      <c r="C388" s="24"/>
      <c r="D388" s="18"/>
      <c r="E388" s="18"/>
      <c r="F388" s="18"/>
    </row>
    <row r="389" spans="3:6" x14ac:dyDescent="0.2">
      <c r="C389" s="24"/>
      <c r="D389" s="18"/>
      <c r="E389" s="18"/>
      <c r="F389" s="18"/>
    </row>
    <row r="390" spans="3:6" x14ac:dyDescent="0.2">
      <c r="C390" s="24"/>
      <c r="D390" s="18"/>
      <c r="E390" s="18"/>
      <c r="F390" s="18"/>
    </row>
    <row r="391" spans="3:6" x14ac:dyDescent="0.2">
      <c r="C391" s="24"/>
      <c r="D391" s="18"/>
      <c r="E391" s="18"/>
      <c r="F391" s="18"/>
    </row>
    <row r="392" spans="3:6" x14ac:dyDescent="0.2">
      <c r="C392" s="24"/>
      <c r="D392" s="18"/>
      <c r="E392" s="18"/>
      <c r="F392" s="18"/>
    </row>
    <row r="393" spans="3:6" x14ac:dyDescent="0.2">
      <c r="C393" s="24"/>
      <c r="D393" s="18"/>
      <c r="E393" s="18"/>
      <c r="F393" s="18"/>
    </row>
    <row r="394" spans="3:6" x14ac:dyDescent="0.2">
      <c r="C394" s="24"/>
      <c r="D394" s="18"/>
      <c r="E394" s="18"/>
      <c r="F394" s="18"/>
    </row>
    <row r="395" spans="3:6" x14ac:dyDescent="0.2">
      <c r="C395" s="24"/>
      <c r="D395" s="18"/>
      <c r="E395" s="18"/>
      <c r="F395" s="18"/>
    </row>
    <row r="396" spans="3:6" x14ac:dyDescent="0.2">
      <c r="C396" s="24"/>
      <c r="D396" s="18"/>
      <c r="E396" s="18"/>
      <c r="F396" s="18"/>
    </row>
    <row r="397" spans="3:6" x14ac:dyDescent="0.2">
      <c r="C397" s="24"/>
      <c r="D397" s="18"/>
      <c r="E397" s="18"/>
      <c r="F397" s="18"/>
    </row>
    <row r="398" spans="3:6" x14ac:dyDescent="0.2">
      <c r="C398" s="24"/>
      <c r="D398" s="18"/>
      <c r="E398" s="18"/>
      <c r="F398" s="18"/>
    </row>
    <row r="399" spans="3:6" x14ac:dyDescent="0.2">
      <c r="C399" s="24"/>
      <c r="D399" s="18"/>
      <c r="E399" s="18"/>
      <c r="F399" s="18"/>
    </row>
    <row r="400" spans="3:6" x14ac:dyDescent="0.2">
      <c r="C400" s="24"/>
      <c r="D400" s="18"/>
      <c r="E400" s="18"/>
      <c r="F400" s="18"/>
    </row>
    <row r="401" spans="3:6" x14ac:dyDescent="0.2">
      <c r="C401" s="24"/>
      <c r="D401" s="18"/>
      <c r="E401" s="18"/>
      <c r="F401" s="18"/>
    </row>
    <row r="402" spans="3:6" x14ac:dyDescent="0.2">
      <c r="C402" s="24"/>
      <c r="D402" s="18"/>
      <c r="E402" s="18"/>
      <c r="F402" s="18"/>
    </row>
    <row r="403" spans="3:6" x14ac:dyDescent="0.2">
      <c r="C403" s="24"/>
      <c r="D403" s="18"/>
      <c r="E403" s="18"/>
      <c r="F403" s="18"/>
    </row>
    <row r="404" spans="3:6" x14ac:dyDescent="0.2">
      <c r="C404" s="24"/>
      <c r="D404" s="18"/>
      <c r="E404" s="18"/>
      <c r="F404" s="18"/>
    </row>
    <row r="405" spans="3:6" x14ac:dyDescent="0.2">
      <c r="C405" s="24"/>
      <c r="D405" s="18"/>
      <c r="E405" s="18"/>
      <c r="F405" s="18"/>
    </row>
    <row r="406" spans="3:6" x14ac:dyDescent="0.2">
      <c r="C406" s="24"/>
      <c r="D406" s="18"/>
      <c r="E406" s="18"/>
      <c r="F406" s="18"/>
    </row>
    <row r="407" spans="3:6" x14ac:dyDescent="0.2">
      <c r="C407" s="24"/>
      <c r="D407" s="18"/>
      <c r="E407" s="18"/>
      <c r="F407" s="18"/>
    </row>
    <row r="408" spans="3:6" x14ac:dyDescent="0.2">
      <c r="C408" s="24"/>
      <c r="D408" s="18"/>
      <c r="E408" s="18"/>
      <c r="F408" s="18"/>
    </row>
    <row r="409" spans="3:6" x14ac:dyDescent="0.2">
      <c r="C409" s="24"/>
      <c r="D409" s="18"/>
      <c r="E409" s="18"/>
      <c r="F409" s="18"/>
    </row>
    <row r="410" spans="3:6" x14ac:dyDescent="0.2">
      <c r="C410" s="24"/>
      <c r="D410" s="18"/>
      <c r="E410" s="18"/>
      <c r="F410" s="18"/>
    </row>
    <row r="411" spans="3:6" x14ac:dyDescent="0.2">
      <c r="C411" s="24"/>
      <c r="D411" s="18"/>
      <c r="E411" s="18"/>
      <c r="F411" s="18"/>
    </row>
    <row r="412" spans="3:6" x14ac:dyDescent="0.2">
      <c r="C412" s="24"/>
      <c r="D412" s="18"/>
      <c r="E412" s="18"/>
      <c r="F412" s="18"/>
    </row>
    <row r="413" spans="3:6" x14ac:dyDescent="0.2">
      <c r="C413" s="24"/>
      <c r="D413" s="18"/>
      <c r="E413" s="18"/>
      <c r="F413" s="18"/>
    </row>
    <row r="414" spans="3:6" x14ac:dyDescent="0.2">
      <c r="C414" s="24"/>
      <c r="D414" s="18"/>
      <c r="E414" s="18"/>
      <c r="F414" s="18"/>
    </row>
    <row r="415" spans="3:6" x14ac:dyDescent="0.2">
      <c r="C415" s="24"/>
      <c r="D415" s="18"/>
      <c r="E415" s="18"/>
      <c r="F415" s="18"/>
    </row>
    <row r="416" spans="3:6" x14ac:dyDescent="0.2">
      <c r="C416" s="24"/>
      <c r="D416" s="18"/>
      <c r="E416" s="18"/>
      <c r="F416" s="18"/>
    </row>
    <row r="417" spans="3:6" x14ac:dyDescent="0.2">
      <c r="C417" s="24"/>
      <c r="D417" s="18"/>
      <c r="E417" s="18"/>
      <c r="F417" s="18"/>
    </row>
    <row r="418" spans="3:6" x14ac:dyDescent="0.2">
      <c r="C418" s="24"/>
      <c r="D418" s="18"/>
      <c r="E418" s="18"/>
      <c r="F418" s="18"/>
    </row>
    <row r="419" spans="3:6" x14ac:dyDescent="0.2">
      <c r="C419" s="24"/>
      <c r="D419" s="18"/>
      <c r="E419" s="18"/>
      <c r="F419" s="18"/>
    </row>
    <row r="420" spans="3:6" x14ac:dyDescent="0.2">
      <c r="C420" s="24"/>
      <c r="D420" s="18"/>
      <c r="E420" s="18"/>
      <c r="F420" s="18"/>
    </row>
    <row r="421" spans="3:6" x14ac:dyDescent="0.2">
      <c r="C421" s="24"/>
      <c r="D421" s="18"/>
      <c r="E421" s="18"/>
      <c r="F421" s="18"/>
    </row>
    <row r="422" spans="3:6" x14ac:dyDescent="0.2">
      <c r="C422" s="24"/>
      <c r="D422" s="18"/>
      <c r="E422" s="18"/>
      <c r="F422" s="18"/>
    </row>
    <row r="423" spans="3:6" x14ac:dyDescent="0.2">
      <c r="C423" s="24"/>
      <c r="D423" s="18"/>
      <c r="E423" s="18"/>
      <c r="F423" s="18"/>
    </row>
    <row r="424" spans="3:6" x14ac:dyDescent="0.2">
      <c r="C424" s="24"/>
      <c r="D424" s="18"/>
      <c r="E424" s="18"/>
      <c r="F424" s="18"/>
    </row>
    <row r="425" spans="3:6" x14ac:dyDescent="0.2">
      <c r="C425" s="24"/>
      <c r="D425" s="18"/>
      <c r="E425" s="18"/>
      <c r="F425" s="18"/>
    </row>
    <row r="426" spans="3:6" x14ac:dyDescent="0.2">
      <c r="C426" s="24"/>
      <c r="D426" s="18"/>
      <c r="E426" s="18"/>
      <c r="F426" s="18"/>
    </row>
    <row r="427" spans="3:6" x14ac:dyDescent="0.2">
      <c r="C427" s="24"/>
      <c r="D427" s="18"/>
      <c r="E427" s="18"/>
      <c r="F427" s="18"/>
    </row>
    <row r="428" spans="3:6" x14ac:dyDescent="0.2">
      <c r="C428" s="24"/>
      <c r="D428" s="18"/>
      <c r="E428" s="18"/>
      <c r="F428" s="18"/>
    </row>
    <row r="429" spans="3:6" x14ac:dyDescent="0.2">
      <c r="C429" s="24"/>
      <c r="D429" s="18"/>
      <c r="E429" s="18"/>
      <c r="F429" s="18"/>
    </row>
    <row r="430" spans="3:6" x14ac:dyDescent="0.2">
      <c r="C430" s="24"/>
      <c r="D430" s="18"/>
      <c r="E430" s="18"/>
      <c r="F430" s="18"/>
    </row>
    <row r="431" spans="3:6" x14ac:dyDescent="0.2">
      <c r="C431" s="24"/>
      <c r="D431" s="18"/>
      <c r="E431" s="18"/>
      <c r="F431" s="18"/>
    </row>
    <row r="432" spans="3:6" x14ac:dyDescent="0.2">
      <c r="C432" s="24"/>
      <c r="D432" s="18"/>
      <c r="E432" s="18"/>
      <c r="F432" s="18"/>
    </row>
    <row r="433" spans="3:6" x14ac:dyDescent="0.2">
      <c r="C433" s="24"/>
      <c r="D433" s="18"/>
      <c r="E433" s="18"/>
      <c r="F433" s="18"/>
    </row>
    <row r="434" spans="3:6" x14ac:dyDescent="0.2">
      <c r="C434" s="24"/>
      <c r="D434" s="18"/>
      <c r="E434" s="18"/>
      <c r="F434" s="18"/>
    </row>
    <row r="435" spans="3:6" x14ac:dyDescent="0.2">
      <c r="C435" s="24"/>
      <c r="D435" s="18"/>
      <c r="E435" s="18"/>
      <c r="F435" s="18"/>
    </row>
    <row r="436" spans="3:6" x14ac:dyDescent="0.2">
      <c r="C436" s="24"/>
      <c r="D436" s="18"/>
      <c r="E436" s="18"/>
      <c r="F436" s="18"/>
    </row>
    <row r="437" spans="3:6" x14ac:dyDescent="0.2">
      <c r="C437" s="24"/>
      <c r="D437" s="18"/>
      <c r="E437" s="18"/>
      <c r="F437" s="18"/>
    </row>
    <row r="438" spans="3:6" x14ac:dyDescent="0.2">
      <c r="C438" s="24"/>
      <c r="D438" s="18"/>
      <c r="E438" s="18"/>
      <c r="F438" s="18"/>
    </row>
    <row r="439" spans="3:6" x14ac:dyDescent="0.2">
      <c r="C439" s="24"/>
      <c r="D439" s="18"/>
      <c r="E439" s="18"/>
      <c r="F439" s="18"/>
    </row>
    <row r="440" spans="3:6" x14ac:dyDescent="0.2">
      <c r="C440" s="24"/>
      <c r="D440" s="18"/>
      <c r="E440" s="18"/>
      <c r="F440" s="18"/>
    </row>
    <row r="441" spans="3:6" x14ac:dyDescent="0.2">
      <c r="C441" s="24"/>
      <c r="D441" s="18"/>
      <c r="E441" s="18"/>
      <c r="F441" s="18"/>
    </row>
    <row r="442" spans="3:6" x14ac:dyDescent="0.2">
      <c r="C442" s="24"/>
      <c r="D442" s="18"/>
      <c r="E442" s="18"/>
      <c r="F442" s="18"/>
    </row>
    <row r="443" spans="3:6" x14ac:dyDescent="0.2">
      <c r="C443" s="24"/>
      <c r="D443" s="18"/>
      <c r="E443" s="18"/>
      <c r="F443" s="18"/>
    </row>
    <row r="444" spans="3:6" x14ac:dyDescent="0.2">
      <c r="C444" s="24"/>
      <c r="D444" s="18"/>
      <c r="E444" s="18"/>
      <c r="F444" s="18"/>
    </row>
    <row r="445" spans="3:6" x14ac:dyDescent="0.2">
      <c r="C445" s="24"/>
      <c r="D445" s="18"/>
      <c r="E445" s="18"/>
      <c r="F445" s="18"/>
    </row>
    <row r="446" spans="3:6" x14ac:dyDescent="0.2">
      <c r="C446" s="24"/>
      <c r="D446" s="18"/>
      <c r="E446" s="18"/>
      <c r="F446" s="18"/>
    </row>
    <row r="447" spans="3:6" x14ac:dyDescent="0.2">
      <c r="C447" s="24"/>
      <c r="D447" s="18"/>
      <c r="E447" s="18"/>
      <c r="F447" s="18"/>
    </row>
    <row r="448" spans="3:6" x14ac:dyDescent="0.2">
      <c r="C448" s="24"/>
      <c r="D448" s="18"/>
      <c r="E448" s="18"/>
      <c r="F448" s="18"/>
    </row>
    <row r="449" spans="3:6" x14ac:dyDescent="0.2">
      <c r="C449" s="24"/>
      <c r="D449" s="18"/>
      <c r="E449" s="18"/>
      <c r="F449" s="18"/>
    </row>
    <row r="450" spans="3:6" x14ac:dyDescent="0.2">
      <c r="C450" s="24"/>
      <c r="D450" s="18"/>
      <c r="E450" s="18"/>
      <c r="F450" s="18"/>
    </row>
    <row r="451" spans="3:6" x14ac:dyDescent="0.2">
      <c r="C451" s="24"/>
      <c r="D451" s="18"/>
      <c r="E451" s="18"/>
      <c r="F451" s="18"/>
    </row>
    <row r="452" spans="3:6" x14ac:dyDescent="0.2">
      <c r="C452" s="24"/>
      <c r="D452" s="18"/>
      <c r="E452" s="18"/>
      <c r="F452" s="18"/>
    </row>
    <row r="453" spans="3:6" x14ac:dyDescent="0.2">
      <c r="C453" s="24"/>
      <c r="D453" s="18"/>
      <c r="E453" s="18"/>
      <c r="F453" s="18"/>
    </row>
    <row r="454" spans="3:6" x14ac:dyDescent="0.2">
      <c r="C454" s="24"/>
      <c r="D454" s="18"/>
      <c r="E454" s="18"/>
      <c r="F454" s="18"/>
    </row>
    <row r="455" spans="3:6" x14ac:dyDescent="0.2">
      <c r="C455" s="24"/>
      <c r="D455" s="18"/>
      <c r="E455" s="18"/>
      <c r="F455" s="18"/>
    </row>
    <row r="456" spans="3:6" x14ac:dyDescent="0.2">
      <c r="C456" s="24"/>
      <c r="D456" s="18"/>
      <c r="E456" s="18"/>
      <c r="F456" s="18"/>
    </row>
    <row r="457" spans="3:6" x14ac:dyDescent="0.2">
      <c r="C457" s="24"/>
      <c r="D457" s="18"/>
      <c r="E457" s="18"/>
      <c r="F457" s="18"/>
    </row>
    <row r="458" spans="3:6" x14ac:dyDescent="0.2">
      <c r="C458" s="24"/>
      <c r="D458" s="18"/>
      <c r="E458" s="18"/>
      <c r="F458" s="18"/>
    </row>
    <row r="459" spans="3:6" x14ac:dyDescent="0.2">
      <c r="C459" s="24"/>
      <c r="D459" s="18"/>
      <c r="E459" s="18"/>
      <c r="F459" s="18"/>
    </row>
    <row r="460" spans="3:6" x14ac:dyDescent="0.2">
      <c r="C460" s="24"/>
      <c r="D460" s="18"/>
      <c r="E460" s="18"/>
      <c r="F460" s="18"/>
    </row>
    <row r="461" spans="3:6" x14ac:dyDescent="0.2">
      <c r="C461" s="24"/>
      <c r="D461" s="18"/>
      <c r="E461" s="18"/>
      <c r="F461" s="18"/>
    </row>
    <row r="462" spans="3:6" x14ac:dyDescent="0.2">
      <c r="C462" s="24"/>
      <c r="D462" s="18"/>
      <c r="E462" s="18"/>
      <c r="F462" s="18"/>
    </row>
    <row r="463" spans="3:6" x14ac:dyDescent="0.2">
      <c r="C463" s="24"/>
      <c r="D463" s="18"/>
      <c r="E463" s="18"/>
      <c r="F463" s="18"/>
    </row>
    <row r="464" spans="3:6" x14ac:dyDescent="0.2">
      <c r="C464" s="24"/>
      <c r="D464" s="18"/>
      <c r="E464" s="18"/>
      <c r="F464" s="18"/>
    </row>
    <row r="465" spans="3:6" x14ac:dyDescent="0.2">
      <c r="C465" s="24"/>
      <c r="D465" s="18"/>
      <c r="E465" s="18"/>
      <c r="F465" s="18"/>
    </row>
    <row r="466" spans="3:6" x14ac:dyDescent="0.2">
      <c r="C466" s="24"/>
      <c r="D466" s="18"/>
      <c r="E466" s="18"/>
      <c r="F466" s="18"/>
    </row>
    <row r="467" spans="3:6" x14ac:dyDescent="0.2">
      <c r="C467" s="24"/>
      <c r="D467" s="18"/>
      <c r="E467" s="18"/>
      <c r="F467" s="18"/>
    </row>
    <row r="468" spans="3:6" x14ac:dyDescent="0.2">
      <c r="C468" s="24"/>
      <c r="D468" s="18"/>
      <c r="E468" s="18"/>
      <c r="F468" s="18"/>
    </row>
    <row r="469" spans="3:6" x14ac:dyDescent="0.2">
      <c r="C469" s="24"/>
      <c r="D469" s="18"/>
      <c r="E469" s="18"/>
      <c r="F469" s="18"/>
    </row>
    <row r="470" spans="3:6" x14ac:dyDescent="0.2">
      <c r="C470" s="24"/>
      <c r="D470" s="18"/>
      <c r="E470" s="18"/>
      <c r="F470" s="18"/>
    </row>
    <row r="471" spans="3:6" x14ac:dyDescent="0.2">
      <c r="C471" s="24"/>
      <c r="D471" s="18"/>
      <c r="E471" s="18"/>
      <c r="F471" s="18"/>
    </row>
    <row r="472" spans="3:6" x14ac:dyDescent="0.2">
      <c r="C472" s="24"/>
      <c r="D472" s="18"/>
      <c r="E472" s="18"/>
      <c r="F472" s="18"/>
    </row>
    <row r="473" spans="3:6" x14ac:dyDescent="0.2">
      <c r="C473" s="24"/>
      <c r="D473" s="18"/>
      <c r="E473" s="18"/>
      <c r="F473" s="18"/>
    </row>
    <row r="474" spans="3:6" x14ac:dyDescent="0.2">
      <c r="C474" s="24"/>
      <c r="D474" s="18"/>
      <c r="E474" s="18"/>
      <c r="F474" s="18"/>
    </row>
    <row r="475" spans="3:6" x14ac:dyDescent="0.2">
      <c r="C475" s="24"/>
      <c r="D475" s="18"/>
      <c r="E475" s="18"/>
      <c r="F475" s="18"/>
    </row>
    <row r="476" spans="3:6" x14ac:dyDescent="0.2">
      <c r="C476" s="24"/>
      <c r="D476" s="18"/>
      <c r="E476" s="18"/>
      <c r="F476" s="18"/>
    </row>
    <row r="477" spans="3:6" x14ac:dyDescent="0.2">
      <c r="C477" s="24"/>
      <c r="D477" s="18"/>
      <c r="E477" s="18"/>
      <c r="F477" s="18"/>
    </row>
    <row r="478" spans="3:6" x14ac:dyDescent="0.2">
      <c r="C478" s="24"/>
      <c r="D478" s="18"/>
      <c r="E478" s="18"/>
      <c r="F478" s="18"/>
    </row>
    <row r="479" spans="3:6" x14ac:dyDescent="0.2">
      <c r="C479" s="24"/>
      <c r="D479" s="18"/>
      <c r="E479" s="18"/>
      <c r="F479" s="18"/>
    </row>
    <row r="480" spans="3:6" x14ac:dyDescent="0.2">
      <c r="C480" s="24"/>
      <c r="D480" s="18"/>
      <c r="E480" s="18"/>
      <c r="F480" s="18"/>
    </row>
    <row r="481" spans="3:6" x14ac:dyDescent="0.2">
      <c r="C481" s="24"/>
      <c r="D481" s="18"/>
      <c r="E481" s="18"/>
      <c r="F481" s="18"/>
    </row>
    <row r="482" spans="3:6" x14ac:dyDescent="0.2">
      <c r="C482" s="24"/>
      <c r="D482" s="18"/>
      <c r="E482" s="18"/>
      <c r="F482" s="18"/>
    </row>
    <row r="483" spans="3:6" x14ac:dyDescent="0.2">
      <c r="C483" s="24"/>
      <c r="D483" s="18"/>
      <c r="E483" s="18"/>
      <c r="F483" s="18"/>
    </row>
    <row r="484" spans="3:6" x14ac:dyDescent="0.2">
      <c r="C484" s="24"/>
      <c r="D484" s="18"/>
      <c r="E484" s="18"/>
      <c r="F484" s="18"/>
    </row>
    <row r="485" spans="3:6" x14ac:dyDescent="0.2">
      <c r="C485" s="24"/>
      <c r="D485" s="18"/>
      <c r="E485" s="18"/>
      <c r="F485" s="18"/>
    </row>
    <row r="486" spans="3:6" x14ac:dyDescent="0.2">
      <c r="C486" s="24"/>
      <c r="D486" s="18"/>
      <c r="E486" s="18"/>
      <c r="F486" s="18"/>
    </row>
    <row r="487" spans="3:6" x14ac:dyDescent="0.2">
      <c r="C487" s="24"/>
      <c r="D487" s="18"/>
      <c r="E487" s="18"/>
      <c r="F487" s="18"/>
    </row>
    <row r="488" spans="3:6" x14ac:dyDescent="0.2">
      <c r="C488" s="24"/>
      <c r="D488" s="18"/>
      <c r="E488" s="18"/>
      <c r="F488" s="18"/>
    </row>
    <row r="489" spans="3:6" x14ac:dyDescent="0.2">
      <c r="C489" s="24"/>
      <c r="D489" s="18"/>
      <c r="E489" s="18"/>
      <c r="F489" s="18"/>
    </row>
    <row r="490" spans="3:6" x14ac:dyDescent="0.2">
      <c r="C490" s="24"/>
      <c r="D490" s="18"/>
      <c r="E490" s="18"/>
      <c r="F490" s="18"/>
    </row>
    <row r="491" spans="3:6" x14ac:dyDescent="0.2">
      <c r="C491" s="24"/>
      <c r="D491" s="18"/>
      <c r="E491" s="18"/>
      <c r="F491" s="18"/>
    </row>
    <row r="492" spans="3:6" x14ac:dyDescent="0.2">
      <c r="C492" s="24"/>
      <c r="D492" s="18"/>
      <c r="E492" s="18"/>
      <c r="F492" s="18"/>
    </row>
    <row r="493" spans="3:6" x14ac:dyDescent="0.2">
      <c r="C493" s="24"/>
      <c r="D493" s="18"/>
      <c r="E493" s="18"/>
      <c r="F493" s="18"/>
    </row>
    <row r="494" spans="3:6" x14ac:dyDescent="0.2">
      <c r="C494" s="24"/>
      <c r="D494" s="18"/>
      <c r="E494" s="18"/>
      <c r="F494" s="18"/>
    </row>
    <row r="495" spans="3:6" x14ac:dyDescent="0.2">
      <c r="C495" s="24"/>
      <c r="D495" s="18"/>
      <c r="E495" s="18"/>
      <c r="F495" s="18"/>
    </row>
    <row r="496" spans="3:6" x14ac:dyDescent="0.2">
      <c r="C496" s="24"/>
      <c r="D496" s="18"/>
      <c r="E496" s="18"/>
      <c r="F496" s="18"/>
    </row>
    <row r="497" spans="3:6" x14ac:dyDescent="0.2">
      <c r="C497" s="24"/>
      <c r="D497" s="18"/>
      <c r="E497" s="18"/>
      <c r="F497" s="18"/>
    </row>
    <row r="498" spans="3:6" x14ac:dyDescent="0.2">
      <c r="C498" s="24"/>
      <c r="D498" s="18"/>
      <c r="E498" s="18"/>
      <c r="F498" s="18"/>
    </row>
    <row r="499" spans="3:6" x14ac:dyDescent="0.2">
      <c r="C499" s="24"/>
      <c r="D499" s="18"/>
      <c r="E499" s="18"/>
      <c r="F499" s="18"/>
    </row>
    <row r="500" spans="3:6" x14ac:dyDescent="0.2">
      <c r="C500" s="24"/>
      <c r="D500" s="18"/>
      <c r="E500" s="18"/>
      <c r="F500" s="18"/>
    </row>
    <row r="501" spans="3:6" x14ac:dyDescent="0.2">
      <c r="C501" s="24"/>
      <c r="D501" s="18"/>
      <c r="E501" s="18"/>
      <c r="F501" s="18"/>
    </row>
    <row r="502" spans="3:6" x14ac:dyDescent="0.2">
      <c r="C502" s="24"/>
      <c r="D502" s="18"/>
      <c r="E502" s="18"/>
      <c r="F502" s="18"/>
    </row>
    <row r="503" spans="3:6" x14ac:dyDescent="0.2">
      <c r="C503" s="24"/>
      <c r="D503" s="18"/>
      <c r="E503" s="18"/>
      <c r="F503" s="18"/>
    </row>
    <row r="504" spans="3:6" x14ac:dyDescent="0.2">
      <c r="C504" s="24"/>
      <c r="D504" s="18"/>
      <c r="E504" s="18"/>
      <c r="F504" s="18"/>
    </row>
    <row r="505" spans="3:6" x14ac:dyDescent="0.2">
      <c r="C505" s="24"/>
      <c r="D505" s="18"/>
      <c r="E505" s="18"/>
      <c r="F505" s="18"/>
    </row>
    <row r="506" spans="3:6" x14ac:dyDescent="0.2">
      <c r="C506" s="24"/>
      <c r="D506" s="18"/>
      <c r="E506" s="18"/>
      <c r="F506" s="18"/>
    </row>
    <row r="507" spans="3:6" x14ac:dyDescent="0.2">
      <c r="C507" s="24"/>
      <c r="D507" s="18"/>
      <c r="E507" s="18"/>
      <c r="F507" s="18"/>
    </row>
    <row r="508" spans="3:6" x14ac:dyDescent="0.2">
      <c r="C508" s="24"/>
      <c r="D508" s="18"/>
      <c r="E508" s="18"/>
      <c r="F508" s="18"/>
    </row>
    <row r="509" spans="3:6" x14ac:dyDescent="0.2">
      <c r="C509" s="24"/>
      <c r="D509" s="18"/>
      <c r="E509" s="18"/>
      <c r="F509" s="18"/>
    </row>
    <row r="510" spans="3:6" x14ac:dyDescent="0.2">
      <c r="C510" s="24"/>
      <c r="D510" s="18"/>
      <c r="E510" s="18"/>
      <c r="F510" s="18"/>
    </row>
    <row r="511" spans="3:6" x14ac:dyDescent="0.2">
      <c r="C511" s="24"/>
      <c r="D511" s="18"/>
      <c r="E511" s="18"/>
      <c r="F511" s="18"/>
    </row>
    <row r="512" spans="3:6" x14ac:dyDescent="0.2">
      <c r="C512" s="24"/>
      <c r="D512" s="18"/>
      <c r="E512" s="18"/>
      <c r="F512" s="18"/>
    </row>
    <row r="513" spans="3:6" x14ac:dyDescent="0.2">
      <c r="C513" s="24"/>
      <c r="D513" s="18"/>
      <c r="E513" s="18"/>
      <c r="F513" s="18"/>
    </row>
    <row r="514" spans="3:6" x14ac:dyDescent="0.2">
      <c r="C514" s="24"/>
      <c r="D514" s="18"/>
      <c r="E514" s="18"/>
      <c r="F514" s="18"/>
    </row>
    <row r="515" spans="3:6" x14ac:dyDescent="0.2">
      <c r="C515" s="24"/>
      <c r="D515" s="18"/>
      <c r="E515" s="18"/>
      <c r="F515" s="18"/>
    </row>
    <row r="516" spans="3:6" x14ac:dyDescent="0.2">
      <c r="C516" s="24"/>
      <c r="D516" s="18"/>
      <c r="E516" s="18"/>
      <c r="F516" s="18"/>
    </row>
    <row r="517" spans="3:6" x14ac:dyDescent="0.2">
      <c r="C517" s="24"/>
      <c r="D517" s="18"/>
      <c r="E517" s="18"/>
      <c r="F517" s="18"/>
    </row>
    <row r="518" spans="3:6" x14ac:dyDescent="0.2">
      <c r="C518" s="24"/>
      <c r="D518" s="18"/>
      <c r="E518" s="18"/>
      <c r="F518" s="18"/>
    </row>
    <row r="519" spans="3:6" x14ac:dyDescent="0.2">
      <c r="C519" s="24"/>
      <c r="D519" s="18"/>
      <c r="E519" s="18"/>
      <c r="F519" s="18"/>
    </row>
    <row r="520" spans="3:6" x14ac:dyDescent="0.2">
      <c r="C520" s="24"/>
      <c r="D520" s="18"/>
      <c r="E520" s="18"/>
      <c r="F520" s="18"/>
    </row>
    <row r="521" spans="3:6" x14ac:dyDescent="0.2">
      <c r="C521" s="24"/>
      <c r="D521" s="18"/>
      <c r="E521" s="18"/>
      <c r="F521" s="18"/>
    </row>
    <row r="522" spans="3:6" x14ac:dyDescent="0.2">
      <c r="C522" s="24"/>
      <c r="D522" s="18"/>
      <c r="E522" s="18"/>
      <c r="F522" s="18"/>
    </row>
    <row r="523" spans="3:6" x14ac:dyDescent="0.2">
      <c r="C523" s="24"/>
      <c r="D523" s="18"/>
      <c r="E523" s="18"/>
      <c r="F523" s="18"/>
    </row>
    <row r="524" spans="3:6" x14ac:dyDescent="0.2">
      <c r="C524" s="24"/>
      <c r="D524" s="18"/>
      <c r="E524" s="18"/>
      <c r="F524" s="18"/>
    </row>
    <row r="525" spans="3:6" x14ac:dyDescent="0.2">
      <c r="C525" s="24"/>
      <c r="D525" s="18"/>
      <c r="E525" s="18"/>
      <c r="F525" s="18"/>
    </row>
    <row r="526" spans="3:6" x14ac:dyDescent="0.2">
      <c r="C526" s="24"/>
      <c r="D526" s="18"/>
      <c r="E526" s="18"/>
      <c r="F526" s="18"/>
    </row>
    <row r="527" spans="3:6" x14ac:dyDescent="0.2">
      <c r="C527" s="24"/>
      <c r="D527" s="18"/>
      <c r="E527" s="18"/>
      <c r="F527" s="18"/>
    </row>
    <row r="528" spans="3:6" x14ac:dyDescent="0.2">
      <c r="C528" s="24"/>
      <c r="D528" s="18"/>
      <c r="E528" s="18"/>
      <c r="F528" s="18"/>
    </row>
    <row r="529" spans="3:6" x14ac:dyDescent="0.2">
      <c r="C529" s="24"/>
      <c r="D529" s="18"/>
      <c r="E529" s="18"/>
      <c r="F529" s="18"/>
    </row>
    <row r="530" spans="3:6" x14ac:dyDescent="0.2">
      <c r="C530" s="24"/>
      <c r="D530" s="18"/>
      <c r="E530" s="18"/>
      <c r="F530" s="18"/>
    </row>
    <row r="531" spans="3:6" x14ac:dyDescent="0.2">
      <c r="C531" s="24"/>
      <c r="D531" s="18"/>
      <c r="E531" s="18"/>
      <c r="F531" s="18"/>
    </row>
    <row r="532" spans="3:6" x14ac:dyDescent="0.2">
      <c r="C532" s="24"/>
      <c r="D532" s="18"/>
      <c r="E532" s="18"/>
      <c r="F532" s="18"/>
    </row>
    <row r="533" spans="3:6" x14ac:dyDescent="0.2">
      <c r="C533" s="24"/>
      <c r="D533" s="18"/>
      <c r="E533" s="18"/>
      <c r="F533" s="18"/>
    </row>
    <row r="534" spans="3:6" x14ac:dyDescent="0.2">
      <c r="C534" s="24"/>
      <c r="D534" s="18"/>
      <c r="E534" s="18"/>
      <c r="F534" s="18"/>
    </row>
    <row r="535" spans="3:6" x14ac:dyDescent="0.2">
      <c r="C535" s="24"/>
      <c r="D535" s="18"/>
      <c r="E535" s="18"/>
      <c r="F535" s="18"/>
    </row>
    <row r="536" spans="3:6" x14ac:dyDescent="0.2">
      <c r="C536" s="24"/>
      <c r="D536" s="18"/>
      <c r="E536" s="18"/>
      <c r="F536" s="18"/>
    </row>
    <row r="537" spans="3:6" x14ac:dyDescent="0.2">
      <c r="C537" s="24"/>
      <c r="D537" s="18"/>
      <c r="E537" s="18"/>
      <c r="F537" s="18"/>
    </row>
    <row r="538" spans="3:6" x14ac:dyDescent="0.2">
      <c r="C538" s="24"/>
      <c r="D538" s="18"/>
      <c r="E538" s="18"/>
      <c r="F538" s="18"/>
    </row>
    <row r="539" spans="3:6" x14ac:dyDescent="0.2">
      <c r="C539" s="24"/>
      <c r="D539" s="18"/>
      <c r="E539" s="18"/>
      <c r="F539" s="18"/>
    </row>
    <row r="540" spans="3:6" x14ac:dyDescent="0.2">
      <c r="C540" s="24"/>
      <c r="D540" s="18"/>
      <c r="E540" s="18"/>
      <c r="F540" s="18"/>
    </row>
    <row r="541" spans="3:6" x14ac:dyDescent="0.2">
      <c r="C541" s="24"/>
      <c r="D541" s="18"/>
      <c r="E541" s="18"/>
      <c r="F541" s="18"/>
    </row>
    <row r="542" spans="3:6" x14ac:dyDescent="0.2">
      <c r="C542" s="24"/>
      <c r="D542" s="18"/>
      <c r="E542" s="18"/>
      <c r="F542" s="18"/>
    </row>
    <row r="543" spans="3:6" x14ac:dyDescent="0.2">
      <c r="C543" s="24"/>
      <c r="D543" s="18"/>
      <c r="E543" s="18"/>
      <c r="F543" s="18"/>
    </row>
    <row r="544" spans="3:6" x14ac:dyDescent="0.2">
      <c r="C544" s="24"/>
      <c r="D544" s="18"/>
      <c r="E544" s="18"/>
      <c r="F544" s="18"/>
    </row>
    <row r="545" spans="3:6" x14ac:dyDescent="0.2">
      <c r="C545" s="24"/>
      <c r="D545" s="18"/>
      <c r="E545" s="18"/>
      <c r="F545" s="18"/>
    </row>
    <row r="546" spans="3:6" x14ac:dyDescent="0.2">
      <c r="C546" s="24"/>
      <c r="D546" s="18"/>
      <c r="E546" s="18"/>
      <c r="F546" s="18"/>
    </row>
    <row r="547" spans="3:6" x14ac:dyDescent="0.2">
      <c r="C547" s="24"/>
      <c r="D547" s="18"/>
      <c r="E547" s="18"/>
      <c r="F547" s="18"/>
    </row>
    <row r="548" spans="3:6" x14ac:dyDescent="0.2">
      <c r="C548" s="24"/>
      <c r="D548" s="18"/>
      <c r="E548" s="18"/>
      <c r="F548" s="18"/>
    </row>
    <row r="549" spans="3:6" x14ac:dyDescent="0.2">
      <c r="C549" s="24"/>
      <c r="D549" s="18"/>
      <c r="E549" s="18"/>
      <c r="F549" s="18"/>
    </row>
    <row r="550" spans="3:6" x14ac:dyDescent="0.2">
      <c r="C550" s="24"/>
      <c r="D550" s="18"/>
      <c r="E550" s="18"/>
      <c r="F550" s="18"/>
    </row>
    <row r="551" spans="3:6" x14ac:dyDescent="0.2">
      <c r="C551" s="24"/>
      <c r="D551" s="18"/>
      <c r="E551" s="18"/>
      <c r="F551" s="18"/>
    </row>
    <row r="552" spans="3:6" x14ac:dyDescent="0.2">
      <c r="C552" s="24"/>
      <c r="D552" s="18"/>
      <c r="E552" s="18"/>
      <c r="F552" s="18"/>
    </row>
    <row r="553" spans="3:6" x14ac:dyDescent="0.2">
      <c r="C553" s="24"/>
      <c r="D553" s="18"/>
      <c r="E553" s="18"/>
      <c r="F553" s="18"/>
    </row>
    <row r="554" spans="3:6" x14ac:dyDescent="0.2">
      <c r="C554" s="24"/>
      <c r="D554" s="18"/>
      <c r="E554" s="18"/>
      <c r="F554" s="18"/>
    </row>
    <row r="555" spans="3:6" x14ac:dyDescent="0.2">
      <c r="C555" s="24"/>
      <c r="D555" s="18"/>
      <c r="E555" s="18"/>
      <c r="F555" s="18"/>
    </row>
    <row r="556" spans="3:6" x14ac:dyDescent="0.2">
      <c r="C556" s="24"/>
      <c r="D556" s="18"/>
      <c r="E556" s="18"/>
      <c r="F556" s="18"/>
    </row>
    <row r="557" spans="3:6" x14ac:dyDescent="0.2">
      <c r="C557" s="24"/>
      <c r="D557" s="18"/>
      <c r="E557" s="18"/>
      <c r="F557" s="18"/>
    </row>
    <row r="558" spans="3:6" x14ac:dyDescent="0.2">
      <c r="C558" s="24"/>
      <c r="D558" s="18"/>
      <c r="E558" s="18"/>
      <c r="F558" s="18"/>
    </row>
    <row r="559" spans="3:6" x14ac:dyDescent="0.2">
      <c r="C559" s="24"/>
      <c r="D559" s="18"/>
      <c r="E559" s="18"/>
      <c r="F559" s="18"/>
    </row>
    <row r="560" spans="3:6" x14ac:dyDescent="0.2">
      <c r="C560" s="24"/>
      <c r="D560" s="18"/>
      <c r="E560" s="18"/>
      <c r="F560" s="18"/>
    </row>
    <row r="561" spans="3:6" x14ac:dyDescent="0.2">
      <c r="C561" s="24"/>
      <c r="D561" s="18"/>
      <c r="E561" s="18"/>
      <c r="F561" s="18"/>
    </row>
    <row r="562" spans="3:6" x14ac:dyDescent="0.2">
      <c r="C562" s="24"/>
      <c r="D562" s="18"/>
      <c r="E562" s="18"/>
      <c r="F562" s="18"/>
    </row>
    <row r="563" spans="3:6" x14ac:dyDescent="0.2">
      <c r="C563" s="24"/>
      <c r="D563" s="18"/>
      <c r="E563" s="18"/>
      <c r="F563" s="18"/>
    </row>
    <row r="564" spans="3:6" x14ac:dyDescent="0.2">
      <c r="C564" s="24"/>
      <c r="D564" s="18"/>
      <c r="E564" s="18"/>
      <c r="F564" s="18"/>
    </row>
    <row r="565" spans="3:6" x14ac:dyDescent="0.2">
      <c r="C565" s="24"/>
      <c r="D565" s="18"/>
      <c r="E565" s="18"/>
      <c r="F565" s="18"/>
    </row>
    <row r="566" spans="3:6" x14ac:dyDescent="0.2">
      <c r="C566" s="24"/>
      <c r="D566" s="18"/>
      <c r="E566" s="18"/>
      <c r="F566" s="18"/>
    </row>
    <row r="567" spans="3:6" x14ac:dyDescent="0.2">
      <c r="C567" s="24"/>
      <c r="D567" s="18"/>
      <c r="E567" s="18"/>
      <c r="F567" s="18"/>
    </row>
    <row r="568" spans="3:6" x14ac:dyDescent="0.2">
      <c r="C568" s="24"/>
      <c r="D568" s="18"/>
      <c r="E568" s="18"/>
      <c r="F568" s="18"/>
    </row>
    <row r="569" spans="3:6" x14ac:dyDescent="0.2">
      <c r="C569" s="24"/>
      <c r="D569" s="18"/>
      <c r="E569" s="18"/>
      <c r="F569" s="18"/>
    </row>
    <row r="570" spans="3:6" x14ac:dyDescent="0.2">
      <c r="C570" s="24"/>
      <c r="D570" s="18"/>
      <c r="E570" s="18"/>
      <c r="F570" s="18"/>
    </row>
    <row r="571" spans="3:6" x14ac:dyDescent="0.2">
      <c r="C571" s="24"/>
      <c r="D571" s="18"/>
      <c r="E571" s="18"/>
      <c r="F571" s="18"/>
    </row>
    <row r="572" spans="3:6" x14ac:dyDescent="0.2">
      <c r="C572" s="24"/>
      <c r="D572" s="18"/>
      <c r="E572" s="18"/>
      <c r="F572" s="18"/>
    </row>
    <row r="573" spans="3:6" x14ac:dyDescent="0.2">
      <c r="C573" s="24"/>
      <c r="D573" s="18"/>
      <c r="E573" s="18"/>
      <c r="F573" s="18"/>
    </row>
    <row r="574" spans="3:6" x14ac:dyDescent="0.2">
      <c r="C574" s="24"/>
      <c r="D574" s="18"/>
      <c r="E574" s="18"/>
      <c r="F574" s="18"/>
    </row>
    <row r="575" spans="3:6" x14ac:dyDescent="0.2">
      <c r="C575" s="24"/>
      <c r="D575" s="18"/>
      <c r="E575" s="18"/>
      <c r="F575" s="18"/>
    </row>
    <row r="576" spans="3:6" x14ac:dyDescent="0.2">
      <c r="C576" s="24"/>
      <c r="D576" s="18"/>
      <c r="E576" s="18"/>
      <c r="F576" s="18"/>
    </row>
    <row r="577" spans="3:6" x14ac:dyDescent="0.2">
      <c r="C577" s="24"/>
      <c r="D577" s="18"/>
      <c r="E577" s="18"/>
      <c r="F577" s="18"/>
    </row>
    <row r="578" spans="3:6" x14ac:dyDescent="0.2">
      <c r="C578" s="24"/>
      <c r="D578" s="18"/>
      <c r="E578" s="18"/>
      <c r="F578" s="18"/>
    </row>
    <row r="579" spans="3:6" x14ac:dyDescent="0.2">
      <c r="C579" s="24"/>
      <c r="D579" s="18"/>
      <c r="E579" s="18"/>
      <c r="F579" s="18"/>
    </row>
    <row r="580" spans="3:6" x14ac:dyDescent="0.2">
      <c r="C580" s="24"/>
      <c r="D580" s="18"/>
      <c r="E580" s="18"/>
      <c r="F580" s="18"/>
    </row>
    <row r="581" spans="3:6" x14ac:dyDescent="0.2">
      <c r="C581" s="24"/>
      <c r="D581" s="18"/>
      <c r="E581" s="18"/>
      <c r="F581" s="18"/>
    </row>
    <row r="582" spans="3:6" x14ac:dyDescent="0.2">
      <c r="C582" s="24"/>
      <c r="D582" s="18"/>
      <c r="E582" s="18"/>
      <c r="F582" s="18"/>
    </row>
    <row r="583" spans="3:6" x14ac:dyDescent="0.2">
      <c r="C583" s="24"/>
      <c r="D583" s="18"/>
      <c r="E583" s="18"/>
      <c r="F583" s="18"/>
    </row>
    <row r="584" spans="3:6" x14ac:dyDescent="0.2">
      <c r="C584" s="24"/>
      <c r="D584" s="18"/>
      <c r="E584" s="18"/>
      <c r="F584" s="18"/>
    </row>
    <row r="585" spans="3:6" x14ac:dyDescent="0.2">
      <c r="C585" s="24"/>
      <c r="D585" s="18"/>
      <c r="E585" s="18"/>
      <c r="F585" s="18"/>
    </row>
    <row r="586" spans="3:6" x14ac:dyDescent="0.2">
      <c r="C586" s="24"/>
      <c r="D586" s="18"/>
      <c r="E586" s="18"/>
      <c r="F586" s="18"/>
    </row>
    <row r="587" spans="3:6" x14ac:dyDescent="0.2">
      <c r="C587" s="24"/>
      <c r="D587" s="18"/>
      <c r="E587" s="18"/>
      <c r="F587" s="18"/>
    </row>
    <row r="588" spans="3:6" x14ac:dyDescent="0.2">
      <c r="C588" s="24"/>
      <c r="D588" s="18"/>
      <c r="E588" s="18"/>
      <c r="F588" s="18"/>
    </row>
    <row r="589" spans="3:6" x14ac:dyDescent="0.2">
      <c r="C589" s="24"/>
      <c r="D589" s="18"/>
      <c r="E589" s="18"/>
      <c r="F589" s="18"/>
    </row>
    <row r="590" spans="3:6" x14ac:dyDescent="0.2">
      <c r="C590" s="24"/>
      <c r="D590" s="18"/>
      <c r="E590" s="18"/>
      <c r="F590" s="18"/>
    </row>
    <row r="591" spans="3:6" x14ac:dyDescent="0.2">
      <c r="C591" s="24"/>
      <c r="D591" s="18"/>
      <c r="E591" s="18"/>
      <c r="F591" s="18"/>
    </row>
    <row r="592" spans="3:6" x14ac:dyDescent="0.2">
      <c r="C592" s="24"/>
      <c r="D592" s="18"/>
      <c r="E592" s="18"/>
      <c r="F592" s="18"/>
    </row>
    <row r="593" spans="3:6" x14ac:dyDescent="0.2">
      <c r="C593" s="24"/>
      <c r="D593" s="18"/>
      <c r="E593" s="18"/>
      <c r="F593" s="18"/>
    </row>
    <row r="594" spans="3:6" x14ac:dyDescent="0.2">
      <c r="C594" s="24"/>
      <c r="D594" s="18"/>
      <c r="E594" s="18"/>
      <c r="F594" s="18"/>
    </row>
    <row r="595" spans="3:6" x14ac:dyDescent="0.2">
      <c r="C595" s="24"/>
      <c r="D595" s="18"/>
      <c r="E595" s="18"/>
      <c r="F595" s="18"/>
    </row>
    <row r="596" spans="3:6" x14ac:dyDescent="0.2">
      <c r="C596" s="24"/>
      <c r="D596" s="18"/>
      <c r="E596" s="18"/>
      <c r="F596" s="18"/>
    </row>
    <row r="597" spans="3:6" x14ac:dyDescent="0.2">
      <c r="C597" s="24"/>
      <c r="D597" s="18"/>
      <c r="E597" s="18"/>
      <c r="F597" s="18"/>
    </row>
    <row r="598" spans="3:6" x14ac:dyDescent="0.2">
      <c r="C598" s="24"/>
      <c r="D598" s="18"/>
      <c r="E598" s="18"/>
      <c r="F598" s="18"/>
    </row>
    <row r="599" spans="3:6" x14ac:dyDescent="0.2">
      <c r="C599" s="24"/>
      <c r="D599" s="18"/>
      <c r="E599" s="18"/>
      <c r="F599" s="18"/>
    </row>
    <row r="600" spans="3:6" x14ac:dyDescent="0.2">
      <c r="C600" s="24"/>
      <c r="D600" s="18"/>
      <c r="E600" s="18"/>
      <c r="F600" s="18"/>
    </row>
    <row r="601" spans="3:6" x14ac:dyDescent="0.2">
      <c r="C601" s="24"/>
      <c r="D601" s="18"/>
      <c r="E601" s="18"/>
      <c r="F601" s="18"/>
    </row>
    <row r="602" spans="3:6" x14ac:dyDescent="0.2">
      <c r="C602" s="24"/>
      <c r="D602" s="18"/>
      <c r="E602" s="18"/>
      <c r="F602" s="18"/>
    </row>
    <row r="603" spans="3:6" x14ac:dyDescent="0.2">
      <c r="C603" s="24"/>
      <c r="D603" s="18"/>
      <c r="E603" s="18"/>
      <c r="F603" s="18"/>
    </row>
    <row r="604" spans="3:6" x14ac:dyDescent="0.2">
      <c r="C604" s="24"/>
      <c r="D604" s="18"/>
      <c r="E604" s="18"/>
      <c r="F604" s="18"/>
    </row>
    <row r="605" spans="3:6" x14ac:dyDescent="0.2">
      <c r="C605" s="24"/>
      <c r="D605" s="18"/>
      <c r="E605" s="18"/>
      <c r="F605" s="18"/>
    </row>
    <row r="606" spans="3:6" x14ac:dyDescent="0.2">
      <c r="C606" s="24"/>
      <c r="D606" s="18"/>
      <c r="E606" s="18"/>
      <c r="F606" s="18"/>
    </row>
    <row r="607" spans="3:6" x14ac:dyDescent="0.2">
      <c r="C607" s="24"/>
      <c r="D607" s="18"/>
      <c r="E607" s="18"/>
      <c r="F607" s="18"/>
    </row>
    <row r="608" spans="3:6" x14ac:dyDescent="0.2">
      <c r="C608" s="24"/>
      <c r="D608" s="18"/>
      <c r="E608" s="18"/>
      <c r="F608" s="18"/>
    </row>
    <row r="609" spans="3:6" x14ac:dyDescent="0.2">
      <c r="C609" s="24"/>
      <c r="D609" s="18"/>
      <c r="E609" s="18"/>
      <c r="F609" s="18"/>
    </row>
    <row r="610" spans="3:6" x14ac:dyDescent="0.2">
      <c r="C610" s="24"/>
      <c r="D610" s="18"/>
      <c r="E610" s="18"/>
      <c r="F610" s="18"/>
    </row>
    <row r="611" spans="3:6" x14ac:dyDescent="0.2">
      <c r="C611" s="24"/>
      <c r="D611" s="18"/>
      <c r="E611" s="18"/>
      <c r="F611" s="18"/>
    </row>
    <row r="612" spans="3:6" x14ac:dyDescent="0.2">
      <c r="C612" s="24"/>
      <c r="D612" s="18"/>
      <c r="E612" s="18"/>
      <c r="F612" s="18"/>
    </row>
    <row r="613" spans="3:6" x14ac:dyDescent="0.2">
      <c r="C613" s="24"/>
      <c r="D613" s="18"/>
      <c r="E613" s="18"/>
      <c r="F613" s="18"/>
    </row>
    <row r="614" spans="3:6" x14ac:dyDescent="0.2">
      <c r="C614" s="24"/>
      <c r="D614" s="18"/>
      <c r="E614" s="18"/>
      <c r="F614" s="18"/>
    </row>
    <row r="615" spans="3:6" x14ac:dyDescent="0.2">
      <c r="C615" s="24"/>
      <c r="D615" s="18"/>
      <c r="E615" s="18"/>
      <c r="F615" s="18"/>
    </row>
    <row r="616" spans="3:6" x14ac:dyDescent="0.2">
      <c r="C616" s="24"/>
      <c r="D616" s="18"/>
      <c r="E616" s="18"/>
      <c r="F616" s="18"/>
    </row>
    <row r="617" spans="3:6" x14ac:dyDescent="0.2">
      <c r="C617" s="24"/>
      <c r="D617" s="18"/>
      <c r="E617" s="18"/>
      <c r="F617" s="18"/>
    </row>
    <row r="618" spans="3:6" x14ac:dyDescent="0.2">
      <c r="C618" s="24"/>
      <c r="D618" s="18"/>
      <c r="E618" s="18"/>
      <c r="F618" s="18"/>
    </row>
    <row r="619" spans="3:6" x14ac:dyDescent="0.2">
      <c r="C619" s="24"/>
      <c r="D619" s="18"/>
      <c r="E619" s="18"/>
      <c r="F619" s="18"/>
    </row>
    <row r="620" spans="3:6" x14ac:dyDescent="0.2">
      <c r="C620" s="24"/>
      <c r="D620" s="18"/>
      <c r="E620" s="18"/>
      <c r="F620" s="18"/>
    </row>
    <row r="621" spans="3:6" x14ac:dyDescent="0.2">
      <c r="C621" s="24"/>
      <c r="D621" s="18"/>
      <c r="E621" s="18"/>
      <c r="F621" s="18"/>
    </row>
    <row r="622" spans="3:6" x14ac:dyDescent="0.2">
      <c r="C622" s="24"/>
      <c r="D622" s="18"/>
      <c r="E622" s="18"/>
      <c r="F622" s="18"/>
    </row>
    <row r="623" spans="3:6" x14ac:dyDescent="0.2">
      <c r="C623" s="24"/>
      <c r="D623" s="18"/>
      <c r="E623" s="18"/>
      <c r="F623" s="18"/>
    </row>
    <row r="624" spans="3:6" x14ac:dyDescent="0.2">
      <c r="C624" s="24"/>
      <c r="D624" s="18"/>
      <c r="E624" s="18"/>
      <c r="F624" s="18"/>
    </row>
    <row r="625" spans="3:6" x14ac:dyDescent="0.2">
      <c r="C625" s="24"/>
      <c r="D625" s="18"/>
      <c r="E625" s="18"/>
      <c r="F625" s="18"/>
    </row>
    <row r="626" spans="3:6" x14ac:dyDescent="0.2">
      <c r="C626" s="24"/>
      <c r="D626" s="18"/>
      <c r="E626" s="18"/>
      <c r="F626" s="18"/>
    </row>
    <row r="627" spans="3:6" x14ac:dyDescent="0.2">
      <c r="C627" s="24"/>
      <c r="D627" s="18"/>
      <c r="E627" s="18"/>
      <c r="F627" s="18"/>
    </row>
    <row r="628" spans="3:6" x14ac:dyDescent="0.2">
      <c r="C628" s="24"/>
      <c r="D628" s="18"/>
      <c r="E628" s="18"/>
      <c r="F628" s="18"/>
    </row>
    <row r="629" spans="3:6" x14ac:dyDescent="0.2">
      <c r="C629" s="24"/>
      <c r="D629" s="18"/>
      <c r="E629" s="18"/>
      <c r="F629" s="18"/>
    </row>
    <row r="630" spans="3:6" x14ac:dyDescent="0.2">
      <c r="C630" s="24"/>
      <c r="D630" s="18"/>
      <c r="E630" s="18"/>
      <c r="F630" s="18"/>
    </row>
    <row r="631" spans="3:6" x14ac:dyDescent="0.2">
      <c r="C631" s="24"/>
      <c r="D631" s="18"/>
      <c r="E631" s="18"/>
      <c r="F631" s="18"/>
    </row>
    <row r="632" spans="3:6" x14ac:dyDescent="0.2">
      <c r="C632" s="24"/>
      <c r="D632" s="18"/>
      <c r="E632" s="18"/>
      <c r="F632" s="18"/>
    </row>
    <row r="633" spans="3:6" x14ac:dyDescent="0.2">
      <c r="C633" s="24"/>
      <c r="D633" s="18"/>
      <c r="E633" s="18"/>
      <c r="F633" s="18"/>
    </row>
    <row r="634" spans="3:6" x14ac:dyDescent="0.2">
      <c r="C634" s="24"/>
      <c r="D634" s="18"/>
      <c r="E634" s="18"/>
      <c r="F634" s="18"/>
    </row>
    <row r="635" spans="3:6" x14ac:dyDescent="0.2">
      <c r="C635" s="24"/>
      <c r="D635" s="18"/>
      <c r="E635" s="18"/>
      <c r="F635" s="18"/>
    </row>
    <row r="636" spans="3:6" x14ac:dyDescent="0.2">
      <c r="C636" s="24"/>
      <c r="D636" s="18"/>
      <c r="E636" s="18"/>
      <c r="F636" s="18"/>
    </row>
    <row r="637" spans="3:6" x14ac:dyDescent="0.2">
      <c r="C637" s="24"/>
      <c r="D637" s="18"/>
      <c r="E637" s="18"/>
      <c r="F637" s="18"/>
    </row>
    <row r="638" spans="3:6" x14ac:dyDescent="0.2">
      <c r="C638" s="24"/>
      <c r="D638" s="18"/>
      <c r="E638" s="18"/>
      <c r="F638" s="18"/>
    </row>
    <row r="639" spans="3:6" x14ac:dyDescent="0.2">
      <c r="C639" s="24"/>
      <c r="D639" s="18"/>
      <c r="E639" s="18"/>
      <c r="F639" s="18"/>
    </row>
    <row r="640" spans="3:6" x14ac:dyDescent="0.2">
      <c r="C640" s="24"/>
      <c r="D640" s="18"/>
      <c r="E640" s="18"/>
      <c r="F640" s="18"/>
    </row>
    <row r="641" spans="3:6" x14ac:dyDescent="0.2">
      <c r="C641" s="24"/>
      <c r="D641" s="18"/>
      <c r="E641" s="18"/>
      <c r="F641" s="18"/>
    </row>
    <row r="642" spans="3:6" x14ac:dyDescent="0.2">
      <c r="C642" s="24"/>
      <c r="D642" s="18"/>
      <c r="E642" s="18"/>
      <c r="F642" s="18"/>
    </row>
    <row r="643" spans="3:6" x14ac:dyDescent="0.2">
      <c r="C643" s="24"/>
      <c r="D643" s="18"/>
      <c r="E643" s="18"/>
      <c r="F643" s="18"/>
    </row>
    <row r="644" spans="3:6" x14ac:dyDescent="0.2">
      <c r="C644" s="24"/>
      <c r="D644" s="18"/>
      <c r="E644" s="18"/>
      <c r="F644" s="18"/>
    </row>
    <row r="645" spans="3:6" x14ac:dyDescent="0.2">
      <c r="C645" s="24"/>
      <c r="D645" s="18"/>
      <c r="E645" s="18"/>
      <c r="F645" s="18"/>
    </row>
    <row r="646" spans="3:6" x14ac:dyDescent="0.2">
      <c r="C646" s="24"/>
      <c r="D646" s="18"/>
      <c r="E646" s="18"/>
      <c r="F646" s="18"/>
    </row>
    <row r="647" spans="3:6" x14ac:dyDescent="0.2">
      <c r="C647" s="24"/>
      <c r="D647" s="18"/>
      <c r="E647" s="18"/>
      <c r="F647" s="18"/>
    </row>
    <row r="648" spans="3:6" x14ac:dyDescent="0.2">
      <c r="C648" s="24"/>
      <c r="D648" s="18"/>
      <c r="E648" s="18"/>
      <c r="F648" s="18"/>
    </row>
    <row r="649" spans="3:6" x14ac:dyDescent="0.2">
      <c r="C649" s="24"/>
      <c r="D649" s="18"/>
      <c r="E649" s="18"/>
      <c r="F649" s="18"/>
    </row>
    <row r="650" spans="3:6" x14ac:dyDescent="0.2">
      <c r="C650" s="24"/>
      <c r="D650" s="18"/>
      <c r="E650" s="18"/>
      <c r="F650" s="18"/>
    </row>
    <row r="651" spans="3:6" x14ac:dyDescent="0.2">
      <c r="C651" s="24"/>
      <c r="D651" s="18"/>
      <c r="E651" s="18"/>
      <c r="F651" s="18"/>
    </row>
    <row r="652" spans="3:6" x14ac:dyDescent="0.2">
      <c r="C652" s="24"/>
      <c r="D652" s="18"/>
      <c r="E652" s="18"/>
      <c r="F652" s="18"/>
    </row>
    <row r="653" spans="3:6" x14ac:dyDescent="0.2">
      <c r="C653" s="24"/>
      <c r="D653" s="18"/>
      <c r="E653" s="18"/>
      <c r="F653" s="18"/>
    </row>
    <row r="654" spans="3:6" x14ac:dyDescent="0.2">
      <c r="C654" s="24"/>
      <c r="D654" s="18"/>
      <c r="E654" s="18"/>
      <c r="F654" s="18"/>
    </row>
    <row r="655" spans="3:6" x14ac:dyDescent="0.2">
      <c r="C655" s="24"/>
      <c r="D655" s="18"/>
      <c r="E655" s="18"/>
      <c r="F655" s="18"/>
    </row>
    <row r="656" spans="3:6" x14ac:dyDescent="0.2">
      <c r="C656" s="24"/>
      <c r="D656" s="18"/>
      <c r="E656" s="18"/>
      <c r="F656" s="18"/>
    </row>
    <row r="657" spans="3:6" x14ac:dyDescent="0.2">
      <c r="C657" s="24"/>
      <c r="D657" s="18"/>
      <c r="E657" s="18"/>
      <c r="F657" s="18"/>
    </row>
    <row r="658" spans="3:6" x14ac:dyDescent="0.2">
      <c r="C658" s="24"/>
      <c r="D658" s="18"/>
      <c r="E658" s="18"/>
      <c r="F658" s="18"/>
    </row>
    <row r="659" spans="3:6" x14ac:dyDescent="0.2">
      <c r="C659" s="24"/>
      <c r="D659" s="18"/>
      <c r="E659" s="18"/>
      <c r="F659" s="18"/>
    </row>
    <row r="660" spans="3:6" x14ac:dyDescent="0.2">
      <c r="C660" s="24"/>
      <c r="D660" s="18"/>
      <c r="E660" s="18"/>
      <c r="F660" s="18"/>
    </row>
    <row r="661" spans="3:6" x14ac:dyDescent="0.2">
      <c r="C661" s="24"/>
      <c r="D661" s="18"/>
      <c r="E661" s="18"/>
      <c r="F661" s="18"/>
    </row>
    <row r="662" spans="3:6" x14ac:dyDescent="0.2">
      <c r="C662" s="24"/>
      <c r="D662" s="18"/>
      <c r="E662" s="18"/>
      <c r="F662" s="18"/>
    </row>
    <row r="663" spans="3:6" x14ac:dyDescent="0.2">
      <c r="C663" s="24"/>
      <c r="D663" s="18"/>
      <c r="E663" s="18"/>
      <c r="F663" s="18"/>
    </row>
    <row r="664" spans="3:6" x14ac:dyDescent="0.2">
      <c r="C664" s="24"/>
      <c r="D664" s="18"/>
      <c r="E664" s="18"/>
      <c r="F664" s="18"/>
    </row>
    <row r="665" spans="3:6" x14ac:dyDescent="0.2">
      <c r="C665" s="24"/>
      <c r="D665" s="18"/>
      <c r="E665" s="18"/>
      <c r="F665" s="18"/>
    </row>
    <row r="666" spans="3:6" x14ac:dyDescent="0.2">
      <c r="C666" s="24"/>
      <c r="D666" s="18"/>
      <c r="E666" s="18"/>
      <c r="F666" s="18"/>
    </row>
    <row r="667" spans="3:6" x14ac:dyDescent="0.2">
      <c r="C667" s="24"/>
      <c r="D667" s="18"/>
      <c r="E667" s="18"/>
      <c r="F667" s="18"/>
    </row>
    <row r="668" spans="3:6" x14ac:dyDescent="0.2">
      <c r="C668" s="24"/>
      <c r="D668" s="18"/>
      <c r="E668" s="18"/>
      <c r="F668" s="18"/>
    </row>
    <row r="669" spans="3:6" x14ac:dyDescent="0.2">
      <c r="C669" s="24"/>
      <c r="D669" s="18"/>
      <c r="E669" s="18"/>
      <c r="F669" s="18"/>
    </row>
    <row r="670" spans="3:6" x14ac:dyDescent="0.2">
      <c r="C670" s="24"/>
      <c r="D670" s="18"/>
      <c r="E670" s="18"/>
      <c r="F670" s="18"/>
    </row>
    <row r="671" spans="3:6" x14ac:dyDescent="0.2">
      <c r="C671" s="24"/>
      <c r="D671" s="18"/>
      <c r="E671" s="18"/>
      <c r="F671" s="18"/>
    </row>
    <row r="672" spans="3:6" x14ac:dyDescent="0.2">
      <c r="C672" s="24"/>
      <c r="D672" s="18"/>
      <c r="E672" s="18"/>
      <c r="F672" s="18"/>
    </row>
    <row r="673" spans="3:6" x14ac:dyDescent="0.2">
      <c r="C673" s="24"/>
      <c r="D673" s="18"/>
      <c r="E673" s="18"/>
      <c r="F673" s="18"/>
    </row>
    <row r="674" spans="3:6" x14ac:dyDescent="0.2">
      <c r="C674" s="24"/>
      <c r="D674" s="18"/>
      <c r="E674" s="18"/>
      <c r="F674" s="18"/>
    </row>
    <row r="675" spans="3:6" x14ac:dyDescent="0.2">
      <c r="C675" s="24"/>
      <c r="D675" s="18"/>
      <c r="E675" s="18"/>
      <c r="F675" s="18"/>
    </row>
    <row r="676" spans="3:6" x14ac:dyDescent="0.2">
      <c r="C676" s="24"/>
      <c r="D676" s="18"/>
      <c r="E676" s="18"/>
      <c r="F676" s="18"/>
    </row>
    <row r="677" spans="3:6" x14ac:dyDescent="0.2">
      <c r="C677" s="24"/>
      <c r="D677" s="18"/>
      <c r="E677" s="18"/>
      <c r="F677" s="18"/>
    </row>
    <row r="678" spans="3:6" x14ac:dyDescent="0.2">
      <c r="C678" s="24"/>
      <c r="D678" s="18"/>
      <c r="E678" s="18"/>
      <c r="F678" s="18"/>
    </row>
    <row r="679" spans="3:6" x14ac:dyDescent="0.2">
      <c r="C679" s="24"/>
      <c r="D679" s="18"/>
      <c r="E679" s="18"/>
      <c r="F679" s="18"/>
    </row>
    <row r="680" spans="3:6" x14ac:dyDescent="0.2">
      <c r="C680" s="24"/>
      <c r="D680" s="18"/>
      <c r="E680" s="18"/>
      <c r="F680" s="18"/>
    </row>
    <row r="681" spans="3:6" x14ac:dyDescent="0.2">
      <c r="C681" s="24"/>
      <c r="D681" s="18"/>
      <c r="E681" s="18"/>
      <c r="F681" s="18"/>
    </row>
    <row r="682" spans="3:6" x14ac:dyDescent="0.2">
      <c r="C682" s="24"/>
      <c r="D682" s="18"/>
      <c r="E682" s="18"/>
      <c r="F682" s="18"/>
    </row>
    <row r="683" spans="3:6" x14ac:dyDescent="0.2">
      <c r="C683" s="24"/>
      <c r="D683" s="18"/>
      <c r="E683" s="18"/>
      <c r="F683" s="18"/>
    </row>
    <row r="684" spans="3:6" x14ac:dyDescent="0.2">
      <c r="C684" s="24"/>
      <c r="D684" s="18"/>
      <c r="E684" s="18"/>
      <c r="F684" s="18"/>
    </row>
    <row r="685" spans="3:6" x14ac:dyDescent="0.2">
      <c r="C685" s="24"/>
      <c r="D685" s="18"/>
      <c r="E685" s="18"/>
      <c r="F685" s="18"/>
    </row>
    <row r="686" spans="3:6" x14ac:dyDescent="0.2">
      <c r="C686" s="24"/>
      <c r="D686" s="18"/>
      <c r="E686" s="18"/>
      <c r="F686" s="18"/>
    </row>
    <row r="687" spans="3:6" x14ac:dyDescent="0.2">
      <c r="C687" s="24"/>
      <c r="D687" s="18"/>
      <c r="E687" s="18"/>
      <c r="F687" s="18"/>
    </row>
    <row r="688" spans="3:6" x14ac:dyDescent="0.2">
      <c r="C688" s="24"/>
      <c r="D688" s="18"/>
      <c r="E688" s="18"/>
      <c r="F688" s="18"/>
    </row>
    <row r="689" spans="3:6" x14ac:dyDescent="0.2">
      <c r="C689" s="24"/>
      <c r="D689" s="18"/>
      <c r="E689" s="18"/>
      <c r="F689" s="18"/>
    </row>
    <row r="690" spans="3:6" x14ac:dyDescent="0.2">
      <c r="C690" s="24"/>
      <c r="D690" s="18"/>
      <c r="E690" s="18"/>
      <c r="F690" s="18"/>
    </row>
    <row r="691" spans="3:6" x14ac:dyDescent="0.2">
      <c r="C691" s="24"/>
      <c r="D691" s="18"/>
      <c r="E691" s="18"/>
      <c r="F691" s="18"/>
    </row>
    <row r="692" spans="3:6" x14ac:dyDescent="0.2">
      <c r="C692" s="24"/>
      <c r="D692" s="18"/>
      <c r="E692" s="18"/>
      <c r="F692" s="18"/>
    </row>
    <row r="693" spans="3:6" x14ac:dyDescent="0.2">
      <c r="C693" s="24"/>
      <c r="D693" s="18"/>
      <c r="E693" s="18"/>
      <c r="F693" s="18"/>
    </row>
    <row r="694" spans="3:6" x14ac:dyDescent="0.2">
      <c r="C694" s="24"/>
      <c r="D694" s="18"/>
      <c r="E694" s="18"/>
      <c r="F694" s="18"/>
    </row>
    <row r="695" spans="3:6" x14ac:dyDescent="0.2">
      <c r="C695" s="24"/>
      <c r="D695" s="18"/>
      <c r="E695" s="18"/>
      <c r="F695" s="18"/>
    </row>
    <row r="696" spans="3:6" x14ac:dyDescent="0.2">
      <c r="C696" s="24"/>
      <c r="D696" s="18"/>
      <c r="E696" s="18"/>
      <c r="F696" s="18"/>
    </row>
    <row r="697" spans="3:6" x14ac:dyDescent="0.2">
      <c r="C697" s="24"/>
      <c r="D697" s="18"/>
      <c r="E697" s="18"/>
      <c r="F697" s="18"/>
    </row>
    <row r="698" spans="3:6" x14ac:dyDescent="0.2">
      <c r="C698" s="24"/>
      <c r="D698" s="18"/>
      <c r="E698" s="18"/>
      <c r="F698" s="18"/>
    </row>
    <row r="699" spans="3:6" x14ac:dyDescent="0.2">
      <c r="C699" s="24"/>
      <c r="D699" s="18"/>
      <c r="E699" s="18"/>
      <c r="F699" s="18"/>
    </row>
    <row r="700" spans="3:6" x14ac:dyDescent="0.2">
      <c r="C700" s="24"/>
      <c r="D700" s="18"/>
      <c r="E700" s="18"/>
      <c r="F700" s="18"/>
    </row>
    <row r="701" spans="3:6" x14ac:dyDescent="0.2">
      <c r="C701" s="24"/>
      <c r="D701" s="18"/>
      <c r="E701" s="18"/>
      <c r="F701" s="18"/>
    </row>
    <row r="702" spans="3:6" x14ac:dyDescent="0.2">
      <c r="C702" s="24"/>
      <c r="D702" s="18"/>
      <c r="E702" s="18"/>
      <c r="F702" s="18"/>
    </row>
    <row r="703" spans="3:6" x14ac:dyDescent="0.2">
      <c r="C703" s="24"/>
      <c r="D703" s="18"/>
      <c r="E703" s="18"/>
      <c r="F703" s="18"/>
    </row>
    <row r="704" spans="3:6" x14ac:dyDescent="0.2">
      <c r="C704" s="24"/>
      <c r="D704" s="18"/>
      <c r="E704" s="18"/>
      <c r="F704" s="18"/>
    </row>
    <row r="705" spans="3:6" x14ac:dyDescent="0.2">
      <c r="C705" s="24"/>
      <c r="D705" s="18"/>
      <c r="E705" s="18"/>
      <c r="F705" s="18"/>
    </row>
    <row r="706" spans="3:6" x14ac:dyDescent="0.2">
      <c r="C706" s="24"/>
      <c r="D706" s="18"/>
      <c r="E706" s="18"/>
      <c r="F706" s="18"/>
    </row>
    <row r="707" spans="3:6" x14ac:dyDescent="0.2">
      <c r="C707" s="24"/>
      <c r="D707" s="18"/>
      <c r="E707" s="18"/>
      <c r="F707" s="18"/>
    </row>
    <row r="708" spans="3:6" x14ac:dyDescent="0.2">
      <c r="C708" s="24"/>
      <c r="D708" s="18"/>
      <c r="E708" s="18"/>
      <c r="F708" s="18"/>
    </row>
    <row r="709" spans="3:6" x14ac:dyDescent="0.2">
      <c r="C709" s="24"/>
      <c r="D709" s="18"/>
      <c r="E709" s="18"/>
      <c r="F709" s="18"/>
    </row>
    <row r="710" spans="3:6" x14ac:dyDescent="0.2">
      <c r="C710" s="24"/>
      <c r="D710" s="18"/>
      <c r="E710" s="18"/>
      <c r="F710" s="18"/>
    </row>
    <row r="711" spans="3:6" x14ac:dyDescent="0.2">
      <c r="C711" s="24"/>
      <c r="D711" s="18"/>
      <c r="E711" s="18"/>
      <c r="F711" s="18"/>
    </row>
    <row r="712" spans="3:6" x14ac:dyDescent="0.2">
      <c r="C712" s="24"/>
      <c r="D712" s="18"/>
      <c r="E712" s="18"/>
      <c r="F712" s="18"/>
    </row>
    <row r="713" spans="3:6" x14ac:dyDescent="0.2">
      <c r="C713" s="24"/>
      <c r="D713" s="18"/>
      <c r="E713" s="18"/>
      <c r="F713" s="18"/>
    </row>
    <row r="714" spans="3:6" x14ac:dyDescent="0.2">
      <c r="C714" s="24"/>
      <c r="D714" s="18"/>
      <c r="E714" s="18"/>
      <c r="F714" s="18"/>
    </row>
    <row r="715" spans="3:6" x14ac:dyDescent="0.2">
      <c r="C715" s="24"/>
      <c r="D715" s="18"/>
      <c r="E715" s="18"/>
      <c r="F715" s="18"/>
    </row>
    <row r="716" spans="3:6" x14ac:dyDescent="0.2">
      <c r="C716" s="24"/>
      <c r="D716" s="18"/>
      <c r="E716" s="18"/>
      <c r="F716" s="18"/>
    </row>
    <row r="717" spans="3:6" x14ac:dyDescent="0.2">
      <c r="C717" s="24"/>
      <c r="D717" s="18"/>
      <c r="E717" s="18"/>
      <c r="F717" s="18"/>
    </row>
    <row r="718" spans="3:6" x14ac:dyDescent="0.2">
      <c r="C718" s="24"/>
      <c r="D718" s="18"/>
      <c r="E718" s="18"/>
      <c r="F718" s="18"/>
    </row>
    <row r="719" spans="3:6" x14ac:dyDescent="0.2">
      <c r="C719" s="24"/>
      <c r="D719" s="18"/>
      <c r="E719" s="18"/>
      <c r="F719" s="18"/>
    </row>
    <row r="720" spans="3:6" x14ac:dyDescent="0.2">
      <c r="C720" s="24"/>
      <c r="D720" s="18"/>
      <c r="E720" s="18"/>
      <c r="F720" s="18"/>
    </row>
    <row r="721" spans="3:6" x14ac:dyDescent="0.2">
      <c r="C721" s="24"/>
      <c r="D721" s="18"/>
      <c r="E721" s="18"/>
      <c r="F721" s="18"/>
    </row>
    <row r="722" spans="3:6" x14ac:dyDescent="0.2">
      <c r="C722" s="24"/>
      <c r="D722" s="18"/>
      <c r="E722" s="18"/>
      <c r="F722" s="18"/>
    </row>
    <row r="723" spans="3:6" x14ac:dyDescent="0.2">
      <c r="C723" s="24"/>
      <c r="D723" s="18"/>
      <c r="E723" s="18"/>
      <c r="F723" s="18"/>
    </row>
    <row r="724" spans="3:6" x14ac:dyDescent="0.2">
      <c r="C724" s="24"/>
      <c r="D724" s="18"/>
      <c r="E724" s="18"/>
      <c r="F724" s="18"/>
    </row>
    <row r="725" spans="3:6" x14ac:dyDescent="0.2">
      <c r="C725" s="24"/>
      <c r="D725" s="18"/>
      <c r="E725" s="18"/>
      <c r="F725" s="18"/>
    </row>
    <row r="726" spans="3:6" x14ac:dyDescent="0.2">
      <c r="C726" s="24"/>
      <c r="D726" s="18"/>
      <c r="E726" s="18"/>
      <c r="F726" s="18"/>
    </row>
    <row r="727" spans="3:6" x14ac:dyDescent="0.2">
      <c r="C727" s="24"/>
      <c r="D727" s="18"/>
      <c r="E727" s="18"/>
      <c r="F727" s="18"/>
    </row>
    <row r="728" spans="3:6" x14ac:dyDescent="0.2">
      <c r="C728" s="24"/>
      <c r="D728" s="18"/>
      <c r="E728" s="18"/>
      <c r="F728" s="18"/>
    </row>
    <row r="729" spans="3:6" x14ac:dyDescent="0.2">
      <c r="C729" s="24"/>
      <c r="D729" s="18"/>
      <c r="E729" s="18"/>
      <c r="F729" s="18"/>
    </row>
    <row r="730" spans="3:6" x14ac:dyDescent="0.2">
      <c r="C730" s="24"/>
      <c r="D730" s="18"/>
      <c r="E730" s="18"/>
      <c r="F730" s="18"/>
    </row>
    <row r="731" spans="3:6" x14ac:dyDescent="0.2">
      <c r="C731" s="24"/>
      <c r="D731" s="18"/>
      <c r="E731" s="18"/>
      <c r="F731" s="18"/>
    </row>
    <row r="732" spans="3:6" x14ac:dyDescent="0.2">
      <c r="C732" s="24"/>
      <c r="D732" s="18"/>
      <c r="E732" s="18"/>
      <c r="F732" s="18"/>
    </row>
    <row r="733" spans="3:6" x14ac:dyDescent="0.2">
      <c r="C733" s="24"/>
      <c r="D733" s="18"/>
      <c r="E733" s="18"/>
      <c r="F733" s="18"/>
    </row>
    <row r="734" spans="3:6" x14ac:dyDescent="0.2">
      <c r="C734" s="24"/>
      <c r="D734" s="18"/>
      <c r="E734" s="18"/>
      <c r="F734" s="18"/>
    </row>
    <row r="735" spans="3:6" x14ac:dyDescent="0.2">
      <c r="C735" s="24"/>
      <c r="D735" s="18"/>
      <c r="E735" s="18"/>
      <c r="F735" s="18"/>
    </row>
    <row r="736" spans="3:6" x14ac:dyDescent="0.2">
      <c r="C736" s="24"/>
      <c r="D736" s="18"/>
      <c r="E736" s="18"/>
      <c r="F736" s="18"/>
    </row>
    <row r="737" spans="3:6" x14ac:dyDescent="0.2">
      <c r="C737" s="24"/>
      <c r="D737" s="18"/>
      <c r="E737" s="18"/>
      <c r="F737" s="18"/>
    </row>
    <row r="738" spans="3:6" x14ac:dyDescent="0.2">
      <c r="C738" s="24"/>
      <c r="D738" s="18"/>
      <c r="E738" s="18"/>
      <c r="F738" s="18"/>
    </row>
    <row r="739" spans="3:6" x14ac:dyDescent="0.2">
      <c r="C739" s="24"/>
      <c r="D739" s="18"/>
      <c r="E739" s="18"/>
      <c r="F739" s="18"/>
    </row>
    <row r="740" spans="3:6" x14ac:dyDescent="0.2">
      <c r="C740" s="24"/>
      <c r="D740" s="18"/>
      <c r="E740" s="18"/>
      <c r="F740" s="18"/>
    </row>
    <row r="741" spans="3:6" x14ac:dyDescent="0.2">
      <c r="C741" s="24"/>
      <c r="D741" s="18"/>
      <c r="E741" s="18"/>
      <c r="F741" s="18"/>
    </row>
    <row r="742" spans="3:6" x14ac:dyDescent="0.2">
      <c r="C742" s="24"/>
      <c r="D742" s="18"/>
      <c r="E742" s="18"/>
      <c r="F742" s="18"/>
    </row>
    <row r="743" spans="3:6" x14ac:dyDescent="0.2">
      <c r="C743" s="24"/>
      <c r="D743" s="18"/>
      <c r="E743" s="18"/>
      <c r="F743" s="18"/>
    </row>
    <row r="744" spans="3:6" x14ac:dyDescent="0.2">
      <c r="C744" s="24"/>
      <c r="D744" s="18"/>
      <c r="E744" s="18"/>
      <c r="F744" s="18"/>
    </row>
    <row r="745" spans="3:6" x14ac:dyDescent="0.2">
      <c r="C745" s="24"/>
      <c r="D745" s="18"/>
      <c r="E745" s="18"/>
      <c r="F745" s="18"/>
    </row>
    <row r="746" spans="3:6" x14ac:dyDescent="0.2">
      <c r="C746" s="24"/>
      <c r="D746" s="18"/>
      <c r="E746" s="18"/>
      <c r="F746" s="18"/>
    </row>
    <row r="747" spans="3:6" x14ac:dyDescent="0.2">
      <c r="C747" s="24"/>
      <c r="D747" s="18"/>
      <c r="E747" s="18"/>
      <c r="F747" s="18"/>
    </row>
    <row r="748" spans="3:6" x14ac:dyDescent="0.2">
      <c r="C748" s="24"/>
      <c r="D748" s="18"/>
      <c r="E748" s="18"/>
      <c r="F748" s="18"/>
    </row>
    <row r="749" spans="3:6" x14ac:dyDescent="0.2">
      <c r="C749" s="24"/>
      <c r="D749" s="18"/>
      <c r="E749" s="18"/>
      <c r="F749" s="18"/>
    </row>
    <row r="750" spans="3:6" x14ac:dyDescent="0.2">
      <c r="C750" s="24"/>
      <c r="D750" s="18"/>
      <c r="E750" s="18"/>
      <c r="F750" s="18"/>
    </row>
    <row r="751" spans="3:6" x14ac:dyDescent="0.2">
      <c r="C751" s="24"/>
      <c r="D751" s="18"/>
      <c r="E751" s="18"/>
      <c r="F751" s="18"/>
    </row>
    <row r="752" spans="3:6" x14ac:dyDescent="0.2">
      <c r="C752" s="24"/>
      <c r="D752" s="18"/>
      <c r="E752" s="18"/>
      <c r="F752" s="18"/>
    </row>
    <row r="753" spans="3:6" x14ac:dyDescent="0.2">
      <c r="C753" s="24"/>
      <c r="D753" s="18"/>
      <c r="E753" s="18"/>
      <c r="F753" s="18"/>
    </row>
    <row r="754" spans="3:6" x14ac:dyDescent="0.2">
      <c r="C754" s="24"/>
      <c r="D754" s="18"/>
      <c r="E754" s="18"/>
      <c r="F754" s="18"/>
    </row>
    <row r="755" spans="3:6" x14ac:dyDescent="0.2">
      <c r="C755" s="24"/>
      <c r="D755" s="18"/>
      <c r="E755" s="18"/>
      <c r="F755" s="18"/>
    </row>
    <row r="756" spans="3:6" x14ac:dyDescent="0.2">
      <c r="C756" s="24"/>
      <c r="D756" s="18"/>
      <c r="E756" s="18"/>
      <c r="F756" s="18"/>
    </row>
    <row r="757" spans="3:6" x14ac:dyDescent="0.2">
      <c r="C757" s="24"/>
      <c r="D757" s="18"/>
      <c r="E757" s="18"/>
      <c r="F757" s="18"/>
    </row>
    <row r="758" spans="3:6" x14ac:dyDescent="0.2">
      <c r="C758" s="24"/>
      <c r="D758" s="18"/>
      <c r="E758" s="18"/>
      <c r="F758" s="18"/>
    </row>
    <row r="759" spans="3:6" x14ac:dyDescent="0.2">
      <c r="C759" s="24"/>
      <c r="D759" s="18"/>
      <c r="E759" s="18"/>
      <c r="F759" s="18"/>
    </row>
    <row r="760" spans="3:6" x14ac:dyDescent="0.2">
      <c r="C760" s="24"/>
      <c r="D760" s="18"/>
      <c r="E760" s="18"/>
      <c r="F760" s="18"/>
    </row>
    <row r="761" spans="3:6" x14ac:dyDescent="0.2">
      <c r="C761" s="24"/>
      <c r="D761" s="18"/>
      <c r="E761" s="18"/>
      <c r="F761" s="18"/>
    </row>
    <row r="762" spans="3:6" x14ac:dyDescent="0.2">
      <c r="C762" s="24"/>
      <c r="D762" s="18"/>
      <c r="E762" s="18"/>
      <c r="F762" s="18"/>
    </row>
    <row r="763" spans="3:6" x14ac:dyDescent="0.2">
      <c r="C763" s="24"/>
      <c r="D763" s="18"/>
      <c r="E763" s="18"/>
      <c r="F763" s="18"/>
    </row>
    <row r="764" spans="3:6" x14ac:dyDescent="0.2">
      <c r="C764" s="24"/>
      <c r="D764" s="18"/>
      <c r="E764" s="18"/>
      <c r="F764" s="18"/>
    </row>
    <row r="765" spans="3:6" x14ac:dyDescent="0.2">
      <c r="C765" s="24"/>
      <c r="D765" s="18"/>
      <c r="E765" s="18"/>
      <c r="F765" s="18"/>
    </row>
    <row r="766" spans="3:6" x14ac:dyDescent="0.2">
      <c r="C766" s="24"/>
      <c r="D766" s="18"/>
      <c r="E766" s="18"/>
      <c r="F766" s="18"/>
    </row>
    <row r="767" spans="3:6" x14ac:dyDescent="0.2">
      <c r="C767" s="24"/>
      <c r="D767" s="18"/>
      <c r="E767" s="18"/>
      <c r="F767" s="18"/>
    </row>
    <row r="768" spans="3:6" x14ac:dyDescent="0.2">
      <c r="C768" s="24"/>
      <c r="D768" s="18"/>
      <c r="E768" s="18"/>
      <c r="F768" s="18"/>
    </row>
    <row r="769" spans="3:6" x14ac:dyDescent="0.2">
      <c r="C769" s="24"/>
      <c r="D769" s="18"/>
      <c r="E769" s="18"/>
      <c r="F769" s="18"/>
    </row>
    <row r="770" spans="3:6" x14ac:dyDescent="0.2">
      <c r="C770" s="24"/>
      <c r="D770" s="18"/>
      <c r="E770" s="18"/>
      <c r="F770" s="18"/>
    </row>
    <row r="771" spans="3:6" x14ac:dyDescent="0.2">
      <c r="C771" s="24"/>
      <c r="D771" s="18"/>
      <c r="E771" s="18"/>
      <c r="F771" s="18"/>
    </row>
    <row r="772" spans="3:6" x14ac:dyDescent="0.2">
      <c r="C772" s="24"/>
      <c r="D772" s="18"/>
      <c r="E772" s="18"/>
      <c r="F772" s="18"/>
    </row>
    <row r="773" spans="3:6" x14ac:dyDescent="0.2">
      <c r="C773" s="24"/>
      <c r="D773" s="18"/>
      <c r="E773" s="18"/>
      <c r="F773" s="18"/>
    </row>
    <row r="774" spans="3:6" x14ac:dyDescent="0.2">
      <c r="C774" s="24"/>
      <c r="D774" s="18"/>
      <c r="E774" s="18"/>
      <c r="F774" s="18"/>
    </row>
    <row r="775" spans="3:6" x14ac:dyDescent="0.2">
      <c r="C775" s="24"/>
      <c r="D775" s="18"/>
      <c r="E775" s="18"/>
      <c r="F775" s="18"/>
    </row>
    <row r="776" spans="3:6" x14ac:dyDescent="0.2">
      <c r="C776" s="24"/>
      <c r="D776" s="18"/>
      <c r="E776" s="18"/>
      <c r="F776" s="18"/>
    </row>
    <row r="777" spans="3:6" x14ac:dyDescent="0.2">
      <c r="C777" s="24"/>
      <c r="D777" s="18"/>
      <c r="E777" s="18"/>
      <c r="F777" s="18"/>
    </row>
    <row r="778" spans="3:6" x14ac:dyDescent="0.2">
      <c r="C778" s="24"/>
      <c r="D778" s="18"/>
      <c r="E778" s="18"/>
      <c r="F778" s="18"/>
    </row>
    <row r="779" spans="3:6" x14ac:dyDescent="0.2">
      <c r="C779" s="24"/>
      <c r="D779" s="18"/>
      <c r="E779" s="18"/>
      <c r="F779" s="18"/>
    </row>
    <row r="780" spans="3:6" x14ac:dyDescent="0.2">
      <c r="C780" s="24"/>
      <c r="D780" s="18"/>
      <c r="E780" s="18"/>
      <c r="F780" s="18"/>
    </row>
    <row r="781" spans="3:6" x14ac:dyDescent="0.2">
      <c r="C781" s="24"/>
      <c r="D781" s="18"/>
      <c r="E781" s="18"/>
      <c r="F781" s="18"/>
    </row>
    <row r="782" spans="3:6" x14ac:dyDescent="0.2">
      <c r="C782" s="24"/>
      <c r="D782" s="18"/>
      <c r="E782" s="18"/>
      <c r="F782" s="18"/>
    </row>
    <row r="783" spans="3:6" x14ac:dyDescent="0.2">
      <c r="C783" s="24"/>
      <c r="D783" s="18"/>
      <c r="E783" s="18"/>
      <c r="F783" s="18"/>
    </row>
    <row r="784" spans="3:6" x14ac:dyDescent="0.2">
      <c r="C784" s="24"/>
      <c r="D784" s="18"/>
      <c r="E784" s="18"/>
      <c r="F784" s="18"/>
    </row>
    <row r="785" spans="3:6" x14ac:dyDescent="0.2">
      <c r="C785" s="24"/>
      <c r="D785" s="18"/>
      <c r="E785" s="18"/>
      <c r="F785" s="18"/>
    </row>
    <row r="786" spans="3:6" x14ac:dyDescent="0.2">
      <c r="C786" s="24"/>
      <c r="D786" s="18"/>
      <c r="E786" s="18"/>
      <c r="F786" s="18"/>
    </row>
    <row r="787" spans="3:6" x14ac:dyDescent="0.2">
      <c r="C787" s="24"/>
      <c r="D787" s="18"/>
      <c r="E787" s="18"/>
      <c r="F787" s="18"/>
    </row>
    <row r="788" spans="3:6" x14ac:dyDescent="0.2">
      <c r="C788" s="24"/>
      <c r="D788" s="18"/>
      <c r="E788" s="18"/>
      <c r="F788" s="18"/>
    </row>
    <row r="789" spans="3:6" x14ac:dyDescent="0.2">
      <c r="C789" s="24"/>
      <c r="D789" s="18"/>
      <c r="E789" s="18"/>
      <c r="F789" s="18"/>
    </row>
    <row r="790" spans="3:6" x14ac:dyDescent="0.2">
      <c r="C790" s="24"/>
      <c r="D790" s="18"/>
      <c r="E790" s="18"/>
      <c r="F790" s="18"/>
    </row>
    <row r="791" spans="3:6" x14ac:dyDescent="0.2">
      <c r="C791" s="24"/>
      <c r="D791" s="18"/>
      <c r="E791" s="18"/>
      <c r="F791" s="18"/>
    </row>
    <row r="792" spans="3:6" x14ac:dyDescent="0.2">
      <c r="C792" s="24"/>
      <c r="D792" s="18"/>
      <c r="E792" s="18"/>
      <c r="F792" s="18"/>
    </row>
    <row r="793" spans="3:6" x14ac:dyDescent="0.2">
      <c r="C793" s="24"/>
      <c r="D793" s="18"/>
      <c r="E793" s="18"/>
      <c r="F793" s="18"/>
    </row>
    <row r="794" spans="3:6" x14ac:dyDescent="0.2">
      <c r="C794" s="24"/>
      <c r="D794" s="18"/>
      <c r="E794" s="18"/>
      <c r="F794" s="18"/>
    </row>
    <row r="795" spans="3:6" x14ac:dyDescent="0.2">
      <c r="C795" s="24"/>
      <c r="D795" s="18"/>
      <c r="E795" s="18"/>
      <c r="F795" s="18"/>
    </row>
    <row r="796" spans="3:6" x14ac:dyDescent="0.2">
      <c r="C796" s="24"/>
      <c r="D796" s="18"/>
      <c r="E796" s="18"/>
      <c r="F796" s="18"/>
    </row>
    <row r="797" spans="3:6" x14ac:dyDescent="0.2">
      <c r="C797" s="24"/>
      <c r="D797" s="18"/>
      <c r="E797" s="18"/>
      <c r="F797" s="18"/>
    </row>
    <row r="798" spans="3:6" x14ac:dyDescent="0.2">
      <c r="C798" s="24"/>
      <c r="D798" s="18"/>
      <c r="E798" s="18"/>
      <c r="F798" s="18"/>
    </row>
    <row r="799" spans="3:6" x14ac:dyDescent="0.2">
      <c r="C799" s="24"/>
      <c r="D799" s="18"/>
      <c r="E799" s="18"/>
      <c r="F799" s="18"/>
    </row>
    <row r="800" spans="3:6" x14ac:dyDescent="0.2">
      <c r="C800" s="24"/>
      <c r="D800" s="18"/>
      <c r="E800" s="18"/>
      <c r="F800" s="18"/>
    </row>
    <row r="801" spans="3:6" x14ac:dyDescent="0.2">
      <c r="C801" s="24"/>
      <c r="D801" s="18"/>
      <c r="E801" s="18"/>
      <c r="F801" s="18"/>
    </row>
    <row r="802" spans="3:6" x14ac:dyDescent="0.2">
      <c r="C802" s="24"/>
      <c r="D802" s="18"/>
      <c r="E802" s="18"/>
      <c r="F802" s="18"/>
    </row>
    <row r="803" spans="3:6" x14ac:dyDescent="0.2">
      <c r="C803" s="24"/>
      <c r="D803" s="18"/>
      <c r="E803" s="18"/>
      <c r="F803" s="18"/>
    </row>
    <row r="804" spans="3:6" x14ac:dyDescent="0.2">
      <c r="C804" s="24"/>
      <c r="D804" s="18"/>
      <c r="E804" s="18"/>
      <c r="F804" s="18"/>
    </row>
    <row r="805" spans="3:6" x14ac:dyDescent="0.2">
      <c r="C805" s="24"/>
      <c r="D805" s="18"/>
      <c r="E805" s="18"/>
      <c r="F805" s="18"/>
    </row>
    <row r="806" spans="3:6" x14ac:dyDescent="0.2">
      <c r="C806" s="24"/>
      <c r="D806" s="18"/>
      <c r="E806" s="18"/>
      <c r="F806" s="18"/>
    </row>
    <row r="807" spans="3:6" x14ac:dyDescent="0.2">
      <c r="C807" s="24"/>
      <c r="D807" s="18"/>
      <c r="E807" s="18"/>
      <c r="F807" s="18"/>
    </row>
    <row r="808" spans="3:6" x14ac:dyDescent="0.2">
      <c r="C808" s="24"/>
      <c r="D808" s="18"/>
      <c r="E808" s="18"/>
      <c r="F808" s="18"/>
    </row>
    <row r="809" spans="3:6" x14ac:dyDescent="0.2">
      <c r="C809" s="24"/>
      <c r="D809" s="18"/>
      <c r="E809" s="18"/>
      <c r="F809" s="18"/>
    </row>
    <row r="810" spans="3:6" x14ac:dyDescent="0.2">
      <c r="C810" s="24"/>
      <c r="D810" s="18"/>
      <c r="E810" s="18"/>
      <c r="F810" s="18"/>
    </row>
    <row r="811" spans="3:6" x14ac:dyDescent="0.2">
      <c r="C811" s="24"/>
      <c r="D811" s="18"/>
      <c r="E811" s="18"/>
      <c r="F811" s="18"/>
    </row>
    <row r="812" spans="3:6" x14ac:dyDescent="0.2">
      <c r="C812" s="24"/>
      <c r="D812" s="18"/>
      <c r="E812" s="18"/>
      <c r="F812" s="18"/>
    </row>
    <row r="813" spans="3:6" x14ac:dyDescent="0.2">
      <c r="C813" s="24"/>
      <c r="D813" s="18"/>
      <c r="E813" s="18"/>
      <c r="F813" s="18"/>
    </row>
    <row r="814" spans="3:6" x14ac:dyDescent="0.2">
      <c r="C814" s="24"/>
      <c r="D814" s="18"/>
      <c r="E814" s="18"/>
      <c r="F814" s="18"/>
    </row>
    <row r="815" spans="3:6" x14ac:dyDescent="0.2">
      <c r="C815" s="24"/>
      <c r="D815" s="18"/>
      <c r="E815" s="18"/>
      <c r="F815" s="18"/>
    </row>
    <row r="816" spans="3:6" x14ac:dyDescent="0.2">
      <c r="C816" s="24"/>
      <c r="D816" s="18"/>
      <c r="E816" s="18"/>
      <c r="F816" s="18"/>
    </row>
    <row r="817" spans="3:6" x14ac:dyDescent="0.2">
      <c r="C817" s="24"/>
      <c r="D817" s="18"/>
      <c r="E817" s="18"/>
      <c r="F817" s="18"/>
    </row>
    <row r="818" spans="3:6" x14ac:dyDescent="0.2">
      <c r="C818" s="24"/>
      <c r="D818" s="18"/>
      <c r="E818" s="18"/>
      <c r="F818" s="18"/>
    </row>
    <row r="819" spans="3:6" x14ac:dyDescent="0.2">
      <c r="C819" s="24"/>
      <c r="D819" s="18"/>
      <c r="E819" s="18"/>
      <c r="F819" s="18"/>
    </row>
    <row r="820" spans="3:6" x14ac:dyDescent="0.2">
      <c r="C820" s="24"/>
      <c r="D820" s="18"/>
      <c r="E820" s="18"/>
      <c r="F820" s="18"/>
    </row>
    <row r="821" spans="3:6" x14ac:dyDescent="0.2">
      <c r="C821" s="24"/>
      <c r="D821" s="18"/>
      <c r="E821" s="18"/>
      <c r="F821" s="18"/>
    </row>
    <row r="822" spans="3:6" x14ac:dyDescent="0.2">
      <c r="C822" s="24"/>
      <c r="D822" s="18"/>
      <c r="E822" s="18"/>
      <c r="F822" s="18"/>
    </row>
    <row r="823" spans="3:6" x14ac:dyDescent="0.2">
      <c r="C823" s="24"/>
      <c r="D823" s="18"/>
      <c r="E823" s="18"/>
      <c r="F823" s="18"/>
    </row>
    <row r="824" spans="3:6" x14ac:dyDescent="0.2">
      <c r="C824" s="24"/>
      <c r="D824" s="18"/>
      <c r="E824" s="18"/>
      <c r="F824" s="18"/>
    </row>
    <row r="825" spans="3:6" x14ac:dyDescent="0.2">
      <c r="C825" s="24"/>
      <c r="D825" s="18"/>
      <c r="E825" s="18"/>
      <c r="F825" s="18"/>
    </row>
    <row r="826" spans="3:6" x14ac:dyDescent="0.2">
      <c r="C826" s="24"/>
      <c r="D826" s="18"/>
      <c r="E826" s="18"/>
      <c r="F826" s="18"/>
    </row>
    <row r="827" spans="3:6" x14ac:dyDescent="0.2">
      <c r="C827" s="24"/>
      <c r="D827" s="18"/>
      <c r="E827" s="18"/>
      <c r="F827" s="18"/>
    </row>
    <row r="828" spans="3:6" x14ac:dyDescent="0.2">
      <c r="C828" s="24"/>
      <c r="D828" s="18"/>
      <c r="E828" s="18"/>
      <c r="F828" s="18"/>
    </row>
    <row r="829" spans="3:6" x14ac:dyDescent="0.2">
      <c r="C829" s="24"/>
      <c r="D829" s="18"/>
      <c r="E829" s="18"/>
      <c r="F829" s="18"/>
    </row>
    <row r="830" spans="3:6" x14ac:dyDescent="0.2">
      <c r="C830" s="24"/>
      <c r="D830" s="18"/>
      <c r="E830" s="18"/>
      <c r="F830" s="18"/>
    </row>
    <row r="831" spans="3:6" x14ac:dyDescent="0.2">
      <c r="C831" s="24"/>
      <c r="D831" s="18"/>
      <c r="E831" s="18"/>
      <c r="F831" s="18"/>
    </row>
    <row r="832" spans="3:6" x14ac:dyDescent="0.2">
      <c r="C832" s="24"/>
      <c r="D832" s="18"/>
      <c r="E832" s="18"/>
      <c r="F832" s="18"/>
    </row>
    <row r="833" spans="3:6" x14ac:dyDescent="0.2">
      <c r="C833" s="24"/>
      <c r="D833" s="18"/>
      <c r="E833" s="18"/>
      <c r="F833" s="18"/>
    </row>
    <row r="834" spans="3:6" x14ac:dyDescent="0.2">
      <c r="C834" s="24"/>
      <c r="D834" s="18"/>
      <c r="E834" s="18"/>
      <c r="F834" s="18"/>
    </row>
    <row r="835" spans="3:6" x14ac:dyDescent="0.2">
      <c r="C835" s="24"/>
      <c r="D835" s="18"/>
      <c r="E835" s="18"/>
      <c r="F835" s="18"/>
    </row>
    <row r="836" spans="3:6" x14ac:dyDescent="0.2">
      <c r="C836" s="24"/>
      <c r="D836" s="18"/>
      <c r="E836" s="18"/>
      <c r="F836" s="18"/>
    </row>
    <row r="837" spans="3:6" x14ac:dyDescent="0.2">
      <c r="C837" s="24"/>
      <c r="D837" s="18"/>
      <c r="E837" s="18"/>
      <c r="F837" s="18"/>
    </row>
    <row r="838" spans="3:6" x14ac:dyDescent="0.2">
      <c r="C838" s="24"/>
      <c r="D838" s="18"/>
      <c r="E838" s="18"/>
      <c r="F838" s="18"/>
    </row>
    <row r="839" spans="3:6" x14ac:dyDescent="0.2">
      <c r="C839" s="24"/>
      <c r="D839" s="18"/>
      <c r="E839" s="18"/>
      <c r="F839" s="18"/>
    </row>
    <row r="840" spans="3:6" x14ac:dyDescent="0.2">
      <c r="C840" s="24"/>
      <c r="D840" s="18"/>
      <c r="E840" s="18"/>
      <c r="F840" s="18"/>
    </row>
    <row r="841" spans="3:6" x14ac:dyDescent="0.2">
      <c r="C841" s="24"/>
      <c r="D841" s="18"/>
      <c r="E841" s="18"/>
      <c r="F841" s="18"/>
    </row>
    <row r="842" spans="3:6" x14ac:dyDescent="0.2">
      <c r="C842" s="24"/>
      <c r="D842" s="18"/>
      <c r="E842" s="18"/>
      <c r="F842" s="18"/>
    </row>
    <row r="843" spans="3:6" x14ac:dyDescent="0.2">
      <c r="C843" s="24"/>
      <c r="D843" s="18"/>
      <c r="E843" s="18"/>
      <c r="F843" s="18"/>
    </row>
    <row r="844" spans="3:6" x14ac:dyDescent="0.2">
      <c r="C844" s="24"/>
      <c r="D844" s="18"/>
      <c r="E844" s="18"/>
      <c r="F844" s="18"/>
    </row>
    <row r="845" spans="3:6" x14ac:dyDescent="0.2">
      <c r="C845" s="24"/>
      <c r="D845" s="18"/>
      <c r="E845" s="18"/>
      <c r="F845" s="18"/>
    </row>
    <row r="846" spans="3:6" x14ac:dyDescent="0.2">
      <c r="C846" s="24"/>
      <c r="D846" s="18"/>
      <c r="E846" s="18"/>
      <c r="F846" s="18"/>
    </row>
    <row r="847" spans="3:6" x14ac:dyDescent="0.2">
      <c r="C847" s="24"/>
      <c r="D847" s="18"/>
      <c r="E847" s="18"/>
      <c r="F847" s="18"/>
    </row>
    <row r="848" spans="3:6" x14ac:dyDescent="0.2">
      <c r="C848" s="24"/>
      <c r="D848" s="18"/>
      <c r="E848" s="18"/>
      <c r="F848" s="18"/>
    </row>
    <row r="849" spans="3:6" x14ac:dyDescent="0.2">
      <c r="C849" s="24"/>
      <c r="D849" s="18"/>
      <c r="E849" s="18"/>
      <c r="F849" s="18"/>
    </row>
    <row r="850" spans="3:6" x14ac:dyDescent="0.2">
      <c r="C850" s="24"/>
      <c r="D850" s="18"/>
      <c r="E850" s="18"/>
      <c r="F850" s="18"/>
    </row>
    <row r="851" spans="3:6" x14ac:dyDescent="0.2">
      <c r="C851" s="24"/>
      <c r="D851" s="18"/>
      <c r="E851" s="18"/>
      <c r="F851" s="18"/>
    </row>
    <row r="852" spans="3:6" x14ac:dyDescent="0.2">
      <c r="C852" s="24"/>
      <c r="D852" s="18"/>
      <c r="E852" s="18"/>
      <c r="F852" s="18"/>
    </row>
    <row r="853" spans="3:6" x14ac:dyDescent="0.2">
      <c r="C853" s="24"/>
      <c r="D853" s="18"/>
      <c r="E853" s="18"/>
      <c r="F853" s="18"/>
    </row>
    <row r="854" spans="3:6" x14ac:dyDescent="0.2">
      <c r="C854" s="24"/>
      <c r="D854" s="18"/>
      <c r="E854" s="18"/>
      <c r="F854" s="18"/>
    </row>
    <row r="855" spans="3:6" x14ac:dyDescent="0.2">
      <c r="C855" s="24"/>
      <c r="D855" s="18"/>
      <c r="E855" s="18"/>
      <c r="F855" s="18"/>
    </row>
    <row r="856" spans="3:6" x14ac:dyDescent="0.2">
      <c r="C856" s="24"/>
      <c r="D856" s="18"/>
      <c r="E856" s="18"/>
      <c r="F856" s="18"/>
    </row>
    <row r="857" spans="3:6" x14ac:dyDescent="0.2">
      <c r="C857" s="24"/>
      <c r="D857" s="18"/>
      <c r="E857" s="18"/>
      <c r="F857" s="18"/>
    </row>
    <row r="858" spans="3:6" x14ac:dyDescent="0.2">
      <c r="C858" s="24"/>
      <c r="D858" s="18"/>
      <c r="E858" s="18"/>
      <c r="F858" s="18"/>
    </row>
    <row r="859" spans="3:6" x14ac:dyDescent="0.2">
      <c r="C859" s="24"/>
      <c r="D859" s="18"/>
      <c r="E859" s="18"/>
      <c r="F859" s="18"/>
    </row>
    <row r="860" spans="3:6" x14ac:dyDescent="0.2">
      <c r="C860" s="24"/>
      <c r="D860" s="18"/>
      <c r="E860" s="18"/>
      <c r="F860" s="18"/>
    </row>
    <row r="861" spans="3:6" x14ac:dyDescent="0.2">
      <c r="C861" s="24"/>
      <c r="D861" s="18"/>
      <c r="E861" s="18"/>
      <c r="F861" s="18"/>
    </row>
    <row r="862" spans="3:6" x14ac:dyDescent="0.2">
      <c r="C862" s="24"/>
      <c r="D862" s="18"/>
      <c r="E862" s="18"/>
      <c r="F862" s="18"/>
    </row>
    <row r="863" spans="3:6" x14ac:dyDescent="0.2">
      <c r="C863" s="24"/>
      <c r="D863" s="18"/>
      <c r="E863" s="18"/>
      <c r="F863" s="18"/>
    </row>
    <row r="864" spans="3:6" x14ac:dyDescent="0.2">
      <c r="C864" s="24"/>
      <c r="D864" s="18"/>
      <c r="E864" s="18"/>
      <c r="F864" s="18"/>
    </row>
    <row r="865" spans="3:6" x14ac:dyDescent="0.2">
      <c r="C865" s="24"/>
      <c r="D865" s="18"/>
      <c r="E865" s="18"/>
      <c r="F865" s="18"/>
    </row>
    <row r="866" spans="3:6" x14ac:dyDescent="0.2">
      <c r="C866" s="24"/>
      <c r="D866" s="18"/>
      <c r="E866" s="18"/>
      <c r="F866" s="18"/>
    </row>
    <row r="867" spans="3:6" x14ac:dyDescent="0.2">
      <c r="C867" s="24"/>
      <c r="D867" s="18"/>
      <c r="E867" s="18"/>
      <c r="F867" s="18"/>
    </row>
    <row r="868" spans="3:6" x14ac:dyDescent="0.2">
      <c r="C868" s="24"/>
      <c r="D868" s="18"/>
      <c r="E868" s="18"/>
      <c r="F868" s="18"/>
    </row>
    <row r="869" spans="3:6" x14ac:dyDescent="0.2">
      <c r="C869" s="24"/>
      <c r="D869" s="18"/>
      <c r="E869" s="18"/>
      <c r="F869" s="18"/>
    </row>
    <row r="870" spans="3:6" x14ac:dyDescent="0.2">
      <c r="C870" s="24"/>
      <c r="D870" s="18"/>
      <c r="E870" s="18"/>
      <c r="F870" s="18"/>
    </row>
    <row r="871" spans="3:6" x14ac:dyDescent="0.2">
      <c r="C871" s="24"/>
      <c r="D871" s="18"/>
      <c r="E871" s="18"/>
      <c r="F871" s="18"/>
    </row>
    <row r="872" spans="3:6" x14ac:dyDescent="0.2">
      <c r="C872" s="24"/>
      <c r="D872" s="18"/>
      <c r="E872" s="18"/>
      <c r="F872" s="18"/>
    </row>
    <row r="873" spans="3:6" x14ac:dyDescent="0.2">
      <c r="C873" s="24"/>
      <c r="D873" s="18"/>
      <c r="E873" s="18"/>
      <c r="F873" s="18"/>
    </row>
    <row r="874" spans="3:6" x14ac:dyDescent="0.2">
      <c r="C874" s="24"/>
      <c r="D874" s="18"/>
      <c r="E874" s="18"/>
      <c r="F874" s="18"/>
    </row>
    <row r="875" spans="3:6" x14ac:dyDescent="0.2">
      <c r="C875" s="24"/>
      <c r="D875" s="18"/>
      <c r="E875" s="18"/>
      <c r="F875" s="18"/>
    </row>
    <row r="876" spans="3:6" x14ac:dyDescent="0.2">
      <c r="C876" s="24"/>
      <c r="D876" s="18"/>
      <c r="E876" s="18"/>
      <c r="F876" s="18"/>
    </row>
    <row r="877" spans="3:6" x14ac:dyDescent="0.2">
      <c r="C877" s="24"/>
      <c r="D877" s="18"/>
      <c r="E877" s="18"/>
      <c r="F877" s="18"/>
    </row>
    <row r="878" spans="3:6" x14ac:dyDescent="0.2">
      <c r="C878" s="24"/>
      <c r="D878" s="18"/>
      <c r="E878" s="18"/>
      <c r="F878" s="18"/>
    </row>
    <row r="879" spans="3:6" x14ac:dyDescent="0.2">
      <c r="C879" s="24"/>
      <c r="D879" s="18"/>
      <c r="E879" s="18"/>
      <c r="F879" s="18"/>
    </row>
    <row r="880" spans="3:6" x14ac:dyDescent="0.2">
      <c r="C880" s="24"/>
      <c r="D880" s="18"/>
      <c r="E880" s="18"/>
      <c r="F880" s="18"/>
    </row>
    <row r="881" spans="3:6" x14ac:dyDescent="0.2">
      <c r="C881" s="24"/>
      <c r="D881" s="18"/>
      <c r="E881" s="18"/>
      <c r="F881" s="18"/>
    </row>
    <row r="882" spans="3:6" x14ac:dyDescent="0.2">
      <c r="C882" s="24"/>
      <c r="D882" s="18"/>
      <c r="E882" s="18"/>
      <c r="F882" s="18"/>
    </row>
    <row r="883" spans="3:6" x14ac:dyDescent="0.2">
      <c r="C883" s="24"/>
      <c r="D883" s="18"/>
      <c r="E883" s="18"/>
      <c r="F883" s="18"/>
    </row>
    <row r="884" spans="3:6" x14ac:dyDescent="0.2">
      <c r="C884" s="24"/>
      <c r="D884" s="18"/>
      <c r="E884" s="18"/>
      <c r="F884" s="18"/>
    </row>
    <row r="885" spans="3:6" x14ac:dyDescent="0.2">
      <c r="C885" s="24"/>
      <c r="D885" s="18"/>
      <c r="E885" s="18"/>
      <c r="F885" s="18"/>
    </row>
    <row r="886" spans="3:6" x14ac:dyDescent="0.2">
      <c r="C886" s="24"/>
      <c r="D886" s="18"/>
      <c r="E886" s="18"/>
      <c r="F886" s="18"/>
    </row>
    <row r="887" spans="3:6" x14ac:dyDescent="0.2">
      <c r="C887" s="24"/>
      <c r="D887" s="18"/>
      <c r="E887" s="18"/>
      <c r="F887" s="18"/>
    </row>
    <row r="888" spans="3:6" x14ac:dyDescent="0.2">
      <c r="C888" s="24"/>
      <c r="D888" s="18"/>
      <c r="E888" s="18"/>
      <c r="F888" s="18"/>
    </row>
    <row r="889" spans="3:6" x14ac:dyDescent="0.2">
      <c r="C889" s="24"/>
      <c r="D889" s="18"/>
      <c r="E889" s="18"/>
      <c r="F889" s="18"/>
    </row>
    <row r="890" spans="3:6" x14ac:dyDescent="0.2">
      <c r="C890" s="24"/>
      <c r="D890" s="18"/>
      <c r="E890" s="18"/>
      <c r="F890" s="18"/>
    </row>
    <row r="891" spans="3:6" x14ac:dyDescent="0.2">
      <c r="C891" s="24"/>
      <c r="D891" s="18"/>
      <c r="E891" s="18"/>
      <c r="F891" s="18"/>
    </row>
    <row r="892" spans="3:6" x14ac:dyDescent="0.2">
      <c r="C892" s="24"/>
      <c r="D892" s="18"/>
      <c r="E892" s="18"/>
      <c r="F892" s="18"/>
    </row>
    <row r="893" spans="3:6" x14ac:dyDescent="0.2">
      <c r="C893" s="24"/>
      <c r="D893" s="18"/>
      <c r="E893" s="18"/>
      <c r="F893" s="18"/>
    </row>
    <row r="894" spans="3:6" x14ac:dyDescent="0.2">
      <c r="C894" s="24"/>
      <c r="D894" s="18"/>
      <c r="E894" s="18"/>
      <c r="F894" s="18"/>
    </row>
    <row r="895" spans="3:6" x14ac:dyDescent="0.2">
      <c r="C895" s="24"/>
      <c r="D895" s="18"/>
      <c r="E895" s="18"/>
      <c r="F895" s="18"/>
    </row>
    <row r="896" spans="3:6" x14ac:dyDescent="0.2">
      <c r="C896" s="24"/>
      <c r="D896" s="18"/>
      <c r="E896" s="18"/>
      <c r="F896" s="18"/>
    </row>
    <row r="897" spans="3:6" x14ac:dyDescent="0.2">
      <c r="C897" s="24"/>
      <c r="D897" s="18"/>
      <c r="E897" s="18"/>
      <c r="F897" s="18"/>
    </row>
    <row r="898" spans="3:6" x14ac:dyDescent="0.2">
      <c r="C898" s="24"/>
      <c r="D898" s="18"/>
      <c r="E898" s="18"/>
      <c r="F898" s="18"/>
    </row>
    <row r="899" spans="3:6" x14ac:dyDescent="0.2">
      <c r="C899" s="24"/>
      <c r="D899" s="18"/>
      <c r="E899" s="18"/>
      <c r="F899" s="18"/>
    </row>
    <row r="900" spans="3:6" x14ac:dyDescent="0.2">
      <c r="C900" s="24"/>
      <c r="D900" s="18"/>
      <c r="E900" s="18"/>
      <c r="F900" s="18"/>
    </row>
    <row r="901" spans="3:6" x14ac:dyDescent="0.2">
      <c r="C901" s="24"/>
      <c r="D901" s="18"/>
      <c r="E901" s="18"/>
      <c r="F901" s="18"/>
    </row>
    <row r="902" spans="3:6" x14ac:dyDescent="0.2">
      <c r="C902" s="24"/>
      <c r="D902" s="18"/>
      <c r="E902" s="18"/>
      <c r="F902" s="18"/>
    </row>
    <row r="903" spans="3:6" x14ac:dyDescent="0.2">
      <c r="C903" s="24"/>
      <c r="D903" s="18"/>
      <c r="E903" s="18"/>
      <c r="F903" s="18"/>
    </row>
    <row r="904" spans="3:6" x14ac:dyDescent="0.2">
      <c r="C904" s="24"/>
      <c r="D904" s="18"/>
      <c r="E904" s="18"/>
      <c r="F904" s="18"/>
    </row>
    <row r="905" spans="3:6" x14ac:dyDescent="0.2">
      <c r="C905" s="24"/>
      <c r="D905" s="18"/>
      <c r="E905" s="18"/>
      <c r="F905" s="18"/>
    </row>
    <row r="906" spans="3:6" x14ac:dyDescent="0.2">
      <c r="C906" s="24"/>
      <c r="D906" s="18"/>
      <c r="E906" s="18"/>
      <c r="F906" s="18"/>
    </row>
    <row r="907" spans="3:6" x14ac:dyDescent="0.2">
      <c r="C907" s="24"/>
      <c r="D907" s="18"/>
      <c r="E907" s="18"/>
      <c r="F907" s="18"/>
    </row>
    <row r="908" spans="3:6" x14ac:dyDescent="0.2">
      <c r="C908" s="24"/>
      <c r="D908" s="18"/>
      <c r="E908" s="18"/>
      <c r="F908" s="18"/>
    </row>
    <row r="909" spans="3:6" x14ac:dyDescent="0.2">
      <c r="C909" s="24"/>
      <c r="D909" s="18"/>
      <c r="E909" s="18"/>
      <c r="F909" s="18"/>
    </row>
    <row r="910" spans="3:6" x14ac:dyDescent="0.2">
      <c r="C910" s="24"/>
      <c r="D910" s="18"/>
      <c r="E910" s="18"/>
      <c r="F910" s="18"/>
    </row>
    <row r="911" spans="3:6" x14ac:dyDescent="0.2">
      <c r="C911" s="24"/>
      <c r="D911" s="18"/>
      <c r="E911" s="18"/>
      <c r="F911" s="18"/>
    </row>
    <row r="912" spans="3:6" x14ac:dyDescent="0.2">
      <c r="C912" s="24"/>
      <c r="D912" s="18"/>
      <c r="E912" s="18"/>
      <c r="F912" s="18"/>
    </row>
    <row r="913" spans="3:6" x14ac:dyDescent="0.2">
      <c r="C913" s="24"/>
      <c r="D913" s="18"/>
      <c r="E913" s="18"/>
      <c r="F913" s="18"/>
    </row>
    <row r="914" spans="3:6" x14ac:dyDescent="0.2">
      <c r="C914" s="24"/>
      <c r="D914" s="18"/>
      <c r="E914" s="18"/>
      <c r="F914" s="18"/>
    </row>
    <row r="915" spans="3:6" x14ac:dyDescent="0.2">
      <c r="C915" s="24"/>
      <c r="D915" s="18"/>
      <c r="E915" s="18"/>
      <c r="F915" s="18"/>
    </row>
    <row r="916" spans="3:6" x14ac:dyDescent="0.2">
      <c r="C916" s="24"/>
      <c r="D916" s="18"/>
      <c r="E916" s="18"/>
      <c r="F916" s="18"/>
    </row>
    <row r="917" spans="3:6" x14ac:dyDescent="0.2">
      <c r="C917" s="24"/>
      <c r="D917" s="18"/>
      <c r="E917" s="18"/>
      <c r="F917" s="18"/>
    </row>
    <row r="918" spans="3:6" x14ac:dyDescent="0.2">
      <c r="C918" s="24"/>
      <c r="D918" s="18"/>
      <c r="E918" s="18"/>
      <c r="F918" s="18"/>
    </row>
    <row r="919" spans="3:6" x14ac:dyDescent="0.2">
      <c r="C919" s="24"/>
      <c r="D919" s="18"/>
      <c r="E919" s="18"/>
      <c r="F919" s="18"/>
    </row>
    <row r="920" spans="3:6" x14ac:dyDescent="0.2">
      <c r="C920" s="24"/>
      <c r="D920" s="18"/>
      <c r="E920" s="18"/>
      <c r="F920" s="18"/>
    </row>
    <row r="921" spans="3:6" x14ac:dyDescent="0.2">
      <c r="C921" s="24"/>
      <c r="D921" s="18"/>
      <c r="E921" s="18"/>
      <c r="F921" s="18"/>
    </row>
    <row r="922" spans="3:6" x14ac:dyDescent="0.2">
      <c r="C922" s="24"/>
      <c r="D922" s="18"/>
      <c r="E922" s="18"/>
      <c r="F922" s="18"/>
    </row>
    <row r="923" spans="3:6" x14ac:dyDescent="0.2">
      <c r="C923" s="24"/>
      <c r="D923" s="18"/>
      <c r="E923" s="18"/>
      <c r="F923" s="18"/>
    </row>
    <row r="924" spans="3:6" x14ac:dyDescent="0.2">
      <c r="C924" s="24"/>
      <c r="D924" s="18"/>
      <c r="E924" s="18"/>
      <c r="F924" s="18"/>
    </row>
    <row r="925" spans="3:6" x14ac:dyDescent="0.2">
      <c r="C925" s="24"/>
      <c r="D925" s="18"/>
      <c r="E925" s="18"/>
      <c r="F925" s="18"/>
    </row>
    <row r="926" spans="3:6" x14ac:dyDescent="0.2">
      <c r="C926" s="24"/>
      <c r="D926" s="18"/>
      <c r="E926" s="18"/>
      <c r="F926" s="18"/>
    </row>
    <row r="927" spans="3:6" x14ac:dyDescent="0.2">
      <c r="C927" s="24"/>
      <c r="D927" s="18"/>
      <c r="E927" s="18"/>
      <c r="F927" s="18"/>
    </row>
    <row r="928" spans="3:6" x14ac:dyDescent="0.2">
      <c r="C928" s="24"/>
      <c r="D928" s="18"/>
      <c r="E928" s="18"/>
      <c r="F928" s="18"/>
    </row>
    <row r="929" spans="3:6" x14ac:dyDescent="0.2">
      <c r="C929" s="24"/>
      <c r="D929" s="18"/>
      <c r="E929" s="18"/>
      <c r="F929" s="18"/>
    </row>
    <row r="930" spans="3:6" x14ac:dyDescent="0.2">
      <c r="C930" s="24"/>
      <c r="D930" s="18"/>
      <c r="E930" s="18"/>
      <c r="F930" s="18"/>
    </row>
    <row r="931" spans="3:6" x14ac:dyDescent="0.2">
      <c r="C931" s="24"/>
      <c r="D931" s="18"/>
      <c r="E931" s="18"/>
      <c r="F931" s="18"/>
    </row>
    <row r="932" spans="3:6" x14ac:dyDescent="0.2">
      <c r="C932" s="24"/>
      <c r="D932" s="18"/>
      <c r="E932" s="18"/>
      <c r="F932" s="18"/>
    </row>
    <row r="933" spans="3:6" x14ac:dyDescent="0.2">
      <c r="C933" s="24"/>
      <c r="D933" s="18"/>
      <c r="E933" s="18"/>
      <c r="F933" s="18"/>
    </row>
    <row r="934" spans="3:6" x14ac:dyDescent="0.2">
      <c r="C934" s="24"/>
      <c r="D934" s="18"/>
      <c r="E934" s="18"/>
      <c r="F934" s="18"/>
    </row>
    <row r="935" spans="3:6" x14ac:dyDescent="0.2">
      <c r="C935" s="24"/>
      <c r="D935" s="18"/>
      <c r="E935" s="18"/>
      <c r="F935" s="18"/>
    </row>
    <row r="936" spans="3:6" x14ac:dyDescent="0.2">
      <c r="C936" s="24"/>
      <c r="D936" s="18"/>
      <c r="E936" s="18"/>
      <c r="F936" s="18"/>
    </row>
    <row r="937" spans="3:6" x14ac:dyDescent="0.2">
      <c r="C937" s="24"/>
      <c r="D937" s="18"/>
      <c r="E937" s="18"/>
      <c r="F937" s="18"/>
    </row>
    <row r="938" spans="3:6" x14ac:dyDescent="0.2">
      <c r="C938" s="24"/>
      <c r="D938" s="18"/>
      <c r="E938" s="18"/>
      <c r="F938" s="18"/>
    </row>
    <row r="939" spans="3:6" x14ac:dyDescent="0.2">
      <c r="C939" s="24"/>
      <c r="D939" s="18"/>
      <c r="E939" s="18"/>
      <c r="F939" s="18"/>
    </row>
    <row r="940" spans="3:6" x14ac:dyDescent="0.2">
      <c r="C940" s="24"/>
      <c r="D940" s="18"/>
      <c r="E940" s="18"/>
      <c r="F940" s="18"/>
    </row>
    <row r="941" spans="3:6" x14ac:dyDescent="0.2">
      <c r="C941" s="24"/>
      <c r="D941" s="18"/>
      <c r="E941" s="18"/>
      <c r="F941" s="18"/>
    </row>
    <row r="942" spans="3:6" x14ac:dyDescent="0.2">
      <c r="C942" s="24"/>
      <c r="D942" s="18"/>
      <c r="E942" s="18"/>
      <c r="F942" s="18"/>
    </row>
    <row r="943" spans="3:6" x14ac:dyDescent="0.2">
      <c r="C943" s="24"/>
      <c r="D943" s="18"/>
      <c r="E943" s="18"/>
      <c r="F943" s="18"/>
    </row>
    <row r="944" spans="3:6" x14ac:dyDescent="0.2">
      <c r="C944" s="24"/>
      <c r="D944" s="18"/>
      <c r="E944" s="18"/>
      <c r="F944" s="18"/>
    </row>
    <row r="945" spans="3:6" x14ac:dyDescent="0.2">
      <c r="C945" s="24"/>
      <c r="D945" s="18"/>
      <c r="E945" s="18"/>
      <c r="F945" s="18"/>
    </row>
    <row r="946" spans="3:6" x14ac:dyDescent="0.2">
      <c r="C946" s="24"/>
      <c r="D946" s="18"/>
      <c r="E946" s="18"/>
      <c r="F946" s="18"/>
    </row>
    <row r="947" spans="3:6" x14ac:dyDescent="0.2">
      <c r="C947" s="24"/>
      <c r="D947" s="18"/>
      <c r="E947" s="18"/>
      <c r="F947" s="18"/>
    </row>
    <row r="948" spans="3:6" x14ac:dyDescent="0.2">
      <c r="C948" s="24"/>
      <c r="D948" s="18"/>
      <c r="E948" s="18"/>
      <c r="F948" s="18"/>
    </row>
    <row r="949" spans="3:6" x14ac:dyDescent="0.2">
      <c r="C949" s="24"/>
      <c r="D949" s="18"/>
      <c r="E949" s="18"/>
      <c r="F949" s="18"/>
    </row>
    <row r="950" spans="3:6" x14ac:dyDescent="0.2">
      <c r="C950" s="24"/>
      <c r="D950" s="18"/>
      <c r="E950" s="18"/>
      <c r="F950" s="18"/>
    </row>
    <row r="951" spans="3:6" x14ac:dyDescent="0.2">
      <c r="C951" s="24"/>
      <c r="D951" s="18"/>
      <c r="E951" s="18"/>
      <c r="F951" s="18"/>
    </row>
    <row r="952" spans="3:6" x14ac:dyDescent="0.2">
      <c r="C952" s="24"/>
      <c r="D952" s="18"/>
      <c r="E952" s="18"/>
      <c r="F952" s="18"/>
    </row>
    <row r="953" spans="3:6" x14ac:dyDescent="0.2">
      <c r="C953" s="24"/>
      <c r="D953" s="18"/>
      <c r="E953" s="18"/>
      <c r="F953" s="18"/>
    </row>
    <row r="954" spans="3:6" x14ac:dyDescent="0.2">
      <c r="C954" s="24"/>
      <c r="D954" s="18"/>
      <c r="E954" s="18"/>
      <c r="F954" s="18"/>
    </row>
    <row r="955" spans="3:6" x14ac:dyDescent="0.2">
      <c r="C955" s="24"/>
      <c r="D955" s="18"/>
      <c r="E955" s="18"/>
      <c r="F955" s="18"/>
    </row>
    <row r="956" spans="3:6" x14ac:dyDescent="0.2">
      <c r="C956" s="24"/>
      <c r="D956" s="18"/>
      <c r="E956" s="18"/>
      <c r="F956" s="18"/>
    </row>
    <row r="957" spans="3:6" x14ac:dyDescent="0.2">
      <c r="C957" s="24"/>
      <c r="D957" s="18"/>
      <c r="E957" s="18"/>
      <c r="F957" s="18"/>
    </row>
    <row r="958" spans="3:6" x14ac:dyDescent="0.2">
      <c r="C958" s="24"/>
      <c r="D958" s="18"/>
      <c r="E958" s="18"/>
      <c r="F958" s="18"/>
    </row>
    <row r="959" spans="3:6" x14ac:dyDescent="0.2">
      <c r="C959" s="24"/>
      <c r="D959" s="18"/>
      <c r="E959" s="18"/>
      <c r="F959" s="18"/>
    </row>
    <row r="960" spans="3:6" x14ac:dyDescent="0.2">
      <c r="C960" s="24"/>
      <c r="D960" s="18"/>
      <c r="E960" s="18"/>
      <c r="F960" s="18"/>
    </row>
    <row r="961" spans="3:6" x14ac:dyDescent="0.2">
      <c r="C961" s="24"/>
      <c r="D961" s="18"/>
      <c r="E961" s="18"/>
      <c r="F961" s="18"/>
    </row>
    <row r="962" spans="3:6" x14ac:dyDescent="0.2">
      <c r="C962" s="24"/>
      <c r="D962" s="18"/>
      <c r="E962" s="18"/>
      <c r="F962" s="18"/>
    </row>
    <row r="963" spans="3:6" x14ac:dyDescent="0.2">
      <c r="C963" s="24"/>
      <c r="D963" s="18"/>
      <c r="E963" s="18"/>
      <c r="F963" s="18"/>
    </row>
    <row r="964" spans="3:6" x14ac:dyDescent="0.2">
      <c r="C964" s="24"/>
      <c r="D964" s="18"/>
      <c r="E964" s="18"/>
      <c r="F964" s="18"/>
    </row>
    <row r="965" spans="3:6" x14ac:dyDescent="0.2">
      <c r="C965" s="24"/>
      <c r="D965" s="18"/>
      <c r="E965" s="18"/>
      <c r="F965" s="18"/>
    </row>
    <row r="966" spans="3:6" x14ac:dyDescent="0.2">
      <c r="C966" s="24"/>
      <c r="D966" s="18"/>
      <c r="E966" s="18"/>
      <c r="F966" s="18"/>
    </row>
    <row r="967" spans="3:6" x14ac:dyDescent="0.2">
      <c r="C967" s="24"/>
      <c r="D967" s="18"/>
      <c r="E967" s="18"/>
      <c r="F967" s="18"/>
    </row>
    <row r="968" spans="3:6" x14ac:dyDescent="0.2">
      <c r="C968" s="24"/>
      <c r="D968" s="18"/>
      <c r="E968" s="18"/>
      <c r="F968" s="18"/>
    </row>
    <row r="969" spans="3:6" x14ac:dyDescent="0.2">
      <c r="C969" s="24"/>
      <c r="D969" s="18"/>
      <c r="E969" s="18"/>
      <c r="F969" s="18"/>
    </row>
    <row r="970" spans="3:6" x14ac:dyDescent="0.2">
      <c r="C970" s="24"/>
      <c r="D970" s="18"/>
      <c r="E970" s="18"/>
      <c r="F970" s="18"/>
    </row>
    <row r="971" spans="3:6" x14ac:dyDescent="0.2">
      <c r="C971" s="24"/>
      <c r="D971" s="18"/>
      <c r="E971" s="18"/>
      <c r="F971" s="18"/>
    </row>
    <row r="972" spans="3:6" x14ac:dyDescent="0.2">
      <c r="C972" s="24"/>
      <c r="D972" s="18"/>
      <c r="E972" s="18"/>
      <c r="F972" s="18"/>
    </row>
    <row r="973" spans="3:6" x14ac:dyDescent="0.2">
      <c r="C973" s="24"/>
      <c r="D973" s="18"/>
      <c r="E973" s="18"/>
      <c r="F973" s="18"/>
    </row>
    <row r="974" spans="3:6" x14ac:dyDescent="0.2">
      <c r="C974" s="24"/>
      <c r="D974" s="18"/>
      <c r="E974" s="18"/>
      <c r="F974" s="18"/>
    </row>
    <row r="975" spans="3:6" x14ac:dyDescent="0.2">
      <c r="C975" s="24"/>
      <c r="D975" s="18"/>
      <c r="E975" s="18"/>
      <c r="F975" s="18"/>
    </row>
    <row r="976" spans="3:6" x14ac:dyDescent="0.2">
      <c r="C976" s="24"/>
      <c r="D976" s="18"/>
      <c r="E976" s="18"/>
      <c r="F976" s="18"/>
    </row>
    <row r="977" spans="3:6" x14ac:dyDescent="0.2">
      <c r="C977" s="24"/>
      <c r="D977" s="18"/>
      <c r="E977" s="18"/>
      <c r="F977" s="18"/>
    </row>
    <row r="978" spans="3:6" x14ac:dyDescent="0.2">
      <c r="C978" s="24"/>
      <c r="D978" s="18"/>
      <c r="E978" s="18"/>
      <c r="F978" s="18"/>
    </row>
    <row r="979" spans="3:6" x14ac:dyDescent="0.2">
      <c r="C979" s="24"/>
      <c r="D979" s="18"/>
      <c r="E979" s="18"/>
      <c r="F979" s="18"/>
    </row>
    <row r="980" spans="3:6" x14ac:dyDescent="0.2">
      <c r="C980" s="24"/>
      <c r="D980" s="18"/>
      <c r="E980" s="18"/>
      <c r="F980" s="18"/>
    </row>
    <row r="981" spans="3:6" x14ac:dyDescent="0.2">
      <c r="C981" s="24"/>
      <c r="D981" s="18"/>
      <c r="E981" s="18"/>
      <c r="F981" s="18"/>
    </row>
    <row r="982" spans="3:6" x14ac:dyDescent="0.2">
      <c r="C982" s="24"/>
      <c r="D982" s="18"/>
      <c r="E982" s="18"/>
      <c r="F982" s="18"/>
    </row>
    <row r="983" spans="3:6" x14ac:dyDescent="0.2">
      <c r="C983" s="24"/>
      <c r="D983" s="18"/>
      <c r="E983" s="18"/>
      <c r="F983" s="18"/>
    </row>
    <row r="984" spans="3:6" x14ac:dyDescent="0.2">
      <c r="C984" s="24"/>
      <c r="D984" s="18"/>
      <c r="E984" s="18"/>
      <c r="F984" s="18"/>
    </row>
    <row r="985" spans="3:6" x14ac:dyDescent="0.2">
      <c r="C985" s="24"/>
      <c r="D985" s="18"/>
      <c r="E985" s="18"/>
      <c r="F985" s="18"/>
    </row>
    <row r="986" spans="3:6" x14ac:dyDescent="0.2">
      <c r="C986" s="24"/>
      <c r="D986" s="18"/>
      <c r="E986" s="18"/>
      <c r="F986" s="18"/>
    </row>
    <row r="987" spans="3:6" x14ac:dyDescent="0.2">
      <c r="C987" s="24"/>
      <c r="D987" s="18"/>
      <c r="E987" s="18"/>
      <c r="F987" s="18"/>
    </row>
    <row r="988" spans="3:6" x14ac:dyDescent="0.2">
      <c r="C988" s="24"/>
      <c r="D988" s="18"/>
      <c r="E988" s="18"/>
      <c r="F988" s="18"/>
    </row>
    <row r="989" spans="3:6" x14ac:dyDescent="0.2">
      <c r="C989" s="24"/>
      <c r="D989" s="18"/>
      <c r="E989" s="18"/>
      <c r="F989" s="18"/>
    </row>
    <row r="990" spans="3:6" x14ac:dyDescent="0.2">
      <c r="C990" s="24"/>
      <c r="D990" s="18"/>
      <c r="E990" s="18"/>
      <c r="F990" s="18"/>
    </row>
    <row r="991" spans="3:6" x14ac:dyDescent="0.2">
      <c r="C991" s="24"/>
      <c r="D991" s="18"/>
      <c r="E991" s="18"/>
      <c r="F991" s="18"/>
    </row>
    <row r="992" spans="3:6" x14ac:dyDescent="0.2">
      <c r="C992" s="24"/>
      <c r="D992" s="18"/>
      <c r="E992" s="18"/>
      <c r="F992" s="18"/>
    </row>
    <row r="993" spans="3:6" x14ac:dyDescent="0.2">
      <c r="C993" s="24"/>
      <c r="D993" s="18"/>
      <c r="E993" s="18"/>
      <c r="F993" s="18"/>
    </row>
    <row r="994" spans="3:6" x14ac:dyDescent="0.2">
      <c r="C994" s="24"/>
      <c r="D994" s="18"/>
      <c r="E994" s="18"/>
      <c r="F994" s="18"/>
    </row>
    <row r="995" spans="3:6" x14ac:dyDescent="0.2">
      <c r="C995" s="24"/>
      <c r="D995" s="18"/>
      <c r="E995" s="18"/>
      <c r="F995" s="18"/>
    </row>
    <row r="996" spans="3:6" x14ac:dyDescent="0.2">
      <c r="C996" s="24"/>
      <c r="D996" s="18"/>
      <c r="E996" s="18"/>
      <c r="F996" s="18"/>
    </row>
    <row r="997" spans="3:6" x14ac:dyDescent="0.2">
      <c r="C997" s="24"/>
      <c r="D997" s="18"/>
      <c r="E997" s="18"/>
      <c r="F997" s="18"/>
    </row>
    <row r="998" spans="3:6" x14ac:dyDescent="0.2">
      <c r="C998" s="24"/>
      <c r="D998" s="18"/>
      <c r="E998" s="18"/>
      <c r="F998" s="18"/>
    </row>
    <row r="999" spans="3:6" x14ac:dyDescent="0.2">
      <c r="C999" s="24"/>
      <c r="D999" s="18"/>
      <c r="E999" s="18"/>
      <c r="F999" s="18"/>
    </row>
    <row r="1000" spans="3:6" x14ac:dyDescent="0.2">
      <c r="C1000" s="24"/>
      <c r="D1000" s="18"/>
      <c r="E1000" s="18"/>
      <c r="F1000" s="18"/>
    </row>
    <row r="1001" spans="3:6" x14ac:dyDescent="0.2">
      <c r="C1001" s="24"/>
      <c r="D1001" s="18"/>
      <c r="E1001" s="18"/>
      <c r="F1001" s="18"/>
    </row>
    <row r="1002" spans="3:6" x14ac:dyDescent="0.2">
      <c r="C1002" s="24"/>
      <c r="D1002" s="18"/>
      <c r="E1002" s="18"/>
      <c r="F1002" s="18"/>
    </row>
    <row r="1003" spans="3:6" x14ac:dyDescent="0.2">
      <c r="C1003" s="24"/>
      <c r="D1003" s="18"/>
      <c r="E1003" s="18"/>
      <c r="F1003" s="18"/>
    </row>
    <row r="1004" spans="3:6" x14ac:dyDescent="0.2">
      <c r="C1004" s="24"/>
      <c r="D1004" s="18"/>
      <c r="E1004" s="18"/>
      <c r="F1004" s="18"/>
    </row>
    <row r="1005" spans="3:6" x14ac:dyDescent="0.2">
      <c r="C1005" s="24"/>
      <c r="D1005" s="18"/>
      <c r="E1005" s="18"/>
      <c r="F1005" s="18"/>
    </row>
    <row r="1006" spans="3:6" x14ac:dyDescent="0.2">
      <c r="C1006" s="24"/>
      <c r="D1006" s="18"/>
      <c r="E1006" s="18"/>
      <c r="F1006" s="18"/>
    </row>
    <row r="1007" spans="3:6" x14ac:dyDescent="0.2">
      <c r="C1007" s="24"/>
      <c r="D1007" s="18"/>
      <c r="E1007" s="18"/>
      <c r="F1007" s="18"/>
    </row>
    <row r="1008" spans="3:6" x14ac:dyDescent="0.2">
      <c r="C1008" s="24"/>
      <c r="D1008" s="18"/>
      <c r="E1008" s="18"/>
      <c r="F1008" s="18"/>
    </row>
    <row r="1009" spans="3:6" x14ac:dyDescent="0.2">
      <c r="C1009" s="24"/>
      <c r="D1009" s="18"/>
      <c r="E1009" s="18"/>
      <c r="F1009" s="18"/>
    </row>
    <row r="1010" spans="3:6" x14ac:dyDescent="0.2">
      <c r="C1010" s="24"/>
      <c r="D1010" s="18"/>
      <c r="E1010" s="18"/>
      <c r="F1010" s="18"/>
    </row>
    <row r="1011" spans="3:6" x14ac:dyDescent="0.2">
      <c r="C1011" s="24"/>
      <c r="D1011" s="18"/>
      <c r="E1011" s="18"/>
      <c r="F1011" s="18"/>
    </row>
    <row r="1012" spans="3:6" x14ac:dyDescent="0.2">
      <c r="C1012" s="24"/>
      <c r="D1012" s="18"/>
      <c r="E1012" s="18"/>
      <c r="F1012" s="18"/>
    </row>
    <row r="1013" spans="3:6" x14ac:dyDescent="0.2">
      <c r="C1013" s="24"/>
      <c r="D1013" s="18"/>
      <c r="E1013" s="18"/>
      <c r="F1013" s="18"/>
    </row>
    <row r="1014" spans="3:6" x14ac:dyDescent="0.2">
      <c r="C1014" s="24"/>
      <c r="D1014" s="18"/>
      <c r="E1014" s="18"/>
      <c r="F1014" s="18"/>
    </row>
    <row r="1015" spans="3:6" x14ac:dyDescent="0.2">
      <c r="C1015" s="24"/>
      <c r="D1015" s="18"/>
      <c r="E1015" s="18"/>
      <c r="F1015" s="18"/>
    </row>
    <row r="1016" spans="3:6" x14ac:dyDescent="0.2">
      <c r="C1016" s="24"/>
      <c r="D1016" s="18"/>
      <c r="E1016" s="18"/>
      <c r="F1016" s="18"/>
    </row>
    <row r="1017" spans="3:6" x14ac:dyDescent="0.2">
      <c r="C1017" s="24"/>
      <c r="D1017" s="18"/>
      <c r="E1017" s="18"/>
      <c r="F1017" s="18"/>
    </row>
    <row r="1018" spans="3:6" x14ac:dyDescent="0.2">
      <c r="C1018" s="24"/>
      <c r="D1018" s="18"/>
      <c r="E1018" s="18"/>
      <c r="F1018" s="18"/>
    </row>
    <row r="1019" spans="3:6" x14ac:dyDescent="0.2">
      <c r="C1019" s="24"/>
      <c r="D1019" s="18"/>
      <c r="E1019" s="18"/>
      <c r="F1019" s="18"/>
    </row>
    <row r="1020" spans="3:6" x14ac:dyDescent="0.2">
      <c r="C1020" s="24"/>
      <c r="D1020" s="18"/>
      <c r="E1020" s="18"/>
      <c r="F1020" s="18"/>
    </row>
    <row r="1021" spans="3:6" x14ac:dyDescent="0.2">
      <c r="C1021" s="24"/>
      <c r="D1021" s="18"/>
      <c r="E1021" s="18"/>
      <c r="F1021" s="18"/>
    </row>
    <row r="1022" spans="3:6" x14ac:dyDescent="0.2">
      <c r="C1022" s="24"/>
      <c r="D1022" s="18"/>
      <c r="E1022" s="18"/>
      <c r="F1022" s="18"/>
    </row>
    <row r="1023" spans="3:6" x14ac:dyDescent="0.2">
      <c r="C1023" s="24"/>
      <c r="D1023" s="18"/>
      <c r="E1023" s="18"/>
      <c r="F1023" s="18"/>
    </row>
    <row r="1024" spans="3:6" x14ac:dyDescent="0.2">
      <c r="C1024" s="24"/>
      <c r="D1024" s="18"/>
      <c r="E1024" s="18"/>
      <c r="F1024" s="18"/>
    </row>
    <row r="1025" spans="3:6" x14ac:dyDescent="0.2">
      <c r="C1025" s="24"/>
      <c r="D1025" s="18"/>
      <c r="E1025" s="18"/>
      <c r="F1025" s="18"/>
    </row>
    <row r="1026" spans="3:6" x14ac:dyDescent="0.2">
      <c r="C1026" s="24"/>
      <c r="D1026" s="18"/>
      <c r="E1026" s="18"/>
      <c r="F1026" s="18"/>
    </row>
    <row r="1027" spans="3:6" x14ac:dyDescent="0.2">
      <c r="C1027" s="24"/>
      <c r="D1027" s="18"/>
      <c r="E1027" s="18"/>
      <c r="F1027" s="18"/>
    </row>
    <row r="1028" spans="3:6" x14ac:dyDescent="0.2">
      <c r="C1028" s="24"/>
      <c r="D1028" s="18"/>
      <c r="E1028" s="18"/>
      <c r="F1028" s="18"/>
    </row>
    <row r="1029" spans="3:6" x14ac:dyDescent="0.2">
      <c r="C1029" s="24"/>
      <c r="D1029" s="18"/>
      <c r="E1029" s="18"/>
      <c r="F1029" s="18"/>
    </row>
    <row r="1030" spans="3:6" x14ac:dyDescent="0.2">
      <c r="C1030" s="24"/>
      <c r="D1030" s="18"/>
      <c r="E1030" s="18"/>
      <c r="F1030" s="18"/>
    </row>
    <row r="1031" spans="3:6" x14ac:dyDescent="0.2">
      <c r="C1031" s="24"/>
      <c r="D1031" s="18"/>
      <c r="E1031" s="18"/>
      <c r="F1031" s="18"/>
    </row>
    <row r="1032" spans="3:6" x14ac:dyDescent="0.2">
      <c r="C1032" s="24"/>
      <c r="D1032" s="18"/>
      <c r="E1032" s="18"/>
      <c r="F1032" s="18"/>
    </row>
    <row r="1033" spans="3:6" x14ac:dyDescent="0.2">
      <c r="C1033" s="24"/>
      <c r="D1033" s="18"/>
      <c r="E1033" s="18"/>
      <c r="F1033" s="18"/>
    </row>
    <row r="1034" spans="3:6" x14ac:dyDescent="0.2">
      <c r="C1034" s="24"/>
      <c r="D1034" s="18"/>
      <c r="E1034" s="18"/>
      <c r="F1034" s="18"/>
    </row>
    <row r="1035" spans="3:6" x14ac:dyDescent="0.2">
      <c r="C1035" s="24"/>
      <c r="D1035" s="18"/>
      <c r="E1035" s="18"/>
      <c r="F1035" s="18"/>
    </row>
    <row r="1036" spans="3:6" x14ac:dyDescent="0.2">
      <c r="C1036" s="24"/>
      <c r="D1036" s="18"/>
      <c r="E1036" s="18"/>
      <c r="F1036" s="18"/>
    </row>
    <row r="1037" spans="3:6" x14ac:dyDescent="0.2">
      <c r="C1037" s="24"/>
      <c r="D1037" s="18"/>
      <c r="E1037" s="18"/>
      <c r="F1037" s="18"/>
    </row>
    <row r="1038" spans="3:6" x14ac:dyDescent="0.2">
      <c r="C1038" s="24"/>
      <c r="D1038" s="18"/>
      <c r="E1038" s="18"/>
      <c r="F1038" s="18"/>
    </row>
    <row r="1039" spans="3:6" x14ac:dyDescent="0.2">
      <c r="C1039" s="24"/>
      <c r="D1039" s="18"/>
      <c r="E1039" s="18"/>
      <c r="F1039" s="18"/>
    </row>
    <row r="1040" spans="3:6" x14ac:dyDescent="0.2">
      <c r="C1040" s="24"/>
      <c r="D1040" s="18"/>
      <c r="E1040" s="18"/>
      <c r="F1040" s="18"/>
    </row>
    <row r="1041" spans="3:6" x14ac:dyDescent="0.2">
      <c r="C1041" s="24"/>
      <c r="D1041" s="18"/>
      <c r="E1041" s="18"/>
      <c r="F1041" s="18"/>
    </row>
    <row r="1042" spans="3:6" x14ac:dyDescent="0.2">
      <c r="C1042" s="24"/>
      <c r="D1042" s="18"/>
      <c r="E1042" s="18"/>
      <c r="F1042" s="18"/>
    </row>
    <row r="1043" spans="3:6" x14ac:dyDescent="0.2">
      <c r="C1043" s="24"/>
      <c r="D1043" s="18"/>
      <c r="E1043" s="18"/>
      <c r="F1043" s="18"/>
    </row>
    <row r="1044" spans="3:6" x14ac:dyDescent="0.2">
      <c r="C1044" s="24"/>
      <c r="D1044" s="18"/>
      <c r="E1044" s="18"/>
      <c r="F1044" s="18"/>
    </row>
    <row r="1045" spans="3:6" x14ac:dyDescent="0.2">
      <c r="C1045" s="24"/>
      <c r="D1045" s="18"/>
      <c r="E1045" s="18"/>
      <c r="F1045" s="18"/>
    </row>
    <row r="1046" spans="3:6" x14ac:dyDescent="0.2">
      <c r="C1046" s="24"/>
      <c r="D1046" s="18"/>
      <c r="E1046" s="18"/>
      <c r="F1046" s="18"/>
    </row>
    <row r="1047" spans="3:6" x14ac:dyDescent="0.2">
      <c r="C1047" s="24"/>
      <c r="D1047" s="18"/>
      <c r="E1047" s="18"/>
      <c r="F1047" s="18"/>
    </row>
    <row r="1048" spans="3:6" x14ac:dyDescent="0.2">
      <c r="C1048" s="24"/>
      <c r="D1048" s="18"/>
      <c r="E1048" s="18"/>
      <c r="F1048" s="18"/>
    </row>
    <row r="1049" spans="3:6" x14ac:dyDescent="0.2">
      <c r="C1049" s="24"/>
      <c r="D1049" s="18"/>
      <c r="E1049" s="18"/>
      <c r="F1049" s="18"/>
    </row>
    <row r="1050" spans="3:6" x14ac:dyDescent="0.2">
      <c r="C1050" s="24"/>
      <c r="D1050" s="18"/>
      <c r="E1050" s="18"/>
      <c r="F1050" s="18"/>
    </row>
    <row r="1051" spans="3:6" x14ac:dyDescent="0.2">
      <c r="C1051" s="24"/>
      <c r="D1051" s="18"/>
      <c r="E1051" s="18"/>
      <c r="F1051" s="18"/>
    </row>
    <row r="1052" spans="3:6" x14ac:dyDescent="0.2">
      <c r="C1052" s="24"/>
      <c r="D1052" s="18"/>
      <c r="E1052" s="18"/>
      <c r="F1052" s="18"/>
    </row>
    <row r="1053" spans="3:6" x14ac:dyDescent="0.2">
      <c r="C1053" s="24"/>
      <c r="D1053" s="18"/>
      <c r="E1053" s="18"/>
      <c r="F1053" s="18"/>
    </row>
    <row r="1054" spans="3:6" x14ac:dyDescent="0.2">
      <c r="C1054" s="24"/>
      <c r="D1054" s="18"/>
      <c r="E1054" s="18"/>
      <c r="F1054" s="18"/>
    </row>
    <row r="1055" spans="3:6" x14ac:dyDescent="0.2">
      <c r="C1055" s="24"/>
      <c r="D1055" s="18"/>
      <c r="E1055" s="18"/>
      <c r="F1055" s="18"/>
    </row>
    <row r="1056" spans="3:6" x14ac:dyDescent="0.2">
      <c r="C1056" s="24"/>
      <c r="D1056" s="18"/>
      <c r="E1056" s="18"/>
      <c r="F1056" s="18"/>
    </row>
    <row r="1057" spans="3:6" x14ac:dyDescent="0.2">
      <c r="C1057" s="24"/>
      <c r="D1057" s="18"/>
      <c r="E1057" s="18"/>
      <c r="F1057" s="18"/>
    </row>
    <row r="1058" spans="3:6" x14ac:dyDescent="0.2">
      <c r="C1058" s="24"/>
      <c r="D1058" s="18"/>
      <c r="E1058" s="18"/>
      <c r="F1058" s="18"/>
    </row>
    <row r="1059" spans="3:6" x14ac:dyDescent="0.2">
      <c r="C1059" s="24"/>
      <c r="D1059" s="18"/>
      <c r="E1059" s="18"/>
      <c r="F1059" s="18"/>
    </row>
    <row r="1060" spans="3:6" x14ac:dyDescent="0.2">
      <c r="C1060" s="24"/>
      <c r="D1060" s="18"/>
      <c r="E1060" s="18"/>
      <c r="F1060" s="18"/>
    </row>
    <row r="1061" spans="3:6" x14ac:dyDescent="0.2">
      <c r="C1061" s="24"/>
      <c r="D1061" s="18"/>
      <c r="E1061" s="18"/>
      <c r="F1061" s="18"/>
    </row>
    <row r="1062" spans="3:6" x14ac:dyDescent="0.2">
      <c r="C1062" s="24"/>
      <c r="D1062" s="18"/>
      <c r="E1062" s="18"/>
      <c r="F1062" s="18"/>
    </row>
    <row r="1063" spans="3:6" x14ac:dyDescent="0.2">
      <c r="C1063" s="24"/>
      <c r="D1063" s="18"/>
      <c r="E1063" s="18"/>
      <c r="F1063" s="18"/>
    </row>
    <row r="1064" spans="3:6" x14ac:dyDescent="0.2">
      <c r="C1064" s="24"/>
      <c r="D1064" s="18"/>
      <c r="E1064" s="18"/>
      <c r="F1064" s="18"/>
    </row>
    <row r="1065" spans="3:6" x14ac:dyDescent="0.2">
      <c r="C1065" s="24"/>
      <c r="D1065" s="18"/>
      <c r="E1065" s="18"/>
      <c r="F1065" s="18"/>
    </row>
    <row r="1066" spans="3:6" x14ac:dyDescent="0.2">
      <c r="C1066" s="24"/>
      <c r="D1066" s="18"/>
      <c r="E1066" s="18"/>
      <c r="F1066" s="18"/>
    </row>
    <row r="1067" spans="3:6" x14ac:dyDescent="0.2">
      <c r="C1067" s="24"/>
      <c r="D1067" s="18"/>
      <c r="E1067" s="18"/>
      <c r="F1067" s="18"/>
    </row>
    <row r="1068" spans="3:6" x14ac:dyDescent="0.2">
      <c r="C1068" s="24"/>
      <c r="D1068" s="18"/>
      <c r="E1068" s="18"/>
      <c r="F1068" s="18"/>
    </row>
    <row r="1069" spans="3:6" x14ac:dyDescent="0.2">
      <c r="C1069" s="24"/>
      <c r="D1069" s="18"/>
      <c r="E1069" s="18"/>
      <c r="F1069" s="18"/>
    </row>
    <row r="1070" spans="3:6" x14ac:dyDescent="0.2">
      <c r="C1070" s="24"/>
      <c r="D1070" s="18"/>
      <c r="E1070" s="18"/>
      <c r="F1070" s="18"/>
    </row>
    <row r="1071" spans="3:6" x14ac:dyDescent="0.2">
      <c r="C1071" s="24"/>
      <c r="D1071" s="18"/>
      <c r="E1071" s="18"/>
      <c r="F1071" s="18"/>
    </row>
    <row r="1072" spans="3:6" x14ac:dyDescent="0.2">
      <c r="C1072" s="24"/>
      <c r="D1072" s="18"/>
      <c r="E1072" s="18"/>
      <c r="F1072" s="18"/>
    </row>
    <row r="1073" spans="3:6" x14ac:dyDescent="0.2">
      <c r="C1073" s="24"/>
      <c r="D1073" s="18"/>
      <c r="E1073" s="18"/>
      <c r="F1073" s="18"/>
    </row>
    <row r="1074" spans="3:6" x14ac:dyDescent="0.2">
      <c r="C1074" s="24"/>
      <c r="D1074" s="18"/>
      <c r="E1074" s="18"/>
      <c r="F1074" s="18"/>
    </row>
    <row r="1075" spans="3:6" x14ac:dyDescent="0.2">
      <c r="C1075" s="24"/>
      <c r="D1075" s="18"/>
      <c r="E1075" s="18"/>
      <c r="F1075" s="18"/>
    </row>
    <row r="1076" spans="3:6" x14ac:dyDescent="0.2">
      <c r="C1076" s="24"/>
      <c r="D1076" s="18"/>
      <c r="E1076" s="18"/>
      <c r="F1076" s="18"/>
    </row>
    <row r="1077" spans="3:6" x14ac:dyDescent="0.2">
      <c r="C1077" s="24"/>
      <c r="D1077" s="18"/>
      <c r="E1077" s="18"/>
      <c r="F1077" s="18"/>
    </row>
    <row r="1078" spans="3:6" x14ac:dyDescent="0.2">
      <c r="C1078" s="24"/>
      <c r="D1078" s="18"/>
      <c r="E1078" s="18"/>
      <c r="F1078" s="18"/>
    </row>
    <row r="1079" spans="3:6" x14ac:dyDescent="0.2">
      <c r="C1079" s="24"/>
      <c r="D1079" s="18"/>
      <c r="E1079" s="18"/>
      <c r="F1079" s="18"/>
    </row>
    <row r="1080" spans="3:6" x14ac:dyDescent="0.2">
      <c r="C1080" s="24"/>
      <c r="D1080" s="18"/>
      <c r="E1080" s="18"/>
      <c r="F1080" s="18"/>
    </row>
    <row r="1081" spans="3:6" x14ac:dyDescent="0.2">
      <c r="C1081" s="24"/>
      <c r="D1081" s="18"/>
      <c r="E1081" s="18"/>
      <c r="F1081" s="18"/>
    </row>
    <row r="1082" spans="3:6" x14ac:dyDescent="0.2">
      <c r="C1082" s="24"/>
      <c r="D1082" s="18"/>
      <c r="E1082" s="18"/>
      <c r="F1082" s="18"/>
    </row>
    <row r="1083" spans="3:6" x14ac:dyDescent="0.2">
      <c r="C1083" s="24"/>
      <c r="D1083" s="18"/>
      <c r="E1083" s="18"/>
      <c r="F1083" s="18"/>
    </row>
    <row r="1084" spans="3:6" x14ac:dyDescent="0.2">
      <c r="C1084" s="24"/>
      <c r="D1084" s="18"/>
      <c r="E1084" s="18"/>
      <c r="F1084" s="18"/>
    </row>
    <row r="1085" spans="3:6" x14ac:dyDescent="0.2">
      <c r="C1085" s="24"/>
      <c r="D1085" s="18"/>
      <c r="E1085" s="18"/>
      <c r="F1085" s="18"/>
    </row>
    <row r="1086" spans="3:6" x14ac:dyDescent="0.2">
      <c r="C1086" s="24"/>
      <c r="D1086" s="18"/>
      <c r="E1086" s="18"/>
      <c r="F1086" s="18"/>
    </row>
    <row r="1087" spans="3:6" x14ac:dyDescent="0.2">
      <c r="C1087" s="24"/>
      <c r="D1087" s="18"/>
      <c r="E1087" s="18"/>
      <c r="F1087" s="18"/>
    </row>
    <row r="1088" spans="3:6" x14ac:dyDescent="0.2">
      <c r="C1088" s="24"/>
      <c r="D1088" s="18"/>
      <c r="E1088" s="18"/>
      <c r="F1088" s="18"/>
    </row>
    <row r="1089" spans="3:6" x14ac:dyDescent="0.2">
      <c r="C1089" s="24"/>
      <c r="D1089" s="18"/>
      <c r="E1089" s="18"/>
      <c r="F1089" s="18"/>
    </row>
    <row r="1090" spans="3:6" x14ac:dyDescent="0.2">
      <c r="C1090" s="24"/>
      <c r="D1090" s="18"/>
      <c r="E1090" s="18"/>
      <c r="F1090" s="18"/>
    </row>
    <row r="1091" spans="3:6" x14ac:dyDescent="0.2">
      <c r="C1091" s="24"/>
      <c r="D1091" s="18"/>
      <c r="E1091" s="18"/>
      <c r="F1091" s="18"/>
    </row>
    <row r="1092" spans="3:6" x14ac:dyDescent="0.2">
      <c r="C1092" s="24"/>
      <c r="D1092" s="18"/>
      <c r="E1092" s="18"/>
      <c r="F1092" s="18"/>
    </row>
    <row r="1093" spans="3:6" x14ac:dyDescent="0.2">
      <c r="C1093" s="24"/>
      <c r="D1093" s="18"/>
      <c r="E1093" s="18"/>
      <c r="F1093" s="18"/>
    </row>
    <row r="1094" spans="3:6" x14ac:dyDescent="0.2">
      <c r="C1094" s="24"/>
      <c r="D1094" s="18"/>
      <c r="E1094" s="18"/>
      <c r="F1094" s="18"/>
    </row>
    <row r="1095" spans="3:6" x14ac:dyDescent="0.2">
      <c r="C1095" s="24"/>
      <c r="D1095" s="18"/>
      <c r="E1095" s="18"/>
      <c r="F1095" s="18"/>
    </row>
    <row r="1096" spans="3:6" x14ac:dyDescent="0.2">
      <c r="C1096" s="24"/>
      <c r="D1096" s="18"/>
      <c r="E1096" s="18"/>
      <c r="F1096" s="18"/>
    </row>
    <row r="1097" spans="3:6" x14ac:dyDescent="0.2">
      <c r="C1097" s="24"/>
      <c r="D1097" s="18"/>
      <c r="E1097" s="18"/>
      <c r="F1097" s="18"/>
    </row>
    <row r="1098" spans="3:6" x14ac:dyDescent="0.2">
      <c r="C1098" s="24"/>
      <c r="D1098" s="18"/>
      <c r="E1098" s="18"/>
      <c r="F1098" s="18"/>
    </row>
    <row r="1099" spans="3:6" x14ac:dyDescent="0.2">
      <c r="C1099" s="24"/>
      <c r="D1099" s="18"/>
      <c r="E1099" s="18"/>
      <c r="F1099" s="18"/>
    </row>
    <row r="1100" spans="3:6" x14ac:dyDescent="0.2">
      <c r="C1100" s="24"/>
      <c r="D1100" s="18"/>
      <c r="E1100" s="18"/>
      <c r="F1100" s="18"/>
    </row>
    <row r="1101" spans="3:6" x14ac:dyDescent="0.2">
      <c r="C1101" s="24"/>
      <c r="D1101" s="18"/>
      <c r="E1101" s="18"/>
      <c r="F1101" s="18"/>
    </row>
    <row r="1102" spans="3:6" x14ac:dyDescent="0.2">
      <c r="C1102" s="24"/>
      <c r="D1102" s="18"/>
      <c r="E1102" s="18"/>
      <c r="F1102" s="18"/>
    </row>
    <row r="1103" spans="3:6" x14ac:dyDescent="0.2">
      <c r="C1103" s="24"/>
      <c r="D1103" s="18"/>
      <c r="E1103" s="18"/>
      <c r="F1103" s="18"/>
    </row>
    <row r="1104" spans="3:6" x14ac:dyDescent="0.2">
      <c r="C1104" s="24"/>
      <c r="D1104" s="18"/>
      <c r="E1104" s="18"/>
      <c r="F1104" s="18"/>
    </row>
    <row r="1105" spans="3:6" x14ac:dyDescent="0.2">
      <c r="C1105" s="24"/>
      <c r="D1105" s="18"/>
      <c r="E1105" s="18"/>
      <c r="F1105" s="18"/>
    </row>
    <row r="1106" spans="3:6" x14ac:dyDescent="0.2">
      <c r="C1106" s="24"/>
      <c r="D1106" s="18"/>
      <c r="E1106" s="18"/>
      <c r="F1106" s="18"/>
    </row>
    <row r="1107" spans="3:6" x14ac:dyDescent="0.2">
      <c r="C1107" s="24"/>
      <c r="D1107" s="18"/>
      <c r="E1107" s="18"/>
      <c r="F1107" s="18"/>
    </row>
    <row r="1108" spans="3:6" x14ac:dyDescent="0.2">
      <c r="C1108" s="24"/>
      <c r="D1108" s="18"/>
      <c r="E1108" s="18"/>
      <c r="F1108" s="18"/>
    </row>
    <row r="1109" spans="3:6" x14ac:dyDescent="0.2">
      <c r="C1109" s="24"/>
      <c r="D1109" s="18"/>
      <c r="E1109" s="18"/>
      <c r="F1109" s="18"/>
    </row>
    <row r="1110" spans="3:6" x14ac:dyDescent="0.2">
      <c r="C1110" s="24"/>
      <c r="D1110" s="18"/>
      <c r="E1110" s="18"/>
      <c r="F1110" s="18"/>
    </row>
    <row r="1111" spans="3:6" x14ac:dyDescent="0.2">
      <c r="C1111" s="24"/>
      <c r="D1111" s="18"/>
      <c r="E1111" s="18"/>
      <c r="F1111" s="18"/>
    </row>
    <row r="1112" spans="3:6" x14ac:dyDescent="0.2">
      <c r="C1112" s="24"/>
      <c r="D1112" s="18"/>
      <c r="E1112" s="18"/>
      <c r="F1112" s="18"/>
    </row>
    <row r="1113" spans="3:6" x14ac:dyDescent="0.2">
      <c r="C1113" s="24"/>
      <c r="D1113" s="18"/>
      <c r="E1113" s="18"/>
      <c r="F1113" s="18"/>
    </row>
    <row r="1114" spans="3:6" x14ac:dyDescent="0.2">
      <c r="C1114" s="24"/>
      <c r="D1114" s="18"/>
      <c r="E1114" s="18"/>
      <c r="F1114" s="18"/>
    </row>
    <row r="1115" spans="3:6" x14ac:dyDescent="0.2">
      <c r="C1115" s="24"/>
      <c r="D1115" s="18"/>
      <c r="E1115" s="18"/>
      <c r="F1115" s="18"/>
    </row>
    <row r="1116" spans="3:6" x14ac:dyDescent="0.2">
      <c r="C1116" s="24"/>
      <c r="D1116" s="18"/>
      <c r="E1116" s="18"/>
      <c r="F1116" s="18"/>
    </row>
    <row r="1117" spans="3:6" x14ac:dyDescent="0.2">
      <c r="C1117" s="24"/>
      <c r="D1117" s="18"/>
      <c r="E1117" s="18"/>
      <c r="F1117" s="18"/>
    </row>
    <row r="1118" spans="3:6" x14ac:dyDescent="0.2">
      <c r="C1118" s="24"/>
      <c r="D1118" s="18"/>
      <c r="E1118" s="18"/>
      <c r="F1118" s="18"/>
    </row>
    <row r="1119" spans="3:6" x14ac:dyDescent="0.2">
      <c r="C1119" s="24"/>
      <c r="D1119" s="18"/>
      <c r="E1119" s="18"/>
      <c r="F1119" s="18"/>
    </row>
    <row r="1120" spans="3:6" x14ac:dyDescent="0.2">
      <c r="C1120" s="24"/>
      <c r="D1120" s="18"/>
      <c r="E1120" s="18"/>
      <c r="F1120" s="18"/>
    </row>
    <row r="1121" spans="3:6" x14ac:dyDescent="0.2">
      <c r="C1121" s="24"/>
      <c r="D1121" s="18"/>
      <c r="E1121" s="18"/>
      <c r="F1121" s="18"/>
    </row>
    <row r="1122" spans="3:6" x14ac:dyDescent="0.2">
      <c r="C1122" s="24"/>
      <c r="D1122" s="18"/>
      <c r="E1122" s="18"/>
      <c r="F1122" s="18"/>
    </row>
    <row r="1123" spans="3:6" x14ac:dyDescent="0.2">
      <c r="C1123" s="24"/>
      <c r="D1123" s="18"/>
      <c r="E1123" s="18"/>
      <c r="F1123" s="18"/>
    </row>
    <row r="1124" spans="3:6" x14ac:dyDescent="0.2">
      <c r="C1124" s="24"/>
      <c r="D1124" s="18"/>
      <c r="E1124" s="18"/>
      <c r="F1124" s="18"/>
    </row>
    <row r="1125" spans="3:6" x14ac:dyDescent="0.2">
      <c r="C1125" s="24"/>
      <c r="D1125" s="18"/>
      <c r="E1125" s="18"/>
      <c r="F1125" s="18"/>
    </row>
    <row r="1126" spans="3:6" x14ac:dyDescent="0.2">
      <c r="C1126" s="24"/>
      <c r="D1126" s="18"/>
      <c r="E1126" s="18"/>
      <c r="F1126" s="18"/>
    </row>
    <row r="1127" spans="3:6" x14ac:dyDescent="0.2">
      <c r="C1127" s="24"/>
      <c r="D1127" s="18"/>
      <c r="E1127" s="18"/>
      <c r="F1127" s="18"/>
    </row>
    <row r="1128" spans="3:6" x14ac:dyDescent="0.2">
      <c r="C1128" s="24"/>
      <c r="D1128" s="18"/>
      <c r="E1128" s="18"/>
      <c r="F1128" s="18"/>
    </row>
    <row r="1129" spans="3:6" x14ac:dyDescent="0.2">
      <c r="C1129" s="24"/>
      <c r="D1129" s="18"/>
      <c r="E1129" s="18"/>
      <c r="F1129" s="18"/>
    </row>
    <row r="1130" spans="3:6" x14ac:dyDescent="0.2">
      <c r="C1130" s="24"/>
      <c r="D1130" s="18"/>
      <c r="E1130" s="18"/>
      <c r="F1130" s="18"/>
    </row>
    <row r="1131" spans="3:6" x14ac:dyDescent="0.2">
      <c r="C1131" s="24"/>
      <c r="D1131" s="18"/>
      <c r="E1131" s="18"/>
      <c r="F1131" s="18"/>
    </row>
    <row r="1132" spans="3:6" x14ac:dyDescent="0.2">
      <c r="C1132" s="24"/>
      <c r="D1132" s="18"/>
      <c r="E1132" s="18"/>
      <c r="F1132" s="18"/>
    </row>
    <row r="1133" spans="3:6" x14ac:dyDescent="0.2">
      <c r="C1133" s="24"/>
      <c r="D1133" s="18"/>
      <c r="E1133" s="18"/>
      <c r="F1133" s="18"/>
    </row>
    <row r="1134" spans="3:6" x14ac:dyDescent="0.2">
      <c r="C1134" s="24"/>
      <c r="D1134" s="18"/>
      <c r="E1134" s="18"/>
      <c r="F1134" s="18"/>
    </row>
    <row r="1135" spans="3:6" x14ac:dyDescent="0.2">
      <c r="C1135" s="24"/>
      <c r="D1135" s="18"/>
      <c r="E1135" s="18"/>
      <c r="F1135" s="18"/>
    </row>
    <row r="1136" spans="3:6" x14ac:dyDescent="0.2">
      <c r="C1136" s="24"/>
      <c r="D1136" s="18"/>
      <c r="E1136" s="18"/>
      <c r="F1136" s="18"/>
    </row>
    <row r="1137" spans="3:6" x14ac:dyDescent="0.2">
      <c r="C1137" s="24"/>
      <c r="D1137" s="18"/>
      <c r="E1137" s="18"/>
      <c r="F1137" s="18"/>
    </row>
    <row r="1138" spans="3:6" x14ac:dyDescent="0.2">
      <c r="C1138" s="24"/>
      <c r="D1138" s="18"/>
      <c r="E1138" s="18"/>
      <c r="F1138" s="18"/>
    </row>
    <row r="1139" spans="3:6" x14ac:dyDescent="0.2">
      <c r="C1139" s="24"/>
      <c r="D1139" s="18"/>
      <c r="E1139" s="18"/>
      <c r="F1139" s="18"/>
    </row>
    <row r="1140" spans="3:6" x14ac:dyDescent="0.2">
      <c r="C1140" s="24"/>
      <c r="D1140" s="18"/>
      <c r="E1140" s="18"/>
      <c r="F1140" s="18"/>
    </row>
    <row r="1141" spans="3:6" x14ac:dyDescent="0.2">
      <c r="C1141" s="24"/>
      <c r="D1141" s="18"/>
      <c r="E1141" s="18"/>
      <c r="F1141" s="18"/>
    </row>
    <row r="1142" spans="3:6" x14ac:dyDescent="0.2">
      <c r="C1142" s="24"/>
      <c r="D1142" s="18"/>
      <c r="E1142" s="18"/>
      <c r="F1142" s="18"/>
    </row>
    <row r="1143" spans="3:6" x14ac:dyDescent="0.2">
      <c r="C1143" s="24"/>
      <c r="D1143" s="18"/>
      <c r="E1143" s="18"/>
      <c r="F1143" s="18"/>
    </row>
    <row r="1144" spans="3:6" x14ac:dyDescent="0.2">
      <c r="C1144" s="24"/>
      <c r="D1144" s="18"/>
      <c r="E1144" s="18"/>
      <c r="F1144" s="18"/>
    </row>
    <row r="1145" spans="3:6" x14ac:dyDescent="0.2">
      <c r="C1145" s="24"/>
      <c r="D1145" s="18"/>
      <c r="E1145" s="18"/>
      <c r="F1145" s="18"/>
    </row>
    <row r="1146" spans="3:6" x14ac:dyDescent="0.2">
      <c r="C1146" s="24"/>
      <c r="D1146" s="18"/>
      <c r="E1146" s="18"/>
      <c r="F1146" s="18"/>
    </row>
    <row r="1147" spans="3:6" x14ac:dyDescent="0.2">
      <c r="C1147" s="24"/>
      <c r="D1147" s="18"/>
      <c r="E1147" s="18"/>
      <c r="F1147" s="18"/>
    </row>
    <row r="1148" spans="3:6" x14ac:dyDescent="0.2">
      <c r="C1148" s="24"/>
      <c r="D1148" s="18"/>
      <c r="E1148" s="18"/>
      <c r="F1148" s="18"/>
    </row>
    <row r="1149" spans="3:6" x14ac:dyDescent="0.2">
      <c r="C1149" s="24"/>
      <c r="D1149" s="18"/>
      <c r="E1149" s="18"/>
      <c r="F1149" s="18"/>
    </row>
    <row r="1150" spans="3:6" x14ac:dyDescent="0.2">
      <c r="C1150" s="24"/>
      <c r="D1150" s="18"/>
      <c r="E1150" s="18"/>
      <c r="F1150" s="18"/>
    </row>
    <row r="1151" spans="3:6" x14ac:dyDescent="0.2">
      <c r="C1151" s="24"/>
      <c r="D1151" s="18"/>
      <c r="E1151" s="18"/>
      <c r="F1151" s="18"/>
    </row>
    <row r="1152" spans="3:6" x14ac:dyDescent="0.2">
      <c r="C1152" s="24"/>
      <c r="D1152" s="18"/>
      <c r="E1152" s="18"/>
      <c r="F1152" s="18"/>
    </row>
    <row r="1153" spans="3:6" x14ac:dyDescent="0.2">
      <c r="C1153" s="24"/>
      <c r="D1153" s="18"/>
      <c r="E1153" s="18"/>
      <c r="F1153" s="18"/>
    </row>
    <row r="1154" spans="3:6" x14ac:dyDescent="0.2">
      <c r="C1154" s="24"/>
      <c r="D1154" s="18"/>
      <c r="E1154" s="18"/>
      <c r="F1154" s="18"/>
    </row>
    <row r="1155" spans="3:6" x14ac:dyDescent="0.2">
      <c r="C1155" s="24"/>
      <c r="D1155" s="18"/>
      <c r="E1155" s="18"/>
      <c r="F1155" s="18"/>
    </row>
    <row r="1156" spans="3:6" x14ac:dyDescent="0.2">
      <c r="C1156" s="24"/>
      <c r="D1156" s="18"/>
      <c r="E1156" s="18"/>
      <c r="F1156" s="18"/>
    </row>
    <row r="1157" spans="3:6" x14ac:dyDescent="0.2">
      <c r="C1157" s="24"/>
      <c r="D1157" s="18"/>
      <c r="E1157" s="18"/>
      <c r="F1157" s="18"/>
    </row>
    <row r="1158" spans="3:6" x14ac:dyDescent="0.2">
      <c r="C1158" s="24"/>
      <c r="D1158" s="18"/>
      <c r="E1158" s="18"/>
      <c r="F1158" s="18"/>
    </row>
    <row r="1159" spans="3:6" x14ac:dyDescent="0.2">
      <c r="C1159" s="24"/>
      <c r="D1159" s="18"/>
      <c r="E1159" s="18"/>
      <c r="F1159" s="18"/>
    </row>
    <row r="1160" spans="3:6" x14ac:dyDescent="0.2">
      <c r="C1160" s="24"/>
      <c r="D1160" s="18"/>
      <c r="E1160" s="18"/>
      <c r="F1160" s="18"/>
    </row>
    <row r="1161" spans="3:6" x14ac:dyDescent="0.2">
      <c r="C1161" s="24"/>
      <c r="D1161" s="18"/>
      <c r="E1161" s="18"/>
      <c r="F1161" s="18"/>
    </row>
    <row r="1162" spans="3:6" x14ac:dyDescent="0.2">
      <c r="C1162" s="24"/>
      <c r="D1162" s="18"/>
      <c r="E1162" s="18"/>
      <c r="F1162" s="18"/>
    </row>
    <row r="1163" spans="3:6" x14ac:dyDescent="0.2">
      <c r="C1163" s="24"/>
      <c r="D1163" s="18"/>
      <c r="E1163" s="18"/>
      <c r="F1163" s="18"/>
    </row>
    <row r="1164" spans="3:6" x14ac:dyDescent="0.2">
      <c r="C1164" s="24"/>
      <c r="D1164" s="18"/>
      <c r="E1164" s="18"/>
      <c r="F1164" s="18"/>
    </row>
    <row r="1165" spans="3:6" x14ac:dyDescent="0.2">
      <c r="C1165" s="24"/>
      <c r="D1165" s="18"/>
      <c r="E1165" s="18"/>
      <c r="F1165" s="18"/>
    </row>
    <row r="1166" spans="3:6" x14ac:dyDescent="0.2">
      <c r="C1166" s="24"/>
      <c r="D1166" s="18"/>
      <c r="E1166" s="18"/>
      <c r="F1166" s="18"/>
    </row>
    <row r="1167" spans="3:6" x14ac:dyDescent="0.2">
      <c r="C1167" s="24"/>
      <c r="D1167" s="18"/>
      <c r="E1167" s="18"/>
      <c r="F1167" s="18"/>
    </row>
    <row r="1168" spans="3:6" x14ac:dyDescent="0.2">
      <c r="C1168" s="24"/>
      <c r="D1168" s="18"/>
      <c r="E1168" s="18"/>
      <c r="F1168" s="18"/>
    </row>
    <row r="1169" spans="3:6" x14ac:dyDescent="0.2">
      <c r="C1169" s="24"/>
      <c r="D1169" s="18"/>
      <c r="E1169" s="18"/>
      <c r="F1169" s="18"/>
    </row>
    <row r="1170" spans="3:6" x14ac:dyDescent="0.2">
      <c r="C1170" s="24"/>
      <c r="D1170" s="18"/>
      <c r="E1170" s="18"/>
      <c r="F1170" s="18"/>
    </row>
    <row r="1171" spans="3:6" x14ac:dyDescent="0.2">
      <c r="C1171" s="24"/>
      <c r="D1171" s="18"/>
      <c r="E1171" s="18"/>
      <c r="F1171" s="18"/>
    </row>
    <row r="1172" spans="3:6" x14ac:dyDescent="0.2">
      <c r="C1172" s="24"/>
      <c r="D1172" s="18"/>
      <c r="E1172" s="18"/>
      <c r="F1172" s="18"/>
    </row>
    <row r="1173" spans="3:6" x14ac:dyDescent="0.2">
      <c r="C1173" s="24"/>
      <c r="D1173" s="18"/>
      <c r="E1173" s="18"/>
      <c r="F1173" s="18"/>
    </row>
    <row r="1174" spans="3:6" x14ac:dyDescent="0.2">
      <c r="C1174" s="24"/>
      <c r="D1174" s="18"/>
      <c r="E1174" s="18"/>
      <c r="F1174" s="18"/>
    </row>
    <row r="1175" spans="3:6" x14ac:dyDescent="0.2">
      <c r="C1175" s="24"/>
      <c r="D1175" s="18"/>
      <c r="E1175" s="18"/>
      <c r="F1175" s="18"/>
    </row>
    <row r="1176" spans="3:6" x14ac:dyDescent="0.2">
      <c r="C1176" s="24"/>
      <c r="D1176" s="18"/>
      <c r="E1176" s="18"/>
      <c r="F1176" s="18"/>
    </row>
    <row r="1177" spans="3:6" x14ac:dyDescent="0.2">
      <c r="C1177" s="24"/>
      <c r="D1177" s="18"/>
      <c r="E1177" s="18"/>
      <c r="F1177" s="18"/>
    </row>
    <row r="1178" spans="3:6" x14ac:dyDescent="0.2">
      <c r="C1178" s="24"/>
      <c r="D1178" s="18"/>
      <c r="E1178" s="18"/>
      <c r="F1178" s="18"/>
    </row>
    <row r="1179" spans="3:6" x14ac:dyDescent="0.2">
      <c r="C1179" s="24"/>
      <c r="D1179" s="18"/>
      <c r="E1179" s="18"/>
      <c r="F1179" s="18"/>
    </row>
    <row r="1180" spans="3:6" x14ac:dyDescent="0.2">
      <c r="C1180" s="24"/>
      <c r="D1180" s="18"/>
      <c r="E1180" s="18"/>
      <c r="F1180" s="18"/>
    </row>
    <row r="1181" spans="3:6" x14ac:dyDescent="0.2">
      <c r="C1181" s="24"/>
      <c r="D1181" s="18"/>
      <c r="E1181" s="18"/>
      <c r="F1181" s="18"/>
    </row>
    <row r="1182" spans="3:6" x14ac:dyDescent="0.2">
      <c r="C1182" s="24"/>
      <c r="D1182" s="18"/>
      <c r="E1182" s="18"/>
      <c r="F1182" s="18"/>
    </row>
    <row r="1183" spans="3:6" x14ac:dyDescent="0.2">
      <c r="C1183" s="24"/>
      <c r="D1183" s="18"/>
      <c r="E1183" s="18"/>
      <c r="F1183" s="18"/>
    </row>
    <row r="1184" spans="3:6" x14ac:dyDescent="0.2">
      <c r="C1184" s="24"/>
      <c r="D1184" s="18"/>
      <c r="E1184" s="18"/>
      <c r="F1184" s="18"/>
    </row>
    <row r="1185" spans="3:6" x14ac:dyDescent="0.2">
      <c r="C1185" s="24"/>
      <c r="D1185" s="18"/>
      <c r="E1185" s="18"/>
      <c r="F1185" s="18"/>
    </row>
    <row r="1186" spans="3:6" x14ac:dyDescent="0.2">
      <c r="C1186" s="24"/>
      <c r="D1186" s="18"/>
      <c r="E1186" s="18"/>
      <c r="F1186" s="18"/>
    </row>
    <row r="1187" spans="3:6" x14ac:dyDescent="0.2">
      <c r="C1187" s="24"/>
      <c r="D1187" s="18"/>
      <c r="E1187" s="18"/>
      <c r="F1187" s="18"/>
    </row>
    <row r="1188" spans="3:6" x14ac:dyDescent="0.2">
      <c r="C1188" s="24"/>
      <c r="D1188" s="18"/>
      <c r="E1188" s="18"/>
      <c r="F1188" s="18"/>
    </row>
    <row r="1189" spans="3:6" x14ac:dyDescent="0.2">
      <c r="C1189" s="24"/>
      <c r="D1189" s="18"/>
      <c r="E1189" s="18"/>
      <c r="F1189" s="18"/>
    </row>
    <row r="1190" spans="3:6" x14ac:dyDescent="0.2">
      <c r="C1190" s="24"/>
      <c r="D1190" s="18"/>
      <c r="E1190" s="18"/>
      <c r="F1190" s="18"/>
    </row>
    <row r="1191" spans="3:6" x14ac:dyDescent="0.2">
      <c r="C1191" s="24"/>
      <c r="D1191" s="18"/>
      <c r="E1191" s="18"/>
      <c r="F1191" s="18"/>
    </row>
    <row r="1192" spans="3:6" x14ac:dyDescent="0.2">
      <c r="C1192" s="24"/>
      <c r="D1192" s="18"/>
      <c r="E1192" s="18"/>
      <c r="F1192" s="18"/>
    </row>
    <row r="1193" spans="3:6" x14ac:dyDescent="0.2">
      <c r="C1193" s="24"/>
      <c r="D1193" s="18"/>
      <c r="E1193" s="18"/>
      <c r="F1193" s="18"/>
    </row>
    <row r="1194" spans="3:6" x14ac:dyDescent="0.2">
      <c r="C1194" s="24"/>
      <c r="D1194" s="18"/>
      <c r="E1194" s="18"/>
      <c r="F1194" s="18"/>
    </row>
    <row r="1195" spans="3:6" x14ac:dyDescent="0.2">
      <c r="C1195" s="24"/>
      <c r="D1195" s="18"/>
      <c r="E1195" s="18"/>
      <c r="F1195" s="18"/>
    </row>
    <row r="1196" spans="3:6" x14ac:dyDescent="0.2">
      <c r="C1196" s="24"/>
      <c r="D1196" s="18"/>
      <c r="E1196" s="18"/>
      <c r="F1196" s="18"/>
    </row>
    <row r="1197" spans="3:6" x14ac:dyDescent="0.2">
      <c r="C1197" s="24"/>
      <c r="D1197" s="18"/>
      <c r="E1197" s="18"/>
      <c r="F1197" s="18"/>
    </row>
    <row r="1198" spans="3:6" x14ac:dyDescent="0.2">
      <c r="C1198" s="24"/>
      <c r="D1198" s="18"/>
      <c r="E1198" s="18"/>
      <c r="F1198" s="18"/>
    </row>
    <row r="1199" spans="3:6" x14ac:dyDescent="0.2">
      <c r="C1199" s="24"/>
      <c r="D1199" s="18"/>
      <c r="E1199" s="18"/>
      <c r="F1199" s="18"/>
    </row>
    <row r="1200" spans="3:6" x14ac:dyDescent="0.2">
      <c r="C1200" s="24"/>
      <c r="D1200" s="18"/>
      <c r="E1200" s="18"/>
      <c r="F1200" s="18"/>
    </row>
    <row r="1201" spans="3:6" x14ac:dyDescent="0.2">
      <c r="C1201" s="24"/>
      <c r="D1201" s="18"/>
      <c r="E1201" s="18"/>
      <c r="F1201" s="18"/>
    </row>
    <row r="1202" spans="3:6" x14ac:dyDescent="0.2">
      <c r="C1202" s="24"/>
      <c r="D1202" s="18"/>
      <c r="E1202" s="18"/>
      <c r="F1202" s="18"/>
    </row>
    <row r="1203" spans="3:6" x14ac:dyDescent="0.2">
      <c r="C1203" s="24"/>
      <c r="D1203" s="18"/>
      <c r="E1203" s="18"/>
      <c r="F1203" s="18"/>
    </row>
    <row r="1204" spans="3:6" x14ac:dyDescent="0.2">
      <c r="C1204" s="24"/>
      <c r="D1204" s="18"/>
      <c r="E1204" s="18"/>
      <c r="F1204" s="18"/>
    </row>
    <row r="1205" spans="3:6" x14ac:dyDescent="0.2">
      <c r="C1205" s="24"/>
      <c r="D1205" s="18"/>
      <c r="E1205" s="18"/>
      <c r="F1205" s="18"/>
    </row>
    <row r="1206" spans="3:6" x14ac:dyDescent="0.2">
      <c r="C1206" s="24"/>
      <c r="D1206" s="18"/>
      <c r="E1206" s="18"/>
      <c r="F1206" s="18"/>
    </row>
    <row r="1207" spans="3:6" x14ac:dyDescent="0.2">
      <c r="C1207" s="24"/>
      <c r="D1207" s="18"/>
      <c r="E1207" s="18"/>
      <c r="F1207" s="18"/>
    </row>
    <row r="1208" spans="3:6" x14ac:dyDescent="0.2">
      <c r="C1208" s="24"/>
      <c r="D1208" s="18"/>
      <c r="E1208" s="18"/>
      <c r="F1208" s="18"/>
    </row>
    <row r="1209" spans="3:6" x14ac:dyDescent="0.2">
      <c r="C1209" s="24"/>
      <c r="D1209" s="18"/>
      <c r="E1209" s="18"/>
      <c r="F1209" s="18"/>
    </row>
    <row r="1210" spans="3:6" x14ac:dyDescent="0.2">
      <c r="C1210" s="24"/>
      <c r="D1210" s="18"/>
      <c r="E1210" s="18"/>
      <c r="F1210" s="18"/>
    </row>
    <row r="1211" spans="3:6" x14ac:dyDescent="0.2">
      <c r="C1211" s="24"/>
      <c r="D1211" s="18"/>
      <c r="E1211" s="18"/>
      <c r="F1211" s="18"/>
    </row>
    <row r="1212" spans="3:6" x14ac:dyDescent="0.2">
      <c r="C1212" s="24"/>
      <c r="D1212" s="18"/>
      <c r="E1212" s="18"/>
      <c r="F1212" s="18"/>
    </row>
    <row r="1213" spans="3:6" x14ac:dyDescent="0.2">
      <c r="C1213" s="24"/>
      <c r="D1213" s="18"/>
      <c r="E1213" s="18"/>
      <c r="F1213" s="18"/>
    </row>
    <row r="1214" spans="3:6" x14ac:dyDescent="0.2">
      <c r="C1214" s="24"/>
      <c r="D1214" s="18"/>
      <c r="E1214" s="18"/>
      <c r="F1214" s="18"/>
    </row>
    <row r="1215" spans="3:6" x14ac:dyDescent="0.2">
      <c r="C1215" s="24"/>
      <c r="D1215" s="18"/>
      <c r="E1215" s="18"/>
      <c r="F1215" s="18"/>
    </row>
    <row r="1216" spans="3:6" x14ac:dyDescent="0.2">
      <c r="C1216" s="24"/>
      <c r="D1216" s="18"/>
      <c r="E1216" s="18"/>
      <c r="F1216" s="18"/>
    </row>
    <row r="1217" spans="3:6" x14ac:dyDescent="0.2">
      <c r="C1217" s="24"/>
      <c r="D1217" s="18"/>
      <c r="E1217" s="18"/>
      <c r="F1217" s="18"/>
    </row>
    <row r="1218" spans="3:6" x14ac:dyDescent="0.2">
      <c r="C1218" s="24"/>
      <c r="D1218" s="18"/>
      <c r="E1218" s="18"/>
      <c r="F1218" s="18"/>
    </row>
    <row r="1219" spans="3:6" x14ac:dyDescent="0.2">
      <c r="C1219" s="24"/>
      <c r="D1219" s="18"/>
      <c r="E1219" s="18"/>
      <c r="F1219" s="18"/>
    </row>
    <row r="1220" spans="3:6" x14ac:dyDescent="0.2">
      <c r="C1220" s="24"/>
      <c r="D1220" s="18"/>
      <c r="E1220" s="18"/>
      <c r="F1220" s="18"/>
    </row>
    <row r="1221" spans="3:6" x14ac:dyDescent="0.2">
      <c r="C1221" s="24"/>
      <c r="D1221" s="18"/>
      <c r="E1221" s="18"/>
      <c r="F1221" s="18"/>
    </row>
    <row r="1222" spans="3:6" x14ac:dyDescent="0.2">
      <c r="C1222" s="24"/>
      <c r="D1222" s="18"/>
      <c r="E1222" s="18"/>
      <c r="F1222" s="18"/>
    </row>
    <row r="1223" spans="3:6" x14ac:dyDescent="0.2">
      <c r="C1223" s="24"/>
      <c r="D1223" s="18"/>
      <c r="E1223" s="18"/>
      <c r="F1223" s="18"/>
    </row>
    <row r="1224" spans="3:6" x14ac:dyDescent="0.2">
      <c r="C1224" s="24"/>
      <c r="D1224" s="18"/>
      <c r="E1224" s="18"/>
      <c r="F1224" s="18"/>
    </row>
    <row r="1225" spans="3:6" x14ac:dyDescent="0.2">
      <c r="C1225" s="24"/>
      <c r="D1225" s="18"/>
      <c r="E1225" s="18"/>
      <c r="F1225" s="18"/>
    </row>
    <row r="1226" spans="3:6" x14ac:dyDescent="0.2">
      <c r="C1226" s="24"/>
      <c r="D1226" s="18"/>
      <c r="E1226" s="18"/>
      <c r="F1226" s="18"/>
    </row>
    <row r="1227" spans="3:6" x14ac:dyDescent="0.2">
      <c r="C1227" s="24"/>
      <c r="D1227" s="18"/>
      <c r="E1227" s="18"/>
      <c r="F1227" s="18"/>
    </row>
    <row r="1228" spans="3:6" x14ac:dyDescent="0.2">
      <c r="C1228" s="24"/>
      <c r="D1228" s="18"/>
      <c r="E1228" s="18"/>
      <c r="F1228" s="18"/>
    </row>
    <row r="1229" spans="3:6" x14ac:dyDescent="0.2">
      <c r="C1229" s="24"/>
      <c r="D1229" s="18"/>
      <c r="E1229" s="18"/>
      <c r="F1229" s="18"/>
    </row>
    <row r="1230" spans="3:6" x14ac:dyDescent="0.2">
      <c r="C1230" s="24"/>
      <c r="D1230" s="18"/>
      <c r="E1230" s="18"/>
      <c r="F1230" s="18"/>
    </row>
    <row r="1231" spans="3:6" x14ac:dyDescent="0.2">
      <c r="C1231" s="24"/>
      <c r="D1231" s="18"/>
      <c r="E1231" s="18"/>
      <c r="F1231" s="18"/>
    </row>
    <row r="1232" spans="3:6" x14ac:dyDescent="0.2">
      <c r="C1232" s="24"/>
      <c r="D1232" s="18"/>
      <c r="E1232" s="18"/>
      <c r="F1232" s="18"/>
    </row>
    <row r="1233" spans="3:6" x14ac:dyDescent="0.2">
      <c r="C1233" s="24"/>
      <c r="D1233" s="18"/>
      <c r="E1233" s="18"/>
      <c r="F1233" s="18"/>
    </row>
    <row r="1234" spans="3:6" x14ac:dyDescent="0.2">
      <c r="C1234" s="24"/>
      <c r="D1234" s="18"/>
      <c r="E1234" s="18"/>
      <c r="F1234" s="18"/>
    </row>
    <row r="1235" spans="3:6" x14ac:dyDescent="0.2">
      <c r="C1235" s="24"/>
      <c r="D1235" s="18"/>
      <c r="E1235" s="18"/>
      <c r="F1235" s="18"/>
    </row>
    <row r="1236" spans="3:6" x14ac:dyDescent="0.2">
      <c r="C1236" s="24"/>
      <c r="D1236" s="18"/>
      <c r="E1236" s="18"/>
      <c r="F1236" s="18"/>
    </row>
    <row r="1237" spans="3:6" x14ac:dyDescent="0.2">
      <c r="C1237" s="24"/>
      <c r="D1237" s="18"/>
      <c r="E1237" s="18"/>
      <c r="F1237" s="18"/>
    </row>
    <row r="1238" spans="3:6" x14ac:dyDescent="0.2">
      <c r="C1238" s="24"/>
      <c r="D1238" s="18"/>
      <c r="E1238" s="18"/>
      <c r="F1238" s="18"/>
    </row>
    <row r="1239" spans="3:6" x14ac:dyDescent="0.2">
      <c r="C1239" s="24"/>
      <c r="D1239" s="18"/>
      <c r="E1239" s="18"/>
      <c r="F1239" s="18"/>
    </row>
    <row r="1240" spans="3:6" x14ac:dyDescent="0.2">
      <c r="C1240" s="24"/>
      <c r="D1240" s="18"/>
      <c r="E1240" s="18"/>
      <c r="F1240" s="18"/>
    </row>
    <row r="1241" spans="3:6" x14ac:dyDescent="0.2">
      <c r="C1241" s="24"/>
      <c r="D1241" s="18"/>
      <c r="E1241" s="18"/>
      <c r="F1241" s="18"/>
    </row>
    <row r="1242" spans="3:6" x14ac:dyDescent="0.2">
      <c r="C1242" s="24"/>
      <c r="D1242" s="18"/>
      <c r="E1242" s="18"/>
      <c r="F1242" s="18"/>
    </row>
    <row r="1243" spans="3:6" x14ac:dyDescent="0.2">
      <c r="C1243" s="24"/>
      <c r="D1243" s="18"/>
      <c r="E1243" s="18"/>
      <c r="F1243" s="18"/>
    </row>
    <row r="1244" spans="3:6" x14ac:dyDescent="0.2">
      <c r="C1244" s="24"/>
      <c r="D1244" s="18"/>
      <c r="E1244" s="18"/>
      <c r="F1244" s="18"/>
    </row>
    <row r="1245" spans="3:6" x14ac:dyDescent="0.2">
      <c r="C1245" s="24"/>
      <c r="D1245" s="18"/>
      <c r="E1245" s="18"/>
      <c r="F1245" s="18"/>
    </row>
    <row r="1246" spans="3:6" x14ac:dyDescent="0.2">
      <c r="C1246" s="24"/>
      <c r="D1246" s="18"/>
      <c r="E1246" s="18"/>
      <c r="F1246" s="18"/>
    </row>
    <row r="1247" spans="3:6" x14ac:dyDescent="0.2">
      <c r="C1247" s="24"/>
      <c r="D1247" s="18"/>
      <c r="E1247" s="18"/>
      <c r="F1247" s="18"/>
    </row>
    <row r="1248" spans="3:6" x14ac:dyDescent="0.2">
      <c r="C1248" s="24"/>
      <c r="D1248" s="18"/>
      <c r="E1248" s="18"/>
      <c r="F1248" s="18"/>
    </row>
    <row r="1249" spans="3:6" x14ac:dyDescent="0.2">
      <c r="C1249" s="24"/>
      <c r="D1249" s="18"/>
      <c r="E1249" s="18"/>
      <c r="F1249" s="18"/>
    </row>
    <row r="1250" spans="3:6" x14ac:dyDescent="0.2">
      <c r="C1250" s="24"/>
      <c r="D1250" s="18"/>
      <c r="E1250" s="18"/>
      <c r="F1250" s="18"/>
    </row>
    <row r="1251" spans="3:6" x14ac:dyDescent="0.2">
      <c r="C1251" s="24"/>
      <c r="D1251" s="18"/>
      <c r="E1251" s="18"/>
      <c r="F1251" s="18"/>
    </row>
    <row r="1252" spans="3:6" x14ac:dyDescent="0.2">
      <c r="C1252" s="24"/>
      <c r="D1252" s="18"/>
      <c r="E1252" s="18"/>
      <c r="F1252" s="18"/>
    </row>
    <row r="1253" spans="3:6" x14ac:dyDescent="0.2">
      <c r="C1253" s="24"/>
      <c r="D1253" s="18"/>
      <c r="E1253" s="18"/>
      <c r="F1253" s="18"/>
    </row>
    <row r="1254" spans="3:6" x14ac:dyDescent="0.2">
      <c r="C1254" s="24"/>
      <c r="D1254" s="18"/>
      <c r="E1254" s="18"/>
      <c r="F1254" s="18"/>
    </row>
    <row r="1255" spans="3:6" x14ac:dyDescent="0.2">
      <c r="C1255" s="24"/>
      <c r="D1255" s="18"/>
      <c r="E1255" s="18"/>
      <c r="F1255" s="18"/>
    </row>
    <row r="1256" spans="3:6" x14ac:dyDescent="0.2">
      <c r="C1256" s="24"/>
      <c r="D1256" s="18"/>
      <c r="E1256" s="18"/>
      <c r="F1256" s="18"/>
    </row>
    <row r="1257" spans="3:6" x14ac:dyDescent="0.2">
      <c r="C1257" s="24"/>
      <c r="D1257" s="18"/>
      <c r="E1257" s="18"/>
      <c r="F1257" s="18"/>
    </row>
    <row r="1258" spans="3:6" x14ac:dyDescent="0.2">
      <c r="C1258" s="24"/>
      <c r="D1258" s="18"/>
      <c r="E1258" s="18"/>
      <c r="F1258" s="18"/>
    </row>
    <row r="1259" spans="3:6" x14ac:dyDescent="0.2">
      <c r="C1259" s="24"/>
      <c r="D1259" s="18"/>
      <c r="E1259" s="18"/>
      <c r="F1259" s="18"/>
    </row>
    <row r="1260" spans="3:6" x14ac:dyDescent="0.2">
      <c r="C1260" s="24"/>
      <c r="D1260" s="18"/>
      <c r="E1260" s="18"/>
      <c r="F1260" s="18"/>
    </row>
    <row r="1261" spans="3:6" x14ac:dyDescent="0.2">
      <c r="C1261" s="24"/>
      <c r="D1261" s="18"/>
      <c r="E1261" s="18"/>
      <c r="F1261" s="18"/>
    </row>
    <row r="1262" spans="3:6" x14ac:dyDescent="0.2">
      <c r="C1262" s="24"/>
      <c r="D1262" s="18"/>
      <c r="E1262" s="18"/>
      <c r="F1262" s="18"/>
    </row>
    <row r="1263" spans="3:6" x14ac:dyDescent="0.2">
      <c r="C1263" s="24"/>
      <c r="D1263" s="18"/>
      <c r="E1263" s="18"/>
      <c r="F1263" s="18"/>
    </row>
    <row r="1264" spans="3:6" x14ac:dyDescent="0.2">
      <c r="C1264" s="24"/>
      <c r="D1264" s="18"/>
      <c r="E1264" s="18"/>
      <c r="F1264" s="18"/>
    </row>
    <row r="1265" spans="3:6" x14ac:dyDescent="0.2">
      <c r="C1265" s="24"/>
      <c r="D1265" s="18"/>
      <c r="E1265" s="18"/>
      <c r="F1265" s="18"/>
    </row>
    <row r="1266" spans="3:6" x14ac:dyDescent="0.2">
      <c r="C1266" s="24"/>
      <c r="D1266" s="18"/>
      <c r="E1266" s="18"/>
      <c r="F1266" s="18"/>
    </row>
    <row r="1267" spans="3:6" x14ac:dyDescent="0.2">
      <c r="C1267" s="24"/>
      <c r="D1267" s="18"/>
      <c r="E1267" s="18"/>
      <c r="F1267" s="18"/>
    </row>
    <row r="1268" spans="3:6" x14ac:dyDescent="0.2">
      <c r="C1268" s="24"/>
      <c r="D1268" s="18"/>
      <c r="E1268" s="18"/>
      <c r="F1268" s="18"/>
    </row>
    <row r="1269" spans="3:6" x14ac:dyDescent="0.2">
      <c r="C1269" s="24"/>
      <c r="D1269" s="18"/>
      <c r="E1269" s="18"/>
      <c r="F1269" s="18"/>
    </row>
    <row r="1270" spans="3:6" x14ac:dyDescent="0.2">
      <c r="C1270" s="24"/>
      <c r="D1270" s="18"/>
      <c r="E1270" s="18"/>
      <c r="F1270" s="18"/>
    </row>
    <row r="1271" spans="3:6" x14ac:dyDescent="0.2">
      <c r="C1271" s="24"/>
      <c r="D1271" s="18"/>
      <c r="E1271" s="18"/>
      <c r="F1271" s="18"/>
    </row>
    <row r="1272" spans="3:6" x14ac:dyDescent="0.2">
      <c r="C1272" s="24"/>
      <c r="D1272" s="18"/>
      <c r="E1272" s="18"/>
      <c r="F1272" s="18"/>
    </row>
    <row r="1273" spans="3:6" x14ac:dyDescent="0.2">
      <c r="C1273" s="24"/>
      <c r="D1273" s="18"/>
      <c r="E1273" s="18"/>
      <c r="F1273" s="18"/>
    </row>
    <row r="1274" spans="3:6" x14ac:dyDescent="0.2">
      <c r="C1274" s="24"/>
      <c r="D1274" s="18"/>
      <c r="E1274" s="18"/>
      <c r="F1274" s="18"/>
    </row>
    <row r="1275" spans="3:6" x14ac:dyDescent="0.2">
      <c r="C1275" s="24"/>
      <c r="D1275" s="18"/>
      <c r="E1275" s="18"/>
      <c r="F1275" s="18"/>
    </row>
    <row r="1276" spans="3:6" x14ac:dyDescent="0.2">
      <c r="C1276" s="24"/>
      <c r="D1276" s="18"/>
      <c r="E1276" s="18"/>
      <c r="F1276" s="18"/>
    </row>
    <row r="1277" spans="3:6" x14ac:dyDescent="0.2">
      <c r="C1277" s="24"/>
      <c r="D1277" s="18"/>
      <c r="E1277" s="18"/>
      <c r="F1277" s="18"/>
    </row>
    <row r="1278" spans="3:6" x14ac:dyDescent="0.2">
      <c r="C1278" s="24"/>
      <c r="D1278" s="18"/>
      <c r="E1278" s="18"/>
      <c r="F1278" s="18"/>
    </row>
    <row r="1279" spans="3:6" x14ac:dyDescent="0.2">
      <c r="C1279" s="24"/>
      <c r="D1279" s="18"/>
      <c r="E1279" s="18"/>
      <c r="F1279" s="18"/>
    </row>
    <row r="1280" spans="3:6" x14ac:dyDescent="0.2">
      <c r="C1280" s="24"/>
      <c r="D1280" s="18"/>
      <c r="E1280" s="18"/>
      <c r="F1280" s="18"/>
    </row>
    <row r="1281" spans="3:6" x14ac:dyDescent="0.2">
      <c r="C1281" s="24"/>
      <c r="D1281" s="18"/>
      <c r="E1281" s="18"/>
      <c r="F1281" s="18"/>
    </row>
    <row r="1282" spans="3:6" x14ac:dyDescent="0.2">
      <c r="C1282" s="24"/>
      <c r="D1282" s="18"/>
      <c r="E1282" s="18"/>
      <c r="F1282" s="18"/>
    </row>
    <row r="1283" spans="3:6" x14ac:dyDescent="0.2">
      <c r="C1283" s="24"/>
      <c r="D1283" s="18"/>
      <c r="E1283" s="18"/>
      <c r="F1283" s="18"/>
    </row>
    <row r="1284" spans="3:6" x14ac:dyDescent="0.2">
      <c r="C1284" s="24"/>
      <c r="D1284" s="18"/>
      <c r="E1284" s="18"/>
      <c r="F1284" s="18"/>
    </row>
    <row r="1285" spans="3:6" x14ac:dyDescent="0.2">
      <c r="C1285" s="24"/>
      <c r="D1285" s="18"/>
      <c r="E1285" s="18"/>
      <c r="F1285" s="18"/>
    </row>
    <row r="1286" spans="3:6" x14ac:dyDescent="0.2">
      <c r="C1286" s="24"/>
      <c r="D1286" s="18"/>
      <c r="E1286" s="18"/>
      <c r="F1286" s="18"/>
    </row>
    <row r="1287" spans="3:6" x14ac:dyDescent="0.2">
      <c r="C1287" s="24"/>
      <c r="D1287" s="18"/>
      <c r="E1287" s="18"/>
      <c r="F1287" s="18"/>
    </row>
    <row r="1288" spans="3:6" x14ac:dyDescent="0.2">
      <c r="C1288" s="24"/>
      <c r="D1288" s="18"/>
      <c r="E1288" s="18"/>
      <c r="F1288" s="18"/>
    </row>
    <row r="1289" spans="3:6" x14ac:dyDescent="0.2">
      <c r="C1289" s="24"/>
      <c r="D1289" s="18"/>
      <c r="E1289" s="18"/>
      <c r="F1289" s="18"/>
    </row>
    <row r="1290" spans="3:6" x14ac:dyDescent="0.2">
      <c r="C1290" s="24"/>
      <c r="D1290" s="18"/>
      <c r="E1290" s="18"/>
      <c r="F1290" s="18"/>
    </row>
    <row r="1291" spans="3:6" x14ac:dyDescent="0.2">
      <c r="C1291" s="24"/>
      <c r="D1291" s="18"/>
      <c r="E1291" s="18"/>
      <c r="F1291" s="18"/>
    </row>
    <row r="1292" spans="3:6" x14ac:dyDescent="0.2">
      <c r="C1292" s="24"/>
      <c r="D1292" s="18"/>
      <c r="E1292" s="18"/>
      <c r="F1292" s="18"/>
    </row>
    <row r="1293" spans="3:6" x14ac:dyDescent="0.2">
      <c r="C1293" s="24"/>
      <c r="D1293" s="18"/>
      <c r="E1293" s="18"/>
      <c r="F1293" s="18"/>
    </row>
    <row r="1294" spans="3:6" x14ac:dyDescent="0.2">
      <c r="C1294" s="24"/>
      <c r="D1294" s="18"/>
      <c r="E1294" s="18"/>
      <c r="F1294" s="18"/>
    </row>
    <row r="1295" spans="3:6" x14ac:dyDescent="0.2">
      <c r="C1295" s="24"/>
      <c r="D1295" s="18"/>
      <c r="E1295" s="18"/>
      <c r="F1295" s="18"/>
    </row>
    <row r="1296" spans="3:6" x14ac:dyDescent="0.2">
      <c r="C1296" s="24"/>
      <c r="D1296" s="18"/>
      <c r="E1296" s="18"/>
      <c r="F1296" s="18"/>
    </row>
    <row r="1297" spans="3:6" x14ac:dyDescent="0.2">
      <c r="C1297" s="24"/>
      <c r="D1297" s="18"/>
      <c r="E1297" s="18"/>
      <c r="F1297" s="18"/>
    </row>
    <row r="1298" spans="3:6" x14ac:dyDescent="0.2">
      <c r="C1298" s="24"/>
      <c r="D1298" s="18"/>
      <c r="E1298" s="18"/>
      <c r="F1298" s="18"/>
    </row>
    <row r="1299" spans="3:6" x14ac:dyDescent="0.2">
      <c r="C1299" s="24"/>
      <c r="D1299" s="18"/>
      <c r="E1299" s="18"/>
      <c r="F1299" s="18"/>
    </row>
    <row r="1300" spans="3:6" x14ac:dyDescent="0.2">
      <c r="C1300" s="24"/>
      <c r="D1300" s="18"/>
      <c r="E1300" s="18"/>
      <c r="F1300" s="18"/>
    </row>
    <row r="1301" spans="3:6" x14ac:dyDescent="0.2">
      <c r="C1301" s="24"/>
      <c r="D1301" s="18"/>
      <c r="E1301" s="18"/>
      <c r="F1301" s="18"/>
    </row>
    <row r="1302" spans="3:6" x14ac:dyDescent="0.2">
      <c r="C1302" s="24"/>
      <c r="D1302" s="18"/>
      <c r="E1302" s="18"/>
      <c r="F1302" s="18"/>
    </row>
    <row r="1303" spans="3:6" x14ac:dyDescent="0.2">
      <c r="C1303" s="24"/>
      <c r="D1303" s="18"/>
      <c r="E1303" s="18"/>
      <c r="F1303" s="18"/>
    </row>
    <row r="1304" spans="3:6" x14ac:dyDescent="0.2">
      <c r="C1304" s="24"/>
      <c r="D1304" s="18"/>
      <c r="E1304" s="18"/>
      <c r="F1304" s="18"/>
    </row>
    <row r="1305" spans="3:6" x14ac:dyDescent="0.2">
      <c r="C1305" s="24"/>
      <c r="D1305" s="18"/>
      <c r="E1305" s="18"/>
      <c r="F1305" s="18"/>
    </row>
    <row r="1306" spans="3:6" x14ac:dyDescent="0.2">
      <c r="C1306" s="24"/>
      <c r="D1306" s="18"/>
      <c r="E1306" s="18"/>
      <c r="F1306" s="18"/>
    </row>
    <row r="1307" spans="3:6" x14ac:dyDescent="0.2">
      <c r="C1307" s="24"/>
      <c r="D1307" s="18"/>
      <c r="E1307" s="18"/>
      <c r="F1307" s="18"/>
    </row>
    <row r="1308" spans="3:6" x14ac:dyDescent="0.2">
      <c r="C1308" s="24"/>
      <c r="D1308" s="18"/>
      <c r="E1308" s="18"/>
      <c r="F1308" s="18"/>
    </row>
    <row r="1309" spans="3:6" x14ac:dyDescent="0.2">
      <c r="C1309" s="24"/>
      <c r="D1309" s="18"/>
      <c r="E1309" s="18"/>
      <c r="F1309" s="18"/>
    </row>
    <row r="1310" spans="3:6" x14ac:dyDescent="0.2">
      <c r="C1310" s="24"/>
      <c r="D1310" s="18"/>
      <c r="E1310" s="18"/>
      <c r="F1310" s="18"/>
    </row>
    <row r="1311" spans="3:6" x14ac:dyDescent="0.2">
      <c r="C1311" s="24"/>
      <c r="D1311" s="18"/>
      <c r="E1311" s="18"/>
      <c r="F1311" s="18"/>
    </row>
    <row r="1312" spans="3:6" x14ac:dyDescent="0.2">
      <c r="C1312" s="24"/>
      <c r="D1312" s="18"/>
      <c r="E1312" s="18"/>
      <c r="F1312" s="18"/>
    </row>
    <row r="1313" spans="3:6" x14ac:dyDescent="0.2">
      <c r="C1313" s="24"/>
      <c r="D1313" s="18"/>
      <c r="E1313" s="18"/>
      <c r="F1313" s="18"/>
    </row>
    <row r="1314" spans="3:6" x14ac:dyDescent="0.2">
      <c r="C1314" s="24"/>
      <c r="D1314" s="18"/>
      <c r="E1314" s="18"/>
      <c r="F1314" s="18"/>
    </row>
    <row r="1315" spans="3:6" x14ac:dyDescent="0.2">
      <c r="C1315" s="24"/>
      <c r="D1315" s="18"/>
      <c r="E1315" s="18"/>
      <c r="F1315" s="18"/>
    </row>
    <row r="1316" spans="3:6" x14ac:dyDescent="0.2">
      <c r="C1316" s="24"/>
      <c r="D1316" s="18"/>
      <c r="E1316" s="18"/>
      <c r="F1316" s="18"/>
    </row>
    <row r="1317" spans="3:6" x14ac:dyDescent="0.2">
      <c r="C1317" s="24"/>
      <c r="D1317" s="18"/>
      <c r="E1317" s="18"/>
      <c r="F1317" s="18"/>
    </row>
    <row r="1318" spans="3:6" x14ac:dyDescent="0.2">
      <c r="C1318" s="24"/>
      <c r="D1318" s="18"/>
      <c r="E1318" s="18"/>
      <c r="F1318" s="18"/>
    </row>
    <row r="1319" spans="3:6" x14ac:dyDescent="0.2">
      <c r="C1319" s="24"/>
      <c r="D1319" s="18"/>
      <c r="E1319" s="18"/>
      <c r="F1319" s="18"/>
    </row>
    <row r="1320" spans="3:6" x14ac:dyDescent="0.2">
      <c r="C1320" s="24"/>
      <c r="D1320" s="18"/>
      <c r="E1320" s="18"/>
      <c r="F1320" s="18"/>
    </row>
    <row r="1321" spans="3:6" x14ac:dyDescent="0.2">
      <c r="C1321" s="24"/>
      <c r="D1321" s="18"/>
      <c r="E1321" s="18"/>
      <c r="F1321" s="18"/>
    </row>
    <row r="1322" spans="3:6" x14ac:dyDescent="0.2">
      <c r="C1322" s="24"/>
      <c r="D1322" s="18"/>
      <c r="E1322" s="18"/>
      <c r="F1322" s="18"/>
    </row>
    <row r="1323" spans="3:6" x14ac:dyDescent="0.2">
      <c r="C1323" s="24"/>
      <c r="D1323" s="18"/>
      <c r="E1323" s="18"/>
      <c r="F1323" s="18"/>
    </row>
    <row r="1324" spans="3:6" x14ac:dyDescent="0.2">
      <c r="C1324" s="24"/>
      <c r="D1324" s="18"/>
      <c r="E1324" s="18"/>
      <c r="F1324" s="18"/>
    </row>
    <row r="1325" spans="3:6" x14ac:dyDescent="0.2">
      <c r="C1325" s="24"/>
      <c r="D1325" s="18"/>
      <c r="E1325" s="18"/>
      <c r="F1325" s="18"/>
    </row>
    <row r="1326" spans="3:6" x14ac:dyDescent="0.2">
      <c r="C1326" s="24"/>
      <c r="D1326" s="18"/>
      <c r="E1326" s="18"/>
      <c r="F1326" s="18"/>
    </row>
    <row r="1327" spans="3:6" x14ac:dyDescent="0.2">
      <c r="C1327" s="24"/>
      <c r="D1327" s="18"/>
      <c r="E1327" s="18"/>
      <c r="F1327" s="18"/>
    </row>
    <row r="1328" spans="3:6" x14ac:dyDescent="0.2">
      <c r="C1328" s="24"/>
      <c r="D1328" s="18"/>
      <c r="E1328" s="18"/>
      <c r="F1328" s="18"/>
    </row>
    <row r="1329" spans="3:6" x14ac:dyDescent="0.2">
      <c r="C1329" s="24"/>
      <c r="D1329" s="18"/>
      <c r="E1329" s="18"/>
      <c r="F1329" s="18"/>
    </row>
    <row r="1330" spans="3:6" x14ac:dyDescent="0.2">
      <c r="C1330" s="24"/>
      <c r="D1330" s="18"/>
      <c r="E1330" s="18"/>
      <c r="F1330" s="18"/>
    </row>
    <row r="1331" spans="3:6" x14ac:dyDescent="0.2">
      <c r="C1331" s="24"/>
      <c r="D1331" s="18"/>
      <c r="E1331" s="18"/>
      <c r="F1331" s="18"/>
    </row>
    <row r="1332" spans="3:6" x14ac:dyDescent="0.2">
      <c r="C1332" s="24"/>
      <c r="D1332" s="18"/>
      <c r="E1332" s="18"/>
      <c r="F1332" s="18"/>
    </row>
    <row r="1333" spans="3:6" x14ac:dyDescent="0.2">
      <c r="C1333" s="24"/>
      <c r="D1333" s="18"/>
      <c r="E1333" s="18"/>
      <c r="F1333" s="18"/>
    </row>
    <row r="1334" spans="3:6" x14ac:dyDescent="0.2">
      <c r="C1334" s="24"/>
      <c r="D1334" s="18"/>
      <c r="E1334" s="18"/>
      <c r="F1334" s="18"/>
    </row>
    <row r="1335" spans="3:6" x14ac:dyDescent="0.2">
      <c r="C1335" s="24"/>
      <c r="D1335" s="18"/>
      <c r="E1335" s="18"/>
      <c r="F1335" s="18"/>
    </row>
    <row r="1336" spans="3:6" x14ac:dyDescent="0.2">
      <c r="C1336" s="24"/>
      <c r="D1336" s="18"/>
      <c r="E1336" s="18"/>
      <c r="F1336" s="18"/>
    </row>
    <row r="1337" spans="3:6" x14ac:dyDescent="0.2">
      <c r="C1337" s="24"/>
      <c r="D1337" s="18"/>
      <c r="E1337" s="18"/>
      <c r="F1337" s="18"/>
    </row>
    <row r="1338" spans="3:6" x14ac:dyDescent="0.2">
      <c r="C1338" s="24"/>
      <c r="D1338" s="18"/>
      <c r="E1338" s="18"/>
      <c r="F1338" s="18"/>
    </row>
    <row r="1339" spans="3:6" x14ac:dyDescent="0.2">
      <c r="C1339" s="24"/>
      <c r="D1339" s="18"/>
      <c r="E1339" s="18"/>
      <c r="F1339" s="18"/>
    </row>
    <row r="1340" spans="3:6" x14ac:dyDescent="0.2">
      <c r="C1340" s="24"/>
      <c r="D1340" s="18"/>
      <c r="E1340" s="18"/>
      <c r="F1340" s="18"/>
    </row>
    <row r="1341" spans="3:6" x14ac:dyDescent="0.2">
      <c r="C1341" s="24"/>
      <c r="D1341" s="18"/>
      <c r="E1341" s="18"/>
      <c r="F1341" s="18"/>
    </row>
    <row r="1342" spans="3:6" x14ac:dyDescent="0.2">
      <c r="C1342" s="24"/>
      <c r="D1342" s="18"/>
      <c r="E1342" s="18"/>
      <c r="F1342" s="18"/>
    </row>
    <row r="1343" spans="3:6" x14ac:dyDescent="0.2">
      <c r="C1343" s="24"/>
      <c r="D1343" s="18"/>
      <c r="E1343" s="18"/>
      <c r="F1343" s="18"/>
    </row>
    <row r="1344" spans="3:6" x14ac:dyDescent="0.2">
      <c r="C1344" s="24"/>
      <c r="D1344" s="18"/>
      <c r="E1344" s="18"/>
      <c r="F1344" s="18"/>
    </row>
    <row r="1345" spans="3:6" x14ac:dyDescent="0.2">
      <c r="C1345" s="24"/>
      <c r="D1345" s="18"/>
      <c r="E1345" s="18"/>
      <c r="F1345" s="18"/>
    </row>
    <row r="1346" spans="3:6" x14ac:dyDescent="0.2">
      <c r="C1346" s="24"/>
      <c r="D1346" s="18"/>
      <c r="E1346" s="18"/>
      <c r="F1346" s="18"/>
    </row>
    <row r="1347" spans="3:6" x14ac:dyDescent="0.2">
      <c r="C1347" s="24"/>
      <c r="D1347" s="18"/>
      <c r="E1347" s="18"/>
      <c r="F1347" s="18"/>
    </row>
    <row r="1348" spans="3:6" x14ac:dyDescent="0.2">
      <c r="C1348" s="24"/>
      <c r="D1348" s="18"/>
      <c r="E1348" s="18"/>
      <c r="F1348" s="18"/>
    </row>
    <row r="1349" spans="3:6" x14ac:dyDescent="0.2">
      <c r="C1349" s="24"/>
      <c r="D1349" s="18"/>
      <c r="E1349" s="18"/>
      <c r="F1349" s="18"/>
    </row>
    <row r="1350" spans="3:6" x14ac:dyDescent="0.2">
      <c r="C1350" s="24"/>
      <c r="D1350" s="18"/>
      <c r="E1350" s="18"/>
      <c r="F1350" s="18"/>
    </row>
    <row r="1351" spans="3:6" x14ac:dyDescent="0.2">
      <c r="C1351" s="24"/>
      <c r="D1351" s="18"/>
      <c r="E1351" s="18"/>
      <c r="F1351" s="18"/>
    </row>
    <row r="1352" spans="3:6" x14ac:dyDescent="0.2">
      <c r="C1352" s="24"/>
      <c r="D1352" s="18"/>
      <c r="E1352" s="18"/>
      <c r="F1352" s="18"/>
    </row>
    <row r="1353" spans="3:6" x14ac:dyDescent="0.2">
      <c r="C1353" s="24"/>
      <c r="D1353" s="18"/>
      <c r="E1353" s="18"/>
      <c r="F1353" s="18"/>
    </row>
    <row r="1354" spans="3:6" x14ac:dyDescent="0.2">
      <c r="C1354" s="24"/>
      <c r="D1354" s="18"/>
      <c r="E1354" s="18"/>
      <c r="F1354" s="18"/>
    </row>
    <row r="1355" spans="3:6" x14ac:dyDescent="0.2">
      <c r="C1355" s="24"/>
      <c r="D1355" s="18"/>
      <c r="E1355" s="18"/>
      <c r="F1355" s="18"/>
    </row>
    <row r="1356" spans="3:6" x14ac:dyDescent="0.2">
      <c r="C1356" s="24"/>
      <c r="D1356" s="18"/>
      <c r="E1356" s="18"/>
      <c r="F1356" s="18"/>
    </row>
    <row r="1357" spans="3:6" x14ac:dyDescent="0.2">
      <c r="C1357" s="24"/>
      <c r="D1357" s="18"/>
      <c r="E1357" s="18"/>
      <c r="F1357" s="18"/>
    </row>
    <row r="1358" spans="3:6" x14ac:dyDescent="0.2">
      <c r="C1358" s="24"/>
      <c r="D1358" s="18"/>
      <c r="E1358" s="18"/>
      <c r="F1358" s="18"/>
    </row>
    <row r="1359" spans="3:6" x14ac:dyDescent="0.2">
      <c r="C1359" s="24"/>
      <c r="D1359" s="18"/>
      <c r="E1359" s="18"/>
      <c r="F1359" s="18"/>
    </row>
    <row r="1360" spans="3:6" x14ac:dyDescent="0.2">
      <c r="C1360" s="24"/>
      <c r="D1360" s="18"/>
      <c r="E1360" s="18"/>
      <c r="F1360" s="18"/>
    </row>
    <row r="1361" spans="3:6" x14ac:dyDescent="0.2">
      <c r="C1361" s="24"/>
      <c r="D1361" s="18"/>
      <c r="E1361" s="18"/>
      <c r="F1361" s="18"/>
    </row>
    <row r="1362" spans="3:6" x14ac:dyDescent="0.2">
      <c r="C1362" s="24"/>
      <c r="D1362" s="18"/>
      <c r="E1362" s="18"/>
      <c r="F1362" s="18"/>
    </row>
    <row r="1363" spans="3:6" x14ac:dyDescent="0.2">
      <c r="C1363" s="24"/>
      <c r="D1363" s="18"/>
      <c r="E1363" s="18"/>
      <c r="F1363" s="18"/>
    </row>
    <row r="1364" spans="3:6" x14ac:dyDescent="0.2">
      <c r="C1364" s="24"/>
      <c r="D1364" s="18"/>
      <c r="E1364" s="18"/>
      <c r="F1364" s="18"/>
    </row>
    <row r="1365" spans="3:6" x14ac:dyDescent="0.2">
      <c r="C1365" s="24"/>
      <c r="D1365" s="18"/>
      <c r="E1365" s="18"/>
      <c r="F1365" s="18"/>
    </row>
    <row r="1366" spans="3:6" x14ac:dyDescent="0.2">
      <c r="C1366" s="24"/>
      <c r="D1366" s="18"/>
      <c r="E1366" s="18"/>
      <c r="F1366" s="18"/>
    </row>
    <row r="1367" spans="3:6" x14ac:dyDescent="0.2">
      <c r="C1367" s="24"/>
      <c r="D1367" s="18"/>
      <c r="E1367" s="18"/>
      <c r="F1367" s="18"/>
    </row>
    <row r="1368" spans="3:6" x14ac:dyDescent="0.2">
      <c r="C1368" s="24"/>
      <c r="D1368" s="18"/>
      <c r="E1368" s="18"/>
      <c r="F1368" s="18"/>
    </row>
    <row r="1369" spans="3:6" x14ac:dyDescent="0.2">
      <c r="C1369" s="24"/>
      <c r="D1369" s="18"/>
      <c r="E1369" s="18"/>
      <c r="F1369" s="18"/>
    </row>
    <row r="1370" spans="3:6" x14ac:dyDescent="0.2">
      <c r="C1370" s="24"/>
      <c r="D1370" s="18"/>
      <c r="E1370" s="18"/>
      <c r="F1370" s="18"/>
    </row>
    <row r="1371" spans="3:6" x14ac:dyDescent="0.2">
      <c r="C1371" s="24"/>
      <c r="D1371" s="18"/>
      <c r="E1371" s="18"/>
      <c r="F1371" s="18"/>
    </row>
    <row r="1372" spans="3:6" x14ac:dyDescent="0.2">
      <c r="C1372" s="24"/>
      <c r="D1372" s="18"/>
      <c r="E1372" s="18"/>
      <c r="F1372" s="18"/>
    </row>
    <row r="1373" spans="3:6" x14ac:dyDescent="0.2">
      <c r="C1373" s="24"/>
      <c r="D1373" s="18"/>
      <c r="E1373" s="18"/>
      <c r="F1373" s="18"/>
    </row>
    <row r="1374" spans="3:6" x14ac:dyDescent="0.2">
      <c r="C1374" s="24"/>
      <c r="D1374" s="18"/>
      <c r="E1374" s="18"/>
      <c r="F1374" s="18"/>
    </row>
    <row r="1375" spans="3:6" x14ac:dyDescent="0.2">
      <c r="C1375" s="24"/>
      <c r="D1375" s="18"/>
      <c r="E1375" s="18"/>
      <c r="F1375" s="18"/>
    </row>
    <row r="1376" spans="3:6" x14ac:dyDescent="0.2">
      <c r="C1376" s="24"/>
      <c r="D1376" s="18"/>
      <c r="E1376" s="18"/>
      <c r="F1376" s="18"/>
    </row>
    <row r="1377" spans="3:6" x14ac:dyDescent="0.2">
      <c r="C1377" s="24"/>
      <c r="D1377" s="18"/>
      <c r="E1377" s="18"/>
      <c r="F1377" s="18"/>
    </row>
    <row r="1378" spans="3:6" x14ac:dyDescent="0.2">
      <c r="C1378" s="24"/>
      <c r="D1378" s="18"/>
      <c r="E1378" s="18"/>
      <c r="F1378" s="18"/>
    </row>
    <row r="1379" spans="3:6" x14ac:dyDescent="0.2">
      <c r="C1379" s="24"/>
      <c r="D1379" s="18"/>
      <c r="E1379" s="18"/>
      <c r="F1379" s="18"/>
    </row>
    <row r="1380" spans="3:6" x14ac:dyDescent="0.2">
      <c r="C1380" s="24"/>
      <c r="D1380" s="18"/>
      <c r="E1380" s="18"/>
      <c r="F1380" s="18"/>
    </row>
    <row r="1381" spans="3:6" x14ac:dyDescent="0.2">
      <c r="C1381" s="24"/>
      <c r="D1381" s="18"/>
      <c r="E1381" s="18"/>
      <c r="F1381" s="18"/>
    </row>
    <row r="1382" spans="3:6" x14ac:dyDescent="0.2">
      <c r="C1382" s="24"/>
      <c r="D1382" s="18"/>
      <c r="E1382" s="18"/>
      <c r="F1382" s="18"/>
    </row>
    <row r="1383" spans="3:6" x14ac:dyDescent="0.2">
      <c r="C1383" s="24"/>
      <c r="D1383" s="18"/>
      <c r="E1383" s="18"/>
      <c r="F1383" s="18"/>
    </row>
    <row r="1384" spans="3:6" x14ac:dyDescent="0.2">
      <c r="C1384" s="24"/>
      <c r="D1384" s="18"/>
      <c r="E1384" s="18"/>
      <c r="F1384" s="18"/>
    </row>
    <row r="1385" spans="3:6" x14ac:dyDescent="0.2">
      <c r="C1385" s="24"/>
      <c r="D1385" s="18"/>
      <c r="E1385" s="18"/>
      <c r="F1385" s="18"/>
    </row>
    <row r="1386" spans="3:6" x14ac:dyDescent="0.2">
      <c r="C1386" s="24"/>
      <c r="D1386" s="18"/>
      <c r="E1386" s="18"/>
      <c r="F1386" s="18"/>
    </row>
    <row r="1387" spans="3:6" x14ac:dyDescent="0.2">
      <c r="C1387" s="24"/>
      <c r="D1387" s="18"/>
      <c r="E1387" s="18"/>
      <c r="F1387" s="18"/>
    </row>
    <row r="1388" spans="3:6" x14ac:dyDescent="0.2">
      <c r="C1388" s="24"/>
      <c r="D1388" s="18"/>
      <c r="E1388" s="18"/>
      <c r="F1388" s="18"/>
    </row>
    <row r="1389" spans="3:6" x14ac:dyDescent="0.2">
      <c r="C1389" s="24"/>
      <c r="D1389" s="18"/>
      <c r="E1389" s="18"/>
      <c r="F1389" s="18"/>
    </row>
    <row r="1390" spans="3:6" x14ac:dyDescent="0.2">
      <c r="C1390" s="24"/>
      <c r="D1390" s="18"/>
      <c r="E1390" s="18"/>
      <c r="F1390" s="18"/>
    </row>
    <row r="1391" spans="3:6" x14ac:dyDescent="0.2">
      <c r="C1391" s="24"/>
      <c r="D1391" s="18"/>
      <c r="E1391" s="18"/>
      <c r="F1391" s="18"/>
    </row>
    <row r="1392" spans="3:6" x14ac:dyDescent="0.2">
      <c r="C1392" s="24"/>
      <c r="D1392" s="18"/>
      <c r="E1392" s="18"/>
      <c r="F1392" s="18"/>
    </row>
    <row r="1393" spans="3:6" x14ac:dyDescent="0.2">
      <c r="C1393" s="24"/>
      <c r="D1393" s="18"/>
      <c r="E1393" s="18"/>
      <c r="F1393" s="18"/>
    </row>
    <row r="1394" spans="3:6" x14ac:dyDescent="0.2">
      <c r="C1394" s="24"/>
      <c r="D1394" s="18"/>
      <c r="E1394" s="18"/>
      <c r="F1394" s="18"/>
    </row>
    <row r="1395" spans="3:6" x14ac:dyDescent="0.2">
      <c r="C1395" s="24"/>
      <c r="D1395" s="18"/>
      <c r="E1395" s="18"/>
      <c r="F1395" s="18"/>
    </row>
    <row r="1396" spans="3:6" x14ac:dyDescent="0.2">
      <c r="C1396" s="24"/>
      <c r="D1396" s="18"/>
      <c r="E1396" s="18"/>
      <c r="F1396" s="18"/>
    </row>
    <row r="1397" spans="3:6" x14ac:dyDescent="0.2">
      <c r="C1397" s="24"/>
      <c r="D1397" s="18"/>
      <c r="E1397" s="18"/>
      <c r="F1397" s="18"/>
    </row>
    <row r="1398" spans="3:6" x14ac:dyDescent="0.2">
      <c r="C1398" s="24"/>
      <c r="D1398" s="18"/>
      <c r="E1398" s="18"/>
      <c r="F1398" s="18"/>
    </row>
    <row r="1399" spans="3:6" x14ac:dyDescent="0.2">
      <c r="C1399" s="24"/>
      <c r="D1399" s="18"/>
      <c r="E1399" s="18"/>
      <c r="F1399" s="18"/>
    </row>
    <row r="1400" spans="3:6" x14ac:dyDescent="0.2">
      <c r="C1400" s="24"/>
      <c r="D1400" s="18"/>
      <c r="E1400" s="18"/>
      <c r="F1400" s="18"/>
    </row>
  </sheetData>
  <sheetProtection formatCells="0" formatColumns="0"/>
  <autoFilter ref="A11:BG266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Q9:AQ10"/>
    <mergeCell ref="AR9:AR10"/>
    <mergeCell ref="AS9:AU9"/>
    <mergeCell ref="AW9:AW10"/>
    <mergeCell ref="AX9:AX10"/>
    <mergeCell ref="AY9:BE9"/>
    <mergeCell ref="A8:A10"/>
    <mergeCell ref="B6:BG6"/>
    <mergeCell ref="G8:AP8"/>
    <mergeCell ref="W9:W10"/>
    <mergeCell ref="H9:H10"/>
    <mergeCell ref="BG8:BG10"/>
    <mergeCell ref="BF8:BF10"/>
    <mergeCell ref="AP9:AP10"/>
    <mergeCell ref="AO9:AO10"/>
    <mergeCell ref="B8:D10"/>
    <mergeCell ref="AF9:AF10"/>
    <mergeCell ref="E8:E10"/>
    <mergeCell ref="AV9:AV10"/>
    <mergeCell ref="F9:F10"/>
    <mergeCell ref="I9:I10"/>
    <mergeCell ref="J9:J10"/>
    <mergeCell ref="K9:V9"/>
    <mergeCell ref="X9:X10"/>
    <mergeCell ref="Y9:Y10"/>
    <mergeCell ref="Z9:AE9"/>
    <mergeCell ref="AG9:AG10"/>
    <mergeCell ref="AH9:AH10"/>
    <mergeCell ref="AI9:AN9"/>
    <mergeCell ref="C210:D210"/>
    <mergeCell ref="C200:D200"/>
    <mergeCell ref="C222:D222"/>
    <mergeCell ref="C232:D232"/>
    <mergeCell ref="C158:D158"/>
    <mergeCell ref="B101:C101"/>
    <mergeCell ref="B80:C80"/>
    <mergeCell ref="C87:D87"/>
    <mergeCell ref="C81:D81"/>
    <mergeCell ref="C155:D155"/>
    <mergeCell ref="B141:C141"/>
    <mergeCell ref="C140:D140"/>
    <mergeCell ref="C121:D121"/>
    <mergeCell ref="C100:D100"/>
    <mergeCell ref="C113:D113"/>
    <mergeCell ref="C102:D102"/>
    <mergeCell ref="C136:D136"/>
    <mergeCell ref="C133:D133"/>
    <mergeCell ref="C97:D97"/>
    <mergeCell ref="C257:D257"/>
    <mergeCell ref="C256:D256"/>
    <mergeCell ref="C254:D254"/>
    <mergeCell ref="C174:D174"/>
    <mergeCell ref="C178:D178"/>
    <mergeCell ref="C180:D180"/>
    <mergeCell ref="C185:D185"/>
    <mergeCell ref="C197:D197"/>
    <mergeCell ref="C205:D205"/>
    <mergeCell ref="C187:D187"/>
    <mergeCell ref="C176:D176"/>
    <mergeCell ref="C189:D189"/>
    <mergeCell ref="C195:D195"/>
    <mergeCell ref="C183:D183"/>
    <mergeCell ref="C244:D244"/>
    <mergeCell ref="C224:D224"/>
    <mergeCell ref="C218:D218"/>
    <mergeCell ref="B263:D263"/>
    <mergeCell ref="C261:D261"/>
    <mergeCell ref="C259:D259"/>
    <mergeCell ref="B260:D260"/>
    <mergeCell ref="B262:D262"/>
    <mergeCell ref="C142:D142"/>
    <mergeCell ref="C152:D152"/>
    <mergeCell ref="C202:D202"/>
    <mergeCell ref="B231:C231"/>
    <mergeCell ref="C225:D225"/>
    <mergeCell ref="C167:D167"/>
    <mergeCell ref="C230:D230"/>
    <mergeCell ref="C219:D219"/>
    <mergeCell ref="C170:D170"/>
    <mergeCell ref="C191:D191"/>
    <mergeCell ref="C198:D198"/>
    <mergeCell ref="C172:D172"/>
    <mergeCell ref="C212:D212"/>
    <mergeCell ref="C193:D193"/>
    <mergeCell ref="C216:D216"/>
    <mergeCell ref="C214:D214"/>
    <mergeCell ref="C207:D207"/>
    <mergeCell ref="C235:D235"/>
    <mergeCell ref="C163:D163"/>
    <mergeCell ref="C129:D129"/>
    <mergeCell ref="C123:D123"/>
    <mergeCell ref="C120:D120"/>
    <mergeCell ref="B93:C93"/>
    <mergeCell ref="C88:D88"/>
    <mergeCell ref="C92:D92"/>
    <mergeCell ref="C94:D94"/>
    <mergeCell ref="C99:D99"/>
    <mergeCell ref="C21:D21"/>
    <mergeCell ref="B35:C35"/>
    <mergeCell ref="C89:D89"/>
    <mergeCell ref="C34:D34"/>
    <mergeCell ref="C65:D65"/>
    <mergeCell ref="G9:G10"/>
    <mergeCell ref="B12:D12"/>
    <mergeCell ref="C14:D14"/>
    <mergeCell ref="C32:D32"/>
    <mergeCell ref="C31:D31"/>
    <mergeCell ref="B13:C13"/>
    <mergeCell ref="B11:D11"/>
    <mergeCell ref="C79:D79"/>
    <mergeCell ref="C26:D26"/>
    <mergeCell ref="B27:C27"/>
    <mergeCell ref="C28:D28"/>
    <mergeCell ref="C73:D73"/>
    <mergeCell ref="C33:D33"/>
    <mergeCell ref="C66:D66"/>
    <mergeCell ref="C56:D56"/>
    <mergeCell ref="C36:D36"/>
    <mergeCell ref="C68:D68"/>
    <mergeCell ref="C58:D58"/>
    <mergeCell ref="B67:C67"/>
    <mergeCell ref="C78:D78"/>
  </mergeCells>
  <phoneticPr fontId="1" type="noConversion"/>
  <printOptions horizontalCentered="1"/>
  <pageMargins left="0.78740157480314965" right="0.39370078740157483" top="0.47244094488188981" bottom="0.39370078740157483" header="0.23622047244094491" footer="0.19685039370078741"/>
  <pageSetup paperSize="9" scale="65" orientation="portrait" horizontalDpi="300" verticalDpi="300" r:id="rId3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>&amp;R&amp;"Times New Roman,Regular"&amp;9  2.pielikums Jūrmalas pilsētas domes  2016.gada 25.augusta saistošajiem noteikumiem Nr.28
(protokols Nr.11,  8.punkts)</firstHeader>
    <firstFooter>&amp;L&amp;"Times New Roman,Regular"&amp;9&amp;D; &amp;T&amp;R&amp;"Times New Roman,Regular"&amp;9&amp;P (&amp;N)</first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</sheetPr>
  <dimension ref="A3:AI157"/>
  <sheetViews>
    <sheetView tabSelected="1" view="pageLayout" topLeftCell="C1" zoomScaleNormal="100" workbookViewId="0">
      <selection activeCell="AH1" sqref="AH1"/>
    </sheetView>
  </sheetViews>
  <sheetFormatPr defaultRowHeight="12" outlineLevelRow="1" outlineLevelCol="1" x14ac:dyDescent="0.2"/>
  <cols>
    <col min="1" max="1" width="1.42578125" style="93" customWidth="1"/>
    <col min="2" max="2" width="3" style="93" customWidth="1"/>
    <col min="3" max="3" width="9.140625" style="93" customWidth="1"/>
    <col min="4" max="4" width="42.42578125" style="93" customWidth="1"/>
    <col min="5" max="5" width="11.42578125" style="93" hidden="1" customWidth="1" outlineLevel="1"/>
    <col min="6" max="6" width="9.7109375" style="93" customWidth="1" collapsed="1"/>
    <col min="7" max="7" width="9.7109375" style="93" hidden="1" customWidth="1" outlineLevel="1"/>
    <col min="8" max="8" width="8.42578125" style="93" hidden="1" customWidth="1" outlineLevel="1"/>
    <col min="9" max="9" width="8.85546875" style="93" hidden="1" customWidth="1" outlineLevel="1"/>
    <col min="10" max="10" width="9" style="93" hidden="1" customWidth="1" outlineLevel="1"/>
    <col min="11" max="11" width="12" style="93" hidden="1" customWidth="1" outlineLevel="1"/>
    <col min="12" max="13" width="9" style="93" hidden="1" customWidth="1" outlineLevel="1"/>
    <col min="14" max="14" width="9" style="495" hidden="1" customWidth="1" outlineLevel="1"/>
    <col min="15" max="19" width="9" style="93" hidden="1" customWidth="1" outlineLevel="1"/>
    <col min="20" max="20" width="10" style="93" hidden="1" customWidth="1" outlineLevel="1"/>
    <col min="21" max="21" width="9.7109375" style="93" customWidth="1" collapsed="1"/>
    <col min="22" max="22" width="8.7109375" style="93" hidden="1" customWidth="1" outlineLevel="1"/>
    <col min="23" max="23" width="7.7109375" style="93" hidden="1" customWidth="1" outlineLevel="1"/>
    <col min="24" max="24" width="8.7109375" style="93" hidden="1" customWidth="1" outlineLevel="1"/>
    <col min="25" max="25" width="9.140625" style="93" hidden="1" customWidth="1" outlineLevel="1"/>
    <col min="26" max="26" width="11.42578125" style="93" hidden="1" customWidth="1" outlineLevel="1"/>
    <col min="27" max="27" width="9.42578125" style="93" hidden="1" customWidth="1" outlineLevel="1"/>
    <col min="28" max="31" width="8.7109375" style="93" hidden="1" customWidth="1" outlineLevel="1"/>
    <col min="32" max="32" width="11.7109375" style="93" hidden="1" customWidth="1" outlineLevel="1"/>
    <col min="33" max="33" width="11.7109375" style="93" customWidth="1" collapsed="1"/>
    <col min="34" max="16384" width="9.140625" style="36"/>
  </cols>
  <sheetData>
    <row r="3" spans="1:33" x14ac:dyDescent="0.2">
      <c r="AG3" s="353" t="s">
        <v>698</v>
      </c>
    </row>
    <row r="4" spans="1:33" x14ac:dyDescent="0.2">
      <c r="AG4" s="353" t="s">
        <v>669</v>
      </c>
    </row>
    <row r="5" spans="1:33" x14ac:dyDescent="0.2">
      <c r="AG5" s="353" t="s">
        <v>670</v>
      </c>
    </row>
    <row r="6" spans="1:33" ht="9" customHeight="1" x14ac:dyDescent="0.2"/>
    <row r="7" spans="1:33" ht="18" customHeight="1" x14ac:dyDescent="0.35">
      <c r="A7" s="635" t="s">
        <v>376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</row>
    <row r="8" spans="1:33" ht="9" customHeight="1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9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48.75" customHeight="1" x14ac:dyDescent="0.2">
      <c r="A9" s="636" t="s">
        <v>27</v>
      </c>
      <c r="B9" s="637"/>
      <c r="C9" s="637"/>
      <c r="D9" s="180" t="s">
        <v>28</v>
      </c>
      <c r="E9" s="197" t="s">
        <v>684</v>
      </c>
      <c r="F9" s="197" t="s">
        <v>667</v>
      </c>
      <c r="G9" s="197" t="s">
        <v>685</v>
      </c>
      <c r="H9" s="276" t="s">
        <v>699</v>
      </c>
      <c r="I9" s="276" t="s">
        <v>709</v>
      </c>
      <c r="J9" s="444" t="s">
        <v>740</v>
      </c>
      <c r="K9" s="276" t="s">
        <v>753</v>
      </c>
      <c r="L9" s="444" t="s">
        <v>752</v>
      </c>
      <c r="M9" s="276" t="s">
        <v>755</v>
      </c>
      <c r="N9" s="497" t="s">
        <v>757</v>
      </c>
      <c r="O9" s="276"/>
      <c r="P9" s="276"/>
      <c r="Q9" s="276"/>
      <c r="R9" s="276"/>
      <c r="S9" s="276"/>
      <c r="T9" s="276" t="s">
        <v>686</v>
      </c>
      <c r="U9" s="276" t="s">
        <v>654</v>
      </c>
      <c r="V9" s="276" t="s">
        <v>687</v>
      </c>
      <c r="W9" s="276" t="s">
        <v>699</v>
      </c>
      <c r="X9" s="276" t="s">
        <v>709</v>
      </c>
      <c r="Y9" s="444" t="s">
        <v>740</v>
      </c>
      <c r="Z9" s="276" t="s">
        <v>753</v>
      </c>
      <c r="AA9" s="444" t="s">
        <v>752</v>
      </c>
      <c r="AB9" s="276" t="s">
        <v>755</v>
      </c>
      <c r="AC9" s="276"/>
      <c r="AD9" s="276"/>
      <c r="AE9" s="276"/>
      <c r="AF9" s="318" t="s">
        <v>688</v>
      </c>
      <c r="AG9" s="318" t="s">
        <v>668</v>
      </c>
    </row>
    <row r="10" spans="1:33" ht="10.5" customHeight="1" thickBot="1" x14ac:dyDescent="0.25">
      <c r="A10" s="638">
        <v>1</v>
      </c>
      <c r="B10" s="639"/>
      <c r="C10" s="640"/>
      <c r="D10" s="98">
        <v>2</v>
      </c>
      <c r="E10" s="196">
        <v>7</v>
      </c>
      <c r="F10" s="196"/>
      <c r="G10" s="196"/>
      <c r="H10" s="196"/>
      <c r="I10" s="196"/>
      <c r="J10" s="443"/>
      <c r="K10" s="196"/>
      <c r="L10" s="196"/>
      <c r="M10" s="196"/>
      <c r="N10" s="498"/>
      <c r="O10" s="196"/>
      <c r="P10" s="196"/>
      <c r="Q10" s="196"/>
      <c r="R10" s="196"/>
      <c r="S10" s="196"/>
      <c r="T10" s="196">
        <v>8</v>
      </c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319">
        <v>9</v>
      </c>
      <c r="AG10" s="319">
        <v>9</v>
      </c>
    </row>
    <row r="11" spans="1:33" s="181" customFormat="1" ht="12.75" customHeight="1" thickTop="1" x14ac:dyDescent="0.2">
      <c r="A11" s="641" t="s">
        <v>118</v>
      </c>
      <c r="B11" s="642"/>
      <c r="C11" s="642"/>
      <c r="D11" s="643"/>
      <c r="E11" s="37">
        <f>SUM(E98,E100,E115)</f>
        <v>102522120</v>
      </c>
      <c r="F11" s="37">
        <f>SUM(F98,F100,F115)</f>
        <v>102273178</v>
      </c>
      <c r="G11" s="37">
        <f t="shared" ref="G11:S11" si="0">SUM(G98,G100,G115)</f>
        <v>-248942</v>
      </c>
      <c r="H11" s="37">
        <f t="shared" si="0"/>
        <v>-502126</v>
      </c>
      <c r="I11" s="37">
        <f t="shared" si="0"/>
        <v>102333</v>
      </c>
      <c r="J11" s="37">
        <f t="shared" si="0"/>
        <v>69285</v>
      </c>
      <c r="K11" s="37">
        <f t="shared" si="0"/>
        <v>-6494</v>
      </c>
      <c r="L11" s="37">
        <f t="shared" si="0"/>
        <v>83988</v>
      </c>
      <c r="M11" s="491">
        <f>SUM(M98,M100,M115)</f>
        <v>738</v>
      </c>
      <c r="N11" s="499">
        <f t="shared" si="0"/>
        <v>3334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>SUM(T98,T100,T115)</f>
        <v>-1806440</v>
      </c>
      <c r="U11" s="37">
        <f t="shared" ref="U11:AE11" si="1">SUM(U98,U100,U115)</f>
        <v>-1711475</v>
      </c>
      <c r="V11" s="37">
        <f t="shared" si="1"/>
        <v>94965</v>
      </c>
      <c r="W11" s="37">
        <f t="shared" si="1"/>
        <v>151722</v>
      </c>
      <c r="X11" s="37">
        <f t="shared" si="1"/>
        <v>-936</v>
      </c>
      <c r="Y11" s="37">
        <f t="shared" si="1"/>
        <v>-28181</v>
      </c>
      <c r="Z11" s="37">
        <f t="shared" si="1"/>
        <v>1145</v>
      </c>
      <c r="AA11" s="37">
        <f t="shared" ref="AA11:AD11" si="2">SUM(AA98,AA100,AA115)</f>
        <v>-28047</v>
      </c>
      <c r="AB11" s="493">
        <f t="shared" si="2"/>
        <v>-738</v>
      </c>
      <c r="AC11" s="366">
        <f t="shared" si="2"/>
        <v>0</v>
      </c>
      <c r="AD11" s="366">
        <f t="shared" si="2"/>
        <v>0</v>
      </c>
      <c r="AE11" s="366">
        <f t="shared" si="1"/>
        <v>0</v>
      </c>
      <c r="AF11" s="320">
        <f>SUM(AF98,AF100,AF115)</f>
        <v>100715680</v>
      </c>
      <c r="AG11" s="320">
        <f>SUM(AG98,AG100,AG115)</f>
        <v>100561703</v>
      </c>
    </row>
    <row r="12" spans="1:33" s="181" customFormat="1" ht="7.5" customHeight="1" x14ac:dyDescent="0.2">
      <c r="A12" s="38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500"/>
      <c r="O12" s="42"/>
      <c r="P12" s="42"/>
      <c r="Q12" s="42"/>
      <c r="R12" s="42"/>
      <c r="S12" s="42"/>
      <c r="T12" s="42"/>
      <c r="U12" s="367"/>
      <c r="V12" s="369"/>
      <c r="W12" s="367"/>
      <c r="X12" s="367"/>
      <c r="Y12" s="367"/>
      <c r="Z12" s="367"/>
      <c r="AA12" s="367"/>
      <c r="AB12" s="367"/>
      <c r="AC12" s="367"/>
      <c r="AD12" s="367"/>
      <c r="AE12" s="367"/>
      <c r="AF12" s="321"/>
      <c r="AG12" s="321"/>
    </row>
    <row r="13" spans="1:33" s="182" customFormat="1" x14ac:dyDescent="0.2">
      <c r="A13" s="614" t="s">
        <v>29</v>
      </c>
      <c r="B13" s="615"/>
      <c r="C13" s="615"/>
      <c r="D13" s="43" t="s">
        <v>30</v>
      </c>
      <c r="E13" s="44">
        <f t="shared" ref="E13:AG14" si="3">E14</f>
        <v>46562516</v>
      </c>
      <c r="F13" s="44">
        <f t="shared" si="3"/>
        <v>46670489</v>
      </c>
      <c r="G13" s="44">
        <f t="shared" si="3"/>
        <v>107973</v>
      </c>
      <c r="H13" s="44">
        <f t="shared" si="3"/>
        <v>107973</v>
      </c>
      <c r="I13" s="44">
        <f t="shared" si="3"/>
        <v>0</v>
      </c>
      <c r="J13" s="44">
        <f t="shared" si="3"/>
        <v>0</v>
      </c>
      <c r="K13" s="454">
        <f t="shared" si="3"/>
        <v>0</v>
      </c>
      <c r="L13" s="454">
        <f t="shared" si="3"/>
        <v>0</v>
      </c>
      <c r="M13" s="454">
        <f t="shared" si="3"/>
        <v>0</v>
      </c>
      <c r="N13" s="501">
        <f t="shared" si="3"/>
        <v>0</v>
      </c>
      <c r="O13" s="454">
        <f t="shared" si="3"/>
        <v>0</v>
      </c>
      <c r="P13" s="454">
        <f t="shared" si="3"/>
        <v>0</v>
      </c>
      <c r="Q13" s="454">
        <f t="shared" si="3"/>
        <v>0</v>
      </c>
      <c r="R13" s="454">
        <f t="shared" si="3"/>
        <v>0</v>
      </c>
      <c r="S13" s="454">
        <f t="shared" si="3"/>
        <v>0</v>
      </c>
      <c r="T13" s="454">
        <f t="shared" si="3"/>
        <v>0</v>
      </c>
      <c r="U13" s="455">
        <f t="shared" si="3"/>
        <v>0</v>
      </c>
      <c r="V13" s="455">
        <f t="shared" si="3"/>
        <v>0</v>
      </c>
      <c r="W13" s="455">
        <f t="shared" si="3"/>
        <v>0</v>
      </c>
      <c r="X13" s="455">
        <f t="shared" si="3"/>
        <v>0</v>
      </c>
      <c r="Y13" s="455">
        <f t="shared" si="3"/>
        <v>0</v>
      </c>
      <c r="Z13" s="455">
        <f t="shared" si="3"/>
        <v>0</v>
      </c>
      <c r="AA13" s="455">
        <f t="shared" si="3"/>
        <v>0</v>
      </c>
      <c r="AB13" s="455">
        <f t="shared" si="3"/>
        <v>0</v>
      </c>
      <c r="AC13" s="455">
        <f t="shared" si="3"/>
        <v>0</v>
      </c>
      <c r="AD13" s="455">
        <f t="shared" si="3"/>
        <v>0</v>
      </c>
      <c r="AE13" s="368">
        <f t="shared" si="3"/>
        <v>0</v>
      </c>
      <c r="AF13" s="322">
        <f t="shared" si="3"/>
        <v>46562516</v>
      </c>
      <c r="AG13" s="322">
        <f t="shared" si="3"/>
        <v>46670489</v>
      </c>
    </row>
    <row r="14" spans="1:33" s="181" customFormat="1" x14ac:dyDescent="0.2">
      <c r="A14" s="45"/>
      <c r="B14" s="593" t="s">
        <v>31</v>
      </c>
      <c r="C14" s="593"/>
      <c r="D14" s="46" t="s">
        <v>32</v>
      </c>
      <c r="E14" s="47">
        <f t="shared" si="3"/>
        <v>46562516</v>
      </c>
      <c r="F14" s="47">
        <f t="shared" si="3"/>
        <v>46670489</v>
      </c>
      <c r="G14" s="47">
        <f t="shared" si="3"/>
        <v>107973</v>
      </c>
      <c r="H14" s="47">
        <f t="shared" si="3"/>
        <v>107973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502">
        <f t="shared" si="3"/>
        <v>0</v>
      </c>
      <c r="O14" s="47">
        <f t="shared" si="3"/>
        <v>0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369">
        <f t="shared" si="3"/>
        <v>0</v>
      </c>
      <c r="V14" s="369">
        <f t="shared" si="3"/>
        <v>0</v>
      </c>
      <c r="W14" s="369">
        <f t="shared" si="3"/>
        <v>0</v>
      </c>
      <c r="X14" s="369">
        <f t="shared" si="3"/>
        <v>0</v>
      </c>
      <c r="Y14" s="369">
        <f t="shared" si="3"/>
        <v>0</v>
      </c>
      <c r="Z14" s="369">
        <f t="shared" si="3"/>
        <v>0</v>
      </c>
      <c r="AA14" s="369">
        <f t="shared" si="3"/>
        <v>0</v>
      </c>
      <c r="AB14" s="369">
        <f t="shared" si="3"/>
        <v>0</v>
      </c>
      <c r="AC14" s="369">
        <f t="shared" si="3"/>
        <v>0</v>
      </c>
      <c r="AD14" s="369">
        <f t="shared" si="3"/>
        <v>0</v>
      </c>
      <c r="AE14" s="369">
        <f t="shared" si="3"/>
        <v>0</v>
      </c>
      <c r="AF14" s="323">
        <f t="shared" si="3"/>
        <v>46562516</v>
      </c>
      <c r="AG14" s="323">
        <f t="shared" si="3"/>
        <v>46670489</v>
      </c>
    </row>
    <row r="15" spans="1:33" x14ac:dyDescent="0.2">
      <c r="A15" s="48"/>
      <c r="B15" s="624" t="s">
        <v>33</v>
      </c>
      <c r="C15" s="624"/>
      <c r="D15" s="49" t="s">
        <v>34</v>
      </c>
      <c r="E15" s="50">
        <f t="shared" ref="E15:F15" si="4">SUM(E16:E17)</f>
        <v>46562516</v>
      </c>
      <c r="F15" s="50">
        <f t="shared" si="4"/>
        <v>46670489</v>
      </c>
      <c r="G15" s="50">
        <f t="shared" ref="G15:S15" si="5">SUM(G16:G17)</f>
        <v>107973</v>
      </c>
      <c r="H15" s="50">
        <f t="shared" si="5"/>
        <v>107973</v>
      </c>
      <c r="I15" s="50">
        <f t="shared" si="5"/>
        <v>0</v>
      </c>
      <c r="J15" s="50">
        <f t="shared" si="5"/>
        <v>0</v>
      </c>
      <c r="K15" s="50">
        <f t="shared" si="5"/>
        <v>0</v>
      </c>
      <c r="L15" s="50">
        <f t="shared" si="5"/>
        <v>0</v>
      </c>
      <c r="M15" s="50">
        <f t="shared" si="5"/>
        <v>0</v>
      </c>
      <c r="N15" s="503">
        <f t="shared" si="5"/>
        <v>0</v>
      </c>
      <c r="O15" s="50">
        <f t="shared" si="5"/>
        <v>0</v>
      </c>
      <c r="P15" s="50">
        <f t="shared" si="5"/>
        <v>0</v>
      </c>
      <c r="Q15" s="50">
        <f t="shared" si="5"/>
        <v>0</v>
      </c>
      <c r="R15" s="50">
        <f t="shared" si="5"/>
        <v>0</v>
      </c>
      <c r="S15" s="50">
        <f t="shared" si="5"/>
        <v>0</v>
      </c>
      <c r="T15" s="50">
        <f t="shared" ref="T15:AE15" si="6">SUM(T16:T17)</f>
        <v>0</v>
      </c>
      <c r="U15" s="370">
        <f t="shared" si="6"/>
        <v>0</v>
      </c>
      <c r="V15" s="370">
        <f t="shared" si="6"/>
        <v>0</v>
      </c>
      <c r="W15" s="370">
        <f t="shared" si="6"/>
        <v>0</v>
      </c>
      <c r="X15" s="370">
        <f t="shared" si="6"/>
        <v>0</v>
      </c>
      <c r="Y15" s="370">
        <f t="shared" si="6"/>
        <v>0</v>
      </c>
      <c r="Z15" s="370">
        <f t="shared" si="6"/>
        <v>0</v>
      </c>
      <c r="AA15" s="370">
        <f t="shared" ref="AA15:AD15" si="7">SUM(AA16:AA17)</f>
        <v>0</v>
      </c>
      <c r="AB15" s="370">
        <f t="shared" si="7"/>
        <v>0</v>
      </c>
      <c r="AC15" s="370">
        <f t="shared" si="7"/>
        <v>0</v>
      </c>
      <c r="AD15" s="370">
        <f t="shared" si="7"/>
        <v>0</v>
      </c>
      <c r="AE15" s="370">
        <f t="shared" si="6"/>
        <v>0</v>
      </c>
      <c r="AF15" s="324">
        <f t="shared" ref="AF15:AG15" si="8">SUM(AF16:AF17)</f>
        <v>46562516</v>
      </c>
      <c r="AG15" s="324">
        <f t="shared" si="8"/>
        <v>46670489</v>
      </c>
    </row>
    <row r="16" spans="1:33" ht="24" x14ac:dyDescent="0.2">
      <c r="A16" s="51"/>
      <c r="B16" s="634" t="s">
        <v>35</v>
      </c>
      <c r="C16" s="634"/>
      <c r="D16" s="52" t="s">
        <v>153</v>
      </c>
      <c r="E16" s="53">
        <v>205965</v>
      </c>
      <c r="F16" s="53">
        <f>G16+E16</f>
        <v>313938</v>
      </c>
      <c r="G16" s="53">
        <f>SUM(H16:S16)</f>
        <v>107973</v>
      </c>
      <c r="H16" s="53">
        <v>107973</v>
      </c>
      <c r="I16" s="53"/>
      <c r="J16" s="53"/>
      <c r="K16" s="53"/>
      <c r="L16" s="53"/>
      <c r="M16" s="53"/>
      <c r="N16" s="504"/>
      <c r="O16" s="53"/>
      <c r="P16" s="53"/>
      <c r="Q16" s="53"/>
      <c r="R16" s="53"/>
      <c r="S16" s="53"/>
      <c r="T16" s="53"/>
      <c r="U16" s="371">
        <f>V16+T16</f>
        <v>0</v>
      </c>
      <c r="V16" s="371">
        <f>SUM(W16:AE16)</f>
        <v>0</v>
      </c>
      <c r="W16" s="371"/>
      <c r="X16" s="371"/>
      <c r="Y16" s="371"/>
      <c r="Z16" s="371"/>
      <c r="AA16" s="371"/>
      <c r="AB16" s="371"/>
      <c r="AC16" s="371"/>
      <c r="AD16" s="371"/>
      <c r="AE16" s="371"/>
      <c r="AF16" s="325">
        <f>E16+T16</f>
        <v>205965</v>
      </c>
      <c r="AG16" s="325">
        <f>F16+U16</f>
        <v>313938</v>
      </c>
    </row>
    <row r="17" spans="1:33" ht="24" x14ac:dyDescent="0.2">
      <c r="A17" s="54"/>
      <c r="B17" s="644" t="s">
        <v>36</v>
      </c>
      <c r="C17" s="644"/>
      <c r="D17" s="55" t="s">
        <v>302</v>
      </c>
      <c r="E17" s="56">
        <v>46356551</v>
      </c>
      <c r="F17" s="65">
        <f>G17+E17</f>
        <v>46356551</v>
      </c>
      <c r="G17" s="65">
        <f>SUM(H17:S17)</f>
        <v>0</v>
      </c>
      <c r="H17" s="65"/>
      <c r="I17" s="65"/>
      <c r="J17" s="65"/>
      <c r="K17" s="65"/>
      <c r="L17" s="65"/>
      <c r="M17" s="65"/>
      <c r="N17" s="505"/>
      <c r="O17" s="65"/>
      <c r="P17" s="65"/>
      <c r="Q17" s="65"/>
      <c r="R17" s="65"/>
      <c r="S17" s="65"/>
      <c r="T17" s="65"/>
      <c r="U17" s="372">
        <f>V17+T17</f>
        <v>0</v>
      </c>
      <c r="V17" s="372">
        <f>SUM(W17:AE17)</f>
        <v>0</v>
      </c>
      <c r="W17" s="372"/>
      <c r="X17" s="372"/>
      <c r="Y17" s="372"/>
      <c r="Z17" s="372"/>
      <c r="AA17" s="372"/>
      <c r="AB17" s="372"/>
      <c r="AC17" s="372"/>
      <c r="AD17" s="372"/>
      <c r="AE17" s="372"/>
      <c r="AF17" s="326">
        <f>E17+T17</f>
        <v>46356551</v>
      </c>
      <c r="AG17" s="326">
        <f>F17+U17</f>
        <v>46356551</v>
      </c>
    </row>
    <row r="18" spans="1:33" s="182" customFormat="1" x14ac:dyDescent="0.2">
      <c r="A18" s="614" t="s">
        <v>37</v>
      </c>
      <c r="B18" s="615"/>
      <c r="C18" s="615"/>
      <c r="D18" s="43" t="s">
        <v>38</v>
      </c>
      <c r="E18" s="57">
        <f t="shared" ref="E18:AG18" si="9">SUM(E19)</f>
        <v>9084888</v>
      </c>
      <c r="F18" s="57">
        <f t="shared" si="9"/>
        <v>9588888</v>
      </c>
      <c r="G18" s="57">
        <f t="shared" si="9"/>
        <v>504000</v>
      </c>
      <c r="H18" s="57">
        <f t="shared" si="9"/>
        <v>504000</v>
      </c>
      <c r="I18" s="57">
        <f t="shared" si="9"/>
        <v>0</v>
      </c>
      <c r="J18" s="57">
        <f t="shared" si="9"/>
        <v>0</v>
      </c>
      <c r="K18" s="456">
        <f t="shared" si="9"/>
        <v>0</v>
      </c>
      <c r="L18" s="456">
        <f t="shared" si="9"/>
        <v>0</v>
      </c>
      <c r="M18" s="456">
        <f t="shared" si="9"/>
        <v>0</v>
      </c>
      <c r="N18" s="506">
        <f t="shared" si="9"/>
        <v>0</v>
      </c>
      <c r="O18" s="456">
        <f t="shared" si="9"/>
        <v>0</v>
      </c>
      <c r="P18" s="456">
        <f t="shared" si="9"/>
        <v>0</v>
      </c>
      <c r="Q18" s="456">
        <f t="shared" si="9"/>
        <v>0</v>
      </c>
      <c r="R18" s="456">
        <f t="shared" si="9"/>
        <v>0</v>
      </c>
      <c r="S18" s="456">
        <f t="shared" si="9"/>
        <v>0</v>
      </c>
      <c r="T18" s="456">
        <f t="shared" si="9"/>
        <v>0</v>
      </c>
      <c r="U18" s="457">
        <f t="shared" si="9"/>
        <v>0</v>
      </c>
      <c r="V18" s="457">
        <f t="shared" si="9"/>
        <v>0</v>
      </c>
      <c r="W18" s="457">
        <f t="shared" si="9"/>
        <v>0</v>
      </c>
      <c r="X18" s="457">
        <f t="shared" si="9"/>
        <v>0</v>
      </c>
      <c r="Y18" s="457">
        <f t="shared" si="9"/>
        <v>0</v>
      </c>
      <c r="Z18" s="457">
        <f t="shared" si="9"/>
        <v>0</v>
      </c>
      <c r="AA18" s="457">
        <f t="shared" si="9"/>
        <v>0</v>
      </c>
      <c r="AB18" s="457">
        <f t="shared" si="9"/>
        <v>0</v>
      </c>
      <c r="AC18" s="457">
        <f t="shared" si="9"/>
        <v>0</v>
      </c>
      <c r="AD18" s="457">
        <f t="shared" si="9"/>
        <v>0</v>
      </c>
      <c r="AE18" s="373">
        <f t="shared" si="9"/>
        <v>0</v>
      </c>
      <c r="AF18" s="327">
        <f t="shared" si="9"/>
        <v>9084888</v>
      </c>
      <c r="AG18" s="327">
        <f t="shared" si="9"/>
        <v>9588888</v>
      </c>
    </row>
    <row r="19" spans="1:33" s="181" customFormat="1" x14ac:dyDescent="0.2">
      <c r="A19" s="45"/>
      <c r="B19" s="593" t="s">
        <v>39</v>
      </c>
      <c r="C19" s="593"/>
      <c r="D19" s="46" t="s">
        <v>40</v>
      </c>
      <c r="E19" s="58">
        <f t="shared" ref="E19:AF19" si="10">SUM(E20,E23,E26)</f>
        <v>9084888</v>
      </c>
      <c r="F19" s="58">
        <f t="shared" ref="F19:S19" si="11">SUM(F20,F23,F26)</f>
        <v>9588888</v>
      </c>
      <c r="G19" s="58">
        <f t="shared" si="11"/>
        <v>504000</v>
      </c>
      <c r="H19" s="58">
        <f t="shared" si="11"/>
        <v>504000</v>
      </c>
      <c r="I19" s="58">
        <f t="shared" si="11"/>
        <v>0</v>
      </c>
      <c r="J19" s="58">
        <f t="shared" si="11"/>
        <v>0</v>
      </c>
      <c r="K19" s="58">
        <f t="shared" si="11"/>
        <v>0</v>
      </c>
      <c r="L19" s="58">
        <f t="shared" si="11"/>
        <v>0</v>
      </c>
      <c r="M19" s="58">
        <f t="shared" si="11"/>
        <v>0</v>
      </c>
      <c r="N19" s="507">
        <f t="shared" si="11"/>
        <v>0</v>
      </c>
      <c r="O19" s="58">
        <f t="shared" si="11"/>
        <v>0</v>
      </c>
      <c r="P19" s="58">
        <f t="shared" si="11"/>
        <v>0</v>
      </c>
      <c r="Q19" s="58">
        <f t="shared" si="11"/>
        <v>0</v>
      </c>
      <c r="R19" s="58">
        <f t="shared" si="11"/>
        <v>0</v>
      </c>
      <c r="S19" s="58">
        <f t="shared" si="11"/>
        <v>0</v>
      </c>
      <c r="T19" s="58">
        <f t="shared" si="10"/>
        <v>0</v>
      </c>
      <c r="U19" s="374">
        <f t="shared" si="10"/>
        <v>0</v>
      </c>
      <c r="V19" s="374">
        <f t="shared" si="10"/>
        <v>0</v>
      </c>
      <c r="W19" s="374">
        <f t="shared" si="10"/>
        <v>0</v>
      </c>
      <c r="X19" s="374">
        <f t="shared" si="10"/>
        <v>0</v>
      </c>
      <c r="Y19" s="374">
        <f t="shared" si="10"/>
        <v>0</v>
      </c>
      <c r="Z19" s="374">
        <f t="shared" si="10"/>
        <v>0</v>
      </c>
      <c r="AA19" s="374">
        <f t="shared" ref="AA19:AD19" si="12">SUM(AA20,AA23,AA26)</f>
        <v>0</v>
      </c>
      <c r="AB19" s="374">
        <f t="shared" si="12"/>
        <v>0</v>
      </c>
      <c r="AC19" s="374">
        <f t="shared" si="12"/>
        <v>0</v>
      </c>
      <c r="AD19" s="374">
        <f t="shared" si="12"/>
        <v>0</v>
      </c>
      <c r="AE19" s="374">
        <f t="shared" si="10"/>
        <v>0</v>
      </c>
      <c r="AF19" s="328">
        <f t="shared" si="10"/>
        <v>9084888</v>
      </c>
      <c r="AG19" s="328">
        <f t="shared" ref="AG19" si="13">SUM(AG20,AG23,AG26)</f>
        <v>9588888</v>
      </c>
    </row>
    <row r="20" spans="1:33" x14ac:dyDescent="0.2">
      <c r="A20" s="59"/>
      <c r="B20" s="595" t="s">
        <v>197</v>
      </c>
      <c r="C20" s="595"/>
      <c r="D20" s="60" t="s">
        <v>196</v>
      </c>
      <c r="E20" s="61">
        <f>SUM(E21:E22)</f>
        <v>4846769</v>
      </c>
      <c r="F20" s="61">
        <f>SUM(F21:F22)</f>
        <v>4986769</v>
      </c>
      <c r="G20" s="61">
        <f t="shared" ref="G20:S20" si="14">SUM(G21:G22)</f>
        <v>140000</v>
      </c>
      <c r="H20" s="61">
        <f t="shared" si="14"/>
        <v>140000</v>
      </c>
      <c r="I20" s="61">
        <f t="shared" si="14"/>
        <v>0</v>
      </c>
      <c r="J20" s="61">
        <f t="shared" si="14"/>
        <v>0</v>
      </c>
      <c r="K20" s="61">
        <f t="shared" si="14"/>
        <v>0</v>
      </c>
      <c r="L20" s="61">
        <f t="shared" si="14"/>
        <v>0</v>
      </c>
      <c r="M20" s="61">
        <f t="shared" si="14"/>
        <v>0</v>
      </c>
      <c r="N20" s="508">
        <f t="shared" si="14"/>
        <v>0</v>
      </c>
      <c r="O20" s="61">
        <f t="shared" si="14"/>
        <v>0</v>
      </c>
      <c r="P20" s="61">
        <f t="shared" si="14"/>
        <v>0</v>
      </c>
      <c r="Q20" s="61">
        <f t="shared" si="14"/>
        <v>0</v>
      </c>
      <c r="R20" s="61">
        <f t="shared" si="14"/>
        <v>0</v>
      </c>
      <c r="S20" s="61">
        <f t="shared" si="14"/>
        <v>0</v>
      </c>
      <c r="T20" s="61">
        <f>SUM(T21:T22)</f>
        <v>0</v>
      </c>
      <c r="U20" s="375">
        <f t="shared" ref="U20" si="15">SUM(U21:U22)</f>
        <v>0</v>
      </c>
      <c r="V20" s="375">
        <f t="shared" ref="V20" si="16">SUM(V21:V22)</f>
        <v>0</v>
      </c>
      <c r="W20" s="375">
        <f t="shared" ref="W20" si="17">SUM(W21:W22)</f>
        <v>0</v>
      </c>
      <c r="X20" s="375">
        <f t="shared" ref="X20" si="18">SUM(X21:X22)</f>
        <v>0</v>
      </c>
      <c r="Y20" s="375">
        <f t="shared" ref="Y20" si="19">SUM(Y21:Y22)</f>
        <v>0</v>
      </c>
      <c r="Z20" s="375">
        <f t="shared" ref="Z20:AA20" si="20">SUM(Z21:Z22)</f>
        <v>0</v>
      </c>
      <c r="AA20" s="375">
        <f t="shared" si="20"/>
        <v>0</v>
      </c>
      <c r="AB20" s="375">
        <f t="shared" ref="AB20:AD20" si="21">SUM(AB21:AB22)</f>
        <v>0</v>
      </c>
      <c r="AC20" s="375">
        <f t="shared" si="21"/>
        <v>0</v>
      </c>
      <c r="AD20" s="375">
        <f t="shared" si="21"/>
        <v>0</v>
      </c>
      <c r="AE20" s="375">
        <f t="shared" ref="AE20" si="22">SUM(AE21:AE22)</f>
        <v>0</v>
      </c>
      <c r="AF20" s="329">
        <f>SUM(AF21:AF22)</f>
        <v>4846769</v>
      </c>
      <c r="AG20" s="329">
        <f>SUM(AG21:AG22)</f>
        <v>4986769</v>
      </c>
    </row>
    <row r="21" spans="1:33" ht="24" x14ac:dyDescent="0.2">
      <c r="A21" s="51"/>
      <c r="B21" s="634" t="s">
        <v>41</v>
      </c>
      <c r="C21" s="634"/>
      <c r="D21" s="52" t="s">
        <v>42</v>
      </c>
      <c r="E21" s="53">
        <v>4346769</v>
      </c>
      <c r="F21" s="53">
        <f t="shared" ref="F21:F22" si="23">G21+E21</f>
        <v>4454769</v>
      </c>
      <c r="G21" s="53">
        <f t="shared" ref="G21:G22" si="24">SUM(H21:S21)</f>
        <v>108000</v>
      </c>
      <c r="H21" s="53">
        <v>108000</v>
      </c>
      <c r="I21" s="53"/>
      <c r="J21" s="53"/>
      <c r="K21" s="53"/>
      <c r="L21" s="53"/>
      <c r="M21" s="53"/>
      <c r="N21" s="504"/>
      <c r="O21" s="53"/>
      <c r="P21" s="53"/>
      <c r="Q21" s="53"/>
      <c r="R21" s="53"/>
      <c r="S21" s="53"/>
      <c r="T21" s="53"/>
      <c r="U21" s="371">
        <f t="shared" ref="U21:U22" si="25">V21+T21</f>
        <v>0</v>
      </c>
      <c r="V21" s="371">
        <f>SUM(W21:AE21)</f>
        <v>0</v>
      </c>
      <c r="W21" s="371"/>
      <c r="X21" s="371"/>
      <c r="Y21" s="371"/>
      <c r="Z21" s="371"/>
      <c r="AA21" s="371"/>
      <c r="AB21" s="371"/>
      <c r="AC21" s="371"/>
      <c r="AD21" s="371"/>
      <c r="AE21" s="371"/>
      <c r="AF21" s="325">
        <f>E21+T21</f>
        <v>4346769</v>
      </c>
      <c r="AG21" s="325">
        <f>F21+U21</f>
        <v>4454769</v>
      </c>
    </row>
    <row r="22" spans="1:33" ht="24" x14ac:dyDescent="0.2">
      <c r="A22" s="54"/>
      <c r="B22" s="597" t="s">
        <v>43</v>
      </c>
      <c r="C22" s="597"/>
      <c r="D22" s="55" t="s">
        <v>44</v>
      </c>
      <c r="E22" s="56">
        <v>500000</v>
      </c>
      <c r="F22" s="65">
        <f t="shared" si="23"/>
        <v>532000</v>
      </c>
      <c r="G22" s="65">
        <f t="shared" si="24"/>
        <v>32000</v>
      </c>
      <c r="H22" s="65">
        <v>32000</v>
      </c>
      <c r="I22" s="65"/>
      <c r="J22" s="65"/>
      <c r="K22" s="65"/>
      <c r="L22" s="65"/>
      <c r="M22" s="65"/>
      <c r="N22" s="505"/>
      <c r="O22" s="65"/>
      <c r="P22" s="65"/>
      <c r="Q22" s="65"/>
      <c r="R22" s="65"/>
      <c r="S22" s="65"/>
      <c r="T22" s="65"/>
      <c r="U22" s="372">
        <f t="shared" si="25"/>
        <v>0</v>
      </c>
      <c r="V22" s="372">
        <f>SUM(W22:AE22)</f>
        <v>0</v>
      </c>
      <c r="W22" s="372"/>
      <c r="X22" s="372"/>
      <c r="Y22" s="372"/>
      <c r="Z22" s="372"/>
      <c r="AA22" s="372"/>
      <c r="AB22" s="372"/>
      <c r="AC22" s="372"/>
      <c r="AD22" s="372"/>
      <c r="AE22" s="372"/>
      <c r="AF22" s="326">
        <f>E22+T22</f>
        <v>500000</v>
      </c>
      <c r="AG22" s="326">
        <f>F22+U22</f>
        <v>532000</v>
      </c>
    </row>
    <row r="23" spans="1:33" x14ac:dyDescent="0.2">
      <c r="A23" s="59"/>
      <c r="B23" s="595" t="s">
        <v>45</v>
      </c>
      <c r="C23" s="595"/>
      <c r="D23" s="60" t="s">
        <v>154</v>
      </c>
      <c r="E23" s="61">
        <f>SUM(E24:E25)</f>
        <v>3564005</v>
      </c>
      <c r="F23" s="61">
        <f>SUM(F24:F25)</f>
        <v>3023005</v>
      </c>
      <c r="G23" s="61">
        <f t="shared" ref="G23:S23" si="26">SUM(G24:G25)</f>
        <v>-541000</v>
      </c>
      <c r="H23" s="61">
        <f t="shared" si="26"/>
        <v>330000</v>
      </c>
      <c r="I23" s="61">
        <f t="shared" si="26"/>
        <v>0</v>
      </c>
      <c r="J23" s="61">
        <f t="shared" si="26"/>
        <v>0</v>
      </c>
      <c r="K23" s="61">
        <f t="shared" si="26"/>
        <v>0</v>
      </c>
      <c r="L23" s="61">
        <f t="shared" si="26"/>
        <v>-871000</v>
      </c>
      <c r="M23" s="61">
        <f t="shared" si="26"/>
        <v>0</v>
      </c>
      <c r="N23" s="508">
        <f t="shared" si="26"/>
        <v>0</v>
      </c>
      <c r="O23" s="61">
        <f t="shared" si="26"/>
        <v>0</v>
      </c>
      <c r="P23" s="61">
        <f t="shared" si="26"/>
        <v>0</v>
      </c>
      <c r="Q23" s="61">
        <f t="shared" si="26"/>
        <v>0</v>
      </c>
      <c r="R23" s="61">
        <f t="shared" si="26"/>
        <v>0</v>
      </c>
      <c r="S23" s="61">
        <f t="shared" si="26"/>
        <v>0</v>
      </c>
      <c r="T23" s="61">
        <f>SUM(T24:T25)</f>
        <v>0</v>
      </c>
      <c r="U23" s="375">
        <f t="shared" ref="U23" si="27">SUM(U24:U25)</f>
        <v>0</v>
      </c>
      <c r="V23" s="375">
        <f t="shared" ref="V23" si="28">SUM(V24:V25)</f>
        <v>0</v>
      </c>
      <c r="W23" s="375">
        <f t="shared" ref="W23" si="29">SUM(W24:W25)</f>
        <v>0</v>
      </c>
      <c r="X23" s="375">
        <f t="shared" ref="X23" si="30">SUM(X24:X25)</f>
        <v>0</v>
      </c>
      <c r="Y23" s="375">
        <f t="shared" ref="Y23" si="31">SUM(Y24:Y25)</f>
        <v>0</v>
      </c>
      <c r="Z23" s="375">
        <f t="shared" ref="Z23:AA23" si="32">SUM(Z24:Z25)</f>
        <v>0</v>
      </c>
      <c r="AA23" s="375">
        <f t="shared" si="32"/>
        <v>0</v>
      </c>
      <c r="AB23" s="375">
        <f t="shared" ref="AB23:AD23" si="33">SUM(AB24:AB25)</f>
        <v>0</v>
      </c>
      <c r="AC23" s="375">
        <f t="shared" si="33"/>
        <v>0</v>
      </c>
      <c r="AD23" s="375">
        <f t="shared" si="33"/>
        <v>0</v>
      </c>
      <c r="AE23" s="375">
        <f t="shared" ref="AE23" si="34">SUM(AE24:AE25)</f>
        <v>0</v>
      </c>
      <c r="AF23" s="329">
        <f>SUM(AF24:AF25)</f>
        <v>3564005</v>
      </c>
      <c r="AG23" s="329">
        <f>SUM(AG24:AG25)</f>
        <v>3023005</v>
      </c>
    </row>
    <row r="24" spans="1:33" ht="24" x14ac:dyDescent="0.2">
      <c r="A24" s="51"/>
      <c r="B24" s="633" t="s">
        <v>46</v>
      </c>
      <c r="C24" s="633"/>
      <c r="D24" s="52" t="s">
        <v>164</v>
      </c>
      <c r="E24" s="53">
        <v>3351122</v>
      </c>
      <c r="F24" s="53">
        <f t="shared" ref="F24:F25" si="35">G24+E24</f>
        <v>2513122</v>
      </c>
      <c r="G24" s="53">
        <f t="shared" ref="G24:G25" si="36">SUM(H24:S24)</f>
        <v>-838000</v>
      </c>
      <c r="H24" s="53">
        <v>33000</v>
      </c>
      <c r="I24" s="53"/>
      <c r="J24" s="53"/>
      <c r="K24" s="53"/>
      <c r="L24" s="53">
        <v>-871000</v>
      </c>
      <c r="M24" s="53"/>
      <c r="N24" s="504"/>
      <c r="O24" s="53"/>
      <c r="P24" s="53"/>
      <c r="Q24" s="53"/>
      <c r="R24" s="53"/>
      <c r="S24" s="53"/>
      <c r="T24" s="53"/>
      <c r="U24" s="371">
        <f t="shared" ref="U24:U25" si="37">V24+T24</f>
        <v>0</v>
      </c>
      <c r="V24" s="371">
        <f>SUM(W24:AE24)</f>
        <v>0</v>
      </c>
      <c r="W24" s="371"/>
      <c r="X24" s="371"/>
      <c r="Y24" s="371"/>
      <c r="Z24" s="371"/>
      <c r="AA24" s="371"/>
      <c r="AB24" s="371"/>
      <c r="AC24" s="371"/>
      <c r="AD24" s="371"/>
      <c r="AE24" s="371"/>
      <c r="AF24" s="325">
        <f>E24+T24</f>
        <v>3351122</v>
      </c>
      <c r="AG24" s="325">
        <f>F24+U24</f>
        <v>2513122</v>
      </c>
    </row>
    <row r="25" spans="1:33" ht="24" x14ac:dyDescent="0.2">
      <c r="A25" s="54"/>
      <c r="B25" s="597" t="s">
        <v>47</v>
      </c>
      <c r="C25" s="597"/>
      <c r="D25" s="55" t="s">
        <v>165</v>
      </c>
      <c r="E25" s="56">
        <v>212883</v>
      </c>
      <c r="F25" s="65">
        <f t="shared" si="35"/>
        <v>509883</v>
      </c>
      <c r="G25" s="65">
        <f t="shared" si="36"/>
        <v>297000</v>
      </c>
      <c r="H25" s="65">
        <v>297000</v>
      </c>
      <c r="I25" s="65"/>
      <c r="J25" s="65"/>
      <c r="K25" s="65"/>
      <c r="L25" s="65"/>
      <c r="M25" s="65"/>
      <c r="N25" s="505"/>
      <c r="O25" s="65"/>
      <c r="P25" s="65"/>
      <c r="Q25" s="65"/>
      <c r="R25" s="65"/>
      <c r="S25" s="65"/>
      <c r="T25" s="65"/>
      <c r="U25" s="379">
        <f t="shared" si="37"/>
        <v>0</v>
      </c>
      <c r="V25" s="379">
        <f>SUM(W25:AE25)</f>
        <v>0</v>
      </c>
      <c r="W25" s="379"/>
      <c r="X25" s="379"/>
      <c r="Y25" s="379"/>
      <c r="Z25" s="379"/>
      <c r="AA25" s="379"/>
      <c r="AB25" s="379"/>
      <c r="AC25" s="379"/>
      <c r="AD25" s="379"/>
      <c r="AE25" s="126"/>
      <c r="AF25" s="330">
        <f>E25+T25</f>
        <v>212883</v>
      </c>
      <c r="AG25" s="330">
        <f>F25+U25</f>
        <v>509883</v>
      </c>
    </row>
    <row r="26" spans="1:33" x14ac:dyDescent="0.2">
      <c r="A26" s="63"/>
      <c r="B26" s="595" t="s">
        <v>377</v>
      </c>
      <c r="C26" s="595"/>
      <c r="D26" s="60" t="s">
        <v>380</v>
      </c>
      <c r="E26" s="61">
        <f>SUM(E27:E28)</f>
        <v>674114</v>
      </c>
      <c r="F26" s="61">
        <f>SUM(F27:F28)</f>
        <v>1579114</v>
      </c>
      <c r="G26" s="61">
        <f t="shared" ref="G26:S26" si="38">SUM(G27:G28)</f>
        <v>905000</v>
      </c>
      <c r="H26" s="61">
        <f t="shared" si="38"/>
        <v>34000</v>
      </c>
      <c r="I26" s="61">
        <f t="shared" si="38"/>
        <v>0</v>
      </c>
      <c r="J26" s="61">
        <f t="shared" si="38"/>
        <v>0</v>
      </c>
      <c r="K26" s="61">
        <f t="shared" si="38"/>
        <v>0</v>
      </c>
      <c r="L26" s="61">
        <f t="shared" si="38"/>
        <v>871000</v>
      </c>
      <c r="M26" s="61">
        <f t="shared" si="38"/>
        <v>0</v>
      </c>
      <c r="N26" s="508">
        <f t="shared" si="38"/>
        <v>0</v>
      </c>
      <c r="O26" s="61">
        <f t="shared" si="38"/>
        <v>0</v>
      </c>
      <c r="P26" s="61">
        <f t="shared" si="38"/>
        <v>0</v>
      </c>
      <c r="Q26" s="61">
        <f t="shared" si="38"/>
        <v>0</v>
      </c>
      <c r="R26" s="61">
        <f t="shared" si="38"/>
        <v>0</v>
      </c>
      <c r="S26" s="61">
        <f t="shared" si="38"/>
        <v>0</v>
      </c>
      <c r="T26" s="61">
        <f>SUM(T27:T28)</f>
        <v>0</v>
      </c>
      <c r="U26" s="370">
        <f t="shared" ref="U26" si="39">SUM(U27:U28)</f>
        <v>0</v>
      </c>
      <c r="V26" s="370">
        <f t="shared" ref="V26" si="40">SUM(V27:V28)</f>
        <v>0</v>
      </c>
      <c r="W26" s="370">
        <f t="shared" ref="W26" si="41">SUM(W27:W28)</f>
        <v>0</v>
      </c>
      <c r="X26" s="370">
        <f t="shared" ref="X26" si="42">SUM(X27:X28)</f>
        <v>0</v>
      </c>
      <c r="Y26" s="370">
        <f t="shared" ref="Y26" si="43">SUM(Y27:Y28)</f>
        <v>0</v>
      </c>
      <c r="Z26" s="370">
        <f t="shared" ref="Z26:AA26" si="44">SUM(Z27:Z28)</f>
        <v>0</v>
      </c>
      <c r="AA26" s="370">
        <f t="shared" si="44"/>
        <v>0</v>
      </c>
      <c r="AB26" s="370">
        <f t="shared" ref="AB26:AD26" si="45">SUM(AB27:AB28)</f>
        <v>0</v>
      </c>
      <c r="AC26" s="370">
        <f t="shared" si="45"/>
        <v>0</v>
      </c>
      <c r="AD26" s="370">
        <f t="shared" si="45"/>
        <v>0</v>
      </c>
      <c r="AE26" s="370">
        <f t="shared" ref="AE26" si="46">SUM(AE27:AE28)</f>
        <v>0</v>
      </c>
      <c r="AF26" s="324">
        <f>SUM(AF27:AF28)</f>
        <v>674114</v>
      </c>
      <c r="AG26" s="324">
        <f>SUM(AG27:AG28)</f>
        <v>1579114</v>
      </c>
    </row>
    <row r="27" spans="1:33" ht="24" x14ac:dyDescent="0.2">
      <c r="A27" s="63"/>
      <c r="B27" s="633" t="s">
        <v>378</v>
      </c>
      <c r="C27" s="633"/>
      <c r="D27" s="52" t="s">
        <v>381</v>
      </c>
      <c r="E27" s="103">
        <v>594114</v>
      </c>
      <c r="F27" s="103">
        <f t="shared" ref="F27:F28" si="47">G27+E27</f>
        <v>1491114</v>
      </c>
      <c r="G27" s="103">
        <f t="shared" ref="G27:G28" si="48">SUM(H27:S27)</f>
        <v>897000</v>
      </c>
      <c r="H27" s="103">
        <v>26000</v>
      </c>
      <c r="I27" s="103"/>
      <c r="J27" s="103"/>
      <c r="K27" s="103"/>
      <c r="L27" s="103">
        <v>871000</v>
      </c>
      <c r="M27" s="103"/>
      <c r="N27" s="509"/>
      <c r="O27" s="103"/>
      <c r="P27" s="103"/>
      <c r="Q27" s="103"/>
      <c r="R27" s="103"/>
      <c r="S27" s="103"/>
      <c r="T27" s="103"/>
      <c r="U27" s="376">
        <f t="shared" ref="U27:U28" si="49">V27+T27</f>
        <v>0</v>
      </c>
      <c r="V27" s="376">
        <f>SUM(W27:AE27)</f>
        <v>0</v>
      </c>
      <c r="W27" s="376"/>
      <c r="X27" s="376"/>
      <c r="Y27" s="376"/>
      <c r="Z27" s="376"/>
      <c r="AA27" s="376"/>
      <c r="AB27" s="376"/>
      <c r="AC27" s="376"/>
      <c r="AD27" s="376"/>
      <c r="AE27" s="376"/>
      <c r="AF27" s="331">
        <f>E27+T27</f>
        <v>594114</v>
      </c>
      <c r="AG27" s="331">
        <f>F27+U27</f>
        <v>1491114</v>
      </c>
    </row>
    <row r="28" spans="1:33" ht="24" x14ac:dyDescent="0.2">
      <c r="A28" s="63"/>
      <c r="B28" s="597" t="s">
        <v>379</v>
      </c>
      <c r="C28" s="597"/>
      <c r="D28" s="55" t="s">
        <v>382</v>
      </c>
      <c r="E28" s="65">
        <v>80000</v>
      </c>
      <c r="F28" s="65">
        <f t="shared" si="47"/>
        <v>88000</v>
      </c>
      <c r="G28" s="65">
        <f t="shared" si="48"/>
        <v>8000</v>
      </c>
      <c r="H28" s="65">
        <v>8000</v>
      </c>
      <c r="I28" s="65"/>
      <c r="J28" s="65"/>
      <c r="K28" s="65"/>
      <c r="L28" s="65"/>
      <c r="M28" s="65"/>
      <c r="N28" s="505"/>
      <c r="O28" s="65"/>
      <c r="P28" s="65"/>
      <c r="Q28" s="65"/>
      <c r="R28" s="65"/>
      <c r="S28" s="65"/>
      <c r="T28" s="65"/>
      <c r="U28" s="372">
        <f t="shared" si="49"/>
        <v>0</v>
      </c>
      <c r="V28" s="372">
        <f>SUM(W28:AE28)</f>
        <v>0</v>
      </c>
      <c r="W28" s="372"/>
      <c r="X28" s="372"/>
      <c r="Y28" s="372"/>
      <c r="Z28" s="372"/>
      <c r="AA28" s="372"/>
      <c r="AB28" s="372"/>
      <c r="AC28" s="372"/>
      <c r="AD28" s="372"/>
      <c r="AE28" s="372"/>
      <c r="AF28" s="326">
        <f>E28+T28</f>
        <v>80000</v>
      </c>
      <c r="AG28" s="326">
        <f>F28+U28</f>
        <v>88000</v>
      </c>
    </row>
    <row r="29" spans="1:33" s="182" customFormat="1" x14ac:dyDescent="0.2">
      <c r="A29" s="614" t="s">
        <v>48</v>
      </c>
      <c r="B29" s="615"/>
      <c r="C29" s="615"/>
      <c r="D29" s="43" t="s">
        <v>49</v>
      </c>
      <c r="E29" s="57">
        <f t="shared" ref="E29:F29" si="50">SUM(E30,E32)</f>
        <v>285000</v>
      </c>
      <c r="F29" s="57">
        <f t="shared" si="50"/>
        <v>285000</v>
      </c>
      <c r="G29" s="57">
        <f t="shared" ref="G29:S29" si="51">SUM(G30,G32)</f>
        <v>0</v>
      </c>
      <c r="H29" s="57">
        <f t="shared" si="51"/>
        <v>0</v>
      </c>
      <c r="I29" s="57">
        <f t="shared" si="51"/>
        <v>0</v>
      </c>
      <c r="J29" s="57">
        <f t="shared" si="51"/>
        <v>0</v>
      </c>
      <c r="K29" s="456">
        <f t="shared" si="51"/>
        <v>0</v>
      </c>
      <c r="L29" s="456">
        <f t="shared" si="51"/>
        <v>0</v>
      </c>
      <c r="M29" s="456">
        <f t="shared" si="51"/>
        <v>0</v>
      </c>
      <c r="N29" s="506">
        <f t="shared" si="51"/>
        <v>0</v>
      </c>
      <c r="O29" s="456">
        <f t="shared" si="51"/>
        <v>0</v>
      </c>
      <c r="P29" s="456">
        <f t="shared" si="51"/>
        <v>0</v>
      </c>
      <c r="Q29" s="456">
        <f t="shared" si="51"/>
        <v>0</v>
      </c>
      <c r="R29" s="456">
        <f t="shared" si="51"/>
        <v>0</v>
      </c>
      <c r="S29" s="456">
        <f t="shared" si="51"/>
        <v>0</v>
      </c>
      <c r="T29" s="456">
        <f t="shared" ref="T29:AE29" si="52">SUM(T30,T32)</f>
        <v>0</v>
      </c>
      <c r="U29" s="457">
        <f t="shared" si="52"/>
        <v>0</v>
      </c>
      <c r="V29" s="457">
        <f t="shared" si="52"/>
        <v>0</v>
      </c>
      <c r="W29" s="457">
        <f t="shared" si="52"/>
        <v>0</v>
      </c>
      <c r="X29" s="457">
        <f t="shared" si="52"/>
        <v>0</v>
      </c>
      <c r="Y29" s="457">
        <f t="shared" si="52"/>
        <v>0</v>
      </c>
      <c r="Z29" s="457">
        <f t="shared" si="52"/>
        <v>0</v>
      </c>
      <c r="AA29" s="457">
        <f t="shared" ref="AA29:AD29" si="53">SUM(AA30,AA32)</f>
        <v>0</v>
      </c>
      <c r="AB29" s="457">
        <f t="shared" si="53"/>
        <v>0</v>
      </c>
      <c r="AC29" s="457">
        <f t="shared" si="53"/>
        <v>0</v>
      </c>
      <c r="AD29" s="457">
        <f t="shared" si="53"/>
        <v>0</v>
      </c>
      <c r="AE29" s="373">
        <f t="shared" si="52"/>
        <v>0</v>
      </c>
      <c r="AF29" s="327">
        <f t="shared" ref="AF29:AG29" si="54">SUM(AF30,AF32)</f>
        <v>285000</v>
      </c>
      <c r="AG29" s="327">
        <f t="shared" si="54"/>
        <v>285000</v>
      </c>
    </row>
    <row r="30" spans="1:33" s="181" customFormat="1" x14ac:dyDescent="0.2">
      <c r="A30" s="45"/>
      <c r="B30" s="593" t="s">
        <v>50</v>
      </c>
      <c r="C30" s="593"/>
      <c r="D30" s="62" t="s">
        <v>51</v>
      </c>
      <c r="E30" s="58">
        <f t="shared" ref="E30:AG30" si="55">E31</f>
        <v>180000</v>
      </c>
      <c r="F30" s="58">
        <f t="shared" si="55"/>
        <v>180000</v>
      </c>
      <c r="G30" s="58">
        <f t="shared" si="55"/>
        <v>0</v>
      </c>
      <c r="H30" s="58">
        <f t="shared" si="55"/>
        <v>0</v>
      </c>
      <c r="I30" s="58">
        <f t="shared" si="55"/>
        <v>0</v>
      </c>
      <c r="J30" s="58">
        <f t="shared" si="55"/>
        <v>0</v>
      </c>
      <c r="K30" s="58">
        <f t="shared" si="55"/>
        <v>0</v>
      </c>
      <c r="L30" s="58">
        <f t="shared" si="55"/>
        <v>0</v>
      </c>
      <c r="M30" s="58">
        <f t="shared" si="55"/>
        <v>0</v>
      </c>
      <c r="N30" s="507">
        <f t="shared" si="55"/>
        <v>0</v>
      </c>
      <c r="O30" s="58">
        <f t="shared" si="55"/>
        <v>0</v>
      </c>
      <c r="P30" s="58">
        <f t="shared" si="55"/>
        <v>0</v>
      </c>
      <c r="Q30" s="58">
        <f t="shared" si="55"/>
        <v>0</v>
      </c>
      <c r="R30" s="58">
        <f t="shared" si="55"/>
        <v>0</v>
      </c>
      <c r="S30" s="58">
        <f t="shared" si="55"/>
        <v>0</v>
      </c>
      <c r="T30" s="58">
        <f t="shared" si="55"/>
        <v>0</v>
      </c>
      <c r="U30" s="374">
        <f t="shared" si="55"/>
        <v>0</v>
      </c>
      <c r="V30" s="374">
        <f t="shared" si="55"/>
        <v>0</v>
      </c>
      <c r="W30" s="374">
        <f t="shared" si="55"/>
        <v>0</v>
      </c>
      <c r="X30" s="374">
        <f t="shared" si="55"/>
        <v>0</v>
      </c>
      <c r="Y30" s="374">
        <f t="shared" si="55"/>
        <v>0</v>
      </c>
      <c r="Z30" s="374">
        <f t="shared" si="55"/>
        <v>0</v>
      </c>
      <c r="AA30" s="374">
        <f t="shared" si="55"/>
        <v>0</v>
      </c>
      <c r="AB30" s="374">
        <f t="shared" si="55"/>
        <v>0</v>
      </c>
      <c r="AC30" s="374">
        <f t="shared" si="55"/>
        <v>0</v>
      </c>
      <c r="AD30" s="374">
        <f t="shared" si="55"/>
        <v>0</v>
      </c>
      <c r="AE30" s="374">
        <f t="shared" si="55"/>
        <v>0</v>
      </c>
      <c r="AF30" s="328">
        <f t="shared" si="55"/>
        <v>180000</v>
      </c>
      <c r="AG30" s="328">
        <f t="shared" si="55"/>
        <v>180000</v>
      </c>
    </row>
    <row r="31" spans="1:33" x14ac:dyDescent="0.2">
      <c r="A31" s="63"/>
      <c r="B31" s="645" t="s">
        <v>52</v>
      </c>
      <c r="C31" s="645"/>
      <c r="D31" s="64" t="s">
        <v>53</v>
      </c>
      <c r="E31" s="65">
        <v>180000</v>
      </c>
      <c r="F31" s="65">
        <f>G31+E31</f>
        <v>180000</v>
      </c>
      <c r="G31" s="65">
        <f>SUM(H31:S31)</f>
        <v>0</v>
      </c>
      <c r="H31" s="65"/>
      <c r="I31" s="65"/>
      <c r="J31" s="65"/>
      <c r="K31" s="65"/>
      <c r="L31" s="65"/>
      <c r="M31" s="65"/>
      <c r="N31" s="505"/>
      <c r="O31" s="65"/>
      <c r="P31" s="65"/>
      <c r="Q31" s="65"/>
      <c r="R31" s="65"/>
      <c r="S31" s="65"/>
      <c r="T31" s="65"/>
      <c r="U31" s="372">
        <f t="shared" ref="U31" si="56">V31+T31</f>
        <v>0</v>
      </c>
      <c r="V31" s="372">
        <f>SUM(W31:AE31)</f>
        <v>0</v>
      </c>
      <c r="W31" s="372"/>
      <c r="X31" s="372"/>
      <c r="Y31" s="372"/>
      <c r="Z31" s="372"/>
      <c r="AA31" s="372"/>
      <c r="AB31" s="372"/>
      <c r="AC31" s="372"/>
      <c r="AD31" s="372"/>
      <c r="AE31" s="372"/>
      <c r="AF31" s="326">
        <f>E31+T31</f>
        <v>180000</v>
      </c>
      <c r="AG31" s="326">
        <f>F31+U31</f>
        <v>180000</v>
      </c>
    </row>
    <row r="32" spans="1:33" s="181" customFormat="1" ht="24" x14ac:dyDescent="0.2">
      <c r="A32" s="45"/>
      <c r="B32" s="631" t="s">
        <v>54</v>
      </c>
      <c r="C32" s="632"/>
      <c r="D32" s="66" t="s">
        <v>55</v>
      </c>
      <c r="E32" s="58">
        <f t="shared" ref="E32:AG33" si="57">SUM(E33)</f>
        <v>105000</v>
      </c>
      <c r="F32" s="58">
        <f t="shared" si="57"/>
        <v>105000</v>
      </c>
      <c r="G32" s="58">
        <f t="shared" si="57"/>
        <v>0</v>
      </c>
      <c r="H32" s="58">
        <f t="shared" si="57"/>
        <v>0</v>
      </c>
      <c r="I32" s="58">
        <f t="shared" si="57"/>
        <v>0</v>
      </c>
      <c r="J32" s="58">
        <f t="shared" si="57"/>
        <v>0</v>
      </c>
      <c r="K32" s="58">
        <f t="shared" si="57"/>
        <v>0</v>
      </c>
      <c r="L32" s="58">
        <f t="shared" si="57"/>
        <v>0</v>
      </c>
      <c r="M32" s="58">
        <f t="shared" si="57"/>
        <v>0</v>
      </c>
      <c r="N32" s="507">
        <f t="shared" si="57"/>
        <v>0</v>
      </c>
      <c r="O32" s="58">
        <f t="shared" si="57"/>
        <v>0</v>
      </c>
      <c r="P32" s="58">
        <f t="shared" si="57"/>
        <v>0</v>
      </c>
      <c r="Q32" s="58">
        <f t="shared" si="57"/>
        <v>0</v>
      </c>
      <c r="R32" s="58">
        <f t="shared" si="57"/>
        <v>0</v>
      </c>
      <c r="S32" s="58">
        <f t="shared" si="57"/>
        <v>0</v>
      </c>
      <c r="T32" s="58">
        <f t="shared" si="57"/>
        <v>0</v>
      </c>
      <c r="U32" s="374">
        <f t="shared" si="57"/>
        <v>0</v>
      </c>
      <c r="V32" s="374">
        <f t="shared" si="57"/>
        <v>0</v>
      </c>
      <c r="W32" s="374">
        <f t="shared" si="57"/>
        <v>0</v>
      </c>
      <c r="X32" s="374">
        <f t="shared" si="57"/>
        <v>0</v>
      </c>
      <c r="Y32" s="374">
        <f t="shared" si="57"/>
        <v>0</v>
      </c>
      <c r="Z32" s="374">
        <f t="shared" si="57"/>
        <v>0</v>
      </c>
      <c r="AA32" s="374">
        <f t="shared" si="57"/>
        <v>0</v>
      </c>
      <c r="AB32" s="374">
        <f t="shared" si="57"/>
        <v>0</v>
      </c>
      <c r="AC32" s="374">
        <f t="shared" si="57"/>
        <v>0</v>
      </c>
      <c r="AD32" s="374">
        <f t="shared" si="57"/>
        <v>0</v>
      </c>
      <c r="AE32" s="374">
        <f t="shared" si="57"/>
        <v>0</v>
      </c>
      <c r="AF32" s="328">
        <f t="shared" si="57"/>
        <v>105000</v>
      </c>
      <c r="AG32" s="328">
        <f t="shared" si="57"/>
        <v>105000</v>
      </c>
    </row>
    <row r="33" spans="1:33" x14ac:dyDescent="0.2">
      <c r="A33" s="63"/>
      <c r="B33" s="599" t="s">
        <v>56</v>
      </c>
      <c r="C33" s="600"/>
      <c r="D33" s="68" t="s">
        <v>57</v>
      </c>
      <c r="E33" s="61">
        <f t="shared" si="57"/>
        <v>105000</v>
      </c>
      <c r="F33" s="61">
        <f t="shared" si="57"/>
        <v>105000</v>
      </c>
      <c r="G33" s="61">
        <f t="shared" si="57"/>
        <v>0</v>
      </c>
      <c r="H33" s="61">
        <f t="shared" si="57"/>
        <v>0</v>
      </c>
      <c r="I33" s="61">
        <f t="shared" si="57"/>
        <v>0</v>
      </c>
      <c r="J33" s="61">
        <f t="shared" si="57"/>
        <v>0</v>
      </c>
      <c r="K33" s="61">
        <f t="shared" si="57"/>
        <v>0</v>
      </c>
      <c r="L33" s="61">
        <f t="shared" si="57"/>
        <v>0</v>
      </c>
      <c r="M33" s="61">
        <f t="shared" si="57"/>
        <v>0</v>
      </c>
      <c r="N33" s="508">
        <f t="shared" si="57"/>
        <v>0</v>
      </c>
      <c r="O33" s="61">
        <f t="shared" si="57"/>
        <v>0</v>
      </c>
      <c r="P33" s="61">
        <f t="shared" si="57"/>
        <v>0</v>
      </c>
      <c r="Q33" s="61">
        <f t="shared" si="57"/>
        <v>0</v>
      </c>
      <c r="R33" s="61">
        <f t="shared" si="57"/>
        <v>0</v>
      </c>
      <c r="S33" s="61">
        <f t="shared" si="57"/>
        <v>0</v>
      </c>
      <c r="T33" s="61">
        <f t="shared" si="57"/>
        <v>0</v>
      </c>
      <c r="U33" s="375">
        <f t="shared" si="57"/>
        <v>0</v>
      </c>
      <c r="V33" s="375">
        <f t="shared" si="57"/>
        <v>0</v>
      </c>
      <c r="W33" s="375">
        <f t="shared" si="57"/>
        <v>0</v>
      </c>
      <c r="X33" s="375">
        <f t="shared" si="57"/>
        <v>0</v>
      </c>
      <c r="Y33" s="375">
        <f t="shared" si="57"/>
        <v>0</v>
      </c>
      <c r="Z33" s="375">
        <f t="shared" si="57"/>
        <v>0</v>
      </c>
      <c r="AA33" s="375">
        <f t="shared" si="57"/>
        <v>0</v>
      </c>
      <c r="AB33" s="375">
        <f t="shared" si="57"/>
        <v>0</v>
      </c>
      <c r="AC33" s="375">
        <f t="shared" si="57"/>
        <v>0</v>
      </c>
      <c r="AD33" s="375">
        <f t="shared" si="57"/>
        <v>0</v>
      </c>
      <c r="AE33" s="375">
        <f t="shared" si="57"/>
        <v>0</v>
      </c>
      <c r="AF33" s="329">
        <f t="shared" si="57"/>
        <v>105000</v>
      </c>
      <c r="AG33" s="329">
        <f t="shared" si="57"/>
        <v>105000</v>
      </c>
    </row>
    <row r="34" spans="1:33" ht="24" x14ac:dyDescent="0.2">
      <c r="A34" s="63"/>
      <c r="B34" s="310"/>
      <c r="C34" s="204" t="s">
        <v>322</v>
      </c>
      <c r="D34" s="141" t="s">
        <v>323</v>
      </c>
      <c r="E34" s="65">
        <f>105000</f>
        <v>105000</v>
      </c>
      <c r="F34" s="65">
        <f>G34+E34</f>
        <v>105000</v>
      </c>
      <c r="G34" s="65">
        <f>SUM(H34:S34)</f>
        <v>0</v>
      </c>
      <c r="H34" s="65"/>
      <c r="I34" s="65"/>
      <c r="J34" s="65"/>
      <c r="K34" s="65"/>
      <c r="L34" s="65"/>
      <c r="M34" s="65"/>
      <c r="N34" s="505"/>
      <c r="O34" s="65"/>
      <c r="P34" s="65"/>
      <c r="Q34" s="65"/>
      <c r="R34" s="65"/>
      <c r="S34" s="65"/>
      <c r="T34" s="65"/>
      <c r="U34" s="372">
        <f t="shared" ref="U34" si="58">V34+T34</f>
        <v>0</v>
      </c>
      <c r="V34" s="372">
        <f>SUM(W34:AE34)</f>
        <v>0</v>
      </c>
      <c r="W34" s="372"/>
      <c r="X34" s="372"/>
      <c r="Y34" s="372"/>
      <c r="Z34" s="372"/>
      <c r="AA34" s="372"/>
      <c r="AB34" s="372"/>
      <c r="AC34" s="372"/>
      <c r="AD34" s="372"/>
      <c r="AE34" s="372"/>
      <c r="AF34" s="326">
        <f>E34+T34</f>
        <v>105000</v>
      </c>
      <c r="AG34" s="326">
        <f>F34+U34</f>
        <v>105000</v>
      </c>
    </row>
    <row r="35" spans="1:33" s="182" customFormat="1" ht="24" x14ac:dyDescent="0.2">
      <c r="A35" s="614" t="s">
        <v>58</v>
      </c>
      <c r="B35" s="615"/>
      <c r="C35" s="615"/>
      <c r="D35" s="69" t="s">
        <v>59</v>
      </c>
      <c r="E35" s="57">
        <f t="shared" ref="E35:F35" si="59">SUM(E36,E39)</f>
        <v>2245652</v>
      </c>
      <c r="F35" s="57">
        <f t="shared" si="59"/>
        <v>2245652</v>
      </c>
      <c r="G35" s="57">
        <f t="shared" ref="G35:S35" si="60">SUM(G36,G39)</f>
        <v>0</v>
      </c>
      <c r="H35" s="57">
        <f t="shared" si="60"/>
        <v>0</v>
      </c>
      <c r="I35" s="57">
        <f t="shared" si="60"/>
        <v>0</v>
      </c>
      <c r="J35" s="57">
        <f t="shared" si="60"/>
        <v>0</v>
      </c>
      <c r="K35" s="456">
        <f t="shared" si="60"/>
        <v>0</v>
      </c>
      <c r="L35" s="456">
        <f t="shared" si="60"/>
        <v>0</v>
      </c>
      <c r="M35" s="456">
        <f t="shared" si="60"/>
        <v>0</v>
      </c>
      <c r="N35" s="506">
        <f t="shared" si="60"/>
        <v>0</v>
      </c>
      <c r="O35" s="456">
        <f t="shared" si="60"/>
        <v>0</v>
      </c>
      <c r="P35" s="456">
        <f t="shared" si="60"/>
        <v>0</v>
      </c>
      <c r="Q35" s="456">
        <f t="shared" si="60"/>
        <v>0</v>
      </c>
      <c r="R35" s="456">
        <f t="shared" si="60"/>
        <v>0</v>
      </c>
      <c r="S35" s="456">
        <f t="shared" si="60"/>
        <v>0</v>
      </c>
      <c r="T35" s="456">
        <f t="shared" ref="T35:AE35" si="61">SUM(T36,T39)</f>
        <v>0</v>
      </c>
      <c r="U35" s="457">
        <f t="shared" si="61"/>
        <v>0</v>
      </c>
      <c r="V35" s="457">
        <f t="shared" si="61"/>
        <v>0</v>
      </c>
      <c r="W35" s="457">
        <f t="shared" si="61"/>
        <v>0</v>
      </c>
      <c r="X35" s="457">
        <f t="shared" si="61"/>
        <v>0</v>
      </c>
      <c r="Y35" s="457">
        <f t="shared" si="61"/>
        <v>0</v>
      </c>
      <c r="Z35" s="457">
        <f t="shared" si="61"/>
        <v>0</v>
      </c>
      <c r="AA35" s="457">
        <f t="shared" ref="AA35:AD35" si="62">SUM(AA36,AA39)</f>
        <v>0</v>
      </c>
      <c r="AB35" s="457">
        <f t="shared" si="62"/>
        <v>0</v>
      </c>
      <c r="AC35" s="457">
        <f t="shared" si="62"/>
        <v>0</v>
      </c>
      <c r="AD35" s="457">
        <f t="shared" si="62"/>
        <v>0</v>
      </c>
      <c r="AE35" s="457">
        <f t="shared" si="61"/>
        <v>0</v>
      </c>
      <c r="AF35" s="327">
        <f t="shared" ref="AF35:AG35" si="63">SUM(AF36,AF39)</f>
        <v>2245652</v>
      </c>
      <c r="AG35" s="327">
        <f t="shared" si="63"/>
        <v>2245652</v>
      </c>
    </row>
    <row r="36" spans="1:33" s="181" customFormat="1" x14ac:dyDescent="0.2">
      <c r="A36" s="45"/>
      <c r="B36" s="593" t="s">
        <v>60</v>
      </c>
      <c r="C36" s="593"/>
      <c r="D36" s="46" t="s">
        <v>61</v>
      </c>
      <c r="E36" s="58">
        <f t="shared" ref="E36" si="64">SUM(E37:E38)</f>
        <v>14900</v>
      </c>
      <c r="F36" s="58">
        <f t="shared" ref="F36:S36" si="65">SUM(F37:F38)</f>
        <v>14900</v>
      </c>
      <c r="G36" s="58">
        <f t="shared" si="65"/>
        <v>0</v>
      </c>
      <c r="H36" s="58">
        <f t="shared" si="65"/>
        <v>0</v>
      </c>
      <c r="I36" s="58">
        <f t="shared" si="65"/>
        <v>0</v>
      </c>
      <c r="J36" s="58">
        <f t="shared" si="65"/>
        <v>0</v>
      </c>
      <c r="K36" s="58">
        <f t="shared" si="65"/>
        <v>0</v>
      </c>
      <c r="L36" s="58">
        <f t="shared" si="65"/>
        <v>0</v>
      </c>
      <c r="M36" s="58">
        <f t="shared" si="65"/>
        <v>0</v>
      </c>
      <c r="N36" s="507">
        <f t="shared" si="65"/>
        <v>0</v>
      </c>
      <c r="O36" s="58">
        <f t="shared" si="65"/>
        <v>0</v>
      </c>
      <c r="P36" s="58">
        <f t="shared" si="65"/>
        <v>0</v>
      </c>
      <c r="Q36" s="58">
        <f t="shared" si="65"/>
        <v>0</v>
      </c>
      <c r="R36" s="58">
        <f t="shared" si="65"/>
        <v>0</v>
      </c>
      <c r="S36" s="58">
        <f t="shared" si="65"/>
        <v>0</v>
      </c>
      <c r="T36" s="58">
        <f t="shared" ref="T36:AE36" si="66">SUM(T37:T38)</f>
        <v>0</v>
      </c>
      <c r="U36" s="374">
        <f t="shared" si="66"/>
        <v>0</v>
      </c>
      <c r="V36" s="374">
        <f t="shared" si="66"/>
        <v>0</v>
      </c>
      <c r="W36" s="374">
        <f t="shared" si="66"/>
        <v>0</v>
      </c>
      <c r="X36" s="374">
        <f t="shared" si="66"/>
        <v>0</v>
      </c>
      <c r="Y36" s="374">
        <f t="shared" si="66"/>
        <v>0</v>
      </c>
      <c r="Z36" s="374">
        <f t="shared" si="66"/>
        <v>0</v>
      </c>
      <c r="AA36" s="374">
        <f t="shared" ref="AA36:AD36" si="67">SUM(AA37:AA38)</f>
        <v>0</v>
      </c>
      <c r="AB36" s="374">
        <f t="shared" si="67"/>
        <v>0</v>
      </c>
      <c r="AC36" s="374">
        <f t="shared" si="67"/>
        <v>0</v>
      </c>
      <c r="AD36" s="374">
        <f t="shared" si="67"/>
        <v>0</v>
      </c>
      <c r="AE36" s="374">
        <f t="shared" si="66"/>
        <v>0</v>
      </c>
      <c r="AF36" s="328">
        <f t="shared" ref="AF36:AG36" si="68">SUM(AF37:AF38)</f>
        <v>14900</v>
      </c>
      <c r="AG36" s="328">
        <f t="shared" si="68"/>
        <v>14900</v>
      </c>
    </row>
    <row r="37" spans="1:33" ht="48" x14ac:dyDescent="0.2">
      <c r="A37" s="59"/>
      <c r="B37" s="595" t="s">
        <v>62</v>
      </c>
      <c r="C37" s="595"/>
      <c r="D37" s="60" t="s">
        <v>371</v>
      </c>
      <c r="E37" s="61">
        <v>9300</v>
      </c>
      <c r="F37" s="50">
        <f t="shared" ref="F37:F38" si="69">G37+E37</f>
        <v>9300</v>
      </c>
      <c r="G37" s="50">
        <f t="shared" ref="G37:G38" si="70">SUM(H37:S37)</f>
        <v>0</v>
      </c>
      <c r="H37" s="50"/>
      <c r="I37" s="50"/>
      <c r="J37" s="50"/>
      <c r="K37" s="50"/>
      <c r="L37" s="50"/>
      <c r="M37" s="50"/>
      <c r="N37" s="503"/>
      <c r="O37" s="50"/>
      <c r="P37" s="50"/>
      <c r="Q37" s="50"/>
      <c r="R37" s="50"/>
      <c r="S37" s="50"/>
      <c r="T37" s="50"/>
      <c r="U37" s="370">
        <f t="shared" ref="U37:U38" si="71">V37+T37</f>
        <v>0</v>
      </c>
      <c r="V37" s="370">
        <f>SUM(W37:AE37)</f>
        <v>0</v>
      </c>
      <c r="W37" s="370"/>
      <c r="X37" s="370"/>
      <c r="Y37" s="370"/>
      <c r="Z37" s="370"/>
      <c r="AA37" s="370"/>
      <c r="AB37" s="370"/>
      <c r="AC37" s="370"/>
      <c r="AD37" s="370"/>
      <c r="AE37" s="370"/>
      <c r="AF37" s="324">
        <f>E37+T37</f>
        <v>9300</v>
      </c>
      <c r="AG37" s="324">
        <f>F37+U37</f>
        <v>9300</v>
      </c>
    </row>
    <row r="38" spans="1:33" x14ac:dyDescent="0.2">
      <c r="A38" s="70"/>
      <c r="B38" s="625" t="s">
        <v>63</v>
      </c>
      <c r="C38" s="625"/>
      <c r="D38" s="71" t="s">
        <v>222</v>
      </c>
      <c r="E38" s="72">
        <v>5600</v>
      </c>
      <c r="F38" s="65">
        <f t="shared" si="69"/>
        <v>5600</v>
      </c>
      <c r="G38" s="65">
        <f t="shared" si="70"/>
        <v>0</v>
      </c>
      <c r="H38" s="65"/>
      <c r="I38" s="65"/>
      <c r="J38" s="65"/>
      <c r="K38" s="65"/>
      <c r="L38" s="65"/>
      <c r="M38" s="65"/>
      <c r="N38" s="505"/>
      <c r="O38" s="65"/>
      <c r="P38" s="65"/>
      <c r="Q38" s="65"/>
      <c r="R38" s="65"/>
      <c r="S38" s="65"/>
      <c r="T38" s="65"/>
      <c r="U38" s="375">
        <f t="shared" si="71"/>
        <v>0</v>
      </c>
      <c r="V38" s="375">
        <f>SUM(W38:AE38)</f>
        <v>0</v>
      </c>
      <c r="W38" s="375"/>
      <c r="X38" s="375"/>
      <c r="Y38" s="375"/>
      <c r="Z38" s="375"/>
      <c r="AA38" s="375"/>
      <c r="AB38" s="375"/>
      <c r="AC38" s="375"/>
      <c r="AD38" s="375"/>
      <c r="AE38" s="61"/>
      <c r="AF38" s="329">
        <f>E38+T38</f>
        <v>5600</v>
      </c>
      <c r="AG38" s="329">
        <f>F38+U38</f>
        <v>5600</v>
      </c>
    </row>
    <row r="39" spans="1:33" s="181" customFormat="1" x14ac:dyDescent="0.2">
      <c r="A39" s="45"/>
      <c r="B39" s="593" t="s">
        <v>64</v>
      </c>
      <c r="C39" s="593"/>
      <c r="D39" s="46" t="s">
        <v>65</v>
      </c>
      <c r="E39" s="58">
        <f>SUM(E40:E43)</f>
        <v>2230752</v>
      </c>
      <c r="F39" s="58">
        <f>SUM(F40:F43)</f>
        <v>2230752</v>
      </c>
      <c r="G39" s="58">
        <f t="shared" ref="G39:S39" si="72">SUM(G40:G43)</f>
        <v>0</v>
      </c>
      <c r="H39" s="58">
        <f t="shared" si="72"/>
        <v>0</v>
      </c>
      <c r="I39" s="58">
        <f t="shared" si="72"/>
        <v>0</v>
      </c>
      <c r="J39" s="58">
        <f t="shared" si="72"/>
        <v>0</v>
      </c>
      <c r="K39" s="58">
        <f t="shared" si="72"/>
        <v>0</v>
      </c>
      <c r="L39" s="58">
        <f t="shared" si="72"/>
        <v>0</v>
      </c>
      <c r="M39" s="58">
        <f t="shared" si="72"/>
        <v>0</v>
      </c>
      <c r="N39" s="507">
        <f t="shared" si="72"/>
        <v>0</v>
      </c>
      <c r="O39" s="58">
        <f t="shared" si="72"/>
        <v>0</v>
      </c>
      <c r="P39" s="58">
        <f t="shared" si="72"/>
        <v>0</v>
      </c>
      <c r="Q39" s="58">
        <f t="shared" si="72"/>
        <v>0</v>
      </c>
      <c r="R39" s="58">
        <f t="shared" si="72"/>
        <v>0</v>
      </c>
      <c r="S39" s="58">
        <f t="shared" si="72"/>
        <v>0</v>
      </c>
      <c r="T39" s="58">
        <f>SUM(T40:T43)</f>
        <v>0</v>
      </c>
      <c r="U39" s="377">
        <f t="shared" ref="U39" si="73">SUM(U40:U43)</f>
        <v>0</v>
      </c>
      <c r="V39" s="377">
        <f t="shared" ref="V39" si="74">SUM(V40:V43)</f>
        <v>0</v>
      </c>
      <c r="W39" s="377">
        <f t="shared" ref="W39" si="75">SUM(W40:W43)</f>
        <v>0</v>
      </c>
      <c r="X39" s="377">
        <f t="shared" ref="X39" si="76">SUM(X40:X43)</f>
        <v>0</v>
      </c>
      <c r="Y39" s="377">
        <f t="shared" ref="Y39" si="77">SUM(Y40:Y43)</f>
        <v>0</v>
      </c>
      <c r="Z39" s="377">
        <f t="shared" ref="Z39:AA39" si="78">SUM(Z40:Z43)</f>
        <v>0</v>
      </c>
      <c r="AA39" s="377">
        <f t="shared" si="78"/>
        <v>0</v>
      </c>
      <c r="AB39" s="377">
        <f t="shared" ref="AB39:AD39" si="79">SUM(AB40:AB43)</f>
        <v>0</v>
      </c>
      <c r="AC39" s="377">
        <f t="shared" si="79"/>
        <v>0</v>
      </c>
      <c r="AD39" s="377">
        <f t="shared" si="79"/>
        <v>0</v>
      </c>
      <c r="AE39" s="377">
        <f t="shared" ref="AE39" si="80">SUM(AE40:AE43)</f>
        <v>0</v>
      </c>
      <c r="AF39" s="332">
        <f>SUM(AF40:AF43)</f>
        <v>2230752</v>
      </c>
      <c r="AG39" s="332">
        <f>SUM(AG40:AG43)</f>
        <v>2230752</v>
      </c>
    </row>
    <row r="40" spans="1:33" x14ac:dyDescent="0.2">
      <c r="A40" s="73"/>
      <c r="B40" s="606" t="s">
        <v>66</v>
      </c>
      <c r="C40" s="606"/>
      <c r="D40" s="74" t="s">
        <v>155</v>
      </c>
      <c r="E40" s="75">
        <v>50000</v>
      </c>
      <c r="F40" s="75">
        <f t="shared" ref="F40:F43" si="81">G40+E40</f>
        <v>50000</v>
      </c>
      <c r="G40" s="75">
        <f t="shared" ref="G40:G43" si="82">SUM(H40:S40)</f>
        <v>0</v>
      </c>
      <c r="H40" s="75"/>
      <c r="I40" s="75"/>
      <c r="J40" s="75"/>
      <c r="K40" s="75"/>
      <c r="L40" s="75"/>
      <c r="M40" s="75"/>
      <c r="N40" s="510"/>
      <c r="O40" s="75"/>
      <c r="P40" s="75"/>
      <c r="Q40" s="75"/>
      <c r="R40" s="75"/>
      <c r="S40" s="75"/>
      <c r="T40" s="75"/>
      <c r="U40" s="378">
        <f t="shared" ref="U40:U43" si="83">V40+T40</f>
        <v>0</v>
      </c>
      <c r="V40" s="378">
        <f>SUM(W40:AE40)</f>
        <v>0</v>
      </c>
      <c r="W40" s="378"/>
      <c r="X40" s="378"/>
      <c r="Y40" s="378"/>
      <c r="Z40" s="378"/>
      <c r="AA40" s="378"/>
      <c r="AB40" s="378"/>
      <c r="AC40" s="378"/>
      <c r="AD40" s="378"/>
      <c r="AE40" s="378"/>
      <c r="AF40" s="333">
        <f t="shared" ref="AF40:AG43" si="84">E40+T40</f>
        <v>50000</v>
      </c>
      <c r="AG40" s="333">
        <f t="shared" si="84"/>
        <v>50000</v>
      </c>
    </row>
    <row r="41" spans="1:33" ht="24" x14ac:dyDescent="0.2">
      <c r="A41" s="73"/>
      <c r="B41" s="606" t="s">
        <v>67</v>
      </c>
      <c r="C41" s="606"/>
      <c r="D41" s="74" t="s">
        <v>156</v>
      </c>
      <c r="E41" s="75">
        <v>2082182</v>
      </c>
      <c r="F41" s="75">
        <f t="shared" si="81"/>
        <v>2082182</v>
      </c>
      <c r="G41" s="75">
        <f t="shared" si="82"/>
        <v>0</v>
      </c>
      <c r="H41" s="75"/>
      <c r="I41" s="75"/>
      <c r="J41" s="75"/>
      <c r="K41" s="75"/>
      <c r="L41" s="75"/>
      <c r="M41" s="75"/>
      <c r="N41" s="510"/>
      <c r="O41" s="75"/>
      <c r="P41" s="75"/>
      <c r="Q41" s="75"/>
      <c r="R41" s="75"/>
      <c r="S41" s="75"/>
      <c r="T41" s="75"/>
      <c r="U41" s="378">
        <f t="shared" si="83"/>
        <v>0</v>
      </c>
      <c r="V41" s="378">
        <f>SUM(W41:AE41)</f>
        <v>0</v>
      </c>
      <c r="W41" s="378"/>
      <c r="X41" s="378"/>
      <c r="Y41" s="378"/>
      <c r="Z41" s="378"/>
      <c r="AA41" s="378"/>
      <c r="AB41" s="378"/>
      <c r="AC41" s="378"/>
      <c r="AD41" s="378"/>
      <c r="AE41" s="378"/>
      <c r="AF41" s="333">
        <f t="shared" si="84"/>
        <v>2082182</v>
      </c>
      <c r="AG41" s="333">
        <f t="shared" si="84"/>
        <v>2082182</v>
      </c>
    </row>
    <row r="42" spans="1:33" ht="24" x14ac:dyDescent="0.2">
      <c r="A42" s="73"/>
      <c r="B42" s="606" t="s">
        <v>68</v>
      </c>
      <c r="C42" s="606"/>
      <c r="D42" s="74" t="s">
        <v>157</v>
      </c>
      <c r="E42" s="75">
        <v>50000</v>
      </c>
      <c r="F42" s="75">
        <f t="shared" si="81"/>
        <v>50000</v>
      </c>
      <c r="G42" s="75">
        <f t="shared" si="82"/>
        <v>0</v>
      </c>
      <c r="H42" s="75"/>
      <c r="I42" s="75"/>
      <c r="J42" s="75"/>
      <c r="K42" s="75"/>
      <c r="L42" s="75"/>
      <c r="M42" s="75"/>
      <c r="N42" s="510"/>
      <c r="O42" s="75"/>
      <c r="P42" s="75"/>
      <c r="Q42" s="75"/>
      <c r="R42" s="75"/>
      <c r="S42" s="75"/>
      <c r="T42" s="75"/>
      <c r="U42" s="378">
        <f t="shared" si="83"/>
        <v>0</v>
      </c>
      <c r="V42" s="378">
        <f>SUM(W42:AE42)</f>
        <v>0</v>
      </c>
      <c r="W42" s="378"/>
      <c r="X42" s="378"/>
      <c r="Y42" s="378"/>
      <c r="Z42" s="378"/>
      <c r="AA42" s="378"/>
      <c r="AB42" s="378"/>
      <c r="AC42" s="378"/>
      <c r="AD42" s="378"/>
      <c r="AE42" s="378"/>
      <c r="AF42" s="333">
        <f t="shared" si="84"/>
        <v>50000</v>
      </c>
      <c r="AG42" s="333">
        <f t="shared" si="84"/>
        <v>50000</v>
      </c>
    </row>
    <row r="43" spans="1:33" x14ac:dyDescent="0.2">
      <c r="A43" s="54"/>
      <c r="B43" s="597" t="s">
        <v>142</v>
      </c>
      <c r="C43" s="597"/>
      <c r="D43" s="55" t="s">
        <v>158</v>
      </c>
      <c r="E43" s="56">
        <v>48570</v>
      </c>
      <c r="F43" s="65">
        <f t="shared" si="81"/>
        <v>48570</v>
      </c>
      <c r="G43" s="65">
        <f t="shared" si="82"/>
        <v>0</v>
      </c>
      <c r="H43" s="65"/>
      <c r="I43" s="65"/>
      <c r="J43" s="65"/>
      <c r="K43" s="65"/>
      <c r="L43" s="65"/>
      <c r="M43" s="65"/>
      <c r="N43" s="505"/>
      <c r="O43" s="65"/>
      <c r="P43" s="65"/>
      <c r="Q43" s="65"/>
      <c r="R43" s="65"/>
      <c r="S43" s="65"/>
      <c r="T43" s="65"/>
      <c r="U43" s="372">
        <f t="shared" si="83"/>
        <v>0</v>
      </c>
      <c r="V43" s="372">
        <f>SUM(W43:AE43)</f>
        <v>0</v>
      </c>
      <c r="W43" s="372"/>
      <c r="X43" s="372"/>
      <c r="Y43" s="372"/>
      <c r="Z43" s="372"/>
      <c r="AA43" s="372"/>
      <c r="AB43" s="372"/>
      <c r="AC43" s="372"/>
      <c r="AD43" s="372"/>
      <c r="AE43" s="372"/>
      <c r="AF43" s="326">
        <f t="shared" si="84"/>
        <v>48570</v>
      </c>
      <c r="AG43" s="326">
        <f t="shared" si="84"/>
        <v>48570</v>
      </c>
    </row>
    <row r="44" spans="1:33" s="182" customFormat="1" x14ac:dyDescent="0.2">
      <c r="A44" s="614" t="s">
        <v>69</v>
      </c>
      <c r="B44" s="615"/>
      <c r="C44" s="615"/>
      <c r="D44" s="69" t="s">
        <v>70</v>
      </c>
      <c r="E44" s="57">
        <f>SUM(E45)</f>
        <v>143200</v>
      </c>
      <c r="F44" s="57">
        <f>SUM(F45)</f>
        <v>143200</v>
      </c>
      <c r="G44" s="57">
        <f t="shared" ref="G44:S44" si="85">SUM(G45)</f>
        <v>0</v>
      </c>
      <c r="H44" s="57">
        <f t="shared" si="85"/>
        <v>0</v>
      </c>
      <c r="I44" s="57">
        <f t="shared" si="85"/>
        <v>0</v>
      </c>
      <c r="J44" s="57">
        <f t="shared" si="85"/>
        <v>0</v>
      </c>
      <c r="K44" s="456">
        <f t="shared" si="85"/>
        <v>0</v>
      </c>
      <c r="L44" s="456">
        <f t="shared" si="85"/>
        <v>0</v>
      </c>
      <c r="M44" s="456">
        <f t="shared" si="85"/>
        <v>0</v>
      </c>
      <c r="N44" s="506">
        <f t="shared" si="85"/>
        <v>0</v>
      </c>
      <c r="O44" s="456">
        <f t="shared" si="85"/>
        <v>0</v>
      </c>
      <c r="P44" s="456">
        <f t="shared" si="85"/>
        <v>0</v>
      </c>
      <c r="Q44" s="456">
        <f t="shared" si="85"/>
        <v>0</v>
      </c>
      <c r="R44" s="456">
        <f t="shared" si="85"/>
        <v>0</v>
      </c>
      <c r="S44" s="456">
        <f t="shared" si="85"/>
        <v>0</v>
      </c>
      <c r="T44" s="456">
        <f>SUM(T45)</f>
        <v>0</v>
      </c>
      <c r="U44" s="457">
        <f t="shared" ref="U44" si="86">SUM(U45)</f>
        <v>0</v>
      </c>
      <c r="V44" s="457">
        <f t="shared" ref="V44" si="87">SUM(V45)</f>
        <v>0</v>
      </c>
      <c r="W44" s="457">
        <f t="shared" ref="W44" si="88">SUM(W45)</f>
        <v>0</v>
      </c>
      <c r="X44" s="457">
        <f t="shared" ref="X44" si="89">SUM(X45)</f>
        <v>0</v>
      </c>
      <c r="Y44" s="457">
        <f t="shared" ref="Y44" si="90">SUM(Y45)</f>
        <v>0</v>
      </c>
      <c r="Z44" s="457">
        <f t="shared" ref="Z44" si="91">SUM(Z45)</f>
        <v>0</v>
      </c>
      <c r="AA44" s="457">
        <f t="shared" ref="AA44:AE44" si="92">SUM(AA45)</f>
        <v>0</v>
      </c>
      <c r="AB44" s="457">
        <f t="shared" si="92"/>
        <v>0</v>
      </c>
      <c r="AC44" s="457">
        <f t="shared" si="92"/>
        <v>0</v>
      </c>
      <c r="AD44" s="457">
        <f t="shared" si="92"/>
        <v>0</v>
      </c>
      <c r="AE44" s="373">
        <f t="shared" si="92"/>
        <v>0</v>
      </c>
      <c r="AF44" s="327">
        <f>SUM(AF45)</f>
        <v>143200</v>
      </c>
      <c r="AG44" s="327">
        <f>SUM(AG45)</f>
        <v>143200</v>
      </c>
    </row>
    <row r="45" spans="1:33" s="181" customFormat="1" x14ac:dyDescent="0.2">
      <c r="A45" s="45"/>
      <c r="B45" s="593" t="s">
        <v>71</v>
      </c>
      <c r="C45" s="593"/>
      <c r="D45" s="46" t="s">
        <v>72</v>
      </c>
      <c r="E45" s="58">
        <f t="shared" ref="E45:AG45" si="93">E46</f>
        <v>143200</v>
      </c>
      <c r="F45" s="58">
        <f t="shared" si="93"/>
        <v>143200</v>
      </c>
      <c r="G45" s="58">
        <f t="shared" si="93"/>
        <v>0</v>
      </c>
      <c r="H45" s="58">
        <f t="shared" si="93"/>
        <v>0</v>
      </c>
      <c r="I45" s="58">
        <f t="shared" si="93"/>
        <v>0</v>
      </c>
      <c r="J45" s="58">
        <f t="shared" si="93"/>
        <v>0</v>
      </c>
      <c r="K45" s="58">
        <f t="shared" si="93"/>
        <v>0</v>
      </c>
      <c r="L45" s="58">
        <f t="shared" si="93"/>
        <v>0</v>
      </c>
      <c r="M45" s="58">
        <f t="shared" si="93"/>
        <v>0</v>
      </c>
      <c r="N45" s="507">
        <f t="shared" si="93"/>
        <v>0</v>
      </c>
      <c r="O45" s="58">
        <f t="shared" si="93"/>
        <v>0</v>
      </c>
      <c r="P45" s="58">
        <f t="shared" si="93"/>
        <v>0</v>
      </c>
      <c r="Q45" s="58">
        <f t="shared" si="93"/>
        <v>0</v>
      </c>
      <c r="R45" s="58">
        <f t="shared" si="93"/>
        <v>0</v>
      </c>
      <c r="S45" s="58">
        <f t="shared" si="93"/>
        <v>0</v>
      </c>
      <c r="T45" s="58">
        <f t="shared" si="93"/>
        <v>0</v>
      </c>
      <c r="U45" s="374">
        <f t="shared" si="93"/>
        <v>0</v>
      </c>
      <c r="V45" s="374">
        <f t="shared" si="93"/>
        <v>0</v>
      </c>
      <c r="W45" s="374">
        <f t="shared" si="93"/>
        <v>0</v>
      </c>
      <c r="X45" s="374">
        <f t="shared" si="93"/>
        <v>0</v>
      </c>
      <c r="Y45" s="374">
        <f t="shared" si="93"/>
        <v>0</v>
      </c>
      <c r="Z45" s="374">
        <f t="shared" si="93"/>
        <v>0</v>
      </c>
      <c r="AA45" s="374">
        <f t="shared" si="93"/>
        <v>0</v>
      </c>
      <c r="AB45" s="374">
        <f t="shared" si="93"/>
        <v>0</v>
      </c>
      <c r="AC45" s="374">
        <f t="shared" si="93"/>
        <v>0</v>
      </c>
      <c r="AD45" s="374">
        <f t="shared" si="93"/>
        <v>0</v>
      </c>
      <c r="AE45" s="374">
        <f t="shared" si="93"/>
        <v>0</v>
      </c>
      <c r="AF45" s="328">
        <f t="shared" si="93"/>
        <v>143200</v>
      </c>
      <c r="AG45" s="328">
        <f t="shared" si="93"/>
        <v>143200</v>
      </c>
    </row>
    <row r="46" spans="1:33" x14ac:dyDescent="0.2">
      <c r="A46" s="184"/>
      <c r="B46" s="630" t="s">
        <v>73</v>
      </c>
      <c r="C46" s="630"/>
      <c r="D46" s="102" t="s">
        <v>74</v>
      </c>
      <c r="E46" s="103">
        <v>143200</v>
      </c>
      <c r="F46" s="72">
        <f>G46+E46</f>
        <v>143200</v>
      </c>
      <c r="G46" s="72">
        <f>SUM(H46:S46)</f>
        <v>0</v>
      </c>
      <c r="H46" s="72"/>
      <c r="I46" s="72"/>
      <c r="J46" s="72"/>
      <c r="K46" s="72"/>
      <c r="L46" s="72"/>
      <c r="M46" s="72"/>
      <c r="N46" s="511"/>
      <c r="O46" s="72"/>
      <c r="P46" s="72"/>
      <c r="Q46" s="72"/>
      <c r="R46" s="72"/>
      <c r="S46" s="72"/>
      <c r="T46" s="61"/>
      <c r="U46" s="375">
        <f t="shared" ref="U46" si="94">V46+T46</f>
        <v>0</v>
      </c>
      <c r="V46" s="375">
        <f>SUM(W46:AE46)</f>
        <v>0</v>
      </c>
      <c r="W46" s="375"/>
      <c r="X46" s="375"/>
      <c r="Y46" s="375"/>
      <c r="Z46" s="375"/>
      <c r="AA46" s="375"/>
      <c r="AB46" s="375"/>
      <c r="AC46" s="375"/>
      <c r="AD46" s="375"/>
      <c r="AE46" s="375"/>
      <c r="AF46" s="329">
        <f>E46+T46</f>
        <v>143200</v>
      </c>
      <c r="AG46" s="329">
        <f>F46+U46</f>
        <v>143200</v>
      </c>
    </row>
    <row r="47" spans="1:33" s="182" customFormat="1" x14ac:dyDescent="0.2">
      <c r="A47" s="614" t="s">
        <v>75</v>
      </c>
      <c r="B47" s="615"/>
      <c r="C47" s="615"/>
      <c r="D47" s="69" t="s">
        <v>76</v>
      </c>
      <c r="E47" s="57">
        <f t="shared" ref="E47:F47" si="95">SUM(E48,E50)</f>
        <v>60234</v>
      </c>
      <c r="F47" s="57">
        <f t="shared" si="95"/>
        <v>60752</v>
      </c>
      <c r="G47" s="57">
        <f t="shared" ref="G47:S47" si="96">SUM(G48,G50)</f>
        <v>518</v>
      </c>
      <c r="H47" s="57">
        <f t="shared" si="96"/>
        <v>518</v>
      </c>
      <c r="I47" s="57">
        <f t="shared" si="96"/>
        <v>0</v>
      </c>
      <c r="J47" s="57">
        <f t="shared" si="96"/>
        <v>0</v>
      </c>
      <c r="K47" s="456">
        <f t="shared" si="96"/>
        <v>0</v>
      </c>
      <c r="L47" s="456">
        <f t="shared" si="96"/>
        <v>0</v>
      </c>
      <c r="M47" s="456">
        <f t="shared" si="96"/>
        <v>0</v>
      </c>
      <c r="N47" s="506">
        <f t="shared" si="96"/>
        <v>0</v>
      </c>
      <c r="O47" s="456">
        <f t="shared" si="96"/>
        <v>0</v>
      </c>
      <c r="P47" s="456">
        <f t="shared" si="96"/>
        <v>0</v>
      </c>
      <c r="Q47" s="456">
        <f t="shared" si="96"/>
        <v>0</v>
      </c>
      <c r="R47" s="456">
        <f t="shared" si="96"/>
        <v>0</v>
      </c>
      <c r="S47" s="456">
        <f t="shared" si="96"/>
        <v>0</v>
      </c>
      <c r="T47" s="456">
        <f t="shared" ref="T47:AE47" si="97">SUM(T48,T50)</f>
        <v>-304</v>
      </c>
      <c r="U47" s="457">
        <f t="shared" si="97"/>
        <v>-287</v>
      </c>
      <c r="V47" s="457">
        <f t="shared" si="97"/>
        <v>17</v>
      </c>
      <c r="W47" s="457">
        <f t="shared" si="97"/>
        <v>17</v>
      </c>
      <c r="X47" s="457">
        <f t="shared" si="97"/>
        <v>0</v>
      </c>
      <c r="Y47" s="457">
        <f t="shared" si="97"/>
        <v>0</v>
      </c>
      <c r="Z47" s="457">
        <f t="shared" si="97"/>
        <v>0</v>
      </c>
      <c r="AA47" s="457">
        <f t="shared" ref="AA47:AD47" si="98">SUM(AA48,AA50)</f>
        <v>0</v>
      </c>
      <c r="AB47" s="457">
        <f t="shared" si="98"/>
        <v>0</v>
      </c>
      <c r="AC47" s="457">
        <f t="shared" si="98"/>
        <v>0</v>
      </c>
      <c r="AD47" s="457">
        <f t="shared" si="98"/>
        <v>0</v>
      </c>
      <c r="AE47" s="373">
        <f t="shared" si="97"/>
        <v>0</v>
      </c>
      <c r="AF47" s="327">
        <f t="shared" ref="AF47:AG47" si="99">SUM(AF48,AF50)</f>
        <v>59930</v>
      </c>
      <c r="AG47" s="327">
        <f t="shared" si="99"/>
        <v>60465</v>
      </c>
    </row>
    <row r="48" spans="1:33" s="181" customFormat="1" ht="24" x14ac:dyDescent="0.2">
      <c r="A48" s="45"/>
      <c r="B48" s="626" t="s">
        <v>77</v>
      </c>
      <c r="C48" s="627"/>
      <c r="D48" s="76" t="s">
        <v>78</v>
      </c>
      <c r="E48" s="58">
        <f t="shared" ref="E48:AG48" si="100">SUM(E49)</f>
        <v>21747</v>
      </c>
      <c r="F48" s="58">
        <f t="shared" si="100"/>
        <v>21747</v>
      </c>
      <c r="G48" s="58">
        <f t="shared" si="100"/>
        <v>0</v>
      </c>
      <c r="H48" s="58">
        <f t="shared" si="100"/>
        <v>0</v>
      </c>
      <c r="I48" s="58">
        <f t="shared" si="100"/>
        <v>0</v>
      </c>
      <c r="J48" s="58">
        <f t="shared" si="100"/>
        <v>0</v>
      </c>
      <c r="K48" s="58">
        <f t="shared" si="100"/>
        <v>0</v>
      </c>
      <c r="L48" s="58">
        <f t="shared" si="100"/>
        <v>0</v>
      </c>
      <c r="M48" s="58">
        <f t="shared" si="100"/>
        <v>0</v>
      </c>
      <c r="N48" s="507">
        <f t="shared" si="100"/>
        <v>0</v>
      </c>
      <c r="O48" s="58">
        <f t="shared" si="100"/>
        <v>0</v>
      </c>
      <c r="P48" s="58">
        <f t="shared" si="100"/>
        <v>0</v>
      </c>
      <c r="Q48" s="58">
        <f t="shared" si="100"/>
        <v>0</v>
      </c>
      <c r="R48" s="58">
        <f t="shared" si="100"/>
        <v>0</v>
      </c>
      <c r="S48" s="58">
        <f t="shared" si="100"/>
        <v>0</v>
      </c>
      <c r="T48" s="58">
        <f t="shared" si="100"/>
        <v>0</v>
      </c>
      <c r="U48" s="377">
        <f t="shared" si="100"/>
        <v>0</v>
      </c>
      <c r="V48" s="377">
        <f t="shared" si="100"/>
        <v>0</v>
      </c>
      <c r="W48" s="377">
        <f t="shared" si="100"/>
        <v>0</v>
      </c>
      <c r="X48" s="377">
        <f t="shared" si="100"/>
        <v>0</v>
      </c>
      <c r="Y48" s="377">
        <f t="shared" si="100"/>
        <v>0</v>
      </c>
      <c r="Z48" s="377">
        <f t="shared" si="100"/>
        <v>0</v>
      </c>
      <c r="AA48" s="377">
        <f t="shared" si="100"/>
        <v>0</v>
      </c>
      <c r="AB48" s="377">
        <f t="shared" si="100"/>
        <v>0</v>
      </c>
      <c r="AC48" s="377">
        <f t="shared" si="100"/>
        <v>0</v>
      </c>
      <c r="AD48" s="377">
        <f t="shared" si="100"/>
        <v>0</v>
      </c>
      <c r="AE48" s="377">
        <f t="shared" si="100"/>
        <v>0</v>
      </c>
      <c r="AF48" s="332">
        <f t="shared" si="100"/>
        <v>21747</v>
      </c>
      <c r="AG48" s="332">
        <f t="shared" si="100"/>
        <v>21747</v>
      </c>
    </row>
    <row r="49" spans="1:33" ht="24" x14ac:dyDescent="0.2">
      <c r="A49" s="48"/>
      <c r="B49" s="628" t="s">
        <v>79</v>
      </c>
      <c r="C49" s="629"/>
      <c r="D49" s="77" t="s">
        <v>80</v>
      </c>
      <c r="E49" s="50">
        <f>21747</f>
        <v>21747</v>
      </c>
      <c r="F49" s="50">
        <f>G49+E49</f>
        <v>21747</v>
      </c>
      <c r="G49" s="50">
        <f>SUM(H49:S49)</f>
        <v>0</v>
      </c>
      <c r="H49" s="50"/>
      <c r="I49" s="50"/>
      <c r="J49" s="50"/>
      <c r="K49" s="50"/>
      <c r="L49" s="50"/>
      <c r="M49" s="50"/>
      <c r="N49" s="503"/>
      <c r="O49" s="50"/>
      <c r="P49" s="50"/>
      <c r="Q49" s="50"/>
      <c r="R49" s="50"/>
      <c r="S49" s="50"/>
      <c r="T49" s="50"/>
      <c r="U49" s="370">
        <f t="shared" ref="U49" si="101">V49+T49</f>
        <v>0</v>
      </c>
      <c r="V49" s="370">
        <f>SUM(W49:AE49)</f>
        <v>0</v>
      </c>
      <c r="W49" s="370"/>
      <c r="X49" s="370"/>
      <c r="Y49" s="370"/>
      <c r="Z49" s="370"/>
      <c r="AA49" s="370"/>
      <c r="AB49" s="370"/>
      <c r="AC49" s="370"/>
      <c r="AD49" s="370"/>
      <c r="AE49" s="370"/>
      <c r="AF49" s="324">
        <f>E49+T49</f>
        <v>21747</v>
      </c>
      <c r="AG49" s="324">
        <f>F49+U49</f>
        <v>21747</v>
      </c>
    </row>
    <row r="50" spans="1:33" s="181" customFormat="1" x14ac:dyDescent="0.2">
      <c r="A50" s="45"/>
      <c r="B50" s="593" t="s">
        <v>81</v>
      </c>
      <c r="C50" s="593"/>
      <c r="D50" s="46" t="s">
        <v>120</v>
      </c>
      <c r="E50" s="58">
        <f>SUM(E51)</f>
        <v>38487</v>
      </c>
      <c r="F50" s="58">
        <f t="shared" ref="F50:AE50" si="102">SUM(F51)</f>
        <v>39005</v>
      </c>
      <c r="G50" s="58">
        <f t="shared" si="102"/>
        <v>518</v>
      </c>
      <c r="H50" s="58">
        <f t="shared" si="102"/>
        <v>518</v>
      </c>
      <c r="I50" s="58">
        <f t="shared" si="102"/>
        <v>0</v>
      </c>
      <c r="J50" s="58">
        <f t="shared" si="102"/>
        <v>0</v>
      </c>
      <c r="K50" s="58">
        <f t="shared" si="102"/>
        <v>0</v>
      </c>
      <c r="L50" s="58">
        <f t="shared" si="102"/>
        <v>0</v>
      </c>
      <c r="M50" s="58">
        <f t="shared" si="102"/>
        <v>0</v>
      </c>
      <c r="N50" s="507">
        <f t="shared" si="102"/>
        <v>0</v>
      </c>
      <c r="O50" s="58">
        <f t="shared" si="102"/>
        <v>0</v>
      </c>
      <c r="P50" s="58">
        <f t="shared" si="102"/>
        <v>0</v>
      </c>
      <c r="Q50" s="58">
        <f t="shared" si="102"/>
        <v>0</v>
      </c>
      <c r="R50" s="58">
        <f t="shared" si="102"/>
        <v>0</v>
      </c>
      <c r="S50" s="58">
        <f t="shared" si="102"/>
        <v>0</v>
      </c>
      <c r="T50" s="58">
        <f t="shared" ref="T50:AG50" si="103">SUM(T51)</f>
        <v>-304</v>
      </c>
      <c r="U50" s="374">
        <f t="shared" si="102"/>
        <v>-287</v>
      </c>
      <c r="V50" s="374">
        <f t="shared" si="102"/>
        <v>17</v>
      </c>
      <c r="W50" s="374">
        <f t="shared" si="102"/>
        <v>17</v>
      </c>
      <c r="X50" s="374">
        <f t="shared" si="102"/>
        <v>0</v>
      </c>
      <c r="Y50" s="374">
        <f t="shared" si="102"/>
        <v>0</v>
      </c>
      <c r="Z50" s="374">
        <f t="shared" si="102"/>
        <v>0</v>
      </c>
      <c r="AA50" s="374">
        <f t="shared" si="102"/>
        <v>0</v>
      </c>
      <c r="AB50" s="374">
        <f t="shared" si="102"/>
        <v>0</v>
      </c>
      <c r="AC50" s="374">
        <f t="shared" si="102"/>
        <v>0</v>
      </c>
      <c r="AD50" s="374">
        <f t="shared" si="102"/>
        <v>0</v>
      </c>
      <c r="AE50" s="374">
        <f t="shared" si="102"/>
        <v>0</v>
      </c>
      <c r="AF50" s="328">
        <f t="shared" si="103"/>
        <v>38183</v>
      </c>
      <c r="AG50" s="328">
        <f t="shared" si="103"/>
        <v>38718</v>
      </c>
    </row>
    <row r="51" spans="1:33" x14ac:dyDescent="0.2">
      <c r="A51" s="48"/>
      <c r="B51" s="624" t="s">
        <v>121</v>
      </c>
      <c r="C51" s="624"/>
      <c r="D51" s="49" t="s">
        <v>82</v>
      </c>
      <c r="E51" s="50">
        <f t="shared" ref="E51:AE51" si="104">SUM(E52:E53)</f>
        <v>38487</v>
      </c>
      <c r="F51" s="50">
        <f t="shared" ref="F51:S51" si="105">SUM(F52:F53)</f>
        <v>39005</v>
      </c>
      <c r="G51" s="50">
        <f t="shared" si="105"/>
        <v>518</v>
      </c>
      <c r="H51" s="50">
        <f t="shared" si="105"/>
        <v>518</v>
      </c>
      <c r="I51" s="50">
        <f t="shared" si="105"/>
        <v>0</v>
      </c>
      <c r="J51" s="50">
        <f t="shared" si="105"/>
        <v>0</v>
      </c>
      <c r="K51" s="50">
        <f t="shared" si="105"/>
        <v>0</v>
      </c>
      <c r="L51" s="50">
        <f t="shared" si="105"/>
        <v>0</v>
      </c>
      <c r="M51" s="50">
        <f t="shared" si="105"/>
        <v>0</v>
      </c>
      <c r="N51" s="503">
        <f t="shared" si="105"/>
        <v>0</v>
      </c>
      <c r="O51" s="50">
        <f t="shared" si="105"/>
        <v>0</v>
      </c>
      <c r="P51" s="50">
        <f t="shared" si="105"/>
        <v>0</v>
      </c>
      <c r="Q51" s="50">
        <f t="shared" si="105"/>
        <v>0</v>
      </c>
      <c r="R51" s="50">
        <f t="shared" si="105"/>
        <v>0</v>
      </c>
      <c r="S51" s="50">
        <f t="shared" si="105"/>
        <v>0</v>
      </c>
      <c r="T51" s="50">
        <f t="shared" si="104"/>
        <v>-304</v>
      </c>
      <c r="U51" s="370">
        <f t="shared" si="104"/>
        <v>-287</v>
      </c>
      <c r="V51" s="370">
        <f t="shared" si="104"/>
        <v>17</v>
      </c>
      <c r="W51" s="370">
        <f t="shared" si="104"/>
        <v>17</v>
      </c>
      <c r="X51" s="370">
        <f t="shared" si="104"/>
        <v>0</v>
      </c>
      <c r="Y51" s="370">
        <f t="shared" si="104"/>
        <v>0</v>
      </c>
      <c r="Z51" s="370">
        <f t="shared" si="104"/>
        <v>0</v>
      </c>
      <c r="AA51" s="370">
        <f t="shared" ref="AA51:AD51" si="106">SUM(AA52:AA53)</f>
        <v>0</v>
      </c>
      <c r="AB51" s="370">
        <f t="shared" si="106"/>
        <v>0</v>
      </c>
      <c r="AC51" s="370">
        <f t="shared" si="106"/>
        <v>0</v>
      </c>
      <c r="AD51" s="370">
        <f t="shared" si="106"/>
        <v>0</v>
      </c>
      <c r="AE51" s="370">
        <f t="shared" si="104"/>
        <v>0</v>
      </c>
      <c r="AF51" s="324">
        <f t="shared" ref="AF51:AG51" si="107">SUM(AF52:AF53)</f>
        <v>38183</v>
      </c>
      <c r="AG51" s="324">
        <f t="shared" si="107"/>
        <v>38718</v>
      </c>
    </row>
    <row r="52" spans="1:33" x14ac:dyDescent="0.2">
      <c r="A52" s="184"/>
      <c r="B52" s="617" t="s">
        <v>143</v>
      </c>
      <c r="C52" s="618"/>
      <c r="D52" s="102" t="s">
        <v>144</v>
      </c>
      <c r="E52" s="103">
        <v>4500</v>
      </c>
      <c r="F52" s="103">
        <f t="shared" ref="F52:F53" si="108">G52+E52</f>
        <v>4500</v>
      </c>
      <c r="G52" s="103">
        <f t="shared" ref="G52:G53" si="109">SUM(H52:S52)</f>
        <v>0</v>
      </c>
      <c r="H52" s="103"/>
      <c r="I52" s="103"/>
      <c r="J52" s="103"/>
      <c r="K52" s="103"/>
      <c r="L52" s="103"/>
      <c r="M52" s="103"/>
      <c r="N52" s="509"/>
      <c r="O52" s="103"/>
      <c r="P52" s="103"/>
      <c r="Q52" s="103"/>
      <c r="R52" s="103"/>
      <c r="S52" s="103"/>
      <c r="T52" s="103"/>
      <c r="U52" s="376">
        <f t="shared" ref="U52:U53" si="110">V52+T52</f>
        <v>0</v>
      </c>
      <c r="V52" s="376">
        <f>SUM(W52:AE52)</f>
        <v>0</v>
      </c>
      <c r="W52" s="376"/>
      <c r="X52" s="376"/>
      <c r="Y52" s="376"/>
      <c r="Z52" s="376"/>
      <c r="AA52" s="376"/>
      <c r="AB52" s="376"/>
      <c r="AC52" s="376"/>
      <c r="AD52" s="376"/>
      <c r="AE52" s="376"/>
      <c r="AF52" s="331">
        <f>E52+T52</f>
        <v>4500</v>
      </c>
      <c r="AG52" s="331">
        <f>F52+U52</f>
        <v>4500</v>
      </c>
    </row>
    <row r="53" spans="1:33" ht="24" x14ac:dyDescent="0.2">
      <c r="A53" s="183"/>
      <c r="B53" s="591" t="s">
        <v>122</v>
      </c>
      <c r="C53" s="592"/>
      <c r="D53" s="128" t="s">
        <v>123</v>
      </c>
      <c r="E53" s="126">
        <v>33987</v>
      </c>
      <c r="F53" s="126">
        <f t="shared" si="108"/>
        <v>34505</v>
      </c>
      <c r="G53" s="126">
        <f t="shared" si="109"/>
        <v>518</v>
      </c>
      <c r="H53" s="126">
        <f>518</f>
        <v>518</v>
      </c>
      <c r="I53" s="126"/>
      <c r="J53" s="126"/>
      <c r="K53" s="126"/>
      <c r="L53" s="126"/>
      <c r="M53" s="126"/>
      <c r="N53" s="512"/>
      <c r="O53" s="126"/>
      <c r="P53" s="126"/>
      <c r="Q53" s="126"/>
      <c r="R53" s="126"/>
      <c r="S53" s="126"/>
      <c r="T53" s="126">
        <v>-304</v>
      </c>
      <c r="U53" s="379">
        <f t="shared" si="110"/>
        <v>-287</v>
      </c>
      <c r="V53" s="379">
        <f>SUM(W53:AE53)</f>
        <v>17</v>
      </c>
      <c r="W53" s="379">
        <v>17</v>
      </c>
      <c r="X53" s="379"/>
      <c r="Y53" s="379"/>
      <c r="Z53" s="379"/>
      <c r="AA53" s="379"/>
      <c r="AB53" s="379"/>
      <c r="AC53" s="379"/>
      <c r="AD53" s="379"/>
      <c r="AE53" s="379"/>
      <c r="AF53" s="330">
        <f>E53+T53</f>
        <v>33683</v>
      </c>
      <c r="AG53" s="330">
        <f>F53+U53</f>
        <v>34218</v>
      </c>
    </row>
    <row r="54" spans="1:33" s="182" customFormat="1" ht="36" x14ac:dyDescent="0.2">
      <c r="A54" s="614" t="s">
        <v>83</v>
      </c>
      <c r="B54" s="615"/>
      <c r="C54" s="615"/>
      <c r="D54" s="69" t="s">
        <v>166</v>
      </c>
      <c r="E54" s="57">
        <f>SUM(E57,E55,)</f>
        <v>2885975</v>
      </c>
      <c r="F54" s="57">
        <f t="shared" ref="F54:S54" si="111">SUM(F57,F55,)</f>
        <v>2885975</v>
      </c>
      <c r="G54" s="57">
        <f t="shared" si="111"/>
        <v>0</v>
      </c>
      <c r="H54" s="57">
        <f t="shared" si="111"/>
        <v>0</v>
      </c>
      <c r="I54" s="57">
        <f t="shared" si="111"/>
        <v>0</v>
      </c>
      <c r="J54" s="57">
        <f t="shared" si="111"/>
        <v>0</v>
      </c>
      <c r="K54" s="456">
        <f t="shared" si="111"/>
        <v>0</v>
      </c>
      <c r="L54" s="456">
        <f t="shared" si="111"/>
        <v>0</v>
      </c>
      <c r="M54" s="456">
        <f t="shared" si="111"/>
        <v>0</v>
      </c>
      <c r="N54" s="506">
        <f t="shared" si="111"/>
        <v>0</v>
      </c>
      <c r="O54" s="456">
        <f t="shared" si="111"/>
        <v>0</v>
      </c>
      <c r="P54" s="456">
        <f t="shared" si="111"/>
        <v>0</v>
      </c>
      <c r="Q54" s="456">
        <f t="shared" si="111"/>
        <v>0</v>
      </c>
      <c r="R54" s="456">
        <f t="shared" si="111"/>
        <v>0</v>
      </c>
      <c r="S54" s="456">
        <f t="shared" si="111"/>
        <v>0</v>
      </c>
      <c r="T54" s="456">
        <f t="shared" ref="T54:AF54" si="112">SUM(T57,T55,)</f>
        <v>0</v>
      </c>
      <c r="U54" s="457">
        <f t="shared" si="112"/>
        <v>0</v>
      </c>
      <c r="V54" s="457">
        <f t="shared" si="112"/>
        <v>0</v>
      </c>
      <c r="W54" s="457">
        <f t="shared" si="112"/>
        <v>0</v>
      </c>
      <c r="X54" s="457">
        <f t="shared" si="112"/>
        <v>0</v>
      </c>
      <c r="Y54" s="457">
        <f t="shared" si="112"/>
        <v>0</v>
      </c>
      <c r="Z54" s="457">
        <f t="shared" si="112"/>
        <v>0</v>
      </c>
      <c r="AA54" s="457">
        <f t="shared" ref="AA54:AD54" si="113">SUM(AA57,AA55,)</f>
        <v>0</v>
      </c>
      <c r="AB54" s="457">
        <f t="shared" si="113"/>
        <v>0</v>
      </c>
      <c r="AC54" s="457">
        <f t="shared" si="113"/>
        <v>0</v>
      </c>
      <c r="AD54" s="457">
        <f t="shared" si="113"/>
        <v>0</v>
      </c>
      <c r="AE54" s="373">
        <f t="shared" si="112"/>
        <v>0</v>
      </c>
      <c r="AF54" s="327">
        <f t="shared" si="112"/>
        <v>2885975</v>
      </c>
      <c r="AG54" s="327">
        <f t="shared" ref="AG54" si="114">SUM(AG57,AG55,)</f>
        <v>2885975</v>
      </c>
    </row>
    <row r="55" spans="1:33" s="181" customFormat="1" x14ac:dyDescent="0.2">
      <c r="A55" s="45"/>
      <c r="B55" s="593" t="s">
        <v>246</v>
      </c>
      <c r="C55" s="593"/>
      <c r="D55" s="46" t="s">
        <v>247</v>
      </c>
      <c r="E55" s="58">
        <f>SUM(E56:E56)</f>
        <v>2500000</v>
      </c>
      <c r="F55" s="58">
        <f>SUM(F56:F56)</f>
        <v>2500000</v>
      </c>
      <c r="G55" s="58">
        <f t="shared" ref="G55:S55" si="115">SUM(G56:G56)</f>
        <v>0</v>
      </c>
      <c r="H55" s="58">
        <f t="shared" si="115"/>
        <v>0</v>
      </c>
      <c r="I55" s="58">
        <f t="shared" si="115"/>
        <v>0</v>
      </c>
      <c r="J55" s="58">
        <f t="shared" si="115"/>
        <v>0</v>
      </c>
      <c r="K55" s="58">
        <f t="shared" si="115"/>
        <v>0</v>
      </c>
      <c r="L55" s="58">
        <f t="shared" si="115"/>
        <v>0</v>
      </c>
      <c r="M55" s="58">
        <f t="shared" si="115"/>
        <v>0</v>
      </c>
      <c r="N55" s="507">
        <f t="shared" si="115"/>
        <v>0</v>
      </c>
      <c r="O55" s="58">
        <f t="shared" si="115"/>
        <v>0</v>
      </c>
      <c r="P55" s="58">
        <f t="shared" si="115"/>
        <v>0</v>
      </c>
      <c r="Q55" s="58">
        <f t="shared" si="115"/>
        <v>0</v>
      </c>
      <c r="R55" s="58">
        <f t="shared" si="115"/>
        <v>0</v>
      </c>
      <c r="S55" s="58">
        <f t="shared" si="115"/>
        <v>0</v>
      </c>
      <c r="T55" s="58">
        <f>SUM(T56:T56)</f>
        <v>0</v>
      </c>
      <c r="U55" s="374">
        <f t="shared" ref="U55" si="116">SUM(U56:U56)</f>
        <v>0</v>
      </c>
      <c r="V55" s="374">
        <f t="shared" ref="V55" si="117">SUM(V56:V56)</f>
        <v>0</v>
      </c>
      <c r="W55" s="374">
        <f t="shared" ref="W55" si="118">SUM(W56:W56)</f>
        <v>0</v>
      </c>
      <c r="X55" s="374">
        <f t="shared" ref="X55" si="119">SUM(X56:X56)</f>
        <v>0</v>
      </c>
      <c r="Y55" s="374">
        <f t="shared" ref="Y55" si="120">SUM(Y56:Y56)</f>
        <v>0</v>
      </c>
      <c r="Z55" s="374">
        <f t="shared" ref="Z55" si="121">SUM(Z56:Z56)</f>
        <v>0</v>
      </c>
      <c r="AA55" s="374">
        <f t="shared" ref="AA55:AE55" si="122">SUM(AA56:AA56)</f>
        <v>0</v>
      </c>
      <c r="AB55" s="374">
        <f t="shared" si="122"/>
        <v>0</v>
      </c>
      <c r="AC55" s="374">
        <f t="shared" si="122"/>
        <v>0</v>
      </c>
      <c r="AD55" s="374">
        <f t="shared" si="122"/>
        <v>0</v>
      </c>
      <c r="AE55" s="374">
        <f t="shared" si="122"/>
        <v>0</v>
      </c>
      <c r="AF55" s="328">
        <f>SUM(AF56:AF56)</f>
        <v>2500000</v>
      </c>
      <c r="AG55" s="328">
        <f>SUM(AG56:AG56)</f>
        <v>2500000</v>
      </c>
    </row>
    <row r="56" spans="1:33" s="181" customFormat="1" x14ac:dyDescent="0.2">
      <c r="A56" s="45"/>
      <c r="B56" s="624" t="s">
        <v>145</v>
      </c>
      <c r="C56" s="624"/>
      <c r="D56" s="60" t="s">
        <v>146</v>
      </c>
      <c r="E56" s="61">
        <v>2500000</v>
      </c>
      <c r="F56" s="61">
        <f>G56+E56</f>
        <v>2500000</v>
      </c>
      <c r="G56" s="61">
        <f>SUM(H56:S56)</f>
        <v>0</v>
      </c>
      <c r="H56" s="61"/>
      <c r="I56" s="61"/>
      <c r="J56" s="61"/>
      <c r="K56" s="61"/>
      <c r="L56" s="61"/>
      <c r="M56" s="61"/>
      <c r="N56" s="508"/>
      <c r="O56" s="61"/>
      <c r="P56" s="61"/>
      <c r="Q56" s="61"/>
      <c r="R56" s="61"/>
      <c r="S56" s="61"/>
      <c r="T56" s="61"/>
      <c r="U56" s="375">
        <f t="shared" ref="U56" si="123">V56+T56</f>
        <v>0</v>
      </c>
      <c r="V56" s="375">
        <f>SUM(W56:AE56)</f>
        <v>0</v>
      </c>
      <c r="W56" s="375"/>
      <c r="X56" s="375"/>
      <c r="Y56" s="375"/>
      <c r="Z56" s="375"/>
      <c r="AA56" s="375"/>
      <c r="AB56" s="375"/>
      <c r="AC56" s="375"/>
      <c r="AD56" s="375"/>
      <c r="AE56" s="375"/>
      <c r="AF56" s="329">
        <f>E56+T56</f>
        <v>2500000</v>
      </c>
      <c r="AG56" s="329">
        <f>F56+U56</f>
        <v>2500000</v>
      </c>
    </row>
    <row r="57" spans="1:33" s="181" customFormat="1" ht="24" x14ac:dyDescent="0.2">
      <c r="A57" s="45"/>
      <c r="B57" s="593" t="s">
        <v>147</v>
      </c>
      <c r="C57" s="593"/>
      <c r="D57" s="46" t="s">
        <v>114</v>
      </c>
      <c r="E57" s="58">
        <f t="shared" ref="E57:AE57" si="124">SUM(E58:E60)</f>
        <v>385975</v>
      </c>
      <c r="F57" s="58">
        <f t="shared" ref="F57:S57" si="125">SUM(F58:F60)</f>
        <v>385975</v>
      </c>
      <c r="G57" s="58">
        <f t="shared" si="125"/>
        <v>0</v>
      </c>
      <c r="H57" s="58">
        <f t="shared" si="125"/>
        <v>0</v>
      </c>
      <c r="I57" s="58">
        <f t="shared" si="125"/>
        <v>0</v>
      </c>
      <c r="J57" s="58">
        <f t="shared" si="125"/>
        <v>0</v>
      </c>
      <c r="K57" s="58">
        <f t="shared" si="125"/>
        <v>0</v>
      </c>
      <c r="L57" s="58">
        <f t="shared" si="125"/>
        <v>0</v>
      </c>
      <c r="M57" s="58">
        <f t="shared" si="125"/>
        <v>0</v>
      </c>
      <c r="N57" s="507">
        <f t="shared" si="125"/>
        <v>0</v>
      </c>
      <c r="O57" s="58">
        <f t="shared" si="125"/>
        <v>0</v>
      </c>
      <c r="P57" s="58">
        <f t="shared" si="125"/>
        <v>0</v>
      </c>
      <c r="Q57" s="58">
        <f t="shared" si="125"/>
        <v>0</v>
      </c>
      <c r="R57" s="58">
        <f t="shared" si="125"/>
        <v>0</v>
      </c>
      <c r="S57" s="58">
        <f t="shared" si="125"/>
        <v>0</v>
      </c>
      <c r="T57" s="58">
        <f t="shared" si="124"/>
        <v>0</v>
      </c>
      <c r="U57" s="374">
        <f t="shared" si="124"/>
        <v>0</v>
      </c>
      <c r="V57" s="374">
        <f t="shared" si="124"/>
        <v>0</v>
      </c>
      <c r="W57" s="374">
        <f t="shared" si="124"/>
        <v>0</v>
      </c>
      <c r="X57" s="374">
        <f t="shared" si="124"/>
        <v>0</v>
      </c>
      <c r="Y57" s="374">
        <f t="shared" si="124"/>
        <v>0</v>
      </c>
      <c r="Z57" s="374">
        <f t="shared" si="124"/>
        <v>0</v>
      </c>
      <c r="AA57" s="374">
        <f t="shared" ref="AA57:AD57" si="126">SUM(AA58:AA60)</f>
        <v>0</v>
      </c>
      <c r="AB57" s="374">
        <f t="shared" si="126"/>
        <v>0</v>
      </c>
      <c r="AC57" s="374">
        <f t="shared" si="126"/>
        <v>0</v>
      </c>
      <c r="AD57" s="374">
        <f t="shared" si="126"/>
        <v>0</v>
      </c>
      <c r="AE57" s="374">
        <f t="shared" si="124"/>
        <v>0</v>
      </c>
      <c r="AF57" s="328">
        <f t="shared" ref="AF57:AG57" si="127">SUM(AF58:AF60)</f>
        <v>385975</v>
      </c>
      <c r="AG57" s="328">
        <f t="shared" si="127"/>
        <v>385975</v>
      </c>
    </row>
    <row r="58" spans="1:33" x14ac:dyDescent="0.2">
      <c r="A58" s="48"/>
      <c r="B58" s="624" t="s">
        <v>148</v>
      </c>
      <c r="C58" s="624"/>
      <c r="D58" s="49" t="s">
        <v>115</v>
      </c>
      <c r="E58" s="50">
        <v>116437</v>
      </c>
      <c r="F58" s="50">
        <f t="shared" ref="F58:F60" si="128">G58+E58</f>
        <v>116437</v>
      </c>
      <c r="G58" s="50">
        <f t="shared" ref="G58:G60" si="129">SUM(H58:S58)</f>
        <v>0</v>
      </c>
      <c r="H58" s="50"/>
      <c r="I58" s="50"/>
      <c r="J58" s="50"/>
      <c r="K58" s="50"/>
      <c r="L58" s="50"/>
      <c r="M58" s="50"/>
      <c r="N58" s="503"/>
      <c r="O58" s="50"/>
      <c r="P58" s="50"/>
      <c r="Q58" s="50"/>
      <c r="R58" s="50"/>
      <c r="S58" s="50"/>
      <c r="T58" s="50"/>
      <c r="U58" s="370">
        <f t="shared" ref="U58:U60" si="130">V58+T58</f>
        <v>0</v>
      </c>
      <c r="V58" s="370">
        <f>SUM(W58:AE58)</f>
        <v>0</v>
      </c>
      <c r="W58" s="370"/>
      <c r="X58" s="370"/>
      <c r="Y58" s="370"/>
      <c r="Z58" s="370"/>
      <c r="AA58" s="370"/>
      <c r="AB58" s="370"/>
      <c r="AC58" s="370"/>
      <c r="AD58" s="370"/>
      <c r="AE58" s="370"/>
      <c r="AF58" s="324">
        <f t="shared" ref="AF58:AG60" si="131">E58+T58</f>
        <v>116437</v>
      </c>
      <c r="AG58" s="324">
        <f t="shared" si="131"/>
        <v>116437</v>
      </c>
    </row>
    <row r="59" spans="1:33" x14ac:dyDescent="0.2">
      <c r="A59" s="59"/>
      <c r="B59" s="595" t="s">
        <v>149</v>
      </c>
      <c r="C59" s="595"/>
      <c r="D59" s="60" t="s">
        <v>116</v>
      </c>
      <c r="E59" s="61">
        <v>43721</v>
      </c>
      <c r="F59" s="61">
        <f t="shared" si="128"/>
        <v>43721</v>
      </c>
      <c r="G59" s="61">
        <f t="shared" si="129"/>
        <v>0</v>
      </c>
      <c r="H59" s="61"/>
      <c r="I59" s="61"/>
      <c r="J59" s="61"/>
      <c r="K59" s="61"/>
      <c r="L59" s="61"/>
      <c r="M59" s="61"/>
      <c r="N59" s="508"/>
      <c r="O59" s="61"/>
      <c r="P59" s="61"/>
      <c r="Q59" s="61"/>
      <c r="R59" s="61"/>
      <c r="S59" s="61"/>
      <c r="T59" s="61"/>
      <c r="U59" s="375">
        <f t="shared" si="130"/>
        <v>0</v>
      </c>
      <c r="V59" s="375">
        <f>SUM(W59:AE59)</f>
        <v>0</v>
      </c>
      <c r="W59" s="375"/>
      <c r="X59" s="375"/>
      <c r="Y59" s="375"/>
      <c r="Z59" s="375"/>
      <c r="AA59" s="375"/>
      <c r="AB59" s="375"/>
      <c r="AC59" s="375"/>
      <c r="AD59" s="375"/>
      <c r="AE59" s="375"/>
      <c r="AF59" s="329">
        <f t="shared" si="131"/>
        <v>43721</v>
      </c>
      <c r="AG59" s="329">
        <f t="shared" si="131"/>
        <v>43721</v>
      </c>
    </row>
    <row r="60" spans="1:33" x14ac:dyDescent="0.2">
      <c r="A60" s="70"/>
      <c r="B60" s="625" t="s">
        <v>150</v>
      </c>
      <c r="C60" s="625"/>
      <c r="D60" s="71" t="s">
        <v>117</v>
      </c>
      <c r="E60" s="72">
        <v>225817</v>
      </c>
      <c r="F60" s="72">
        <f t="shared" si="128"/>
        <v>225817</v>
      </c>
      <c r="G60" s="72">
        <f t="shared" si="129"/>
        <v>0</v>
      </c>
      <c r="H60" s="72"/>
      <c r="I60" s="72"/>
      <c r="J60" s="72"/>
      <c r="K60" s="72"/>
      <c r="L60" s="72"/>
      <c r="M60" s="72"/>
      <c r="N60" s="511"/>
      <c r="O60" s="72"/>
      <c r="P60" s="72"/>
      <c r="Q60" s="72"/>
      <c r="R60" s="72"/>
      <c r="S60" s="72"/>
      <c r="T60" s="72"/>
      <c r="U60" s="380">
        <f t="shared" si="130"/>
        <v>0</v>
      </c>
      <c r="V60" s="380">
        <f>SUM(W60:AE60)</f>
        <v>0</v>
      </c>
      <c r="W60" s="380"/>
      <c r="X60" s="380"/>
      <c r="Y60" s="380"/>
      <c r="Z60" s="380"/>
      <c r="AA60" s="380"/>
      <c r="AB60" s="380"/>
      <c r="AC60" s="380"/>
      <c r="AD60" s="380"/>
      <c r="AE60" s="380"/>
      <c r="AF60" s="334">
        <f t="shared" si="131"/>
        <v>225817</v>
      </c>
      <c r="AG60" s="334">
        <f t="shared" si="131"/>
        <v>225817</v>
      </c>
    </row>
    <row r="61" spans="1:33" s="182" customFormat="1" x14ac:dyDescent="0.2">
      <c r="A61" s="614" t="s">
        <v>84</v>
      </c>
      <c r="B61" s="615"/>
      <c r="C61" s="615"/>
      <c r="D61" s="69" t="s">
        <v>85</v>
      </c>
      <c r="E61" s="57">
        <f t="shared" ref="E61:AG61" si="132">SUM(E62)</f>
        <v>9945841</v>
      </c>
      <c r="F61" s="57">
        <f t="shared" si="132"/>
        <v>9732660</v>
      </c>
      <c r="G61" s="57">
        <f t="shared" si="132"/>
        <v>-213181</v>
      </c>
      <c r="H61" s="57">
        <f t="shared" si="132"/>
        <v>-369627</v>
      </c>
      <c r="I61" s="57">
        <f t="shared" si="132"/>
        <v>99647</v>
      </c>
      <c r="J61" s="57">
        <f t="shared" si="132"/>
        <v>22076</v>
      </c>
      <c r="K61" s="456">
        <f t="shared" si="132"/>
        <v>-3685</v>
      </c>
      <c r="L61" s="456">
        <f t="shared" si="132"/>
        <v>35574</v>
      </c>
      <c r="M61" s="456">
        <f t="shared" si="132"/>
        <v>0</v>
      </c>
      <c r="N61" s="506">
        <f t="shared" si="132"/>
        <v>2834</v>
      </c>
      <c r="O61" s="456">
        <f t="shared" si="132"/>
        <v>0</v>
      </c>
      <c r="P61" s="456">
        <f t="shared" si="132"/>
        <v>0</v>
      </c>
      <c r="Q61" s="456">
        <f t="shared" si="132"/>
        <v>0</v>
      </c>
      <c r="R61" s="456">
        <f t="shared" si="132"/>
        <v>0</v>
      </c>
      <c r="S61" s="456">
        <f t="shared" si="132"/>
        <v>0</v>
      </c>
      <c r="T61" s="456">
        <f t="shared" si="132"/>
        <v>0</v>
      </c>
      <c r="U61" s="457">
        <f t="shared" si="132"/>
        <v>0</v>
      </c>
      <c r="V61" s="457">
        <f t="shared" si="132"/>
        <v>0</v>
      </c>
      <c r="W61" s="457">
        <f t="shared" si="132"/>
        <v>0</v>
      </c>
      <c r="X61" s="457">
        <f t="shared" si="132"/>
        <v>0</v>
      </c>
      <c r="Y61" s="457">
        <f t="shared" si="132"/>
        <v>0</v>
      </c>
      <c r="Z61" s="457">
        <f t="shared" si="132"/>
        <v>0</v>
      </c>
      <c r="AA61" s="457">
        <f t="shared" si="132"/>
        <v>0</v>
      </c>
      <c r="AB61" s="457">
        <f t="shared" si="132"/>
        <v>0</v>
      </c>
      <c r="AC61" s="457">
        <f t="shared" si="132"/>
        <v>0</v>
      </c>
      <c r="AD61" s="457">
        <f t="shared" si="132"/>
        <v>0</v>
      </c>
      <c r="AE61" s="373">
        <f t="shared" si="132"/>
        <v>0</v>
      </c>
      <c r="AF61" s="327">
        <f t="shared" si="132"/>
        <v>9945841</v>
      </c>
      <c r="AG61" s="327">
        <f t="shared" si="132"/>
        <v>9732660</v>
      </c>
    </row>
    <row r="62" spans="1:33" s="181" customFormat="1" x14ac:dyDescent="0.2">
      <c r="A62" s="45"/>
      <c r="B62" s="593" t="s">
        <v>86</v>
      </c>
      <c r="C62" s="593"/>
      <c r="D62" s="46" t="s">
        <v>268</v>
      </c>
      <c r="E62" s="58">
        <f t="shared" ref="E62:F62" si="133">SUM(,E63,E64,E65)</f>
        <v>9945841</v>
      </c>
      <c r="F62" s="58">
        <f t="shared" si="133"/>
        <v>9732660</v>
      </c>
      <c r="G62" s="58">
        <f t="shared" ref="G62:S62" si="134">SUM(,G63,G64,G65)</f>
        <v>-213181</v>
      </c>
      <c r="H62" s="58">
        <f t="shared" si="134"/>
        <v>-369627</v>
      </c>
      <c r="I62" s="58">
        <f t="shared" si="134"/>
        <v>99647</v>
      </c>
      <c r="J62" s="58">
        <f t="shared" si="134"/>
        <v>22076</v>
      </c>
      <c r="K62" s="58">
        <f t="shared" si="134"/>
        <v>-3685</v>
      </c>
      <c r="L62" s="58">
        <f t="shared" si="134"/>
        <v>35574</v>
      </c>
      <c r="M62" s="58">
        <f t="shared" si="134"/>
        <v>0</v>
      </c>
      <c r="N62" s="507">
        <f t="shared" si="134"/>
        <v>2834</v>
      </c>
      <c r="O62" s="58">
        <f t="shared" si="134"/>
        <v>0</v>
      </c>
      <c r="P62" s="58">
        <f t="shared" si="134"/>
        <v>0</v>
      </c>
      <c r="Q62" s="58">
        <f t="shared" si="134"/>
        <v>0</v>
      </c>
      <c r="R62" s="58">
        <f t="shared" si="134"/>
        <v>0</v>
      </c>
      <c r="S62" s="58">
        <f t="shared" si="134"/>
        <v>0</v>
      </c>
      <c r="T62" s="58">
        <f t="shared" ref="T62:AE62" si="135">SUM(,T63,T64,T65)</f>
        <v>0</v>
      </c>
      <c r="U62" s="374">
        <f t="shared" si="135"/>
        <v>0</v>
      </c>
      <c r="V62" s="374">
        <f t="shared" si="135"/>
        <v>0</v>
      </c>
      <c r="W62" s="374">
        <f t="shared" si="135"/>
        <v>0</v>
      </c>
      <c r="X62" s="374">
        <f t="shared" si="135"/>
        <v>0</v>
      </c>
      <c r="Y62" s="374">
        <f t="shared" si="135"/>
        <v>0</v>
      </c>
      <c r="Z62" s="374">
        <f t="shared" si="135"/>
        <v>0</v>
      </c>
      <c r="AA62" s="374">
        <f t="shared" ref="AA62:AD62" si="136">SUM(,AA63,AA64,AA65)</f>
        <v>0</v>
      </c>
      <c r="AB62" s="374">
        <f t="shared" si="136"/>
        <v>0</v>
      </c>
      <c r="AC62" s="374">
        <f t="shared" si="136"/>
        <v>0</v>
      </c>
      <c r="AD62" s="374">
        <f t="shared" si="136"/>
        <v>0</v>
      </c>
      <c r="AE62" s="374">
        <f t="shared" si="135"/>
        <v>0</v>
      </c>
      <c r="AF62" s="328">
        <f t="shared" ref="AF62:AG62" si="137">SUM(,AF63,AF64,AF65)</f>
        <v>9945841</v>
      </c>
      <c r="AG62" s="328">
        <f t="shared" si="137"/>
        <v>9732660</v>
      </c>
    </row>
    <row r="63" spans="1:33" ht="24" x14ac:dyDescent="0.2">
      <c r="A63" s="59"/>
      <c r="B63" s="595" t="s">
        <v>87</v>
      </c>
      <c r="C63" s="595"/>
      <c r="D63" s="60" t="s">
        <v>264</v>
      </c>
      <c r="E63" s="61">
        <v>9425264</v>
      </c>
      <c r="F63" s="50">
        <f t="shared" ref="F63:F65" si="138">G63+E63</f>
        <v>9523473</v>
      </c>
      <c r="G63" s="50">
        <f t="shared" ref="G63:G65" si="139">SUM(H63:S63)</f>
        <v>98209</v>
      </c>
      <c r="H63" s="50">
        <f>38781-53506</f>
        <v>-14725</v>
      </c>
      <c r="I63" s="50">
        <f>100673-582+1486+1246-12380-63-5233+2500</f>
        <v>87647</v>
      </c>
      <c r="J63" s="50">
        <v>3500</v>
      </c>
      <c r="K63" s="50"/>
      <c r="L63" s="50">
        <f>14260+3600+3927</f>
        <v>21787</v>
      </c>
      <c r="M63" s="50"/>
      <c r="N63" s="503"/>
      <c r="O63" s="50"/>
      <c r="P63" s="50"/>
      <c r="Q63" s="50"/>
      <c r="R63" s="50"/>
      <c r="S63" s="50"/>
      <c r="T63" s="50"/>
      <c r="U63" s="370">
        <f t="shared" ref="U63:U65" si="140">V63+T63</f>
        <v>0</v>
      </c>
      <c r="V63" s="370">
        <f>SUM(W63:AE63)</f>
        <v>0</v>
      </c>
      <c r="W63" s="370"/>
      <c r="X63" s="370"/>
      <c r="Y63" s="370"/>
      <c r="Z63" s="370"/>
      <c r="AA63" s="370"/>
      <c r="AB63" s="370"/>
      <c r="AC63" s="370"/>
      <c r="AD63" s="370"/>
      <c r="AE63" s="370"/>
      <c r="AF63" s="324">
        <f t="shared" ref="AF63:AG65" si="141">E63+T63</f>
        <v>9425264</v>
      </c>
      <c r="AG63" s="324">
        <f t="shared" si="141"/>
        <v>9523473</v>
      </c>
    </row>
    <row r="64" spans="1:33" ht="48" x14ac:dyDescent="0.2">
      <c r="A64" s="59"/>
      <c r="B64" s="595" t="s">
        <v>124</v>
      </c>
      <c r="C64" s="595"/>
      <c r="D64" s="60" t="s">
        <v>265</v>
      </c>
      <c r="E64" s="61">
        <f>490687</f>
        <v>490687</v>
      </c>
      <c r="F64" s="50">
        <f t="shared" si="138"/>
        <v>162297</v>
      </c>
      <c r="G64" s="50">
        <f t="shared" si="139"/>
        <v>-328390</v>
      </c>
      <c r="H64" s="50">
        <f>-354901-1</f>
        <v>-354902</v>
      </c>
      <c r="I64" s="50"/>
      <c r="J64" s="50">
        <v>13576</v>
      </c>
      <c r="K64" s="50">
        <v>-3685</v>
      </c>
      <c r="L64" s="50">
        <v>13787</v>
      </c>
      <c r="M64" s="50"/>
      <c r="N64" s="503">
        <v>2834</v>
      </c>
      <c r="O64" s="50"/>
      <c r="P64" s="50"/>
      <c r="Q64" s="50"/>
      <c r="R64" s="50"/>
      <c r="S64" s="50"/>
      <c r="T64" s="277"/>
      <c r="U64" s="370">
        <f t="shared" si="140"/>
        <v>0</v>
      </c>
      <c r="V64" s="370">
        <f>SUM(W64:AE64)</f>
        <v>0</v>
      </c>
      <c r="W64" s="381"/>
      <c r="X64" s="381"/>
      <c r="Y64" s="381"/>
      <c r="Z64" s="381"/>
      <c r="AA64" s="381"/>
      <c r="AB64" s="381"/>
      <c r="AC64" s="381"/>
      <c r="AD64" s="381"/>
      <c r="AE64" s="381"/>
      <c r="AF64" s="324">
        <f t="shared" si="141"/>
        <v>490687</v>
      </c>
      <c r="AG64" s="324">
        <f t="shared" si="141"/>
        <v>162297</v>
      </c>
    </row>
    <row r="65" spans="1:33" ht="24" x14ac:dyDescent="0.2">
      <c r="A65" s="70"/>
      <c r="B65" s="625" t="s">
        <v>125</v>
      </c>
      <c r="C65" s="625"/>
      <c r="D65" s="71" t="s">
        <v>266</v>
      </c>
      <c r="E65" s="72">
        <f>29890</f>
        <v>29890</v>
      </c>
      <c r="F65" s="65">
        <f t="shared" si="138"/>
        <v>46890</v>
      </c>
      <c r="G65" s="65">
        <f t="shared" si="139"/>
        <v>17000</v>
      </c>
      <c r="H65" s="65"/>
      <c r="I65" s="65">
        <f>4000+8000</f>
        <v>12000</v>
      </c>
      <c r="J65" s="65">
        <f>5000</f>
        <v>5000</v>
      </c>
      <c r="K65" s="65"/>
      <c r="L65" s="65"/>
      <c r="M65" s="65"/>
      <c r="N65" s="505"/>
      <c r="O65" s="65"/>
      <c r="P65" s="65"/>
      <c r="Q65" s="65"/>
      <c r="R65" s="65"/>
      <c r="S65" s="65"/>
      <c r="T65" s="65"/>
      <c r="U65" s="372">
        <f t="shared" si="140"/>
        <v>0</v>
      </c>
      <c r="V65" s="372">
        <f>SUM(W65:AE65)</f>
        <v>0</v>
      </c>
      <c r="W65" s="372"/>
      <c r="X65" s="372"/>
      <c r="Y65" s="372"/>
      <c r="Z65" s="372"/>
      <c r="AA65" s="372"/>
      <c r="AB65" s="372"/>
      <c r="AC65" s="372"/>
      <c r="AD65" s="372"/>
      <c r="AE65" s="372"/>
      <c r="AF65" s="326">
        <f t="shared" si="141"/>
        <v>29890</v>
      </c>
      <c r="AG65" s="326">
        <f t="shared" si="141"/>
        <v>46890</v>
      </c>
    </row>
    <row r="66" spans="1:33" s="182" customFormat="1" x14ac:dyDescent="0.2">
      <c r="A66" s="614" t="s">
        <v>88</v>
      </c>
      <c r="B66" s="615"/>
      <c r="C66" s="615"/>
      <c r="D66" s="69" t="s">
        <v>89</v>
      </c>
      <c r="E66" s="57">
        <f>SUM(E67,E69)</f>
        <v>2319598</v>
      </c>
      <c r="F66" s="57">
        <f>SUM(F67,F69)</f>
        <v>2195848</v>
      </c>
      <c r="G66" s="57">
        <f t="shared" ref="G66:S66" si="142">SUM(G67,G69)</f>
        <v>-123750</v>
      </c>
      <c r="H66" s="57">
        <f t="shared" si="142"/>
        <v>-151705</v>
      </c>
      <c r="I66" s="57">
        <f t="shared" si="142"/>
        <v>101</v>
      </c>
      <c r="J66" s="57">
        <f t="shared" si="142"/>
        <v>3416</v>
      </c>
      <c r="K66" s="456">
        <f t="shared" si="142"/>
        <v>-3609</v>
      </c>
      <c r="L66" s="456">
        <f t="shared" si="142"/>
        <v>28047</v>
      </c>
      <c r="M66" s="456">
        <f t="shared" si="142"/>
        <v>0</v>
      </c>
      <c r="N66" s="506">
        <f t="shared" si="142"/>
        <v>0</v>
      </c>
      <c r="O66" s="456">
        <f t="shared" si="142"/>
        <v>0</v>
      </c>
      <c r="P66" s="456">
        <f t="shared" si="142"/>
        <v>0</v>
      </c>
      <c r="Q66" s="456">
        <f t="shared" si="142"/>
        <v>0</v>
      </c>
      <c r="R66" s="456">
        <f t="shared" si="142"/>
        <v>0</v>
      </c>
      <c r="S66" s="456">
        <f t="shared" si="142"/>
        <v>0</v>
      </c>
      <c r="T66" s="456">
        <f>SUM(T67,T69)</f>
        <v>-1775598</v>
      </c>
      <c r="U66" s="457">
        <f t="shared" ref="U66" si="143">SUM(U67,U69)</f>
        <v>-1651848</v>
      </c>
      <c r="V66" s="457">
        <f t="shared" ref="V66" si="144">SUM(V67,V69)</f>
        <v>123750</v>
      </c>
      <c r="W66" s="457">
        <f t="shared" ref="W66" si="145">SUM(W67,W69)</f>
        <v>151705</v>
      </c>
      <c r="X66" s="457">
        <f t="shared" ref="X66" si="146">SUM(X67,X69)</f>
        <v>-101</v>
      </c>
      <c r="Y66" s="457">
        <f t="shared" ref="Y66" si="147">SUM(Y67,Y69)</f>
        <v>-3416</v>
      </c>
      <c r="Z66" s="457">
        <f t="shared" ref="Z66:AA66" si="148">SUM(Z67,Z69)</f>
        <v>3609</v>
      </c>
      <c r="AA66" s="457">
        <f t="shared" si="148"/>
        <v>-28047</v>
      </c>
      <c r="AB66" s="457">
        <f t="shared" ref="AB66:AD66" si="149">SUM(AB67,AB69)</f>
        <v>0</v>
      </c>
      <c r="AC66" s="457">
        <f t="shared" si="149"/>
        <v>0</v>
      </c>
      <c r="AD66" s="457">
        <f t="shared" si="149"/>
        <v>0</v>
      </c>
      <c r="AE66" s="373">
        <f t="shared" ref="AE66" si="150">SUM(AE67,AE69)</f>
        <v>0</v>
      </c>
      <c r="AF66" s="327">
        <f>SUM(AF67,AF69)</f>
        <v>544000</v>
      </c>
      <c r="AG66" s="327">
        <f>SUM(AG67,AG69)</f>
        <v>544000</v>
      </c>
    </row>
    <row r="67" spans="1:33" s="181" customFormat="1" x14ac:dyDescent="0.2">
      <c r="A67" s="45"/>
      <c r="B67" s="593" t="s">
        <v>90</v>
      </c>
      <c r="C67" s="593"/>
      <c r="D67" s="46" t="s">
        <v>267</v>
      </c>
      <c r="E67" s="58">
        <f>SUM(E68)</f>
        <v>544000</v>
      </c>
      <c r="F67" s="58">
        <f>SUM(F68)</f>
        <v>544000</v>
      </c>
      <c r="G67" s="58">
        <f t="shared" ref="G67:S67" si="151">SUM(G68)</f>
        <v>0</v>
      </c>
      <c r="H67" s="58">
        <f t="shared" si="151"/>
        <v>0</v>
      </c>
      <c r="I67" s="58">
        <f t="shared" si="151"/>
        <v>0</v>
      </c>
      <c r="J67" s="58">
        <f t="shared" si="151"/>
        <v>0</v>
      </c>
      <c r="K67" s="58">
        <f t="shared" si="151"/>
        <v>0</v>
      </c>
      <c r="L67" s="58">
        <f t="shared" si="151"/>
        <v>0</v>
      </c>
      <c r="M67" s="58">
        <f t="shared" si="151"/>
        <v>0</v>
      </c>
      <c r="N67" s="507">
        <f t="shared" si="151"/>
        <v>0</v>
      </c>
      <c r="O67" s="58">
        <f t="shared" si="151"/>
        <v>0</v>
      </c>
      <c r="P67" s="58">
        <f t="shared" si="151"/>
        <v>0</v>
      </c>
      <c r="Q67" s="58">
        <f t="shared" si="151"/>
        <v>0</v>
      </c>
      <c r="R67" s="58">
        <f t="shared" si="151"/>
        <v>0</v>
      </c>
      <c r="S67" s="58">
        <f t="shared" si="151"/>
        <v>0</v>
      </c>
      <c r="T67" s="58">
        <f>SUM(T68)</f>
        <v>0</v>
      </c>
      <c r="U67" s="374">
        <f t="shared" ref="U67" si="152">SUM(U68)</f>
        <v>0</v>
      </c>
      <c r="V67" s="374">
        <f t="shared" ref="V67" si="153">SUM(V68)</f>
        <v>0</v>
      </c>
      <c r="W67" s="374">
        <f t="shared" ref="W67" si="154">SUM(W68)</f>
        <v>0</v>
      </c>
      <c r="X67" s="374">
        <f t="shared" ref="X67" si="155">SUM(X68)</f>
        <v>0</v>
      </c>
      <c r="Y67" s="374">
        <f t="shared" ref="Y67" si="156">SUM(Y68)</f>
        <v>0</v>
      </c>
      <c r="Z67" s="374">
        <f t="shared" ref="Z67" si="157">SUM(Z68)</f>
        <v>0</v>
      </c>
      <c r="AA67" s="374">
        <f t="shared" ref="AA67:AE67" si="158">SUM(AA68)</f>
        <v>0</v>
      </c>
      <c r="AB67" s="374">
        <f t="shared" si="158"/>
        <v>0</v>
      </c>
      <c r="AC67" s="374">
        <f t="shared" si="158"/>
        <v>0</v>
      </c>
      <c r="AD67" s="374">
        <f t="shared" si="158"/>
        <v>0</v>
      </c>
      <c r="AE67" s="374">
        <f t="shared" si="158"/>
        <v>0</v>
      </c>
      <c r="AF67" s="328">
        <f>SUM(AF68)</f>
        <v>544000</v>
      </c>
      <c r="AG67" s="328">
        <f>SUM(AG68)</f>
        <v>544000</v>
      </c>
    </row>
    <row r="68" spans="1:33" ht="11.25" customHeight="1" x14ac:dyDescent="0.2">
      <c r="A68" s="48"/>
      <c r="B68" s="624" t="s">
        <v>91</v>
      </c>
      <c r="C68" s="624"/>
      <c r="D68" s="49" t="s">
        <v>92</v>
      </c>
      <c r="E68" s="50">
        <v>544000</v>
      </c>
      <c r="F68" s="50">
        <f>G68+E68</f>
        <v>544000</v>
      </c>
      <c r="G68" s="50">
        <f t="shared" ref="G68" si="159">SUM(H68:S68)</f>
        <v>0</v>
      </c>
      <c r="H68" s="50"/>
      <c r="I68" s="50"/>
      <c r="J68" s="50"/>
      <c r="K68" s="50"/>
      <c r="L68" s="50"/>
      <c r="M68" s="50"/>
      <c r="N68" s="503"/>
      <c r="O68" s="50"/>
      <c r="P68" s="50"/>
      <c r="Q68" s="50"/>
      <c r="R68" s="50"/>
      <c r="S68" s="50"/>
      <c r="T68" s="50"/>
      <c r="U68" s="370">
        <f t="shared" ref="U68" si="160">V68+T68</f>
        <v>0</v>
      </c>
      <c r="V68" s="370">
        <f>SUM(W68:AE68)</f>
        <v>0</v>
      </c>
      <c r="W68" s="370"/>
      <c r="X68" s="370"/>
      <c r="Y68" s="370"/>
      <c r="Z68" s="370"/>
      <c r="AA68" s="370"/>
      <c r="AB68" s="370"/>
      <c r="AC68" s="370"/>
      <c r="AD68" s="370"/>
      <c r="AE68" s="370"/>
      <c r="AF68" s="324">
        <f>E68+T68</f>
        <v>544000</v>
      </c>
      <c r="AG68" s="324">
        <f>F68+U68</f>
        <v>544000</v>
      </c>
    </row>
    <row r="69" spans="1:33" ht="24" x14ac:dyDescent="0.2">
      <c r="A69" s="70"/>
      <c r="B69" s="309" t="s">
        <v>629</v>
      </c>
      <c r="C69" s="309"/>
      <c r="D69" s="280" t="s">
        <v>630</v>
      </c>
      <c r="E69" s="72">
        <v>1775598</v>
      </c>
      <c r="F69" s="72">
        <f t="shared" ref="F69" si="161">G69+E69</f>
        <v>1651848</v>
      </c>
      <c r="G69" s="72">
        <f>SUM(H69:S69)</f>
        <v>-123750</v>
      </c>
      <c r="H69" s="72">
        <v>-151705</v>
      </c>
      <c r="I69" s="72">
        <v>101</v>
      </c>
      <c r="J69" s="72">
        <f>700+2716</f>
        <v>3416</v>
      </c>
      <c r="K69" s="72">
        <f>-3709-800+900</f>
        <v>-3609</v>
      </c>
      <c r="L69" s="72">
        <f>14260+13787</f>
        <v>28047</v>
      </c>
      <c r="M69" s="72"/>
      <c r="N69" s="511"/>
      <c r="O69" s="72"/>
      <c r="P69" s="72"/>
      <c r="Q69" s="72"/>
      <c r="R69" s="72"/>
      <c r="S69" s="72"/>
      <c r="T69" s="72">
        <v>-1775598</v>
      </c>
      <c r="U69" s="380">
        <f>V69+T69</f>
        <v>-1651848</v>
      </c>
      <c r="V69" s="380">
        <f>SUM(W69:AE69)</f>
        <v>123750</v>
      </c>
      <c r="W69" s="380">
        <f>-38-3-37-30-38-179073+354901-17647-7326+996</f>
        <v>151705</v>
      </c>
      <c r="X69" s="380">
        <v>-101</v>
      </c>
      <c r="Y69" s="380">
        <f>-700-2716</f>
        <v>-3416</v>
      </c>
      <c r="Z69" s="380">
        <f>3709+800-900</f>
        <v>3609</v>
      </c>
      <c r="AA69" s="380">
        <f>-14260-13787</f>
        <v>-28047</v>
      </c>
      <c r="AB69" s="380"/>
      <c r="AC69" s="380"/>
      <c r="AD69" s="380"/>
      <c r="AE69" s="380"/>
      <c r="AF69" s="334">
        <f>E69+T69</f>
        <v>0</v>
      </c>
      <c r="AG69" s="334">
        <f>F69+U69</f>
        <v>0</v>
      </c>
    </row>
    <row r="70" spans="1:33" s="182" customFormat="1" x14ac:dyDescent="0.2">
      <c r="A70" s="614" t="s">
        <v>93</v>
      </c>
      <c r="B70" s="615"/>
      <c r="C70" s="616"/>
      <c r="D70" s="69" t="s">
        <v>372</v>
      </c>
      <c r="E70" s="57">
        <f>SUM(E71,E77,E91)</f>
        <v>1714515</v>
      </c>
      <c r="F70" s="57">
        <f t="shared" ref="F70:AG70" si="162">SUM(F71,F77,F91)</f>
        <v>1785274</v>
      </c>
      <c r="G70" s="57">
        <f t="shared" si="162"/>
        <v>70759</v>
      </c>
      <c r="H70" s="57">
        <f t="shared" si="162"/>
        <v>2776</v>
      </c>
      <c r="I70" s="57">
        <f t="shared" si="162"/>
        <v>2585</v>
      </c>
      <c r="J70" s="57">
        <f t="shared" si="162"/>
        <v>43793</v>
      </c>
      <c r="K70" s="456">
        <f t="shared" si="162"/>
        <v>0</v>
      </c>
      <c r="L70" s="456">
        <f t="shared" si="162"/>
        <v>20367</v>
      </c>
      <c r="M70" s="456">
        <f t="shared" si="162"/>
        <v>738</v>
      </c>
      <c r="N70" s="506">
        <f t="shared" si="162"/>
        <v>500</v>
      </c>
      <c r="O70" s="456">
        <f t="shared" si="162"/>
        <v>0</v>
      </c>
      <c r="P70" s="456">
        <f t="shared" si="162"/>
        <v>0</v>
      </c>
      <c r="Q70" s="456">
        <f t="shared" si="162"/>
        <v>0</v>
      </c>
      <c r="R70" s="456">
        <f t="shared" si="162"/>
        <v>0</v>
      </c>
      <c r="S70" s="456">
        <f t="shared" si="162"/>
        <v>0</v>
      </c>
      <c r="T70" s="456">
        <f t="shared" si="162"/>
        <v>-30538</v>
      </c>
      <c r="U70" s="457">
        <f t="shared" si="162"/>
        <v>-58540</v>
      </c>
      <c r="V70" s="457">
        <f t="shared" si="162"/>
        <v>-28002</v>
      </c>
      <c r="W70" s="457">
        <f t="shared" si="162"/>
        <v>0</v>
      </c>
      <c r="X70" s="457">
        <f t="shared" si="162"/>
        <v>-835</v>
      </c>
      <c r="Y70" s="457">
        <f t="shared" si="162"/>
        <v>-24765</v>
      </c>
      <c r="Z70" s="457">
        <f t="shared" si="162"/>
        <v>-1664</v>
      </c>
      <c r="AA70" s="457">
        <f t="shared" ref="AA70:AD70" si="163">SUM(AA71,AA77,AA91)</f>
        <v>0</v>
      </c>
      <c r="AB70" s="457">
        <f t="shared" si="163"/>
        <v>-738</v>
      </c>
      <c r="AC70" s="457">
        <f t="shared" si="163"/>
        <v>0</v>
      </c>
      <c r="AD70" s="457">
        <f t="shared" si="163"/>
        <v>0</v>
      </c>
      <c r="AE70" s="373">
        <f t="shared" si="162"/>
        <v>0</v>
      </c>
      <c r="AF70" s="327">
        <f t="shared" si="162"/>
        <v>1683977</v>
      </c>
      <c r="AG70" s="327">
        <f t="shared" si="162"/>
        <v>1726734</v>
      </c>
    </row>
    <row r="71" spans="1:33" s="182" customFormat="1" x14ac:dyDescent="0.2">
      <c r="A71" s="416"/>
      <c r="B71" s="419" t="s">
        <v>716</v>
      </c>
      <c r="C71" s="420"/>
      <c r="D71" s="421" t="s">
        <v>717</v>
      </c>
      <c r="E71" s="58">
        <f>SUM(E72)</f>
        <v>0</v>
      </c>
      <c r="F71" s="58">
        <f t="shared" ref="F71:AG71" si="164">SUM(F72)</f>
        <v>18716</v>
      </c>
      <c r="G71" s="58">
        <f t="shared" si="164"/>
        <v>18716</v>
      </c>
      <c r="H71" s="58">
        <f t="shared" si="164"/>
        <v>0</v>
      </c>
      <c r="I71" s="58">
        <f t="shared" si="164"/>
        <v>0</v>
      </c>
      <c r="J71" s="58">
        <f t="shared" si="164"/>
        <v>12716</v>
      </c>
      <c r="K71" s="58">
        <f t="shared" si="164"/>
        <v>0</v>
      </c>
      <c r="L71" s="58">
        <f t="shared" si="164"/>
        <v>6000</v>
      </c>
      <c r="M71" s="58">
        <f t="shared" si="164"/>
        <v>0</v>
      </c>
      <c r="N71" s="507">
        <f t="shared" si="164"/>
        <v>0</v>
      </c>
      <c r="O71" s="58">
        <f t="shared" si="164"/>
        <v>0</v>
      </c>
      <c r="P71" s="58">
        <f t="shared" si="164"/>
        <v>0</v>
      </c>
      <c r="Q71" s="58">
        <f t="shared" si="164"/>
        <v>0</v>
      </c>
      <c r="R71" s="58">
        <f t="shared" si="164"/>
        <v>0</v>
      </c>
      <c r="S71" s="58">
        <f t="shared" si="164"/>
        <v>0</v>
      </c>
      <c r="T71" s="58">
        <f t="shared" si="164"/>
        <v>0</v>
      </c>
      <c r="U71" s="374">
        <f t="shared" si="164"/>
        <v>0</v>
      </c>
      <c r="V71" s="374">
        <f t="shared" si="164"/>
        <v>0</v>
      </c>
      <c r="W71" s="374">
        <f t="shared" si="164"/>
        <v>0</v>
      </c>
      <c r="X71" s="374">
        <f t="shared" si="164"/>
        <v>0</v>
      </c>
      <c r="Y71" s="374">
        <f t="shared" si="164"/>
        <v>0</v>
      </c>
      <c r="Z71" s="374">
        <f t="shared" si="164"/>
        <v>0</v>
      </c>
      <c r="AA71" s="374">
        <f t="shared" si="164"/>
        <v>0</v>
      </c>
      <c r="AB71" s="374">
        <f t="shared" si="164"/>
        <v>0</v>
      </c>
      <c r="AC71" s="374">
        <f t="shared" si="164"/>
        <v>0</v>
      </c>
      <c r="AD71" s="374">
        <f t="shared" si="164"/>
        <v>0</v>
      </c>
      <c r="AE71" s="374">
        <f t="shared" si="164"/>
        <v>0</v>
      </c>
      <c r="AF71" s="328">
        <f>SUM(AF72)</f>
        <v>0</v>
      </c>
      <c r="AG71" s="328">
        <f t="shared" si="164"/>
        <v>18716</v>
      </c>
    </row>
    <row r="72" spans="1:33" s="182" customFormat="1" ht="48" x14ac:dyDescent="0.2">
      <c r="A72" s="417"/>
      <c r="B72" s="595" t="s">
        <v>718</v>
      </c>
      <c r="C72" s="596"/>
      <c r="D72" s="418" t="s">
        <v>719</v>
      </c>
      <c r="E72" s="61">
        <f>SUM(E73:E76)</f>
        <v>0</v>
      </c>
      <c r="F72" s="61">
        <f t="shared" ref="F72:AG72" si="165">SUM(F73:F76)</f>
        <v>18716</v>
      </c>
      <c r="G72" s="61">
        <f t="shared" si="165"/>
        <v>18716</v>
      </c>
      <c r="H72" s="61">
        <f t="shared" si="165"/>
        <v>0</v>
      </c>
      <c r="I72" s="61">
        <f t="shared" si="165"/>
        <v>0</v>
      </c>
      <c r="J72" s="61">
        <f t="shared" si="165"/>
        <v>12716</v>
      </c>
      <c r="K72" s="61">
        <f t="shared" si="165"/>
        <v>0</v>
      </c>
      <c r="L72" s="61">
        <f t="shared" si="165"/>
        <v>6000</v>
      </c>
      <c r="M72" s="61">
        <f t="shared" si="165"/>
        <v>0</v>
      </c>
      <c r="N72" s="508">
        <f t="shared" si="165"/>
        <v>0</v>
      </c>
      <c r="O72" s="61">
        <f t="shared" si="165"/>
        <v>0</v>
      </c>
      <c r="P72" s="61">
        <f t="shared" si="165"/>
        <v>0</v>
      </c>
      <c r="Q72" s="61">
        <f t="shared" si="165"/>
        <v>0</v>
      </c>
      <c r="R72" s="61">
        <f t="shared" si="165"/>
        <v>0</v>
      </c>
      <c r="S72" s="61">
        <f t="shared" si="165"/>
        <v>0</v>
      </c>
      <c r="T72" s="61">
        <f t="shared" si="165"/>
        <v>0</v>
      </c>
      <c r="U72" s="375">
        <f t="shared" si="165"/>
        <v>0</v>
      </c>
      <c r="V72" s="375">
        <f t="shared" si="165"/>
        <v>0</v>
      </c>
      <c r="W72" s="375">
        <f t="shared" si="165"/>
        <v>0</v>
      </c>
      <c r="X72" s="375">
        <f t="shared" si="165"/>
        <v>0</v>
      </c>
      <c r="Y72" s="375">
        <f t="shared" si="165"/>
        <v>0</v>
      </c>
      <c r="Z72" s="375">
        <f t="shared" si="165"/>
        <v>0</v>
      </c>
      <c r="AA72" s="375">
        <f t="shared" ref="AA72:AD72" si="166">SUM(AA73:AA76)</f>
        <v>0</v>
      </c>
      <c r="AB72" s="375">
        <f t="shared" si="166"/>
        <v>0</v>
      </c>
      <c r="AC72" s="375">
        <f t="shared" si="166"/>
        <v>0</v>
      </c>
      <c r="AD72" s="375">
        <f t="shared" si="166"/>
        <v>0</v>
      </c>
      <c r="AE72" s="375">
        <f t="shared" si="165"/>
        <v>0</v>
      </c>
      <c r="AF72" s="329">
        <f>SUM(AF73:AF76)</f>
        <v>0</v>
      </c>
      <c r="AG72" s="329">
        <f t="shared" si="165"/>
        <v>18716</v>
      </c>
    </row>
    <row r="73" spans="1:33" s="182" customFormat="1" ht="48" x14ac:dyDescent="0.2">
      <c r="A73" s="415"/>
      <c r="B73" s="617" t="s">
        <v>714</v>
      </c>
      <c r="C73" s="618"/>
      <c r="D73" s="60" t="s">
        <v>715</v>
      </c>
      <c r="E73" s="422"/>
      <c r="F73" s="61">
        <f t="shared" ref="F73:F76" si="167">G73+E73</f>
        <v>0</v>
      </c>
      <c r="G73" s="61">
        <f t="shared" ref="G73:G76" si="168">SUM(H73:S73)</f>
        <v>0</v>
      </c>
      <c r="H73" s="61"/>
      <c r="I73" s="61"/>
      <c r="J73" s="61"/>
      <c r="K73" s="61"/>
      <c r="L73" s="61"/>
      <c r="M73" s="61"/>
      <c r="N73" s="508"/>
      <c r="O73" s="61"/>
      <c r="P73" s="422"/>
      <c r="Q73" s="422"/>
      <c r="R73" s="422"/>
      <c r="S73" s="422"/>
      <c r="T73" s="422"/>
      <c r="U73" s="375">
        <f t="shared" ref="U73:U76" si="169">V73+T73</f>
        <v>0</v>
      </c>
      <c r="V73" s="375">
        <f>SUM(W73:AE73)</f>
        <v>0</v>
      </c>
      <c r="W73" s="375"/>
      <c r="X73" s="375"/>
      <c r="Y73" s="375"/>
      <c r="Z73" s="375"/>
      <c r="AA73" s="375"/>
      <c r="AB73" s="375"/>
      <c r="AC73" s="375"/>
      <c r="AD73" s="375"/>
      <c r="AE73" s="423"/>
      <c r="AF73" s="329">
        <f t="shared" ref="AF73:AG76" si="170">E73+T73</f>
        <v>0</v>
      </c>
      <c r="AG73" s="329">
        <f t="shared" si="170"/>
        <v>0</v>
      </c>
    </row>
    <row r="74" spans="1:33" s="182" customFormat="1" ht="24" x14ac:dyDescent="0.2">
      <c r="A74" s="415"/>
      <c r="B74" s="617" t="s">
        <v>720</v>
      </c>
      <c r="C74" s="618"/>
      <c r="D74" s="60" t="s">
        <v>723</v>
      </c>
      <c r="E74" s="422"/>
      <c r="F74" s="61">
        <f t="shared" si="167"/>
        <v>6000</v>
      </c>
      <c r="G74" s="61">
        <f t="shared" si="168"/>
        <v>6000</v>
      </c>
      <c r="H74" s="61"/>
      <c r="I74" s="61"/>
      <c r="J74" s="61"/>
      <c r="K74" s="61"/>
      <c r="L74" s="61">
        <v>6000</v>
      </c>
      <c r="M74" s="61"/>
      <c r="N74" s="508"/>
      <c r="O74" s="61"/>
      <c r="P74" s="422"/>
      <c r="Q74" s="422"/>
      <c r="R74" s="422"/>
      <c r="S74" s="422"/>
      <c r="T74" s="422"/>
      <c r="U74" s="375">
        <f t="shared" si="169"/>
        <v>0</v>
      </c>
      <c r="V74" s="375">
        <f>SUM(W74:AE74)</f>
        <v>0</v>
      </c>
      <c r="W74" s="375"/>
      <c r="X74" s="375"/>
      <c r="Y74" s="375"/>
      <c r="Z74" s="375"/>
      <c r="AA74" s="375"/>
      <c r="AB74" s="375"/>
      <c r="AC74" s="375"/>
      <c r="AD74" s="375"/>
      <c r="AE74" s="423"/>
      <c r="AF74" s="329">
        <f t="shared" si="170"/>
        <v>0</v>
      </c>
      <c r="AG74" s="329">
        <f t="shared" si="170"/>
        <v>6000</v>
      </c>
    </row>
    <row r="75" spans="1:33" s="182" customFormat="1" ht="53.25" customHeight="1" x14ac:dyDescent="0.2">
      <c r="A75" s="415"/>
      <c r="B75" s="617" t="s">
        <v>721</v>
      </c>
      <c r="C75" s="618"/>
      <c r="D75" s="60" t="s">
        <v>724</v>
      </c>
      <c r="E75" s="422"/>
      <c r="F75" s="61">
        <f t="shared" si="167"/>
        <v>0</v>
      </c>
      <c r="G75" s="61">
        <f t="shared" si="168"/>
        <v>0</v>
      </c>
      <c r="H75" s="61"/>
      <c r="I75" s="61"/>
      <c r="J75" s="61"/>
      <c r="K75" s="61"/>
      <c r="L75" s="61"/>
      <c r="M75" s="61"/>
      <c r="N75" s="508"/>
      <c r="O75" s="61"/>
      <c r="P75" s="422"/>
      <c r="Q75" s="422"/>
      <c r="R75" s="422"/>
      <c r="S75" s="422"/>
      <c r="T75" s="422"/>
      <c r="U75" s="375">
        <f t="shared" si="169"/>
        <v>0</v>
      </c>
      <c r="V75" s="375">
        <f>SUM(W75:AE75)</f>
        <v>0</v>
      </c>
      <c r="W75" s="375"/>
      <c r="X75" s="375"/>
      <c r="Y75" s="375"/>
      <c r="Z75" s="375"/>
      <c r="AA75" s="375"/>
      <c r="AB75" s="375"/>
      <c r="AC75" s="375"/>
      <c r="AD75" s="375"/>
      <c r="AE75" s="423"/>
      <c r="AF75" s="329">
        <f t="shared" si="170"/>
        <v>0</v>
      </c>
      <c r="AG75" s="329">
        <f t="shared" si="170"/>
        <v>0</v>
      </c>
    </row>
    <row r="76" spans="1:33" s="182" customFormat="1" ht="24" x14ac:dyDescent="0.2">
      <c r="A76" s="415"/>
      <c r="B76" s="617" t="s">
        <v>722</v>
      </c>
      <c r="C76" s="618"/>
      <c r="D76" s="60" t="s">
        <v>725</v>
      </c>
      <c r="E76" s="422"/>
      <c r="F76" s="61">
        <f t="shared" si="167"/>
        <v>12716</v>
      </c>
      <c r="G76" s="61">
        <f t="shared" si="168"/>
        <v>12716</v>
      </c>
      <c r="H76" s="61"/>
      <c r="I76" s="61"/>
      <c r="J76" s="61">
        <v>12716</v>
      </c>
      <c r="K76" s="61"/>
      <c r="L76" s="61"/>
      <c r="M76" s="61"/>
      <c r="N76" s="508"/>
      <c r="O76" s="61"/>
      <c r="P76" s="422"/>
      <c r="Q76" s="422"/>
      <c r="R76" s="422"/>
      <c r="S76" s="422"/>
      <c r="T76" s="422"/>
      <c r="U76" s="375">
        <f t="shared" si="169"/>
        <v>0</v>
      </c>
      <c r="V76" s="375">
        <f>SUM(W76:AE76)</f>
        <v>0</v>
      </c>
      <c r="W76" s="375"/>
      <c r="X76" s="375"/>
      <c r="Y76" s="375"/>
      <c r="Z76" s="375"/>
      <c r="AA76" s="375"/>
      <c r="AB76" s="375"/>
      <c r="AC76" s="375"/>
      <c r="AD76" s="375"/>
      <c r="AE76" s="423"/>
      <c r="AF76" s="329">
        <f t="shared" si="170"/>
        <v>0</v>
      </c>
      <c r="AG76" s="329">
        <f t="shared" si="170"/>
        <v>12716</v>
      </c>
    </row>
    <row r="77" spans="1:33" s="181" customFormat="1" ht="24" x14ac:dyDescent="0.2">
      <c r="A77" s="45"/>
      <c r="B77" s="593" t="s">
        <v>94</v>
      </c>
      <c r="C77" s="594"/>
      <c r="D77" s="46" t="s">
        <v>373</v>
      </c>
      <c r="E77" s="58">
        <f>SUM(E78,E82,E84,E87)</f>
        <v>1633035</v>
      </c>
      <c r="F77" s="58">
        <f t="shared" ref="F77:S77" si="171">SUM(F78,F82,F84,F87)</f>
        <v>1671595</v>
      </c>
      <c r="G77" s="58">
        <f t="shared" si="171"/>
        <v>38560</v>
      </c>
      <c r="H77" s="58">
        <f t="shared" si="171"/>
        <v>1176</v>
      </c>
      <c r="I77" s="58">
        <f t="shared" si="171"/>
        <v>17190</v>
      </c>
      <c r="J77" s="58">
        <f t="shared" si="171"/>
        <v>7044</v>
      </c>
      <c r="K77" s="58">
        <f t="shared" si="171"/>
        <v>0</v>
      </c>
      <c r="L77" s="58">
        <f t="shared" si="171"/>
        <v>12650</v>
      </c>
      <c r="M77" s="58">
        <f t="shared" si="171"/>
        <v>0</v>
      </c>
      <c r="N77" s="507">
        <f t="shared" si="171"/>
        <v>500</v>
      </c>
      <c r="O77" s="58">
        <f t="shared" si="171"/>
        <v>0</v>
      </c>
      <c r="P77" s="58">
        <f t="shared" si="171"/>
        <v>0</v>
      </c>
      <c r="Q77" s="58">
        <f t="shared" si="171"/>
        <v>0</v>
      </c>
      <c r="R77" s="58">
        <f t="shared" si="171"/>
        <v>0</v>
      </c>
      <c r="S77" s="58">
        <f t="shared" si="171"/>
        <v>0</v>
      </c>
      <c r="T77" s="58">
        <f t="shared" ref="T77:AF77" si="172">SUM(T78,T82,T84,T87)</f>
        <v>-1741</v>
      </c>
      <c r="U77" s="374">
        <f t="shared" si="172"/>
        <v>-2091</v>
      </c>
      <c r="V77" s="374">
        <f t="shared" si="172"/>
        <v>-350</v>
      </c>
      <c r="W77" s="374">
        <f t="shared" si="172"/>
        <v>0</v>
      </c>
      <c r="X77" s="374">
        <f t="shared" si="172"/>
        <v>0</v>
      </c>
      <c r="Y77" s="374">
        <f t="shared" si="172"/>
        <v>-350</v>
      </c>
      <c r="Z77" s="374">
        <f t="shared" si="172"/>
        <v>0</v>
      </c>
      <c r="AA77" s="374">
        <f t="shared" ref="AA77:AD77" si="173">SUM(AA78,AA82,AA84,AA87)</f>
        <v>0</v>
      </c>
      <c r="AB77" s="374">
        <f t="shared" si="173"/>
        <v>0</v>
      </c>
      <c r="AC77" s="374">
        <f t="shared" si="173"/>
        <v>0</v>
      </c>
      <c r="AD77" s="374">
        <f t="shared" si="173"/>
        <v>0</v>
      </c>
      <c r="AE77" s="374">
        <f t="shared" si="172"/>
        <v>0</v>
      </c>
      <c r="AF77" s="328">
        <f t="shared" si="172"/>
        <v>1631294</v>
      </c>
      <c r="AG77" s="328">
        <f t="shared" ref="AG77" si="174">SUM(AG78,AG82,AG84,AG87)</f>
        <v>1669504</v>
      </c>
    </row>
    <row r="78" spans="1:33" x14ac:dyDescent="0.2">
      <c r="A78" s="48"/>
      <c r="B78" s="595" t="s">
        <v>95</v>
      </c>
      <c r="C78" s="596"/>
      <c r="D78" s="49" t="s">
        <v>96</v>
      </c>
      <c r="E78" s="50">
        <f t="shared" ref="E78:F78" si="175">SUM(E79:E81)</f>
        <v>159821</v>
      </c>
      <c r="F78" s="50">
        <f t="shared" si="175"/>
        <v>175302</v>
      </c>
      <c r="G78" s="50">
        <f t="shared" ref="G78:S78" si="176">SUM(G79:G81)</f>
        <v>15481</v>
      </c>
      <c r="H78" s="50">
        <f t="shared" si="176"/>
        <v>0</v>
      </c>
      <c r="I78" s="50">
        <f t="shared" si="176"/>
        <v>0</v>
      </c>
      <c r="J78" s="50">
        <f t="shared" si="176"/>
        <v>13281</v>
      </c>
      <c r="K78" s="50">
        <f t="shared" si="176"/>
        <v>0</v>
      </c>
      <c r="L78" s="50">
        <f t="shared" si="176"/>
        <v>2200</v>
      </c>
      <c r="M78" s="50">
        <f t="shared" si="176"/>
        <v>0</v>
      </c>
      <c r="N78" s="503">
        <f t="shared" si="176"/>
        <v>0</v>
      </c>
      <c r="O78" s="50">
        <f t="shared" si="176"/>
        <v>0</v>
      </c>
      <c r="P78" s="50">
        <f t="shared" si="176"/>
        <v>0</v>
      </c>
      <c r="Q78" s="50">
        <f t="shared" si="176"/>
        <v>0</v>
      </c>
      <c r="R78" s="50">
        <f t="shared" si="176"/>
        <v>0</v>
      </c>
      <c r="S78" s="50">
        <f t="shared" si="176"/>
        <v>0</v>
      </c>
      <c r="T78" s="50">
        <f t="shared" ref="T78:AE78" si="177">SUM(T79:T81)</f>
        <v>-1741</v>
      </c>
      <c r="U78" s="370">
        <f t="shared" si="177"/>
        <v>-1741</v>
      </c>
      <c r="V78" s="370">
        <f t="shared" si="177"/>
        <v>0</v>
      </c>
      <c r="W78" s="370">
        <f t="shared" si="177"/>
        <v>0</v>
      </c>
      <c r="X78" s="370">
        <f t="shared" si="177"/>
        <v>0</v>
      </c>
      <c r="Y78" s="370">
        <f t="shared" si="177"/>
        <v>0</v>
      </c>
      <c r="Z78" s="370">
        <f t="shared" si="177"/>
        <v>0</v>
      </c>
      <c r="AA78" s="370">
        <f t="shared" ref="AA78:AD78" si="178">SUM(AA79:AA81)</f>
        <v>0</v>
      </c>
      <c r="AB78" s="370">
        <f t="shared" si="178"/>
        <v>0</v>
      </c>
      <c r="AC78" s="370">
        <f t="shared" si="178"/>
        <v>0</v>
      </c>
      <c r="AD78" s="370">
        <f t="shared" si="178"/>
        <v>0</v>
      </c>
      <c r="AE78" s="370">
        <f t="shared" si="177"/>
        <v>0</v>
      </c>
      <c r="AF78" s="324">
        <f t="shared" ref="AF78:AG78" si="179">SUM(AF79:AF81)</f>
        <v>158080</v>
      </c>
      <c r="AG78" s="324">
        <f t="shared" si="179"/>
        <v>173561</v>
      </c>
    </row>
    <row r="79" spans="1:33" x14ac:dyDescent="0.2">
      <c r="A79" s="51"/>
      <c r="B79" s="617" t="s">
        <v>97</v>
      </c>
      <c r="C79" s="618"/>
      <c r="D79" s="55" t="s">
        <v>198</v>
      </c>
      <c r="E79" s="53">
        <v>95549</v>
      </c>
      <c r="F79" s="53">
        <f t="shared" ref="F79:F81" si="180">G79+E79</f>
        <v>95549</v>
      </c>
      <c r="G79" s="53">
        <f t="shared" ref="G79:G81" si="181">SUM(H79:S79)</f>
        <v>0</v>
      </c>
      <c r="H79" s="53"/>
      <c r="I79" s="53"/>
      <c r="J79" s="53"/>
      <c r="K79" s="53"/>
      <c r="L79" s="53"/>
      <c r="M79" s="53"/>
      <c r="N79" s="504"/>
      <c r="O79" s="53"/>
      <c r="P79" s="53"/>
      <c r="Q79" s="53"/>
      <c r="R79" s="53"/>
      <c r="S79" s="53"/>
      <c r="T79" s="103"/>
      <c r="U79" s="376">
        <f t="shared" ref="U79:U81" si="182">V79+T79</f>
        <v>0</v>
      </c>
      <c r="V79" s="376">
        <f>SUM(W79:AE79)</f>
        <v>0</v>
      </c>
      <c r="W79" s="376"/>
      <c r="X79" s="376"/>
      <c r="Y79" s="376"/>
      <c r="Z79" s="376"/>
      <c r="AA79" s="376"/>
      <c r="AB79" s="376"/>
      <c r="AC79" s="376"/>
      <c r="AD79" s="376"/>
      <c r="AE79" s="376"/>
      <c r="AF79" s="331">
        <f t="shared" ref="AF79:AG81" si="183">E79+T79</f>
        <v>95549</v>
      </c>
      <c r="AG79" s="331">
        <f t="shared" si="183"/>
        <v>95549</v>
      </c>
    </row>
    <row r="80" spans="1:33" x14ac:dyDescent="0.2">
      <c r="A80" s="73"/>
      <c r="B80" s="606" t="s">
        <v>98</v>
      </c>
      <c r="C80" s="607"/>
      <c r="D80" s="74" t="s">
        <v>99</v>
      </c>
      <c r="E80" s="53">
        <v>46342</v>
      </c>
      <c r="F80" s="53">
        <f t="shared" si="180"/>
        <v>61823</v>
      </c>
      <c r="G80" s="53">
        <f t="shared" si="181"/>
        <v>15481</v>
      </c>
      <c r="H80" s="53"/>
      <c r="I80" s="53"/>
      <c r="J80" s="53">
        <v>13281</v>
      </c>
      <c r="K80" s="53"/>
      <c r="L80" s="53">
        <v>2200</v>
      </c>
      <c r="M80" s="53"/>
      <c r="N80" s="504"/>
      <c r="O80" s="53"/>
      <c r="P80" s="53"/>
      <c r="Q80" s="53"/>
      <c r="R80" s="53"/>
      <c r="S80" s="53"/>
      <c r="T80" s="53">
        <v>-1741</v>
      </c>
      <c r="U80" s="371">
        <f t="shared" si="182"/>
        <v>-1741</v>
      </c>
      <c r="V80" s="371">
        <f>SUM(W80:AE80)</f>
        <v>0</v>
      </c>
      <c r="W80" s="371"/>
      <c r="X80" s="371"/>
      <c r="Y80" s="371"/>
      <c r="Z80" s="371"/>
      <c r="AA80" s="371"/>
      <c r="AB80" s="371"/>
      <c r="AC80" s="371"/>
      <c r="AD80" s="371"/>
      <c r="AE80" s="371"/>
      <c r="AF80" s="325">
        <f t="shared" si="183"/>
        <v>44601</v>
      </c>
      <c r="AG80" s="325">
        <f t="shared" si="183"/>
        <v>60082</v>
      </c>
    </row>
    <row r="81" spans="1:33" x14ac:dyDescent="0.2">
      <c r="A81" s="54"/>
      <c r="B81" s="591" t="s">
        <v>100</v>
      </c>
      <c r="C81" s="592"/>
      <c r="D81" s="55" t="s">
        <v>199</v>
      </c>
      <c r="E81" s="53">
        <v>17930</v>
      </c>
      <c r="F81" s="65">
        <f t="shared" si="180"/>
        <v>17930</v>
      </c>
      <c r="G81" s="65">
        <f t="shared" si="181"/>
        <v>0</v>
      </c>
      <c r="H81" s="65"/>
      <c r="I81" s="65"/>
      <c r="J81" s="65"/>
      <c r="K81" s="65"/>
      <c r="L81" s="65"/>
      <c r="M81" s="65"/>
      <c r="N81" s="505"/>
      <c r="O81" s="65"/>
      <c r="P81" s="65"/>
      <c r="Q81" s="65"/>
      <c r="R81" s="65"/>
      <c r="S81" s="65"/>
      <c r="T81" s="65"/>
      <c r="U81" s="372">
        <f t="shared" si="182"/>
        <v>0</v>
      </c>
      <c r="V81" s="372">
        <f>SUM(W81:AE81)</f>
        <v>0</v>
      </c>
      <c r="W81" s="372"/>
      <c r="X81" s="372"/>
      <c r="Y81" s="372"/>
      <c r="Z81" s="372"/>
      <c r="AA81" s="372"/>
      <c r="AB81" s="372"/>
      <c r="AC81" s="372"/>
      <c r="AD81" s="372"/>
      <c r="AE81" s="372"/>
      <c r="AF81" s="326">
        <f t="shared" si="183"/>
        <v>17930</v>
      </c>
      <c r="AG81" s="326">
        <f t="shared" si="183"/>
        <v>17930</v>
      </c>
    </row>
    <row r="82" spans="1:33" ht="24" x14ac:dyDescent="0.2">
      <c r="A82" s="59"/>
      <c r="B82" s="595" t="s">
        <v>101</v>
      </c>
      <c r="C82" s="596"/>
      <c r="D82" s="60" t="s">
        <v>102</v>
      </c>
      <c r="E82" s="61">
        <f t="shared" ref="E82:AG82" si="184">SUM(E83:E83)</f>
        <v>72477</v>
      </c>
      <c r="F82" s="61">
        <f t="shared" si="184"/>
        <v>72477</v>
      </c>
      <c r="G82" s="61">
        <f t="shared" si="184"/>
        <v>0</v>
      </c>
      <c r="H82" s="61">
        <f t="shared" si="184"/>
        <v>0</v>
      </c>
      <c r="I82" s="61">
        <f t="shared" si="184"/>
        <v>0</v>
      </c>
      <c r="J82" s="61">
        <f t="shared" si="184"/>
        <v>0</v>
      </c>
      <c r="K82" s="61">
        <f t="shared" si="184"/>
        <v>0</v>
      </c>
      <c r="L82" s="61">
        <f t="shared" si="184"/>
        <v>0</v>
      </c>
      <c r="M82" s="61">
        <f t="shared" si="184"/>
        <v>0</v>
      </c>
      <c r="N82" s="508">
        <f t="shared" si="184"/>
        <v>0</v>
      </c>
      <c r="O82" s="61">
        <f t="shared" si="184"/>
        <v>0</v>
      </c>
      <c r="P82" s="61">
        <f t="shared" si="184"/>
        <v>0</v>
      </c>
      <c r="Q82" s="61">
        <f t="shared" si="184"/>
        <v>0</v>
      </c>
      <c r="R82" s="61">
        <f t="shared" si="184"/>
        <v>0</v>
      </c>
      <c r="S82" s="61">
        <f t="shared" si="184"/>
        <v>0</v>
      </c>
      <c r="T82" s="61">
        <f t="shared" si="184"/>
        <v>0</v>
      </c>
      <c r="U82" s="375">
        <f t="shared" si="184"/>
        <v>0</v>
      </c>
      <c r="V82" s="375">
        <f t="shared" si="184"/>
        <v>0</v>
      </c>
      <c r="W82" s="375">
        <f t="shared" si="184"/>
        <v>0</v>
      </c>
      <c r="X82" s="375">
        <f t="shared" si="184"/>
        <v>0</v>
      </c>
      <c r="Y82" s="375">
        <f t="shared" si="184"/>
        <v>0</v>
      </c>
      <c r="Z82" s="375">
        <f t="shared" si="184"/>
        <v>0</v>
      </c>
      <c r="AA82" s="375">
        <f t="shared" si="184"/>
        <v>0</v>
      </c>
      <c r="AB82" s="375">
        <f t="shared" si="184"/>
        <v>0</v>
      </c>
      <c r="AC82" s="375">
        <f t="shared" si="184"/>
        <v>0</v>
      </c>
      <c r="AD82" s="375">
        <f t="shared" si="184"/>
        <v>0</v>
      </c>
      <c r="AE82" s="375">
        <f t="shared" si="184"/>
        <v>0</v>
      </c>
      <c r="AF82" s="329">
        <f t="shared" si="184"/>
        <v>72477</v>
      </c>
      <c r="AG82" s="329">
        <f t="shared" si="184"/>
        <v>72477</v>
      </c>
    </row>
    <row r="83" spans="1:33" ht="24" x14ac:dyDescent="0.2">
      <c r="A83" s="63"/>
      <c r="B83" s="622" t="s">
        <v>103</v>
      </c>
      <c r="C83" s="623"/>
      <c r="D83" s="74" t="s">
        <v>200</v>
      </c>
      <c r="E83" s="53">
        <v>72477</v>
      </c>
      <c r="F83" s="65">
        <f>G83+E83</f>
        <v>72477</v>
      </c>
      <c r="G83" s="65">
        <f>SUM(H83:S83)</f>
        <v>0</v>
      </c>
      <c r="H83" s="65"/>
      <c r="I83" s="65"/>
      <c r="J83" s="65"/>
      <c r="K83" s="65"/>
      <c r="L83" s="65"/>
      <c r="M83" s="65"/>
      <c r="N83" s="505"/>
      <c r="O83" s="65"/>
      <c r="P83" s="65"/>
      <c r="Q83" s="65"/>
      <c r="R83" s="65"/>
      <c r="S83" s="65"/>
      <c r="T83" s="65"/>
      <c r="U83" s="372">
        <f t="shared" ref="U83" si="185">V83+T83</f>
        <v>0</v>
      </c>
      <c r="V83" s="372">
        <f>SUM(W83:AE83)</f>
        <v>0</v>
      </c>
      <c r="W83" s="372"/>
      <c r="X83" s="372"/>
      <c r="Y83" s="372"/>
      <c r="Z83" s="372"/>
      <c r="AA83" s="372"/>
      <c r="AB83" s="372"/>
      <c r="AC83" s="372"/>
      <c r="AD83" s="372"/>
      <c r="AE83" s="372"/>
      <c r="AF83" s="326">
        <f>E83+T83</f>
        <v>72477</v>
      </c>
      <c r="AG83" s="326">
        <f>F83+U83</f>
        <v>72477</v>
      </c>
    </row>
    <row r="84" spans="1:33" x14ac:dyDescent="0.2">
      <c r="A84" s="59"/>
      <c r="B84" s="595" t="s">
        <v>104</v>
      </c>
      <c r="C84" s="596"/>
      <c r="D84" s="60" t="s">
        <v>202</v>
      </c>
      <c r="E84" s="61">
        <f t="shared" ref="E84:AF84" si="186">SUM(E85:E86)</f>
        <v>232274</v>
      </c>
      <c r="F84" s="61">
        <f t="shared" ref="F84:S84" si="187">SUM(F85:F86)</f>
        <v>243527</v>
      </c>
      <c r="G84" s="61">
        <f t="shared" si="187"/>
        <v>11253</v>
      </c>
      <c r="H84" s="61">
        <f t="shared" si="187"/>
        <v>0</v>
      </c>
      <c r="I84" s="61">
        <f t="shared" si="187"/>
        <v>0</v>
      </c>
      <c r="J84" s="61">
        <f t="shared" si="187"/>
        <v>1003</v>
      </c>
      <c r="K84" s="61">
        <f t="shared" si="187"/>
        <v>0</v>
      </c>
      <c r="L84" s="61">
        <f t="shared" si="187"/>
        <v>10250</v>
      </c>
      <c r="M84" s="61">
        <f t="shared" si="187"/>
        <v>0</v>
      </c>
      <c r="N84" s="508">
        <f t="shared" si="187"/>
        <v>0</v>
      </c>
      <c r="O84" s="61">
        <f t="shared" si="187"/>
        <v>0</v>
      </c>
      <c r="P84" s="61">
        <f t="shared" si="187"/>
        <v>0</v>
      </c>
      <c r="Q84" s="61">
        <f t="shared" si="187"/>
        <v>0</v>
      </c>
      <c r="R84" s="61">
        <f t="shared" si="187"/>
        <v>0</v>
      </c>
      <c r="S84" s="61">
        <f t="shared" si="187"/>
        <v>0</v>
      </c>
      <c r="T84" s="61">
        <f t="shared" si="186"/>
        <v>0</v>
      </c>
      <c r="U84" s="375">
        <f t="shared" si="186"/>
        <v>0</v>
      </c>
      <c r="V84" s="375">
        <f t="shared" si="186"/>
        <v>0</v>
      </c>
      <c r="W84" s="375">
        <f t="shared" si="186"/>
        <v>0</v>
      </c>
      <c r="X84" s="375">
        <f t="shared" si="186"/>
        <v>0</v>
      </c>
      <c r="Y84" s="375">
        <f t="shared" si="186"/>
        <v>0</v>
      </c>
      <c r="Z84" s="375">
        <f t="shared" si="186"/>
        <v>0</v>
      </c>
      <c r="AA84" s="375">
        <f t="shared" ref="AA84:AD84" si="188">SUM(AA85:AA86)</f>
        <v>0</v>
      </c>
      <c r="AB84" s="375">
        <f t="shared" si="188"/>
        <v>0</v>
      </c>
      <c r="AC84" s="375">
        <f t="shared" si="188"/>
        <v>0</v>
      </c>
      <c r="AD84" s="375">
        <f t="shared" si="188"/>
        <v>0</v>
      </c>
      <c r="AE84" s="375">
        <f t="shared" si="186"/>
        <v>0</v>
      </c>
      <c r="AF84" s="329">
        <f t="shared" si="186"/>
        <v>232274</v>
      </c>
      <c r="AG84" s="329">
        <f t="shared" ref="AG84" si="189">SUM(AG85:AG86)</f>
        <v>243527</v>
      </c>
    </row>
    <row r="85" spans="1:33" x14ac:dyDescent="0.2">
      <c r="A85" s="51"/>
      <c r="B85" s="617" t="s">
        <v>105</v>
      </c>
      <c r="C85" s="618"/>
      <c r="D85" s="52" t="s">
        <v>160</v>
      </c>
      <c r="E85" s="53">
        <v>229518</v>
      </c>
      <c r="F85" s="53">
        <f t="shared" ref="F85:F86" si="190">G85+E85</f>
        <v>240771</v>
      </c>
      <c r="G85" s="53">
        <f t="shared" ref="G85:G86" si="191">SUM(H85:S85)</f>
        <v>11253</v>
      </c>
      <c r="H85" s="53"/>
      <c r="I85" s="53"/>
      <c r="J85" s="53">
        <f>462+541</f>
        <v>1003</v>
      </c>
      <c r="K85" s="53"/>
      <c r="L85" s="53">
        <f>10000+250</f>
        <v>10250</v>
      </c>
      <c r="M85" s="53"/>
      <c r="N85" s="504"/>
      <c r="O85" s="53"/>
      <c r="P85" s="53"/>
      <c r="Q85" s="53"/>
      <c r="R85" s="53"/>
      <c r="S85" s="53"/>
      <c r="T85" s="53"/>
      <c r="U85" s="371">
        <f t="shared" ref="U85:U86" si="192">V85+T85</f>
        <v>0</v>
      </c>
      <c r="V85" s="371">
        <f>SUM(W85:AE85)</f>
        <v>0</v>
      </c>
      <c r="W85" s="371"/>
      <c r="X85" s="371"/>
      <c r="Y85" s="371"/>
      <c r="Z85" s="371"/>
      <c r="AA85" s="371"/>
      <c r="AB85" s="371"/>
      <c r="AC85" s="371"/>
      <c r="AD85" s="371"/>
      <c r="AE85" s="371"/>
      <c r="AF85" s="325">
        <f>E85+T85</f>
        <v>229518</v>
      </c>
      <c r="AG85" s="325">
        <f>F85+U85</f>
        <v>240771</v>
      </c>
    </row>
    <row r="86" spans="1:33" x14ac:dyDescent="0.2">
      <c r="A86" s="73"/>
      <c r="B86" s="606" t="s">
        <v>106</v>
      </c>
      <c r="C86" s="607"/>
      <c r="D86" s="74" t="s">
        <v>201</v>
      </c>
      <c r="E86" s="53">
        <v>2756</v>
      </c>
      <c r="F86" s="53">
        <f t="shared" si="190"/>
        <v>2756</v>
      </c>
      <c r="G86" s="53">
        <f t="shared" si="191"/>
        <v>0</v>
      </c>
      <c r="H86" s="53"/>
      <c r="I86" s="53"/>
      <c r="J86" s="53"/>
      <c r="K86" s="53"/>
      <c r="L86" s="53"/>
      <c r="M86" s="53"/>
      <c r="N86" s="504"/>
      <c r="O86" s="53"/>
      <c r="P86" s="53"/>
      <c r="Q86" s="53"/>
      <c r="R86" s="53"/>
      <c r="S86" s="53"/>
      <c r="T86" s="53"/>
      <c r="U86" s="371">
        <f t="shared" si="192"/>
        <v>0</v>
      </c>
      <c r="V86" s="371">
        <f>SUM(W86:AE86)</f>
        <v>0</v>
      </c>
      <c r="W86" s="371"/>
      <c r="X86" s="371"/>
      <c r="Y86" s="371"/>
      <c r="Z86" s="371"/>
      <c r="AA86" s="371"/>
      <c r="AB86" s="371"/>
      <c r="AC86" s="371"/>
      <c r="AD86" s="371"/>
      <c r="AE86" s="371"/>
      <c r="AF86" s="325">
        <f>E86+T86</f>
        <v>2756</v>
      </c>
      <c r="AG86" s="325">
        <f>F86+U86</f>
        <v>2756</v>
      </c>
    </row>
    <row r="87" spans="1:33" ht="24" x14ac:dyDescent="0.2">
      <c r="A87" s="59"/>
      <c r="B87" s="595" t="s">
        <v>107</v>
      </c>
      <c r="C87" s="596"/>
      <c r="D87" s="60" t="s">
        <v>374</v>
      </c>
      <c r="E87" s="61">
        <f>SUM(E88:E90)</f>
        <v>1168463</v>
      </c>
      <c r="F87" s="61">
        <f>SUM(F88:F90)</f>
        <v>1180289</v>
      </c>
      <c r="G87" s="61">
        <f t="shared" ref="G87:S87" si="193">SUM(G88:G90)</f>
        <v>11826</v>
      </c>
      <c r="H87" s="61">
        <f t="shared" si="193"/>
        <v>1176</v>
      </c>
      <c r="I87" s="61">
        <f t="shared" si="193"/>
        <v>17190</v>
      </c>
      <c r="J87" s="61">
        <f t="shared" si="193"/>
        <v>-7240</v>
      </c>
      <c r="K87" s="61">
        <f t="shared" si="193"/>
        <v>0</v>
      </c>
      <c r="L87" s="61">
        <f t="shared" si="193"/>
        <v>200</v>
      </c>
      <c r="M87" s="61">
        <f t="shared" si="193"/>
        <v>0</v>
      </c>
      <c r="N87" s="508">
        <f t="shared" si="193"/>
        <v>500</v>
      </c>
      <c r="O87" s="61">
        <f t="shared" si="193"/>
        <v>0</v>
      </c>
      <c r="P87" s="61">
        <f t="shared" si="193"/>
        <v>0</v>
      </c>
      <c r="Q87" s="61">
        <f t="shared" si="193"/>
        <v>0</v>
      </c>
      <c r="R87" s="61">
        <f t="shared" si="193"/>
        <v>0</v>
      </c>
      <c r="S87" s="61">
        <f t="shared" si="193"/>
        <v>0</v>
      </c>
      <c r="T87" s="61">
        <f>SUM(T88:T90)</f>
        <v>0</v>
      </c>
      <c r="U87" s="375">
        <f t="shared" ref="U87" si="194">SUM(U88:U90)</f>
        <v>-350</v>
      </c>
      <c r="V87" s="375">
        <f t="shared" ref="V87" si="195">SUM(V88:V90)</f>
        <v>-350</v>
      </c>
      <c r="W87" s="375">
        <f t="shared" ref="W87" si="196">SUM(W88:W90)</f>
        <v>0</v>
      </c>
      <c r="X87" s="375">
        <f t="shared" ref="X87" si="197">SUM(X88:X90)</f>
        <v>0</v>
      </c>
      <c r="Y87" s="375">
        <f t="shared" ref="Y87" si="198">SUM(Y88:Y90)</f>
        <v>-350</v>
      </c>
      <c r="Z87" s="375">
        <f t="shared" ref="Z87:AA87" si="199">SUM(Z88:Z90)</f>
        <v>0</v>
      </c>
      <c r="AA87" s="375">
        <f t="shared" si="199"/>
        <v>0</v>
      </c>
      <c r="AB87" s="375">
        <f t="shared" ref="AB87:AD87" si="200">SUM(AB88:AB90)</f>
        <v>0</v>
      </c>
      <c r="AC87" s="375">
        <f t="shared" si="200"/>
        <v>0</v>
      </c>
      <c r="AD87" s="375">
        <f t="shared" si="200"/>
        <v>0</v>
      </c>
      <c r="AE87" s="375">
        <f t="shared" ref="AE87" si="201">SUM(AE88:AE90)</f>
        <v>0</v>
      </c>
      <c r="AF87" s="329">
        <f>SUM(AF88:AF90)</f>
        <v>1168463</v>
      </c>
      <c r="AG87" s="329">
        <f>SUM(AG88:AG90)</f>
        <v>1179939</v>
      </c>
    </row>
    <row r="88" spans="1:33" x14ac:dyDescent="0.2">
      <c r="A88" s="51"/>
      <c r="B88" s="617" t="s">
        <v>108</v>
      </c>
      <c r="C88" s="618"/>
      <c r="D88" s="55" t="s">
        <v>203</v>
      </c>
      <c r="E88" s="53">
        <v>536496</v>
      </c>
      <c r="F88" s="53">
        <f t="shared" ref="F88:F90" si="202">G88+E88</f>
        <v>536496</v>
      </c>
      <c r="G88" s="53">
        <f t="shared" ref="G88:G90" si="203">SUM(H88:S88)</f>
        <v>0</v>
      </c>
      <c r="H88" s="53"/>
      <c r="I88" s="53"/>
      <c r="J88" s="53"/>
      <c r="K88" s="53"/>
      <c r="L88" s="53"/>
      <c r="M88" s="53"/>
      <c r="N88" s="504"/>
      <c r="O88" s="53"/>
      <c r="P88" s="53"/>
      <c r="Q88" s="53"/>
      <c r="R88" s="53"/>
      <c r="S88" s="53"/>
      <c r="T88" s="53"/>
      <c r="U88" s="371">
        <f t="shared" ref="U88:U90" si="204">V88+T88</f>
        <v>0</v>
      </c>
      <c r="V88" s="371">
        <f>SUM(W88:AE88)</f>
        <v>0</v>
      </c>
      <c r="W88" s="371"/>
      <c r="X88" s="371"/>
      <c r="Y88" s="371"/>
      <c r="Z88" s="371"/>
      <c r="AA88" s="371"/>
      <c r="AB88" s="371"/>
      <c r="AC88" s="371"/>
      <c r="AD88" s="371"/>
      <c r="AE88" s="371"/>
      <c r="AF88" s="325">
        <f t="shared" ref="AF88:AG91" si="205">E88+T88</f>
        <v>536496</v>
      </c>
      <c r="AG88" s="325">
        <f t="shared" si="205"/>
        <v>536496</v>
      </c>
    </row>
    <row r="89" spans="1:33" x14ac:dyDescent="0.2">
      <c r="A89" s="73"/>
      <c r="B89" s="606" t="s">
        <v>109</v>
      </c>
      <c r="C89" s="607"/>
      <c r="D89" s="55" t="s">
        <v>223</v>
      </c>
      <c r="E89" s="53">
        <v>11920</v>
      </c>
      <c r="F89" s="53">
        <f t="shared" si="202"/>
        <v>14090</v>
      </c>
      <c r="G89" s="53">
        <f t="shared" si="203"/>
        <v>2170</v>
      </c>
      <c r="H89" s="53"/>
      <c r="I89" s="53">
        <v>2170</v>
      </c>
      <c r="J89" s="53"/>
      <c r="K89" s="53"/>
      <c r="L89" s="53"/>
      <c r="M89" s="53"/>
      <c r="N89" s="504"/>
      <c r="O89" s="53"/>
      <c r="P89" s="53"/>
      <c r="Q89" s="53"/>
      <c r="R89" s="53"/>
      <c r="S89" s="53"/>
      <c r="T89" s="53"/>
      <c r="U89" s="371">
        <f t="shared" si="204"/>
        <v>0</v>
      </c>
      <c r="V89" s="371">
        <f>SUM(W89:AE89)</f>
        <v>0</v>
      </c>
      <c r="W89" s="371"/>
      <c r="X89" s="371"/>
      <c r="Y89" s="371"/>
      <c r="Z89" s="371"/>
      <c r="AA89" s="371"/>
      <c r="AB89" s="371"/>
      <c r="AC89" s="371"/>
      <c r="AD89" s="371"/>
      <c r="AE89" s="371"/>
      <c r="AF89" s="325">
        <f t="shared" si="205"/>
        <v>11920</v>
      </c>
      <c r="AG89" s="325">
        <f t="shared" si="205"/>
        <v>14090</v>
      </c>
    </row>
    <row r="90" spans="1:33" x14ac:dyDescent="0.2">
      <c r="A90" s="54"/>
      <c r="B90" s="591" t="s">
        <v>110</v>
      </c>
      <c r="C90" s="592"/>
      <c r="D90" s="55" t="s">
        <v>204</v>
      </c>
      <c r="E90" s="53">
        <v>620047</v>
      </c>
      <c r="F90" s="126">
        <f t="shared" si="202"/>
        <v>629703</v>
      </c>
      <c r="G90" s="126">
        <f t="shared" si="203"/>
        <v>9656</v>
      </c>
      <c r="H90" s="126">
        <v>1176</v>
      </c>
      <c r="I90" s="126">
        <f>15000+20</f>
        <v>15020</v>
      </c>
      <c r="J90" s="126">
        <f>25+4500+1056-13281+460</f>
        <v>-7240</v>
      </c>
      <c r="K90" s="126"/>
      <c r="L90" s="126">
        <f>200</f>
        <v>200</v>
      </c>
      <c r="M90" s="126"/>
      <c r="N90" s="512">
        <v>500</v>
      </c>
      <c r="O90" s="126"/>
      <c r="P90" s="126"/>
      <c r="Q90" s="126"/>
      <c r="R90" s="126"/>
      <c r="S90" s="126"/>
      <c r="T90" s="126"/>
      <c r="U90" s="379">
        <f t="shared" si="204"/>
        <v>-350</v>
      </c>
      <c r="V90" s="379">
        <f>SUM(W90:AE90)</f>
        <v>-350</v>
      </c>
      <c r="W90" s="379"/>
      <c r="X90" s="379"/>
      <c r="Y90" s="379">
        <v>-350</v>
      </c>
      <c r="Z90" s="379"/>
      <c r="AA90" s="379"/>
      <c r="AB90" s="379"/>
      <c r="AC90" s="379"/>
      <c r="AD90" s="379"/>
      <c r="AE90" s="379"/>
      <c r="AF90" s="330">
        <f t="shared" si="205"/>
        <v>620047</v>
      </c>
      <c r="AG90" s="330">
        <f t="shared" si="205"/>
        <v>629353</v>
      </c>
    </row>
    <row r="91" spans="1:33" ht="36" x14ac:dyDescent="0.2">
      <c r="A91" s="59"/>
      <c r="B91" s="593" t="s">
        <v>274</v>
      </c>
      <c r="C91" s="594"/>
      <c r="D91" s="142" t="s">
        <v>375</v>
      </c>
      <c r="E91" s="61">
        <f t="shared" ref="E91:AE91" si="206">SUM(E92,E94)</f>
        <v>81480</v>
      </c>
      <c r="F91" s="65">
        <f t="shared" ref="F91:S91" si="207">SUM(F92,F94)</f>
        <v>94963</v>
      </c>
      <c r="G91" s="65">
        <f t="shared" si="207"/>
        <v>13483</v>
      </c>
      <c r="H91" s="65">
        <f t="shared" si="207"/>
        <v>1600</v>
      </c>
      <c r="I91" s="65">
        <f t="shared" si="207"/>
        <v>-14605</v>
      </c>
      <c r="J91" s="65">
        <f t="shared" si="207"/>
        <v>24033</v>
      </c>
      <c r="K91" s="65">
        <f t="shared" si="207"/>
        <v>0</v>
      </c>
      <c r="L91" s="65">
        <f t="shared" si="207"/>
        <v>1717</v>
      </c>
      <c r="M91" s="65">
        <f t="shared" si="207"/>
        <v>738</v>
      </c>
      <c r="N91" s="505">
        <f t="shared" si="207"/>
        <v>0</v>
      </c>
      <c r="O91" s="65">
        <f t="shared" si="207"/>
        <v>0</v>
      </c>
      <c r="P91" s="65">
        <f t="shared" si="207"/>
        <v>0</v>
      </c>
      <c r="Q91" s="65">
        <f t="shared" si="207"/>
        <v>0</v>
      </c>
      <c r="R91" s="65">
        <f t="shared" si="207"/>
        <v>0</v>
      </c>
      <c r="S91" s="65">
        <f t="shared" si="207"/>
        <v>0</v>
      </c>
      <c r="T91" s="65">
        <f t="shared" si="206"/>
        <v>-28797</v>
      </c>
      <c r="U91" s="372">
        <f t="shared" si="206"/>
        <v>-56449</v>
      </c>
      <c r="V91" s="372">
        <f t="shared" si="206"/>
        <v>-27652</v>
      </c>
      <c r="W91" s="372">
        <f t="shared" si="206"/>
        <v>0</v>
      </c>
      <c r="X91" s="372">
        <f t="shared" si="206"/>
        <v>-835</v>
      </c>
      <c r="Y91" s="372">
        <f t="shared" si="206"/>
        <v>-24415</v>
      </c>
      <c r="Z91" s="372">
        <f t="shared" si="206"/>
        <v>-1664</v>
      </c>
      <c r="AA91" s="372">
        <f t="shared" ref="AA91:AD91" si="208">SUM(AA92,AA94)</f>
        <v>0</v>
      </c>
      <c r="AB91" s="372">
        <f t="shared" si="208"/>
        <v>-738</v>
      </c>
      <c r="AC91" s="372">
        <f t="shared" si="208"/>
        <v>0</v>
      </c>
      <c r="AD91" s="372">
        <f t="shared" si="208"/>
        <v>0</v>
      </c>
      <c r="AE91" s="372">
        <f t="shared" si="206"/>
        <v>0</v>
      </c>
      <c r="AF91" s="326">
        <f t="shared" si="205"/>
        <v>52683</v>
      </c>
      <c r="AG91" s="326">
        <f t="shared" si="205"/>
        <v>38514</v>
      </c>
    </row>
    <row r="92" spans="1:33" s="181" customFormat="1" x14ac:dyDescent="0.2">
      <c r="A92" s="45"/>
      <c r="B92" s="595" t="s">
        <v>111</v>
      </c>
      <c r="C92" s="596"/>
      <c r="D92" s="60" t="s">
        <v>269</v>
      </c>
      <c r="E92" s="123">
        <f t="shared" ref="E92:AG92" si="209">SUM(E93:E93)</f>
        <v>432</v>
      </c>
      <c r="F92" s="123">
        <f t="shared" si="209"/>
        <v>832</v>
      </c>
      <c r="G92" s="123">
        <f t="shared" si="209"/>
        <v>400</v>
      </c>
      <c r="H92" s="123">
        <f t="shared" si="209"/>
        <v>0</v>
      </c>
      <c r="I92" s="123">
        <f t="shared" si="209"/>
        <v>0</v>
      </c>
      <c r="J92" s="123">
        <f t="shared" si="209"/>
        <v>400</v>
      </c>
      <c r="K92" s="123">
        <f t="shared" si="209"/>
        <v>0</v>
      </c>
      <c r="L92" s="123">
        <f t="shared" si="209"/>
        <v>0</v>
      </c>
      <c r="M92" s="123">
        <f t="shared" si="209"/>
        <v>0</v>
      </c>
      <c r="N92" s="513">
        <f t="shared" si="209"/>
        <v>0</v>
      </c>
      <c r="O92" s="123">
        <f t="shared" si="209"/>
        <v>0</v>
      </c>
      <c r="P92" s="123">
        <f t="shared" si="209"/>
        <v>0</v>
      </c>
      <c r="Q92" s="123">
        <f t="shared" si="209"/>
        <v>0</v>
      </c>
      <c r="R92" s="123">
        <f t="shared" si="209"/>
        <v>0</v>
      </c>
      <c r="S92" s="123">
        <f t="shared" si="209"/>
        <v>0</v>
      </c>
      <c r="T92" s="123">
        <f t="shared" si="209"/>
        <v>0</v>
      </c>
      <c r="U92" s="382">
        <f t="shared" si="209"/>
        <v>0</v>
      </c>
      <c r="V92" s="382">
        <f t="shared" si="209"/>
        <v>0</v>
      </c>
      <c r="W92" s="382">
        <f t="shared" si="209"/>
        <v>0</v>
      </c>
      <c r="X92" s="382">
        <f t="shared" si="209"/>
        <v>0</v>
      </c>
      <c r="Y92" s="382">
        <f t="shared" si="209"/>
        <v>0</v>
      </c>
      <c r="Z92" s="382">
        <f t="shared" si="209"/>
        <v>0</v>
      </c>
      <c r="AA92" s="382">
        <f t="shared" si="209"/>
        <v>0</v>
      </c>
      <c r="AB92" s="382">
        <f t="shared" si="209"/>
        <v>0</v>
      </c>
      <c r="AC92" s="382">
        <f t="shared" si="209"/>
        <v>0</v>
      </c>
      <c r="AD92" s="382">
        <f t="shared" si="209"/>
        <v>0</v>
      </c>
      <c r="AE92" s="382">
        <f t="shared" si="209"/>
        <v>0</v>
      </c>
      <c r="AF92" s="335">
        <f t="shared" si="209"/>
        <v>432</v>
      </c>
      <c r="AG92" s="335">
        <f t="shared" si="209"/>
        <v>832</v>
      </c>
    </row>
    <row r="93" spans="1:33" ht="24" x14ac:dyDescent="0.2">
      <c r="A93" s="54"/>
      <c r="B93" s="597" t="s">
        <v>232</v>
      </c>
      <c r="C93" s="598"/>
      <c r="D93" s="55" t="s">
        <v>233</v>
      </c>
      <c r="E93" s="56">
        <v>432</v>
      </c>
      <c r="F93" s="65">
        <f t="shared" ref="F93:F94" si="210">G93+E93</f>
        <v>832</v>
      </c>
      <c r="G93" s="65">
        <f t="shared" ref="G93:G94" si="211">SUM(H93:S93)</f>
        <v>400</v>
      </c>
      <c r="H93" s="65"/>
      <c r="I93" s="65"/>
      <c r="J93" s="65">
        <v>400</v>
      </c>
      <c r="K93" s="65"/>
      <c r="L93" s="65"/>
      <c r="M93" s="65"/>
      <c r="N93" s="505"/>
      <c r="O93" s="65"/>
      <c r="P93" s="65"/>
      <c r="Q93" s="65"/>
      <c r="R93" s="65"/>
      <c r="S93" s="65"/>
      <c r="T93" s="65"/>
      <c r="U93" s="372">
        <f t="shared" ref="U93" si="212">V93+T93</f>
        <v>0</v>
      </c>
      <c r="V93" s="372">
        <f>SUM(W93:AE93)</f>
        <v>0</v>
      </c>
      <c r="W93" s="372"/>
      <c r="X93" s="372"/>
      <c r="Y93" s="372"/>
      <c r="Z93" s="372"/>
      <c r="AA93" s="372"/>
      <c r="AB93" s="372"/>
      <c r="AC93" s="372"/>
      <c r="AD93" s="372"/>
      <c r="AE93" s="372"/>
      <c r="AF93" s="326">
        <f>E93+T93</f>
        <v>432</v>
      </c>
      <c r="AG93" s="326">
        <f>F93+U93</f>
        <v>832</v>
      </c>
    </row>
    <row r="94" spans="1:33" s="181" customFormat="1" x14ac:dyDescent="0.2">
      <c r="A94" s="78"/>
      <c r="B94" s="599" t="s">
        <v>272</v>
      </c>
      <c r="C94" s="600"/>
      <c r="D94" s="60" t="s">
        <v>273</v>
      </c>
      <c r="E94" s="123">
        <f>44538+36510</f>
        <v>81048</v>
      </c>
      <c r="F94" s="123">
        <f t="shared" si="210"/>
        <v>94131</v>
      </c>
      <c r="G94" s="123">
        <f t="shared" si="211"/>
        <v>13083</v>
      </c>
      <c r="H94" s="123">
        <v>1600</v>
      </c>
      <c r="I94" s="123">
        <f>835-17910+1000+1470</f>
        <v>-14605</v>
      </c>
      <c r="J94" s="123">
        <f>-850+23712+11+68+692</f>
        <v>23633</v>
      </c>
      <c r="K94" s="123"/>
      <c r="L94" s="123">
        <f>952+712+53</f>
        <v>1717</v>
      </c>
      <c r="M94" s="123">
        <f>80+625+33</f>
        <v>738</v>
      </c>
      <c r="N94" s="513"/>
      <c r="O94" s="123"/>
      <c r="P94" s="123"/>
      <c r="Q94" s="123"/>
      <c r="R94" s="123"/>
      <c r="S94" s="123"/>
      <c r="T94" s="123">
        <v>-28797</v>
      </c>
      <c r="U94" s="382">
        <f>V94+T94</f>
        <v>-56449</v>
      </c>
      <c r="V94" s="382">
        <f>SUM(W94:AE94)</f>
        <v>-27652</v>
      </c>
      <c r="W94" s="382"/>
      <c r="X94" s="382">
        <f>-835</f>
        <v>-835</v>
      </c>
      <c r="Y94" s="382">
        <f>-23712-11-692</f>
        <v>-24415</v>
      </c>
      <c r="Z94" s="382">
        <f>-952-712</f>
        <v>-1664</v>
      </c>
      <c r="AA94" s="382"/>
      <c r="AB94" s="382">
        <f>-80-625-33</f>
        <v>-738</v>
      </c>
      <c r="AC94" s="382"/>
      <c r="AD94" s="382"/>
      <c r="AE94" s="382"/>
      <c r="AF94" s="335">
        <f>E94+T94</f>
        <v>52251</v>
      </c>
      <c r="AG94" s="335">
        <f>F94+U94</f>
        <v>37682</v>
      </c>
    </row>
    <row r="95" spans="1:33" s="181" customFormat="1" ht="9" customHeight="1" x14ac:dyDescent="0.2">
      <c r="A95" s="185"/>
      <c r="B95" s="186"/>
      <c r="C95" s="187"/>
      <c r="D95" s="64"/>
      <c r="E95" s="188"/>
      <c r="F95" s="123"/>
      <c r="G95" s="123"/>
      <c r="H95" s="123"/>
      <c r="I95" s="123"/>
      <c r="J95" s="123"/>
      <c r="K95" s="123"/>
      <c r="L95" s="123"/>
      <c r="M95" s="123"/>
      <c r="N95" s="513"/>
      <c r="O95" s="123"/>
      <c r="P95" s="123"/>
      <c r="Q95" s="123"/>
      <c r="R95" s="123"/>
      <c r="S95" s="123"/>
      <c r="T95" s="12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36"/>
      <c r="AG95" s="336"/>
    </row>
    <row r="96" spans="1:33" s="181" customFormat="1" ht="24" x14ac:dyDescent="0.2">
      <c r="A96" s="189"/>
      <c r="B96" s="190" t="s">
        <v>303</v>
      </c>
      <c r="C96" s="191"/>
      <c r="D96" s="192" t="s">
        <v>304</v>
      </c>
      <c r="E96" s="193"/>
      <c r="F96" s="278"/>
      <c r="G96" s="278"/>
      <c r="H96" s="278"/>
      <c r="I96" s="278"/>
      <c r="J96" s="278"/>
      <c r="K96" s="278"/>
      <c r="L96" s="278"/>
      <c r="M96" s="492"/>
      <c r="N96" s="514"/>
      <c r="O96" s="278"/>
      <c r="P96" s="278"/>
      <c r="Q96" s="278"/>
      <c r="R96" s="278"/>
      <c r="S96" s="278"/>
      <c r="T96" s="278"/>
      <c r="U96" s="384"/>
      <c r="V96" s="384"/>
      <c r="W96" s="384"/>
      <c r="X96" s="384"/>
      <c r="Y96" s="384"/>
      <c r="Z96" s="384"/>
      <c r="AA96" s="384"/>
      <c r="AB96" s="494"/>
      <c r="AC96" s="384"/>
      <c r="AD96" s="384"/>
      <c r="AE96" s="384"/>
      <c r="AF96" s="337"/>
      <c r="AG96" s="337"/>
    </row>
    <row r="97" spans="1:33" ht="9" customHeight="1" x14ac:dyDescent="0.2">
      <c r="A97" s="48"/>
      <c r="B97" s="80"/>
      <c r="C97" s="81"/>
      <c r="D97" s="64"/>
      <c r="E97" s="50"/>
      <c r="F97" s="50"/>
      <c r="G97" s="50"/>
      <c r="H97" s="50"/>
      <c r="I97" s="50"/>
      <c r="J97" s="50"/>
      <c r="K97" s="50"/>
      <c r="L97" s="50"/>
      <c r="M97" s="50"/>
      <c r="N97" s="503"/>
      <c r="O97" s="50"/>
      <c r="P97" s="50"/>
      <c r="Q97" s="50"/>
      <c r="R97" s="50"/>
      <c r="S97" s="50"/>
      <c r="T97" s="5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24"/>
      <c r="AG97" s="324"/>
    </row>
    <row r="98" spans="1:33" s="195" customFormat="1" ht="12.75" x14ac:dyDescent="0.2">
      <c r="A98" s="601" t="s">
        <v>127</v>
      </c>
      <c r="B98" s="602"/>
      <c r="C98" s="602"/>
      <c r="D98" s="603"/>
      <c r="E98" s="194">
        <f>SUM(E13,E18,E29,E35,E44,E54,E47,E61,E66,E70,E96)</f>
        <v>75247419</v>
      </c>
      <c r="F98" s="194">
        <f t="shared" ref="F98:S98" si="213">SUM(F13,F18,F29,F35,F44,F54,F47,F61,F66,F70,F96)</f>
        <v>75593738</v>
      </c>
      <c r="G98" s="194">
        <f t="shared" si="213"/>
        <v>346319</v>
      </c>
      <c r="H98" s="194">
        <f t="shared" si="213"/>
        <v>93935</v>
      </c>
      <c r="I98" s="194">
        <f>SUM(I13,I18,I29,I35,I44,I54,I47,I61,I66,I70,I96)</f>
        <v>102333</v>
      </c>
      <c r="J98" s="194">
        <f t="shared" si="213"/>
        <v>69285</v>
      </c>
      <c r="K98" s="194">
        <f t="shared" si="213"/>
        <v>-7294</v>
      </c>
      <c r="L98" s="194">
        <f t="shared" si="213"/>
        <v>83988</v>
      </c>
      <c r="M98" s="194">
        <f t="shared" si="213"/>
        <v>738</v>
      </c>
      <c r="N98" s="515">
        <f t="shared" si="213"/>
        <v>3334</v>
      </c>
      <c r="O98" s="194">
        <f t="shared" si="213"/>
        <v>0</v>
      </c>
      <c r="P98" s="194">
        <f t="shared" si="213"/>
        <v>0</v>
      </c>
      <c r="Q98" s="194">
        <f t="shared" si="213"/>
        <v>0</v>
      </c>
      <c r="R98" s="194">
        <f t="shared" si="213"/>
        <v>0</v>
      </c>
      <c r="S98" s="194">
        <f t="shared" si="213"/>
        <v>0</v>
      </c>
      <c r="T98" s="194">
        <f t="shared" ref="T98:AF98" si="214">SUM(T13,T18,T29,T35,T44,T54,T47,T61,T66,T70,T96)</f>
        <v>-1806440</v>
      </c>
      <c r="U98" s="385">
        <f t="shared" si="214"/>
        <v>-1710675</v>
      </c>
      <c r="V98" s="385">
        <f t="shared" si="214"/>
        <v>95765</v>
      </c>
      <c r="W98" s="385">
        <f t="shared" si="214"/>
        <v>151722</v>
      </c>
      <c r="X98" s="385">
        <f t="shared" si="214"/>
        <v>-936</v>
      </c>
      <c r="Y98" s="385">
        <f t="shared" si="214"/>
        <v>-28181</v>
      </c>
      <c r="Z98" s="385">
        <f t="shared" si="214"/>
        <v>1945</v>
      </c>
      <c r="AA98" s="385">
        <f t="shared" ref="AA98:AD98" si="215">SUM(AA13,AA18,AA29,AA35,AA44,AA54,AA47,AA61,AA66,AA70,AA96)</f>
        <v>-28047</v>
      </c>
      <c r="AB98" s="385">
        <f t="shared" si="215"/>
        <v>-738</v>
      </c>
      <c r="AC98" s="385">
        <f t="shared" si="215"/>
        <v>0</v>
      </c>
      <c r="AD98" s="385">
        <f t="shared" si="215"/>
        <v>0</v>
      </c>
      <c r="AE98" s="385">
        <f t="shared" si="214"/>
        <v>0</v>
      </c>
      <c r="AF98" s="338">
        <f t="shared" si="214"/>
        <v>73440979</v>
      </c>
      <c r="AG98" s="338">
        <f t="shared" ref="AG98" si="216">SUM(AG13,AG18,AG29,AG35,AG44,AG54,AG47,AG61,AG66,AG70,AG96)</f>
        <v>73883063</v>
      </c>
    </row>
    <row r="99" spans="1:33" x14ac:dyDescent="0.2">
      <c r="A99" s="59"/>
      <c r="B99" s="82"/>
      <c r="C99" s="83"/>
      <c r="D99" s="55"/>
      <c r="E99" s="61"/>
      <c r="F99" s="61"/>
      <c r="G99" s="61"/>
      <c r="H99" s="61"/>
      <c r="I99" s="61"/>
      <c r="J99" s="61"/>
      <c r="K99" s="61"/>
      <c r="L99" s="61"/>
      <c r="M99" s="61"/>
      <c r="N99" s="508"/>
      <c r="O99" s="61"/>
      <c r="P99" s="61"/>
      <c r="Q99" s="61"/>
      <c r="R99" s="61"/>
      <c r="S99" s="61"/>
      <c r="T99" s="61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29"/>
      <c r="AG99" s="329"/>
    </row>
    <row r="100" spans="1:33" s="181" customFormat="1" x14ac:dyDescent="0.2">
      <c r="A100" s="45"/>
      <c r="B100" s="604" t="s">
        <v>370</v>
      </c>
      <c r="C100" s="605"/>
      <c r="D100" s="46" t="s">
        <v>139</v>
      </c>
      <c r="E100" s="58">
        <f t="shared" ref="E100:AG100" si="217">SUM(,E101)</f>
        <v>14413159</v>
      </c>
      <c r="F100" s="58">
        <f t="shared" si="217"/>
        <v>14413159</v>
      </c>
      <c r="G100" s="58">
        <f t="shared" si="217"/>
        <v>0</v>
      </c>
      <c r="H100" s="58">
        <f t="shared" si="217"/>
        <v>0</v>
      </c>
      <c r="I100" s="58">
        <f t="shared" si="217"/>
        <v>0</v>
      </c>
      <c r="J100" s="58">
        <f t="shared" si="217"/>
        <v>0</v>
      </c>
      <c r="K100" s="58">
        <f t="shared" si="217"/>
        <v>0</v>
      </c>
      <c r="L100" s="58">
        <f t="shared" si="217"/>
        <v>0</v>
      </c>
      <c r="M100" s="58">
        <f t="shared" si="217"/>
        <v>0</v>
      </c>
      <c r="N100" s="507">
        <f t="shared" si="217"/>
        <v>0</v>
      </c>
      <c r="O100" s="58">
        <f t="shared" si="217"/>
        <v>0</v>
      </c>
      <c r="P100" s="58">
        <f t="shared" si="217"/>
        <v>0</v>
      </c>
      <c r="Q100" s="58">
        <f t="shared" si="217"/>
        <v>0</v>
      </c>
      <c r="R100" s="58">
        <f t="shared" si="217"/>
        <v>0</v>
      </c>
      <c r="S100" s="58">
        <f t="shared" si="217"/>
        <v>0</v>
      </c>
      <c r="T100" s="58">
        <f t="shared" si="217"/>
        <v>0</v>
      </c>
      <c r="U100" s="374">
        <f t="shared" si="217"/>
        <v>0</v>
      </c>
      <c r="V100" s="374">
        <f t="shared" si="217"/>
        <v>0</v>
      </c>
      <c r="W100" s="374">
        <f t="shared" si="217"/>
        <v>0</v>
      </c>
      <c r="X100" s="374">
        <f t="shared" si="217"/>
        <v>0</v>
      </c>
      <c r="Y100" s="374">
        <f t="shared" si="217"/>
        <v>0</v>
      </c>
      <c r="Z100" s="374">
        <f t="shared" si="217"/>
        <v>0</v>
      </c>
      <c r="AA100" s="374">
        <f t="shared" si="217"/>
        <v>0</v>
      </c>
      <c r="AB100" s="374">
        <f t="shared" si="217"/>
        <v>0</v>
      </c>
      <c r="AC100" s="374">
        <f t="shared" si="217"/>
        <v>0</v>
      </c>
      <c r="AD100" s="374">
        <f t="shared" si="217"/>
        <v>0</v>
      </c>
      <c r="AE100" s="374">
        <f t="shared" si="217"/>
        <v>0</v>
      </c>
      <c r="AF100" s="328">
        <f t="shared" si="217"/>
        <v>14413159</v>
      </c>
      <c r="AG100" s="328">
        <f t="shared" si="217"/>
        <v>14413159</v>
      </c>
    </row>
    <row r="101" spans="1:33" s="181" customFormat="1" x14ac:dyDescent="0.2">
      <c r="A101" s="45"/>
      <c r="B101" s="313"/>
      <c r="C101" s="313"/>
      <c r="D101" s="113" t="s">
        <v>270</v>
      </c>
      <c r="E101" s="58">
        <f>SUM(E104,E102)</f>
        <v>14413159</v>
      </c>
      <c r="F101" s="58">
        <f>SUM(F104,F102)</f>
        <v>14413159</v>
      </c>
      <c r="G101" s="58">
        <f t="shared" ref="G101:S101" si="218">SUM(G104,G102)</f>
        <v>0</v>
      </c>
      <c r="H101" s="58">
        <f t="shared" si="218"/>
        <v>0</v>
      </c>
      <c r="I101" s="58">
        <f t="shared" si="218"/>
        <v>0</v>
      </c>
      <c r="J101" s="58">
        <f t="shared" si="218"/>
        <v>0</v>
      </c>
      <c r="K101" s="58">
        <f t="shared" si="218"/>
        <v>0</v>
      </c>
      <c r="L101" s="58">
        <f t="shared" si="218"/>
        <v>0</v>
      </c>
      <c r="M101" s="58">
        <f t="shared" si="218"/>
        <v>0</v>
      </c>
      <c r="N101" s="507">
        <f t="shared" si="218"/>
        <v>0</v>
      </c>
      <c r="O101" s="58">
        <f t="shared" si="218"/>
        <v>0</v>
      </c>
      <c r="P101" s="58">
        <f t="shared" si="218"/>
        <v>0</v>
      </c>
      <c r="Q101" s="58">
        <f t="shared" si="218"/>
        <v>0</v>
      </c>
      <c r="R101" s="58">
        <f t="shared" si="218"/>
        <v>0</v>
      </c>
      <c r="S101" s="58">
        <f t="shared" si="218"/>
        <v>0</v>
      </c>
      <c r="T101" s="58">
        <f>SUM(T104,T102)</f>
        <v>0</v>
      </c>
      <c r="U101" s="374">
        <f t="shared" ref="U101" si="219">SUM(U104,U102)</f>
        <v>0</v>
      </c>
      <c r="V101" s="374">
        <f t="shared" ref="V101" si="220">SUM(V104,V102)</f>
        <v>0</v>
      </c>
      <c r="W101" s="374">
        <f t="shared" ref="W101" si="221">SUM(W104,W102)</f>
        <v>0</v>
      </c>
      <c r="X101" s="374">
        <f t="shared" ref="X101" si="222">SUM(X104,X102)</f>
        <v>0</v>
      </c>
      <c r="Y101" s="374">
        <f t="shared" ref="Y101" si="223">SUM(Y104,Y102)</f>
        <v>0</v>
      </c>
      <c r="Z101" s="374">
        <f t="shared" ref="Z101:AA101" si="224">SUM(Z104,Z102)</f>
        <v>0</v>
      </c>
      <c r="AA101" s="374">
        <f t="shared" si="224"/>
        <v>0</v>
      </c>
      <c r="AB101" s="374">
        <f t="shared" ref="AB101:AD101" si="225">SUM(AB104,AB102)</f>
        <v>0</v>
      </c>
      <c r="AC101" s="374">
        <f t="shared" si="225"/>
        <v>0</v>
      </c>
      <c r="AD101" s="374">
        <f t="shared" si="225"/>
        <v>0</v>
      </c>
      <c r="AE101" s="374">
        <f t="shared" ref="AE101" si="226">SUM(AE104,AE102)</f>
        <v>0</v>
      </c>
      <c r="AF101" s="328">
        <f>SUM(AF104,AF102)</f>
        <v>14413159</v>
      </c>
      <c r="AG101" s="328">
        <f>SUM(AG104,AG102)</f>
        <v>14413159</v>
      </c>
    </row>
    <row r="102" spans="1:33" s="181" customFormat="1" x14ac:dyDescent="0.2">
      <c r="A102" s="78"/>
      <c r="B102" s="86"/>
      <c r="C102" s="313" t="s">
        <v>141</v>
      </c>
      <c r="D102" s="79" t="s">
        <v>276</v>
      </c>
      <c r="E102" s="58">
        <f>SUM(E103:E103)</f>
        <v>0</v>
      </c>
      <c r="F102" s="58">
        <f>SUM(F103:F103)</f>
        <v>0</v>
      </c>
      <c r="G102" s="58">
        <f t="shared" ref="G102:S102" si="227">SUM(G103:G103)</f>
        <v>0</v>
      </c>
      <c r="H102" s="58">
        <f t="shared" si="227"/>
        <v>0</v>
      </c>
      <c r="I102" s="58">
        <f t="shared" si="227"/>
        <v>0</v>
      </c>
      <c r="J102" s="58">
        <f t="shared" si="227"/>
        <v>0</v>
      </c>
      <c r="K102" s="58">
        <f t="shared" si="227"/>
        <v>0</v>
      </c>
      <c r="L102" s="58">
        <f t="shared" si="227"/>
        <v>0</v>
      </c>
      <c r="M102" s="58">
        <f t="shared" si="227"/>
        <v>0</v>
      </c>
      <c r="N102" s="507">
        <f t="shared" si="227"/>
        <v>0</v>
      </c>
      <c r="O102" s="58">
        <f t="shared" si="227"/>
        <v>0</v>
      </c>
      <c r="P102" s="58">
        <f t="shared" si="227"/>
        <v>0</v>
      </c>
      <c r="Q102" s="58">
        <f t="shared" si="227"/>
        <v>0</v>
      </c>
      <c r="R102" s="58">
        <f t="shared" si="227"/>
        <v>0</v>
      </c>
      <c r="S102" s="58">
        <f t="shared" si="227"/>
        <v>0</v>
      </c>
      <c r="T102" s="58">
        <f>SUM(T103:T103)</f>
        <v>0</v>
      </c>
      <c r="U102" s="374">
        <f t="shared" ref="U102" si="228">SUM(U103:U103)</f>
        <v>0</v>
      </c>
      <c r="V102" s="374">
        <f t="shared" ref="V102" si="229">SUM(V103:V103)</f>
        <v>0</v>
      </c>
      <c r="W102" s="374">
        <f t="shared" ref="W102" si="230">SUM(W103:W103)</f>
        <v>0</v>
      </c>
      <c r="X102" s="374">
        <f t="shared" ref="X102" si="231">SUM(X103:X103)</f>
        <v>0</v>
      </c>
      <c r="Y102" s="374">
        <f t="shared" ref="Y102" si="232">SUM(Y103:Y103)</f>
        <v>0</v>
      </c>
      <c r="Z102" s="374">
        <f t="shared" ref="Z102" si="233">SUM(Z103:Z103)</f>
        <v>0</v>
      </c>
      <c r="AA102" s="374">
        <f t="shared" ref="AA102:AE102" si="234">SUM(AA103:AA103)</f>
        <v>0</v>
      </c>
      <c r="AB102" s="374">
        <f t="shared" si="234"/>
        <v>0</v>
      </c>
      <c r="AC102" s="374">
        <f t="shared" si="234"/>
        <v>0</v>
      </c>
      <c r="AD102" s="374">
        <f t="shared" si="234"/>
        <v>0</v>
      </c>
      <c r="AE102" s="374">
        <f t="shared" si="234"/>
        <v>0</v>
      </c>
      <c r="AF102" s="328">
        <f>SUM(AF103:AF103)</f>
        <v>0</v>
      </c>
      <c r="AG102" s="328">
        <f>SUM(AG103:AG103)</f>
        <v>0</v>
      </c>
    </row>
    <row r="103" spans="1:33" x14ac:dyDescent="0.2">
      <c r="A103" s="138"/>
      <c r="B103" s="139"/>
      <c r="C103" s="140"/>
      <c r="D103" s="141"/>
      <c r="E103" s="50"/>
      <c r="F103" s="50"/>
      <c r="G103" s="50"/>
      <c r="H103" s="50"/>
      <c r="I103" s="50"/>
      <c r="J103" s="50"/>
      <c r="K103" s="50"/>
      <c r="L103" s="50"/>
      <c r="M103" s="50"/>
      <c r="N103" s="503"/>
      <c r="O103" s="50"/>
      <c r="P103" s="50"/>
      <c r="Q103" s="50"/>
      <c r="R103" s="50"/>
      <c r="S103" s="50"/>
      <c r="T103" s="5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24"/>
      <c r="AG103" s="324"/>
    </row>
    <row r="104" spans="1:33" s="181" customFormat="1" x14ac:dyDescent="0.2">
      <c r="A104" s="78"/>
      <c r="B104" s="86"/>
      <c r="C104" s="313" t="s">
        <v>368</v>
      </c>
      <c r="D104" s="79" t="s">
        <v>277</v>
      </c>
      <c r="E104" s="58">
        <f>SUM(E105:E114)</f>
        <v>14413159</v>
      </c>
      <c r="F104" s="58">
        <f>SUM(F105:F114)</f>
        <v>14413159</v>
      </c>
      <c r="G104" s="58">
        <f t="shared" ref="G104:S104" si="235">SUM(G105:G114)</f>
        <v>0</v>
      </c>
      <c r="H104" s="58">
        <f t="shared" si="235"/>
        <v>0</v>
      </c>
      <c r="I104" s="58">
        <f t="shared" si="235"/>
        <v>0</v>
      </c>
      <c r="J104" s="58">
        <f>SUM(J105:J114)</f>
        <v>0</v>
      </c>
      <c r="K104" s="58">
        <f t="shared" si="235"/>
        <v>0</v>
      </c>
      <c r="L104" s="58">
        <f t="shared" si="235"/>
        <v>0</v>
      </c>
      <c r="M104" s="58">
        <f t="shared" si="235"/>
        <v>0</v>
      </c>
      <c r="N104" s="507">
        <f t="shared" si="235"/>
        <v>0</v>
      </c>
      <c r="O104" s="58">
        <f t="shared" si="235"/>
        <v>0</v>
      </c>
      <c r="P104" s="58">
        <f t="shared" si="235"/>
        <v>0</v>
      </c>
      <c r="Q104" s="58">
        <f t="shared" si="235"/>
        <v>0</v>
      </c>
      <c r="R104" s="58">
        <f t="shared" si="235"/>
        <v>0</v>
      </c>
      <c r="S104" s="58">
        <f t="shared" si="235"/>
        <v>0</v>
      </c>
      <c r="T104" s="58">
        <f>SUM(T105:T114)</f>
        <v>0</v>
      </c>
      <c r="U104" s="374">
        <f t="shared" ref="U104" si="236">SUM(U105:U114)</f>
        <v>0</v>
      </c>
      <c r="V104" s="374">
        <f t="shared" ref="V104" si="237">SUM(V105:V114)</f>
        <v>0</v>
      </c>
      <c r="W104" s="374">
        <f t="shared" ref="W104" si="238">SUM(W105:W114)</f>
        <v>0</v>
      </c>
      <c r="X104" s="374">
        <f t="shared" ref="X104" si="239">SUM(X105:X114)</f>
        <v>0</v>
      </c>
      <c r="Y104" s="374">
        <f t="shared" ref="Y104" si="240">SUM(Y105:Y114)</f>
        <v>0</v>
      </c>
      <c r="Z104" s="374">
        <f t="shared" ref="Z104:AA104" si="241">SUM(Z105:Z114)</f>
        <v>0</v>
      </c>
      <c r="AA104" s="374">
        <f t="shared" si="241"/>
        <v>0</v>
      </c>
      <c r="AB104" s="374">
        <f t="shared" ref="AB104:AD104" si="242">SUM(AB105:AB114)</f>
        <v>0</v>
      </c>
      <c r="AC104" s="374">
        <f t="shared" si="242"/>
        <v>0</v>
      </c>
      <c r="AD104" s="374">
        <f t="shared" si="242"/>
        <v>0</v>
      </c>
      <c r="AE104" s="374">
        <f t="shared" ref="AE104" si="243">SUM(AE105:AE114)</f>
        <v>0</v>
      </c>
      <c r="AF104" s="328">
        <f>SUM(AF105:AF114)</f>
        <v>14413159</v>
      </c>
      <c r="AG104" s="328">
        <f>SUM(AG105:AG114)</f>
        <v>14413159</v>
      </c>
    </row>
    <row r="105" spans="1:33" x14ac:dyDescent="0.2">
      <c r="A105" s="73"/>
      <c r="B105" s="311"/>
      <c r="C105" s="312"/>
      <c r="D105" s="55" t="s">
        <v>305</v>
      </c>
      <c r="E105" s="75">
        <v>3210000</v>
      </c>
      <c r="F105" s="75">
        <f t="shared" ref="F105:F111" si="244">G105+E105</f>
        <v>0</v>
      </c>
      <c r="G105" s="75">
        <f t="shared" ref="G105:G111" si="245">SUM(H105:S105)</f>
        <v>-3210000</v>
      </c>
      <c r="H105" s="75"/>
      <c r="I105" s="75"/>
      <c r="J105" s="75">
        <v>-3210000</v>
      </c>
      <c r="K105" s="75"/>
      <c r="L105" s="75"/>
      <c r="M105" s="75"/>
      <c r="N105" s="510"/>
      <c r="O105" s="75"/>
      <c r="P105" s="75"/>
      <c r="Q105" s="75"/>
      <c r="R105" s="75"/>
      <c r="S105" s="75"/>
      <c r="T105" s="75"/>
      <c r="U105" s="378">
        <f t="shared" ref="U105:U113" si="246">V105+T105</f>
        <v>0</v>
      </c>
      <c r="V105" s="378">
        <f t="shared" ref="V105:V111" si="247">SUM(W105:AE105)</f>
        <v>0</v>
      </c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33">
        <f t="shared" ref="AF105:AG111" si="248">E105+T105</f>
        <v>3210000</v>
      </c>
      <c r="AG105" s="333">
        <f t="shared" si="248"/>
        <v>0</v>
      </c>
    </row>
    <row r="106" spans="1:33" x14ac:dyDescent="0.2">
      <c r="A106" s="73"/>
      <c r="B106" s="311"/>
      <c r="C106" s="312"/>
      <c r="D106" s="55" t="s">
        <v>634</v>
      </c>
      <c r="E106" s="75">
        <v>3413000</v>
      </c>
      <c r="F106" s="75">
        <f t="shared" si="244"/>
        <v>0</v>
      </c>
      <c r="G106" s="75">
        <f t="shared" si="245"/>
        <v>-3413000</v>
      </c>
      <c r="H106" s="75"/>
      <c r="I106" s="75"/>
      <c r="J106" s="75">
        <v>-3413000</v>
      </c>
      <c r="K106" s="75"/>
      <c r="L106" s="75"/>
      <c r="M106" s="75"/>
      <c r="N106" s="510"/>
      <c r="O106" s="75"/>
      <c r="P106" s="75"/>
      <c r="Q106" s="75"/>
      <c r="R106" s="75"/>
      <c r="S106" s="75"/>
      <c r="T106" s="75"/>
      <c r="U106" s="378">
        <f t="shared" si="246"/>
        <v>0</v>
      </c>
      <c r="V106" s="378">
        <f t="shared" si="247"/>
        <v>0</v>
      </c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33">
        <f t="shared" si="248"/>
        <v>3413000</v>
      </c>
      <c r="AG106" s="333">
        <f t="shared" si="248"/>
        <v>0</v>
      </c>
    </row>
    <row r="107" spans="1:33" ht="36" x14ac:dyDescent="0.2">
      <c r="A107" s="73"/>
      <c r="B107" s="311"/>
      <c r="C107" s="312"/>
      <c r="D107" s="55" t="s">
        <v>363</v>
      </c>
      <c r="E107" s="75">
        <v>1000000</v>
      </c>
      <c r="F107" s="75">
        <f t="shared" si="244"/>
        <v>1000000</v>
      </c>
      <c r="G107" s="75">
        <f t="shared" si="245"/>
        <v>0</v>
      </c>
      <c r="H107" s="75"/>
      <c r="I107" s="75"/>
      <c r="J107" s="75"/>
      <c r="K107" s="75"/>
      <c r="L107" s="75"/>
      <c r="M107" s="75"/>
      <c r="N107" s="510"/>
      <c r="O107" s="75"/>
      <c r="P107" s="75"/>
      <c r="Q107" s="75"/>
      <c r="R107" s="75"/>
      <c r="S107" s="75"/>
      <c r="T107" s="75"/>
      <c r="U107" s="378">
        <f t="shared" si="246"/>
        <v>0</v>
      </c>
      <c r="V107" s="378">
        <f t="shared" si="247"/>
        <v>0</v>
      </c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33">
        <f t="shared" si="248"/>
        <v>1000000</v>
      </c>
      <c r="AG107" s="333">
        <f t="shared" si="248"/>
        <v>1000000</v>
      </c>
    </row>
    <row r="108" spans="1:33" ht="24" x14ac:dyDescent="0.2">
      <c r="A108" s="73"/>
      <c r="B108" s="606"/>
      <c r="C108" s="607"/>
      <c r="D108" s="55" t="s">
        <v>271</v>
      </c>
      <c r="E108" s="75">
        <v>574399</v>
      </c>
      <c r="F108" s="75">
        <f t="shared" si="244"/>
        <v>574399</v>
      </c>
      <c r="G108" s="75">
        <f t="shared" si="245"/>
        <v>0</v>
      </c>
      <c r="H108" s="75"/>
      <c r="I108" s="75"/>
      <c r="J108" s="75"/>
      <c r="K108" s="75"/>
      <c r="L108" s="75"/>
      <c r="M108" s="75"/>
      <c r="N108" s="510"/>
      <c r="O108" s="75"/>
      <c r="P108" s="75"/>
      <c r="Q108" s="75"/>
      <c r="R108" s="75"/>
      <c r="S108" s="75"/>
      <c r="T108" s="75"/>
      <c r="U108" s="378">
        <f t="shared" si="246"/>
        <v>0</v>
      </c>
      <c r="V108" s="378">
        <f t="shared" si="247"/>
        <v>0</v>
      </c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33">
        <f t="shared" si="248"/>
        <v>574399</v>
      </c>
      <c r="AG108" s="333">
        <f t="shared" si="248"/>
        <v>574399</v>
      </c>
    </row>
    <row r="109" spans="1:33" ht="36" x14ac:dyDescent="0.2">
      <c r="A109" s="73"/>
      <c r="B109" s="606"/>
      <c r="C109" s="607"/>
      <c r="D109" s="55" t="s">
        <v>278</v>
      </c>
      <c r="E109" s="75">
        <v>2140970</v>
      </c>
      <c r="F109" s="75">
        <f t="shared" si="244"/>
        <v>2140970</v>
      </c>
      <c r="G109" s="75">
        <f t="shared" si="245"/>
        <v>0</v>
      </c>
      <c r="H109" s="75"/>
      <c r="I109" s="75"/>
      <c r="J109" s="75"/>
      <c r="K109" s="75"/>
      <c r="L109" s="75"/>
      <c r="M109" s="75"/>
      <c r="N109" s="510"/>
      <c r="O109" s="75"/>
      <c r="P109" s="75"/>
      <c r="Q109" s="75"/>
      <c r="R109" s="75"/>
      <c r="S109" s="75"/>
      <c r="T109" s="75"/>
      <c r="U109" s="378">
        <f t="shared" si="246"/>
        <v>0</v>
      </c>
      <c r="V109" s="378">
        <f t="shared" si="247"/>
        <v>0</v>
      </c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33">
        <f t="shared" si="248"/>
        <v>2140970</v>
      </c>
      <c r="AG109" s="333">
        <f t="shared" si="248"/>
        <v>2140970</v>
      </c>
    </row>
    <row r="110" spans="1:33" x14ac:dyDescent="0.2">
      <c r="A110" s="73"/>
      <c r="B110" s="311"/>
      <c r="C110" s="312"/>
      <c r="D110" s="55" t="s">
        <v>633</v>
      </c>
      <c r="E110" s="75">
        <v>2312000</v>
      </c>
      <c r="F110" s="75">
        <f t="shared" si="244"/>
        <v>2312000</v>
      </c>
      <c r="G110" s="75">
        <f t="shared" si="245"/>
        <v>0</v>
      </c>
      <c r="H110" s="75"/>
      <c r="I110" s="75"/>
      <c r="J110" s="75"/>
      <c r="K110" s="75"/>
      <c r="L110" s="75"/>
      <c r="M110" s="75"/>
      <c r="N110" s="510"/>
      <c r="O110" s="75"/>
      <c r="P110" s="75"/>
      <c r="Q110" s="75"/>
      <c r="R110" s="75"/>
      <c r="S110" s="75"/>
      <c r="T110" s="75"/>
      <c r="U110" s="378">
        <f t="shared" si="246"/>
        <v>0</v>
      </c>
      <c r="V110" s="378">
        <f t="shared" si="247"/>
        <v>0</v>
      </c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33">
        <f t="shared" si="248"/>
        <v>2312000</v>
      </c>
      <c r="AG110" s="333">
        <f t="shared" si="248"/>
        <v>2312000</v>
      </c>
    </row>
    <row r="111" spans="1:33" x14ac:dyDescent="0.2">
      <c r="A111" s="73"/>
      <c r="B111" s="606"/>
      <c r="C111" s="607"/>
      <c r="D111" s="55" t="s">
        <v>321</v>
      </c>
      <c r="E111" s="75">
        <v>1762790</v>
      </c>
      <c r="F111" s="75">
        <f t="shared" si="244"/>
        <v>1762790</v>
      </c>
      <c r="G111" s="75">
        <f t="shared" si="245"/>
        <v>0</v>
      </c>
      <c r="H111" s="75"/>
      <c r="I111" s="75"/>
      <c r="J111" s="75"/>
      <c r="K111" s="75"/>
      <c r="L111" s="75"/>
      <c r="M111" s="75"/>
      <c r="N111" s="510"/>
      <c r="O111" s="75"/>
      <c r="P111" s="75"/>
      <c r="Q111" s="75"/>
      <c r="R111" s="75"/>
      <c r="S111" s="75"/>
      <c r="T111" s="75"/>
      <c r="U111" s="378">
        <f t="shared" si="246"/>
        <v>0</v>
      </c>
      <c r="V111" s="378">
        <f t="shared" si="247"/>
        <v>0</v>
      </c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33">
        <f t="shared" si="248"/>
        <v>1762790</v>
      </c>
      <c r="AG111" s="333">
        <f t="shared" si="248"/>
        <v>1762790</v>
      </c>
    </row>
    <row r="112" spans="1:33" x14ac:dyDescent="0.2">
      <c r="A112" s="73"/>
      <c r="B112" s="606"/>
      <c r="C112" s="607"/>
      <c r="D112" s="55" t="s">
        <v>730</v>
      </c>
      <c r="E112" s="75"/>
      <c r="F112" s="75">
        <f t="shared" ref="F112" si="249">G112+E112</f>
        <v>3210000</v>
      </c>
      <c r="G112" s="75">
        <f t="shared" ref="G112" si="250">SUM(H112:S112)</f>
        <v>3210000</v>
      </c>
      <c r="H112" s="75"/>
      <c r="I112" s="75"/>
      <c r="J112" s="75">
        <v>3210000</v>
      </c>
      <c r="K112" s="75"/>
      <c r="L112" s="75"/>
      <c r="M112" s="75"/>
      <c r="N112" s="510"/>
      <c r="O112" s="75"/>
      <c r="P112" s="75"/>
      <c r="Q112" s="75"/>
      <c r="R112" s="75"/>
      <c r="S112" s="75"/>
      <c r="T112" s="75"/>
      <c r="U112" s="378">
        <f t="shared" si="246"/>
        <v>0</v>
      </c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33"/>
      <c r="AG112" s="333">
        <f>F112+U112</f>
        <v>3210000</v>
      </c>
    </row>
    <row r="113" spans="1:35" ht="24" x14ac:dyDescent="0.2">
      <c r="A113" s="73"/>
      <c r="B113" s="606"/>
      <c r="C113" s="607"/>
      <c r="D113" s="55" t="s">
        <v>738</v>
      </c>
      <c r="E113" s="75"/>
      <c r="F113" s="75">
        <f t="shared" ref="F113" si="251">G113+E113</f>
        <v>3413000</v>
      </c>
      <c r="G113" s="75">
        <f t="shared" ref="G113" si="252">SUM(H113:S113)</f>
        <v>3413000</v>
      </c>
      <c r="H113" s="75"/>
      <c r="I113" s="75"/>
      <c r="J113" s="75">
        <v>3413000</v>
      </c>
      <c r="K113" s="75"/>
      <c r="L113" s="75"/>
      <c r="M113" s="75"/>
      <c r="N113" s="510"/>
      <c r="O113" s="75"/>
      <c r="P113" s="75"/>
      <c r="Q113" s="75"/>
      <c r="R113" s="75"/>
      <c r="S113" s="75"/>
      <c r="T113" s="75"/>
      <c r="U113" s="378">
        <f t="shared" si="246"/>
        <v>0</v>
      </c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33"/>
      <c r="AG113" s="333">
        <f>F113+U113</f>
        <v>3413000</v>
      </c>
    </row>
    <row r="114" spans="1:35" ht="7.5" customHeight="1" x14ac:dyDescent="0.2">
      <c r="A114" s="73"/>
      <c r="B114" s="606"/>
      <c r="C114" s="607"/>
      <c r="D114" s="55"/>
      <c r="E114" s="75"/>
      <c r="F114" s="56"/>
      <c r="G114" s="56"/>
      <c r="H114" s="56"/>
      <c r="I114" s="56"/>
      <c r="J114" s="56"/>
      <c r="K114" s="56"/>
      <c r="L114" s="56"/>
      <c r="M114" s="56"/>
      <c r="N114" s="516"/>
      <c r="O114" s="56"/>
      <c r="P114" s="56"/>
      <c r="Q114" s="56"/>
      <c r="R114" s="56"/>
      <c r="S114" s="56"/>
      <c r="T114" s="5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39"/>
      <c r="AG114" s="339"/>
    </row>
    <row r="115" spans="1:35" s="181" customFormat="1" x14ac:dyDescent="0.2">
      <c r="A115" s="78"/>
      <c r="B115" s="86"/>
      <c r="C115" s="87"/>
      <c r="D115" s="46" t="s">
        <v>205</v>
      </c>
      <c r="E115" s="58">
        <f t="shared" ref="E115:AE115" si="253">SUM(E116:E137)</f>
        <v>12861542</v>
      </c>
      <c r="F115" s="58">
        <f>SUM(F116:F137)</f>
        <v>12266281</v>
      </c>
      <c r="G115" s="58">
        <f t="shared" ref="G115:S115" si="254">SUM(G116:G137)</f>
        <v>-595261</v>
      </c>
      <c r="H115" s="58">
        <f t="shared" si="254"/>
        <v>-596061</v>
      </c>
      <c r="I115" s="58">
        <f t="shared" si="254"/>
        <v>0</v>
      </c>
      <c r="J115" s="58">
        <f t="shared" si="254"/>
        <v>0</v>
      </c>
      <c r="K115" s="58">
        <f>SUM(K116:K137)</f>
        <v>800</v>
      </c>
      <c r="L115" s="58">
        <f t="shared" si="254"/>
        <v>0</v>
      </c>
      <c r="M115" s="58">
        <f t="shared" si="254"/>
        <v>0</v>
      </c>
      <c r="N115" s="507">
        <f t="shared" si="254"/>
        <v>0</v>
      </c>
      <c r="O115" s="58">
        <f t="shared" si="254"/>
        <v>0</v>
      </c>
      <c r="P115" s="58">
        <f t="shared" si="254"/>
        <v>0</v>
      </c>
      <c r="Q115" s="58">
        <f t="shared" si="254"/>
        <v>0</v>
      </c>
      <c r="R115" s="58">
        <f t="shared" si="254"/>
        <v>0</v>
      </c>
      <c r="S115" s="58">
        <f t="shared" si="254"/>
        <v>0</v>
      </c>
      <c r="T115" s="58">
        <f t="shared" si="253"/>
        <v>0</v>
      </c>
      <c r="U115" s="374">
        <f t="shared" si="253"/>
        <v>-800</v>
      </c>
      <c r="V115" s="374">
        <f t="shared" si="253"/>
        <v>-800</v>
      </c>
      <c r="W115" s="374">
        <f t="shared" si="253"/>
        <v>0</v>
      </c>
      <c r="X115" s="374">
        <f t="shared" si="253"/>
        <v>0</v>
      </c>
      <c r="Y115" s="374">
        <f t="shared" si="253"/>
        <v>0</v>
      </c>
      <c r="Z115" s="374">
        <f t="shared" si="253"/>
        <v>-800</v>
      </c>
      <c r="AA115" s="374">
        <f t="shared" ref="AA115:AD115" si="255">SUM(AA116:AA137)</f>
        <v>0</v>
      </c>
      <c r="AB115" s="374">
        <f t="shared" si="255"/>
        <v>0</v>
      </c>
      <c r="AC115" s="374">
        <f t="shared" si="255"/>
        <v>0</v>
      </c>
      <c r="AD115" s="374">
        <f t="shared" si="255"/>
        <v>0</v>
      </c>
      <c r="AE115" s="374">
        <f t="shared" si="253"/>
        <v>0</v>
      </c>
      <c r="AF115" s="328">
        <f>SUM(AF116:AF137)</f>
        <v>12861542</v>
      </c>
      <c r="AG115" s="328">
        <f>SUM(AG116:AG137)</f>
        <v>12265481</v>
      </c>
      <c r="AI115" s="445"/>
    </row>
    <row r="116" spans="1:35" hidden="1" outlineLevel="1" x14ac:dyDescent="0.2">
      <c r="A116" s="67"/>
      <c r="B116" s="84"/>
      <c r="C116" s="85"/>
      <c r="D116" s="88" t="s">
        <v>206</v>
      </c>
      <c r="E116" s="61">
        <f>10000000-564728+1000000+13552</f>
        <v>10448824</v>
      </c>
      <c r="F116" s="61">
        <f t="shared" ref="F116:F136" si="256">G116+E116</f>
        <v>9310448</v>
      </c>
      <c r="G116" s="61">
        <f t="shared" ref="G116:G136" si="257">SUM(H116:S116)</f>
        <v>-1138376</v>
      </c>
      <c r="H116" s="61">
        <f>-1172472+34100+3</f>
        <v>-1138369</v>
      </c>
      <c r="I116" s="61">
        <f>-1-1</f>
        <v>-2</v>
      </c>
      <c r="J116" s="61">
        <v>-5</v>
      </c>
      <c r="K116" s="61"/>
      <c r="L116" s="61"/>
      <c r="M116" s="61"/>
      <c r="N116" s="508"/>
      <c r="O116" s="61"/>
      <c r="P116" s="61"/>
      <c r="Q116" s="61"/>
      <c r="R116" s="61"/>
      <c r="S116" s="61"/>
      <c r="T116" s="61"/>
      <c r="U116" s="375">
        <f t="shared" ref="U116:U136" si="258">V116+T116</f>
        <v>0</v>
      </c>
      <c r="V116" s="375">
        <f t="shared" ref="V116:V137" si="259">SUM(W116:AE116)</f>
        <v>0</v>
      </c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29">
        <f t="shared" ref="AF116:AF137" si="260">E116+T116</f>
        <v>10448824</v>
      </c>
      <c r="AG116" s="329">
        <f t="shared" ref="AG116:AG137" si="261">F116+U116</f>
        <v>9310448</v>
      </c>
    </row>
    <row r="117" spans="1:35" hidden="1" outlineLevel="1" x14ac:dyDescent="0.2">
      <c r="A117" s="67"/>
      <c r="B117" s="84"/>
      <c r="C117" s="85"/>
      <c r="D117" s="55" t="s">
        <v>207</v>
      </c>
      <c r="E117" s="61">
        <f>90943+116104</f>
        <v>207047</v>
      </c>
      <c r="F117" s="61">
        <f t="shared" si="256"/>
        <v>283927</v>
      </c>
      <c r="G117" s="61">
        <f t="shared" si="257"/>
        <v>76880</v>
      </c>
      <c r="H117" s="61">
        <v>76880</v>
      </c>
      <c r="I117" s="61"/>
      <c r="J117" s="61"/>
      <c r="K117" s="61"/>
      <c r="L117" s="61"/>
      <c r="M117" s="61"/>
      <c r="N117" s="508"/>
      <c r="O117" s="61"/>
      <c r="P117" s="61"/>
      <c r="Q117" s="61"/>
      <c r="R117" s="61"/>
      <c r="S117" s="61"/>
      <c r="T117" s="61"/>
      <c r="U117" s="375">
        <f t="shared" si="258"/>
        <v>0</v>
      </c>
      <c r="V117" s="375">
        <f t="shared" si="259"/>
        <v>0</v>
      </c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29">
        <f t="shared" si="260"/>
        <v>207047</v>
      </c>
      <c r="AG117" s="329">
        <f t="shared" si="261"/>
        <v>283927</v>
      </c>
    </row>
    <row r="118" spans="1:35" hidden="1" outlineLevel="1" x14ac:dyDescent="0.2">
      <c r="A118" s="67"/>
      <c r="B118" s="84"/>
      <c r="C118" s="85"/>
      <c r="D118" s="88" t="s">
        <v>135</v>
      </c>
      <c r="E118" s="61">
        <f>37631+1401153</f>
        <v>1438784</v>
      </c>
      <c r="F118" s="61">
        <f t="shared" si="256"/>
        <v>1642613</v>
      </c>
      <c r="G118" s="61">
        <f t="shared" si="257"/>
        <v>203829</v>
      </c>
      <c r="H118" s="61">
        <v>203829</v>
      </c>
      <c r="I118" s="61"/>
      <c r="J118" s="61"/>
      <c r="K118" s="61"/>
      <c r="L118" s="61"/>
      <c r="M118" s="61"/>
      <c r="N118" s="508"/>
      <c r="O118" s="61"/>
      <c r="P118" s="61"/>
      <c r="Q118" s="61"/>
      <c r="R118" s="61"/>
      <c r="S118" s="61"/>
      <c r="T118" s="61"/>
      <c r="U118" s="375">
        <f t="shared" si="258"/>
        <v>0</v>
      </c>
      <c r="V118" s="375">
        <f t="shared" si="259"/>
        <v>0</v>
      </c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29">
        <f t="shared" si="260"/>
        <v>1438784</v>
      </c>
      <c r="AG118" s="329">
        <f t="shared" si="261"/>
        <v>1642613</v>
      </c>
    </row>
    <row r="119" spans="1:35" hidden="1" outlineLevel="1" x14ac:dyDescent="0.2">
      <c r="A119" s="67"/>
      <c r="B119" s="84"/>
      <c r="C119" s="85"/>
      <c r="D119" s="55" t="s">
        <v>82</v>
      </c>
      <c r="E119" s="61">
        <v>5166</v>
      </c>
      <c r="F119" s="61">
        <f t="shared" si="256"/>
        <v>5167</v>
      </c>
      <c r="G119" s="61">
        <f t="shared" si="257"/>
        <v>1</v>
      </c>
      <c r="H119" s="61"/>
      <c r="I119" s="61"/>
      <c r="J119" s="61">
        <v>1</v>
      </c>
      <c r="K119" s="61"/>
      <c r="L119" s="61"/>
      <c r="M119" s="61"/>
      <c r="N119" s="508"/>
      <c r="O119" s="61"/>
      <c r="P119" s="61"/>
      <c r="Q119" s="61"/>
      <c r="R119" s="61"/>
      <c r="S119" s="61"/>
      <c r="T119" s="61"/>
      <c r="U119" s="375">
        <f t="shared" si="258"/>
        <v>0</v>
      </c>
      <c r="V119" s="375">
        <f t="shared" si="259"/>
        <v>0</v>
      </c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29">
        <f t="shared" si="260"/>
        <v>5166</v>
      </c>
      <c r="AG119" s="329">
        <f t="shared" si="261"/>
        <v>5167</v>
      </c>
    </row>
    <row r="120" spans="1:35" hidden="1" outlineLevel="1" x14ac:dyDescent="0.2">
      <c r="A120" s="67"/>
      <c r="B120" s="84"/>
      <c r="C120" s="85"/>
      <c r="D120" s="88" t="s">
        <v>136</v>
      </c>
      <c r="E120" s="61"/>
      <c r="F120" s="61">
        <f t="shared" si="256"/>
        <v>65242</v>
      </c>
      <c r="G120" s="61">
        <f t="shared" si="257"/>
        <v>65242</v>
      </c>
      <c r="H120" s="61">
        <f>65958-781</f>
        <v>65177</v>
      </c>
      <c r="I120" s="61">
        <f>64+1</f>
        <v>65</v>
      </c>
      <c r="J120" s="61"/>
      <c r="K120" s="61"/>
      <c r="L120" s="61"/>
      <c r="M120" s="61"/>
      <c r="N120" s="508"/>
      <c r="O120" s="61"/>
      <c r="P120" s="61"/>
      <c r="Q120" s="61"/>
      <c r="R120" s="61"/>
      <c r="S120" s="61"/>
      <c r="T120" s="61"/>
      <c r="U120" s="375">
        <f t="shared" si="258"/>
        <v>0</v>
      </c>
      <c r="V120" s="375">
        <f t="shared" si="259"/>
        <v>0</v>
      </c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29">
        <f t="shared" si="260"/>
        <v>0</v>
      </c>
      <c r="AG120" s="329">
        <f t="shared" si="261"/>
        <v>65242</v>
      </c>
    </row>
    <row r="121" spans="1:35" ht="24" hidden="1" outlineLevel="1" x14ac:dyDescent="0.2">
      <c r="A121" s="67"/>
      <c r="B121" s="84"/>
      <c r="C121" s="85"/>
      <c r="D121" s="88" t="s">
        <v>306</v>
      </c>
      <c r="E121" s="61"/>
      <c r="F121" s="61">
        <f t="shared" si="256"/>
        <v>0</v>
      </c>
      <c r="G121" s="61">
        <f t="shared" si="257"/>
        <v>0</v>
      </c>
      <c r="H121" s="61"/>
      <c r="I121" s="61"/>
      <c r="J121" s="61"/>
      <c r="K121" s="61"/>
      <c r="L121" s="61"/>
      <c r="M121" s="61"/>
      <c r="N121" s="508"/>
      <c r="O121" s="61"/>
      <c r="P121" s="61"/>
      <c r="Q121" s="61"/>
      <c r="R121" s="61"/>
      <c r="S121" s="61"/>
      <c r="T121" s="61"/>
      <c r="U121" s="375">
        <f t="shared" si="258"/>
        <v>0</v>
      </c>
      <c r="V121" s="375">
        <f t="shared" si="259"/>
        <v>0</v>
      </c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29">
        <f t="shared" si="260"/>
        <v>0</v>
      </c>
      <c r="AG121" s="329">
        <f t="shared" si="261"/>
        <v>0</v>
      </c>
    </row>
    <row r="122" spans="1:35" ht="24" hidden="1" outlineLevel="1" x14ac:dyDescent="0.2">
      <c r="A122" s="67"/>
      <c r="B122" s="84"/>
      <c r="C122" s="85"/>
      <c r="D122" s="88" t="s">
        <v>307</v>
      </c>
      <c r="E122" s="61"/>
      <c r="F122" s="61">
        <f t="shared" si="256"/>
        <v>13916</v>
      </c>
      <c r="G122" s="61">
        <f t="shared" si="257"/>
        <v>13916</v>
      </c>
      <c r="H122" s="61">
        <v>13916</v>
      </c>
      <c r="I122" s="61"/>
      <c r="J122" s="61"/>
      <c r="K122" s="61"/>
      <c r="L122" s="61"/>
      <c r="M122" s="61"/>
      <c r="N122" s="508"/>
      <c r="O122" s="61"/>
      <c r="P122" s="61"/>
      <c r="Q122" s="61"/>
      <c r="R122" s="61"/>
      <c r="S122" s="61"/>
      <c r="T122" s="61"/>
      <c r="U122" s="375">
        <f t="shared" si="258"/>
        <v>0</v>
      </c>
      <c r="V122" s="375">
        <f t="shared" si="259"/>
        <v>0</v>
      </c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29">
        <f t="shared" si="260"/>
        <v>0</v>
      </c>
      <c r="AG122" s="329">
        <f t="shared" si="261"/>
        <v>13916</v>
      </c>
    </row>
    <row r="123" spans="1:35" hidden="1" outlineLevel="1" x14ac:dyDescent="0.2">
      <c r="A123" s="67"/>
      <c r="B123" s="84"/>
      <c r="C123" s="85"/>
      <c r="D123" s="88" t="s">
        <v>263</v>
      </c>
      <c r="E123" s="61"/>
      <c r="F123" s="61">
        <f t="shared" si="256"/>
        <v>5</v>
      </c>
      <c r="G123" s="61">
        <f t="shared" si="257"/>
        <v>5</v>
      </c>
      <c r="H123" s="61">
        <v>5</v>
      </c>
      <c r="I123" s="61"/>
      <c r="J123" s="61"/>
      <c r="K123" s="61"/>
      <c r="L123" s="61"/>
      <c r="M123" s="61"/>
      <c r="N123" s="508"/>
      <c r="O123" s="61"/>
      <c r="P123" s="61"/>
      <c r="Q123" s="61"/>
      <c r="R123" s="61"/>
      <c r="S123" s="61"/>
      <c r="T123" s="61"/>
      <c r="U123" s="375">
        <f t="shared" si="258"/>
        <v>0</v>
      </c>
      <c r="V123" s="375">
        <f t="shared" si="259"/>
        <v>0</v>
      </c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29">
        <f t="shared" si="260"/>
        <v>0</v>
      </c>
      <c r="AG123" s="329">
        <f t="shared" si="261"/>
        <v>5</v>
      </c>
    </row>
    <row r="124" spans="1:35" hidden="1" outlineLevel="1" x14ac:dyDescent="0.2">
      <c r="A124" s="67"/>
      <c r="B124" s="84"/>
      <c r="C124" s="85"/>
      <c r="D124" s="88" t="s">
        <v>163</v>
      </c>
      <c r="E124" s="61">
        <f>55+54386</f>
        <v>54441</v>
      </c>
      <c r="F124" s="61">
        <f t="shared" si="256"/>
        <v>146196</v>
      </c>
      <c r="G124" s="61">
        <f t="shared" si="257"/>
        <v>91755</v>
      </c>
      <c r="H124" s="61">
        <v>91754</v>
      </c>
      <c r="I124" s="61">
        <v>1</v>
      </c>
      <c r="J124" s="61"/>
      <c r="K124" s="61"/>
      <c r="L124" s="61"/>
      <c r="M124" s="61"/>
      <c r="N124" s="508"/>
      <c r="O124" s="61"/>
      <c r="P124" s="61"/>
      <c r="Q124" s="61"/>
      <c r="R124" s="61"/>
      <c r="S124" s="61"/>
      <c r="T124" s="61"/>
      <c r="U124" s="375">
        <f t="shared" si="258"/>
        <v>0</v>
      </c>
      <c r="V124" s="375">
        <f t="shared" si="259"/>
        <v>0</v>
      </c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29">
        <f t="shared" si="260"/>
        <v>54441</v>
      </c>
      <c r="AG124" s="329">
        <f t="shared" si="261"/>
        <v>146196</v>
      </c>
    </row>
    <row r="125" spans="1:35" ht="24" hidden="1" outlineLevel="1" x14ac:dyDescent="0.2">
      <c r="A125" s="67"/>
      <c r="B125" s="84"/>
      <c r="C125" s="85"/>
      <c r="D125" s="88" t="s">
        <v>400</v>
      </c>
      <c r="E125" s="61"/>
      <c r="F125" s="61">
        <f t="shared" si="256"/>
        <v>609</v>
      </c>
      <c r="G125" s="61">
        <f t="shared" si="257"/>
        <v>609</v>
      </c>
      <c r="H125" s="61">
        <v>609</v>
      </c>
      <c r="I125" s="61"/>
      <c r="J125" s="61"/>
      <c r="K125" s="61"/>
      <c r="L125" s="61"/>
      <c r="M125" s="61"/>
      <c r="N125" s="508"/>
      <c r="O125" s="61"/>
      <c r="P125" s="61"/>
      <c r="Q125" s="61"/>
      <c r="R125" s="61"/>
      <c r="S125" s="61"/>
      <c r="T125" s="61"/>
      <c r="U125" s="375">
        <f t="shared" si="258"/>
        <v>0</v>
      </c>
      <c r="V125" s="375">
        <f t="shared" si="259"/>
        <v>0</v>
      </c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29">
        <f t="shared" si="260"/>
        <v>0</v>
      </c>
      <c r="AG125" s="329">
        <f t="shared" si="261"/>
        <v>609</v>
      </c>
    </row>
    <row r="126" spans="1:35" ht="24" hidden="1" outlineLevel="1" x14ac:dyDescent="0.2">
      <c r="A126" s="67"/>
      <c r="B126" s="84"/>
      <c r="C126" s="85"/>
      <c r="D126" s="88" t="s">
        <v>369</v>
      </c>
      <c r="E126" s="61"/>
      <c r="F126" s="61">
        <f t="shared" si="256"/>
        <v>5233</v>
      </c>
      <c r="G126" s="61">
        <f t="shared" si="257"/>
        <v>5233</v>
      </c>
      <c r="H126" s="61">
        <v>5297</v>
      </c>
      <c r="I126" s="61">
        <v>-64</v>
      </c>
      <c r="J126" s="61"/>
      <c r="K126" s="61"/>
      <c r="L126" s="61"/>
      <c r="M126" s="61"/>
      <c r="N126" s="508"/>
      <c r="O126" s="61"/>
      <c r="P126" s="61"/>
      <c r="Q126" s="61"/>
      <c r="R126" s="61"/>
      <c r="S126" s="61"/>
      <c r="T126" s="61"/>
      <c r="U126" s="375">
        <f t="shared" si="258"/>
        <v>0</v>
      </c>
      <c r="V126" s="375">
        <f t="shared" si="259"/>
        <v>0</v>
      </c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29">
        <f t="shared" si="260"/>
        <v>0</v>
      </c>
      <c r="AG126" s="329">
        <f t="shared" si="261"/>
        <v>5233</v>
      </c>
    </row>
    <row r="127" spans="1:35" hidden="1" outlineLevel="1" x14ac:dyDescent="0.2">
      <c r="A127" s="67"/>
      <c r="B127" s="84"/>
      <c r="C127" s="85"/>
      <c r="D127" s="88" t="s">
        <v>257</v>
      </c>
      <c r="E127" s="61"/>
      <c r="F127" s="61">
        <f t="shared" si="256"/>
        <v>16428</v>
      </c>
      <c r="G127" s="61">
        <f t="shared" si="257"/>
        <v>16428</v>
      </c>
      <c r="H127" s="61">
        <f>15649+778</f>
        <v>16427</v>
      </c>
      <c r="I127" s="61"/>
      <c r="J127" s="61">
        <v>1</v>
      </c>
      <c r="K127" s="61"/>
      <c r="L127" s="61"/>
      <c r="M127" s="61"/>
      <c r="N127" s="508"/>
      <c r="O127" s="61"/>
      <c r="P127" s="61"/>
      <c r="Q127" s="61"/>
      <c r="R127" s="61"/>
      <c r="S127" s="61"/>
      <c r="T127" s="61"/>
      <c r="U127" s="375">
        <f t="shared" si="258"/>
        <v>0</v>
      </c>
      <c r="V127" s="375">
        <f t="shared" si="259"/>
        <v>0</v>
      </c>
      <c r="W127" s="375"/>
      <c r="X127" s="375"/>
      <c r="Y127" s="375"/>
      <c r="Z127" s="375"/>
      <c r="AA127" s="375"/>
      <c r="AB127" s="375"/>
      <c r="AC127" s="375"/>
      <c r="AD127" s="375"/>
      <c r="AE127" s="375"/>
      <c r="AF127" s="329">
        <f t="shared" si="260"/>
        <v>0</v>
      </c>
      <c r="AG127" s="329">
        <f t="shared" si="261"/>
        <v>16428</v>
      </c>
    </row>
    <row r="128" spans="1:35" hidden="1" outlineLevel="1" x14ac:dyDescent="0.2">
      <c r="A128" s="67"/>
      <c r="B128" s="84"/>
      <c r="C128" s="85"/>
      <c r="D128" s="88" t="s">
        <v>697</v>
      </c>
      <c r="E128" s="61"/>
      <c r="F128" s="61">
        <f t="shared" si="256"/>
        <v>357</v>
      </c>
      <c r="G128" s="61">
        <f t="shared" si="257"/>
        <v>357</v>
      </c>
      <c r="H128" s="61">
        <v>357</v>
      </c>
      <c r="I128" s="61"/>
      <c r="J128" s="61"/>
      <c r="K128" s="61"/>
      <c r="L128" s="61"/>
      <c r="M128" s="61"/>
      <c r="N128" s="508"/>
      <c r="O128" s="61"/>
      <c r="P128" s="61"/>
      <c r="Q128" s="61"/>
      <c r="R128" s="61"/>
      <c r="S128" s="61"/>
      <c r="T128" s="61"/>
      <c r="U128" s="375">
        <f t="shared" si="258"/>
        <v>0</v>
      </c>
      <c r="V128" s="375">
        <f t="shared" si="259"/>
        <v>0</v>
      </c>
      <c r="W128" s="375"/>
      <c r="X128" s="375"/>
      <c r="Y128" s="375"/>
      <c r="Z128" s="375"/>
      <c r="AA128" s="375"/>
      <c r="AB128" s="375"/>
      <c r="AC128" s="375"/>
      <c r="AD128" s="375"/>
      <c r="AE128" s="375"/>
      <c r="AF128" s="329">
        <f t="shared" si="260"/>
        <v>0</v>
      </c>
      <c r="AG128" s="329">
        <f t="shared" si="261"/>
        <v>357</v>
      </c>
    </row>
    <row r="129" spans="1:33" hidden="1" outlineLevel="1" x14ac:dyDescent="0.2">
      <c r="A129" s="67"/>
      <c r="B129" s="84"/>
      <c r="C129" s="85"/>
      <c r="D129" s="88"/>
      <c r="E129" s="61"/>
      <c r="F129" s="61">
        <f t="shared" si="256"/>
        <v>0</v>
      </c>
      <c r="G129" s="61">
        <f t="shared" si="257"/>
        <v>0</v>
      </c>
      <c r="H129" s="61"/>
      <c r="I129" s="61"/>
      <c r="J129" s="61"/>
      <c r="K129" s="61"/>
      <c r="L129" s="61"/>
      <c r="M129" s="61"/>
      <c r="N129" s="508"/>
      <c r="O129" s="61"/>
      <c r="P129" s="61"/>
      <c r="Q129" s="61"/>
      <c r="R129" s="61"/>
      <c r="S129" s="61"/>
      <c r="T129" s="61"/>
      <c r="U129" s="375">
        <f t="shared" si="258"/>
        <v>0</v>
      </c>
      <c r="V129" s="375">
        <f t="shared" si="259"/>
        <v>0</v>
      </c>
      <c r="W129" s="375"/>
      <c r="X129" s="375"/>
      <c r="Y129" s="375"/>
      <c r="Z129" s="375"/>
      <c r="AA129" s="375"/>
      <c r="AB129" s="375"/>
      <c r="AC129" s="375"/>
      <c r="AD129" s="375"/>
      <c r="AE129" s="375"/>
      <c r="AF129" s="329">
        <f t="shared" si="260"/>
        <v>0</v>
      </c>
      <c r="AG129" s="329">
        <f t="shared" si="261"/>
        <v>0</v>
      </c>
    </row>
    <row r="130" spans="1:33" hidden="1" outlineLevel="1" x14ac:dyDescent="0.2">
      <c r="A130" s="67"/>
      <c r="B130" s="84"/>
      <c r="C130" s="85"/>
      <c r="D130" s="88"/>
      <c r="E130" s="61"/>
      <c r="F130" s="61">
        <f t="shared" si="256"/>
        <v>0</v>
      </c>
      <c r="G130" s="61">
        <f t="shared" si="257"/>
        <v>0</v>
      </c>
      <c r="H130" s="61"/>
      <c r="I130" s="61"/>
      <c r="J130" s="61"/>
      <c r="K130" s="61"/>
      <c r="L130" s="61"/>
      <c r="M130" s="61"/>
      <c r="N130" s="508"/>
      <c r="O130" s="61"/>
      <c r="P130" s="61"/>
      <c r="Q130" s="61"/>
      <c r="R130" s="61"/>
      <c r="S130" s="61"/>
      <c r="T130" s="61"/>
      <c r="U130" s="375">
        <f t="shared" si="258"/>
        <v>0</v>
      </c>
      <c r="V130" s="375">
        <f t="shared" si="259"/>
        <v>0</v>
      </c>
      <c r="W130" s="375"/>
      <c r="X130" s="375"/>
      <c r="Y130" s="375"/>
      <c r="Z130" s="375"/>
      <c r="AA130" s="375"/>
      <c r="AB130" s="375"/>
      <c r="AC130" s="375"/>
      <c r="AD130" s="375"/>
      <c r="AE130" s="375"/>
      <c r="AF130" s="329">
        <f t="shared" si="260"/>
        <v>0</v>
      </c>
      <c r="AG130" s="329">
        <f t="shared" si="261"/>
        <v>0</v>
      </c>
    </row>
    <row r="131" spans="1:33" hidden="1" outlineLevel="1" x14ac:dyDescent="0.2">
      <c r="A131" s="67"/>
      <c r="B131" s="84"/>
      <c r="C131" s="85"/>
      <c r="D131" s="88" t="s">
        <v>140</v>
      </c>
      <c r="E131" s="61">
        <f>49663+8569+4846</f>
        <v>63078</v>
      </c>
      <c r="F131" s="61">
        <f t="shared" si="256"/>
        <v>59674</v>
      </c>
      <c r="G131" s="61">
        <f t="shared" si="257"/>
        <v>-3404</v>
      </c>
      <c r="H131" s="61">
        <v>-3404</v>
      </c>
      <c r="I131" s="61"/>
      <c r="J131" s="61"/>
      <c r="K131" s="61"/>
      <c r="L131" s="61"/>
      <c r="M131" s="61"/>
      <c r="N131" s="508"/>
      <c r="O131" s="61"/>
      <c r="P131" s="61"/>
      <c r="Q131" s="61"/>
      <c r="R131" s="61"/>
      <c r="S131" s="61"/>
      <c r="T131" s="61"/>
      <c r="U131" s="375">
        <f t="shared" si="258"/>
        <v>0</v>
      </c>
      <c r="V131" s="375">
        <f t="shared" si="259"/>
        <v>0</v>
      </c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29">
        <f t="shared" si="260"/>
        <v>63078</v>
      </c>
      <c r="AG131" s="329">
        <f t="shared" si="261"/>
        <v>59674</v>
      </c>
    </row>
    <row r="132" spans="1:33" hidden="1" outlineLevel="1" x14ac:dyDescent="0.2">
      <c r="A132" s="67"/>
      <c r="B132" s="84"/>
      <c r="C132" s="85"/>
      <c r="D132" s="68" t="s">
        <v>57</v>
      </c>
      <c r="E132" s="61">
        <v>30265</v>
      </c>
      <c r="F132" s="61">
        <f t="shared" si="256"/>
        <v>30289</v>
      </c>
      <c r="G132" s="61">
        <f t="shared" si="257"/>
        <v>24</v>
      </c>
      <c r="H132" s="61">
        <v>23</v>
      </c>
      <c r="I132" s="61"/>
      <c r="J132" s="61">
        <v>1</v>
      </c>
      <c r="K132" s="61"/>
      <c r="L132" s="61"/>
      <c r="M132" s="61"/>
      <c r="N132" s="508"/>
      <c r="O132" s="61"/>
      <c r="P132" s="61"/>
      <c r="Q132" s="61"/>
      <c r="R132" s="61"/>
      <c r="S132" s="61"/>
      <c r="T132" s="61"/>
      <c r="U132" s="375">
        <f t="shared" si="258"/>
        <v>0</v>
      </c>
      <c r="V132" s="375">
        <f t="shared" si="259"/>
        <v>0</v>
      </c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29">
        <f t="shared" si="260"/>
        <v>30265</v>
      </c>
      <c r="AG132" s="329">
        <f t="shared" si="261"/>
        <v>30289</v>
      </c>
    </row>
    <row r="133" spans="1:33" ht="24" hidden="1" outlineLevel="1" x14ac:dyDescent="0.2">
      <c r="A133" s="67"/>
      <c r="B133" s="84"/>
      <c r="C133" s="85"/>
      <c r="D133" s="68" t="s">
        <v>80</v>
      </c>
      <c r="E133" s="61">
        <f>9987+36206</f>
        <v>46193</v>
      </c>
      <c r="F133" s="61">
        <f t="shared" si="256"/>
        <v>51905</v>
      </c>
      <c r="G133" s="61">
        <f t="shared" si="257"/>
        <v>5712</v>
      </c>
      <c r="H133" s="61">
        <v>5711</v>
      </c>
      <c r="I133" s="61"/>
      <c r="J133" s="61">
        <v>1</v>
      </c>
      <c r="K133" s="61"/>
      <c r="L133" s="61"/>
      <c r="M133" s="61"/>
      <c r="N133" s="508"/>
      <c r="O133" s="61"/>
      <c r="P133" s="61"/>
      <c r="Q133" s="61"/>
      <c r="R133" s="61"/>
      <c r="S133" s="61"/>
      <c r="T133" s="61"/>
      <c r="U133" s="375">
        <f t="shared" si="258"/>
        <v>0</v>
      </c>
      <c r="V133" s="375">
        <f t="shared" si="259"/>
        <v>0</v>
      </c>
      <c r="W133" s="375"/>
      <c r="X133" s="375"/>
      <c r="Y133" s="375"/>
      <c r="Z133" s="375"/>
      <c r="AA133" s="375"/>
      <c r="AB133" s="375"/>
      <c r="AC133" s="375"/>
      <c r="AD133" s="375"/>
      <c r="AE133" s="375"/>
      <c r="AF133" s="329">
        <f t="shared" si="260"/>
        <v>46193</v>
      </c>
      <c r="AG133" s="329">
        <f t="shared" si="261"/>
        <v>51905</v>
      </c>
    </row>
    <row r="134" spans="1:33" hidden="1" outlineLevel="1" x14ac:dyDescent="0.2">
      <c r="A134" s="67"/>
      <c r="B134" s="84"/>
      <c r="C134" s="85"/>
      <c r="D134" s="68" t="s">
        <v>187</v>
      </c>
      <c r="E134" s="61">
        <v>3016</v>
      </c>
      <c r="F134" s="61">
        <f t="shared" si="256"/>
        <v>2498</v>
      </c>
      <c r="G134" s="61">
        <f t="shared" si="257"/>
        <v>-518</v>
      </c>
      <c r="H134" s="61">
        <v>-518</v>
      </c>
      <c r="I134" s="61"/>
      <c r="J134" s="61"/>
      <c r="K134" s="61"/>
      <c r="L134" s="61"/>
      <c r="M134" s="61"/>
      <c r="N134" s="508"/>
      <c r="O134" s="61"/>
      <c r="P134" s="61"/>
      <c r="Q134" s="61"/>
      <c r="R134" s="61"/>
      <c r="S134" s="61"/>
      <c r="T134" s="61"/>
      <c r="U134" s="375">
        <f t="shared" si="258"/>
        <v>0</v>
      </c>
      <c r="V134" s="375">
        <f t="shared" si="259"/>
        <v>0</v>
      </c>
      <c r="W134" s="375"/>
      <c r="X134" s="375"/>
      <c r="Y134" s="375"/>
      <c r="Z134" s="375"/>
      <c r="AA134" s="375"/>
      <c r="AB134" s="375"/>
      <c r="AC134" s="375"/>
      <c r="AD134" s="375"/>
      <c r="AE134" s="375"/>
      <c r="AF134" s="329">
        <f t="shared" si="260"/>
        <v>3016</v>
      </c>
      <c r="AG134" s="329">
        <f t="shared" si="261"/>
        <v>2498</v>
      </c>
    </row>
    <row r="135" spans="1:33" hidden="1" outlineLevel="1" x14ac:dyDescent="0.2">
      <c r="A135" s="67"/>
      <c r="B135" s="84"/>
      <c r="C135" s="85"/>
      <c r="D135" s="68" t="s">
        <v>126</v>
      </c>
      <c r="E135" s="61">
        <f>564728</f>
        <v>564728</v>
      </c>
      <c r="F135" s="61">
        <f t="shared" si="256"/>
        <v>625503</v>
      </c>
      <c r="G135" s="61">
        <f t="shared" si="257"/>
        <v>60775</v>
      </c>
      <c r="H135" s="61">
        <f>94875-34100</f>
        <v>60775</v>
      </c>
      <c r="I135" s="61"/>
      <c r="J135" s="61"/>
      <c r="K135" s="61"/>
      <c r="L135" s="61"/>
      <c r="M135" s="61"/>
      <c r="N135" s="508"/>
      <c r="O135" s="61"/>
      <c r="P135" s="61"/>
      <c r="Q135" s="61"/>
      <c r="R135" s="61"/>
      <c r="S135" s="61"/>
      <c r="T135" s="61"/>
      <c r="U135" s="375">
        <f t="shared" si="258"/>
        <v>0</v>
      </c>
      <c r="V135" s="375">
        <f t="shared" si="259"/>
        <v>0</v>
      </c>
      <c r="W135" s="375"/>
      <c r="X135" s="375"/>
      <c r="Y135" s="375"/>
      <c r="Z135" s="375"/>
      <c r="AA135" s="375"/>
      <c r="AB135" s="375"/>
      <c r="AC135" s="375"/>
      <c r="AD135" s="375"/>
      <c r="AE135" s="375"/>
      <c r="AF135" s="329">
        <f t="shared" si="260"/>
        <v>564728</v>
      </c>
      <c r="AG135" s="329">
        <f t="shared" si="261"/>
        <v>625503</v>
      </c>
    </row>
    <row r="136" spans="1:33" ht="24" hidden="1" outlineLevel="1" x14ac:dyDescent="0.2">
      <c r="A136" s="67"/>
      <c r="B136" s="84"/>
      <c r="C136" s="85"/>
      <c r="D136" s="68" t="s">
        <v>159</v>
      </c>
      <c r="E136" s="61">
        <v>0</v>
      </c>
      <c r="F136" s="61">
        <f t="shared" si="256"/>
        <v>5471</v>
      </c>
      <c r="G136" s="61">
        <f t="shared" si="257"/>
        <v>5471</v>
      </c>
      <c r="H136" s="61">
        <v>5470</v>
      </c>
      <c r="I136" s="61"/>
      <c r="J136" s="61">
        <v>1</v>
      </c>
      <c r="K136" s="61"/>
      <c r="L136" s="61"/>
      <c r="M136" s="61"/>
      <c r="N136" s="508"/>
      <c r="O136" s="61"/>
      <c r="P136" s="61"/>
      <c r="Q136" s="61"/>
      <c r="R136" s="61"/>
      <c r="S136" s="61"/>
      <c r="T136" s="61"/>
      <c r="U136" s="375">
        <f t="shared" si="258"/>
        <v>0</v>
      </c>
      <c r="V136" s="375">
        <f t="shared" si="259"/>
        <v>0</v>
      </c>
      <c r="W136" s="375"/>
      <c r="X136" s="375"/>
      <c r="Y136" s="375"/>
      <c r="Z136" s="375"/>
      <c r="AA136" s="375"/>
      <c r="AB136" s="375"/>
      <c r="AC136" s="375"/>
      <c r="AD136" s="375"/>
      <c r="AE136" s="375"/>
      <c r="AF136" s="329">
        <f t="shared" si="260"/>
        <v>0</v>
      </c>
      <c r="AG136" s="329">
        <f t="shared" si="261"/>
        <v>5471</v>
      </c>
    </row>
    <row r="137" spans="1:33" hidden="1" outlineLevel="1" x14ac:dyDescent="0.2">
      <c r="A137" s="67"/>
      <c r="B137" s="84"/>
      <c r="C137" s="85"/>
      <c r="D137" s="68" t="s">
        <v>741</v>
      </c>
      <c r="E137" s="61"/>
      <c r="F137" s="61">
        <f t="shared" ref="F137" si="262">G137+E137</f>
        <v>800</v>
      </c>
      <c r="G137" s="61">
        <f t="shared" ref="G137" si="263">SUM(H137:S137)</f>
        <v>800</v>
      </c>
      <c r="H137" s="61"/>
      <c r="I137" s="61"/>
      <c r="J137" s="61"/>
      <c r="K137" s="61">
        <v>800</v>
      </c>
      <c r="L137" s="61"/>
      <c r="M137" s="61"/>
      <c r="N137" s="508"/>
      <c r="O137" s="61"/>
      <c r="P137" s="61"/>
      <c r="Q137" s="61"/>
      <c r="R137" s="61"/>
      <c r="S137" s="61"/>
      <c r="T137" s="61"/>
      <c r="U137" s="375">
        <f t="shared" ref="U137" si="264">V137+T137</f>
        <v>-800</v>
      </c>
      <c r="V137" s="375">
        <f t="shared" si="259"/>
        <v>-800</v>
      </c>
      <c r="W137" s="375"/>
      <c r="X137" s="375"/>
      <c r="Y137" s="375"/>
      <c r="Z137" s="375">
        <v>-800</v>
      </c>
      <c r="AA137" s="375"/>
      <c r="AB137" s="375"/>
      <c r="AC137" s="375"/>
      <c r="AD137" s="375"/>
      <c r="AE137" s="375"/>
      <c r="AF137" s="329">
        <f t="shared" si="260"/>
        <v>0</v>
      </c>
      <c r="AG137" s="329">
        <f t="shared" si="261"/>
        <v>0</v>
      </c>
    </row>
    <row r="138" spans="1:33" hidden="1" outlineLevel="1" x14ac:dyDescent="0.2">
      <c r="A138" s="67"/>
      <c r="B138" s="84"/>
      <c r="C138" s="85"/>
      <c r="D138" s="68"/>
      <c r="E138" s="61"/>
      <c r="F138" s="61"/>
      <c r="G138" s="61"/>
      <c r="H138" s="61"/>
      <c r="I138" s="61"/>
      <c r="J138" s="61"/>
      <c r="K138" s="61"/>
      <c r="L138" s="61"/>
      <c r="M138" s="61"/>
      <c r="N138" s="508"/>
      <c r="O138" s="61"/>
      <c r="P138" s="61"/>
      <c r="Q138" s="61"/>
      <c r="R138" s="61"/>
      <c r="S138" s="61"/>
      <c r="T138" s="61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29"/>
      <c r="AG138" s="329"/>
    </row>
    <row r="139" spans="1:33" ht="6" customHeight="1" collapsed="1" x14ac:dyDescent="0.2">
      <c r="A139" s="89"/>
      <c r="B139" s="90"/>
      <c r="C139" s="91"/>
      <c r="D139" s="68"/>
      <c r="E139" s="72"/>
      <c r="F139" s="72"/>
      <c r="G139" s="72"/>
      <c r="H139" s="72"/>
      <c r="I139" s="72"/>
      <c r="J139" s="72"/>
      <c r="K139" s="72"/>
      <c r="L139" s="72"/>
      <c r="M139" s="72"/>
      <c r="N139" s="511"/>
      <c r="O139" s="72"/>
      <c r="P139" s="72"/>
      <c r="Q139" s="72"/>
      <c r="R139" s="72"/>
      <c r="S139" s="72"/>
      <c r="T139" s="72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34"/>
      <c r="AG139" s="334"/>
    </row>
    <row r="140" spans="1:33" x14ac:dyDescent="0.2">
      <c r="A140" s="608" t="s">
        <v>175</v>
      </c>
      <c r="B140" s="609"/>
      <c r="C140" s="609"/>
      <c r="D140" s="610"/>
      <c r="E140" s="296">
        <f t="shared" ref="E140:F140" si="265">SUM(E142,E147)</f>
        <v>12883</v>
      </c>
      <c r="F140" s="296">
        <f t="shared" si="265"/>
        <v>15288</v>
      </c>
      <c r="G140" s="296">
        <f t="shared" ref="G140:S140" si="266">SUM(G142,G147)</f>
        <v>2405</v>
      </c>
      <c r="H140" s="296">
        <f t="shared" si="266"/>
        <v>0</v>
      </c>
      <c r="I140" s="296">
        <f t="shared" si="266"/>
        <v>2405</v>
      </c>
      <c r="J140" s="296">
        <f t="shared" si="266"/>
        <v>0</v>
      </c>
      <c r="K140" s="296">
        <f t="shared" si="266"/>
        <v>0</v>
      </c>
      <c r="L140" s="296">
        <f t="shared" si="266"/>
        <v>0</v>
      </c>
      <c r="M140" s="296">
        <f t="shared" si="266"/>
        <v>0</v>
      </c>
      <c r="N140" s="517">
        <f t="shared" si="266"/>
        <v>0</v>
      </c>
      <c r="O140" s="296">
        <f t="shared" si="266"/>
        <v>0</v>
      </c>
      <c r="P140" s="296">
        <f t="shared" si="266"/>
        <v>0</v>
      </c>
      <c r="Q140" s="296">
        <f t="shared" si="266"/>
        <v>0</v>
      </c>
      <c r="R140" s="296">
        <f t="shared" si="266"/>
        <v>0</v>
      </c>
      <c r="S140" s="296">
        <f t="shared" si="266"/>
        <v>0</v>
      </c>
      <c r="T140" s="296">
        <f t="shared" ref="T140:AE140" si="267">SUM(T142,T147)</f>
        <v>0</v>
      </c>
      <c r="U140" s="387">
        <f t="shared" si="267"/>
        <v>0</v>
      </c>
      <c r="V140" s="387">
        <f t="shared" si="267"/>
        <v>0</v>
      </c>
      <c r="W140" s="387">
        <f t="shared" si="267"/>
        <v>0</v>
      </c>
      <c r="X140" s="387">
        <f t="shared" si="267"/>
        <v>0</v>
      </c>
      <c r="Y140" s="387">
        <f t="shared" si="267"/>
        <v>0</v>
      </c>
      <c r="Z140" s="387">
        <f t="shared" si="267"/>
        <v>0</v>
      </c>
      <c r="AA140" s="387">
        <f t="shared" ref="AA140:AD140" si="268">SUM(AA142,AA147)</f>
        <v>0</v>
      </c>
      <c r="AB140" s="387">
        <f t="shared" si="268"/>
        <v>0</v>
      </c>
      <c r="AC140" s="387">
        <f t="shared" si="268"/>
        <v>0</v>
      </c>
      <c r="AD140" s="387">
        <f t="shared" si="268"/>
        <v>0</v>
      </c>
      <c r="AE140" s="387">
        <f t="shared" si="267"/>
        <v>0</v>
      </c>
      <c r="AF140" s="340">
        <f t="shared" ref="AF140:AG140" si="269">SUM(AF142,AF147)</f>
        <v>12883</v>
      </c>
      <c r="AG140" s="340">
        <f t="shared" si="269"/>
        <v>15288</v>
      </c>
    </row>
    <row r="141" spans="1:33" ht="6" customHeight="1" x14ac:dyDescent="0.2">
      <c r="A141" s="89"/>
      <c r="B141" s="90"/>
      <c r="C141" s="91"/>
      <c r="D141" s="68"/>
      <c r="E141" s="97"/>
      <c r="F141" s="97"/>
      <c r="G141" s="97"/>
      <c r="H141" s="97"/>
      <c r="I141" s="97"/>
      <c r="J141" s="97"/>
      <c r="K141" s="97"/>
      <c r="L141" s="97"/>
      <c r="M141" s="97"/>
      <c r="N141" s="518"/>
      <c r="O141" s="97"/>
      <c r="P141" s="97"/>
      <c r="Q141" s="97"/>
      <c r="R141" s="97"/>
      <c r="S141" s="97"/>
      <c r="T141" s="97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41"/>
      <c r="AG141" s="341"/>
    </row>
    <row r="142" spans="1:33" x14ac:dyDescent="0.2">
      <c r="A142" s="611" t="s">
        <v>112</v>
      </c>
      <c r="B142" s="612"/>
      <c r="C142" s="613"/>
      <c r="D142" s="99" t="s">
        <v>176</v>
      </c>
      <c r="E142" s="100">
        <f t="shared" ref="E142" si="270">SUM(E143:E144)</f>
        <v>1530</v>
      </c>
      <c r="F142" s="100">
        <f>SUM(F143:F144)</f>
        <v>1530</v>
      </c>
      <c r="G142" s="100">
        <f t="shared" ref="G142:S142" si="271">SUM(G143:G144)</f>
        <v>0</v>
      </c>
      <c r="H142" s="100">
        <f t="shared" si="271"/>
        <v>0</v>
      </c>
      <c r="I142" s="100">
        <f t="shared" si="271"/>
        <v>0</v>
      </c>
      <c r="J142" s="100">
        <f t="shared" si="271"/>
        <v>0</v>
      </c>
      <c r="K142" s="100">
        <f t="shared" si="271"/>
        <v>0</v>
      </c>
      <c r="L142" s="100">
        <f t="shared" si="271"/>
        <v>0</v>
      </c>
      <c r="M142" s="100">
        <f t="shared" si="271"/>
        <v>0</v>
      </c>
      <c r="N142" s="519">
        <f t="shared" si="271"/>
        <v>0</v>
      </c>
      <c r="O142" s="100">
        <f t="shared" si="271"/>
        <v>0</v>
      </c>
      <c r="P142" s="100">
        <f t="shared" si="271"/>
        <v>0</v>
      </c>
      <c r="Q142" s="100">
        <f t="shared" si="271"/>
        <v>0</v>
      </c>
      <c r="R142" s="100">
        <f t="shared" si="271"/>
        <v>0</v>
      </c>
      <c r="S142" s="100">
        <f t="shared" si="271"/>
        <v>0</v>
      </c>
      <c r="T142" s="100">
        <f t="shared" ref="T142:AE142" si="272">SUM(T143:T144)</f>
        <v>0</v>
      </c>
      <c r="U142" s="389">
        <f t="shared" si="272"/>
        <v>0</v>
      </c>
      <c r="V142" s="389">
        <f t="shared" si="272"/>
        <v>0</v>
      </c>
      <c r="W142" s="389">
        <f t="shared" si="272"/>
        <v>0</v>
      </c>
      <c r="X142" s="389">
        <f t="shared" si="272"/>
        <v>0</v>
      </c>
      <c r="Y142" s="389">
        <f t="shared" si="272"/>
        <v>0</v>
      </c>
      <c r="Z142" s="389">
        <f t="shared" si="272"/>
        <v>0</v>
      </c>
      <c r="AA142" s="389">
        <f t="shared" ref="AA142:AD142" si="273">SUM(AA143:AA144)</f>
        <v>0</v>
      </c>
      <c r="AB142" s="389">
        <f t="shared" si="273"/>
        <v>0</v>
      </c>
      <c r="AC142" s="389">
        <f t="shared" si="273"/>
        <v>0</v>
      </c>
      <c r="AD142" s="389">
        <f t="shared" si="273"/>
        <v>0</v>
      </c>
      <c r="AE142" s="389">
        <f t="shared" si="272"/>
        <v>0</v>
      </c>
      <c r="AF142" s="342">
        <f t="shared" ref="AF142:AG142" si="274">SUM(AF143:AF144)</f>
        <v>1530</v>
      </c>
      <c r="AG142" s="342">
        <f t="shared" si="274"/>
        <v>1530</v>
      </c>
    </row>
    <row r="143" spans="1:33" s="181" customFormat="1" x14ac:dyDescent="0.2">
      <c r="A143" s="78"/>
      <c r="B143" s="599" t="s">
        <v>161</v>
      </c>
      <c r="C143" s="600"/>
      <c r="D143" s="68" t="s">
        <v>162</v>
      </c>
      <c r="E143" s="61">
        <v>0</v>
      </c>
      <c r="F143" s="61">
        <f t="shared" ref="F143:F144" si="275">G143+E143</f>
        <v>0</v>
      </c>
      <c r="G143" s="61">
        <f t="shared" ref="G143:G144" si="276">SUM(H143:S143)</f>
        <v>0</v>
      </c>
      <c r="H143" s="61"/>
      <c r="I143" s="61"/>
      <c r="J143" s="61"/>
      <c r="K143" s="61"/>
      <c r="L143" s="61"/>
      <c r="M143" s="61"/>
      <c r="N143" s="508"/>
      <c r="O143" s="61"/>
      <c r="P143" s="61"/>
      <c r="Q143" s="61"/>
      <c r="R143" s="61"/>
      <c r="S143" s="61"/>
      <c r="T143" s="61"/>
      <c r="U143" s="375">
        <f t="shared" ref="U143:U144" si="277">V143+T143</f>
        <v>0</v>
      </c>
      <c r="V143" s="375">
        <f>SUM(W143:AE143)</f>
        <v>0</v>
      </c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29">
        <f>E143+T143</f>
        <v>0</v>
      </c>
      <c r="AG143" s="329">
        <f>F143+U143</f>
        <v>0</v>
      </c>
    </row>
    <row r="144" spans="1:33" s="181" customFormat="1" ht="24" x14ac:dyDescent="0.2">
      <c r="A144" s="78"/>
      <c r="B144" s="599" t="s">
        <v>113</v>
      </c>
      <c r="C144" s="600"/>
      <c r="D144" s="68" t="s">
        <v>181</v>
      </c>
      <c r="E144" s="61">
        <v>1530</v>
      </c>
      <c r="F144" s="61">
        <f t="shared" si="275"/>
        <v>1530</v>
      </c>
      <c r="G144" s="61">
        <f t="shared" si="276"/>
        <v>0</v>
      </c>
      <c r="H144" s="61"/>
      <c r="I144" s="61"/>
      <c r="J144" s="61"/>
      <c r="K144" s="61"/>
      <c r="L144" s="61"/>
      <c r="M144" s="61"/>
      <c r="N144" s="508"/>
      <c r="O144" s="61"/>
      <c r="P144" s="61"/>
      <c r="Q144" s="61"/>
      <c r="R144" s="61"/>
      <c r="S144" s="61"/>
      <c r="T144" s="61"/>
      <c r="U144" s="375">
        <f t="shared" si="277"/>
        <v>0</v>
      </c>
      <c r="V144" s="375">
        <f>SUM(W144:AE144)</f>
        <v>0</v>
      </c>
      <c r="W144" s="375"/>
      <c r="X144" s="375"/>
      <c r="Y144" s="375"/>
      <c r="Z144" s="375"/>
      <c r="AA144" s="375"/>
      <c r="AB144" s="375"/>
      <c r="AC144" s="375"/>
      <c r="AD144" s="375"/>
      <c r="AE144" s="375"/>
      <c r="AF144" s="329">
        <f>E144+T144</f>
        <v>1530</v>
      </c>
      <c r="AG144" s="329">
        <f>F144+U144</f>
        <v>1530</v>
      </c>
    </row>
    <row r="145" spans="1:33" ht="6.75" customHeight="1" x14ac:dyDescent="0.2">
      <c r="A145" s="89"/>
      <c r="B145" s="90"/>
      <c r="C145" s="91"/>
      <c r="D145" s="68"/>
      <c r="E145" s="97"/>
      <c r="F145" s="97"/>
      <c r="G145" s="97"/>
      <c r="H145" s="97"/>
      <c r="I145" s="97"/>
      <c r="J145" s="97"/>
      <c r="K145" s="97"/>
      <c r="L145" s="97"/>
      <c r="M145" s="97"/>
      <c r="N145" s="518"/>
      <c r="O145" s="97"/>
      <c r="P145" s="97"/>
      <c r="Q145" s="97"/>
      <c r="R145" s="97"/>
      <c r="S145" s="97"/>
      <c r="T145" s="97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41"/>
      <c r="AG145" s="341"/>
    </row>
    <row r="146" spans="1:33" ht="6.75" customHeight="1" x14ac:dyDescent="0.2">
      <c r="A146" s="89"/>
      <c r="B146" s="90"/>
      <c r="C146" s="91"/>
      <c r="D146" s="68"/>
      <c r="E146" s="97"/>
      <c r="F146" s="97"/>
      <c r="G146" s="97"/>
      <c r="H146" s="97"/>
      <c r="I146" s="97"/>
      <c r="J146" s="97"/>
      <c r="K146" s="97"/>
      <c r="L146" s="97"/>
      <c r="M146" s="97"/>
      <c r="N146" s="518"/>
      <c r="O146" s="97"/>
      <c r="P146" s="97"/>
      <c r="Q146" s="97"/>
      <c r="R146" s="97"/>
      <c r="S146" s="97"/>
      <c r="T146" s="97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41"/>
      <c r="AG146" s="341"/>
    </row>
    <row r="147" spans="1:33" x14ac:dyDescent="0.2">
      <c r="A147" s="89"/>
      <c r="B147" s="90"/>
      <c r="C147" s="91"/>
      <c r="D147" s="79" t="s">
        <v>177</v>
      </c>
      <c r="E147" s="104">
        <f t="shared" ref="E147:AG147" si="278">SUM(E148)</f>
        <v>11353</v>
      </c>
      <c r="F147" s="104">
        <f t="shared" si="278"/>
        <v>13758</v>
      </c>
      <c r="G147" s="104">
        <f t="shared" si="278"/>
        <v>2405</v>
      </c>
      <c r="H147" s="104">
        <f t="shared" si="278"/>
        <v>0</v>
      </c>
      <c r="I147" s="104">
        <f t="shared" si="278"/>
        <v>2405</v>
      </c>
      <c r="J147" s="104">
        <f t="shared" si="278"/>
        <v>0</v>
      </c>
      <c r="K147" s="104">
        <f t="shared" si="278"/>
        <v>0</v>
      </c>
      <c r="L147" s="104">
        <f t="shared" si="278"/>
        <v>0</v>
      </c>
      <c r="M147" s="104">
        <f t="shared" si="278"/>
        <v>0</v>
      </c>
      <c r="N147" s="520">
        <f t="shared" si="278"/>
        <v>0</v>
      </c>
      <c r="O147" s="104">
        <f t="shared" si="278"/>
        <v>0</v>
      </c>
      <c r="P147" s="104">
        <f t="shared" si="278"/>
        <v>0</v>
      </c>
      <c r="Q147" s="104">
        <f t="shared" si="278"/>
        <v>0</v>
      </c>
      <c r="R147" s="104">
        <f t="shared" si="278"/>
        <v>0</v>
      </c>
      <c r="S147" s="104">
        <f t="shared" si="278"/>
        <v>0</v>
      </c>
      <c r="T147" s="104">
        <f t="shared" si="278"/>
        <v>0</v>
      </c>
      <c r="U147" s="390">
        <f t="shared" si="278"/>
        <v>0</v>
      </c>
      <c r="V147" s="390">
        <f t="shared" si="278"/>
        <v>0</v>
      </c>
      <c r="W147" s="390">
        <f t="shared" si="278"/>
        <v>0</v>
      </c>
      <c r="X147" s="390">
        <f t="shared" si="278"/>
        <v>0</v>
      </c>
      <c r="Y147" s="390">
        <f t="shared" si="278"/>
        <v>0</v>
      </c>
      <c r="Z147" s="390">
        <f t="shared" si="278"/>
        <v>0</v>
      </c>
      <c r="AA147" s="390">
        <f t="shared" si="278"/>
        <v>0</v>
      </c>
      <c r="AB147" s="390">
        <f t="shared" si="278"/>
        <v>0</v>
      </c>
      <c r="AC147" s="390">
        <f t="shared" si="278"/>
        <v>0</v>
      </c>
      <c r="AD147" s="390">
        <f t="shared" si="278"/>
        <v>0</v>
      </c>
      <c r="AE147" s="390">
        <f t="shared" si="278"/>
        <v>0</v>
      </c>
      <c r="AF147" s="343">
        <f t="shared" si="278"/>
        <v>11353</v>
      </c>
      <c r="AG147" s="343">
        <f t="shared" si="278"/>
        <v>13758</v>
      </c>
    </row>
    <row r="148" spans="1:33" x14ac:dyDescent="0.2">
      <c r="A148" s="89"/>
      <c r="B148" s="90"/>
      <c r="C148" s="91"/>
      <c r="D148" s="68" t="s">
        <v>178</v>
      </c>
      <c r="E148" s="72">
        <f t="shared" ref="E148:F148" si="279">SUM(E149:E150)</f>
        <v>11353</v>
      </c>
      <c r="F148" s="72">
        <f t="shared" si="279"/>
        <v>13758</v>
      </c>
      <c r="G148" s="72">
        <f t="shared" ref="G148:S148" si="280">SUM(G149:G150)</f>
        <v>2405</v>
      </c>
      <c r="H148" s="72">
        <f t="shared" si="280"/>
        <v>0</v>
      </c>
      <c r="I148" s="72">
        <f t="shared" si="280"/>
        <v>2405</v>
      </c>
      <c r="J148" s="72">
        <f t="shared" si="280"/>
        <v>0</v>
      </c>
      <c r="K148" s="72">
        <f t="shared" si="280"/>
        <v>0</v>
      </c>
      <c r="L148" s="72">
        <f t="shared" si="280"/>
        <v>0</v>
      </c>
      <c r="M148" s="72">
        <f t="shared" si="280"/>
        <v>0</v>
      </c>
      <c r="N148" s="511">
        <f t="shared" si="280"/>
        <v>0</v>
      </c>
      <c r="O148" s="72">
        <f t="shared" si="280"/>
        <v>0</v>
      </c>
      <c r="P148" s="72">
        <f t="shared" si="280"/>
        <v>0</v>
      </c>
      <c r="Q148" s="72">
        <f t="shared" si="280"/>
        <v>0</v>
      </c>
      <c r="R148" s="72">
        <f t="shared" si="280"/>
        <v>0</v>
      </c>
      <c r="S148" s="72">
        <f t="shared" si="280"/>
        <v>0</v>
      </c>
      <c r="T148" s="72">
        <f t="shared" ref="T148:AE148" si="281">SUM(T149:T150)</f>
        <v>0</v>
      </c>
      <c r="U148" s="380">
        <f t="shared" si="281"/>
        <v>0</v>
      </c>
      <c r="V148" s="380">
        <f t="shared" si="281"/>
        <v>0</v>
      </c>
      <c r="W148" s="380">
        <f t="shared" si="281"/>
        <v>0</v>
      </c>
      <c r="X148" s="380">
        <f t="shared" si="281"/>
        <v>0</v>
      </c>
      <c r="Y148" s="380">
        <f t="shared" si="281"/>
        <v>0</v>
      </c>
      <c r="Z148" s="380">
        <f t="shared" si="281"/>
        <v>0</v>
      </c>
      <c r="AA148" s="380">
        <f t="shared" ref="AA148:AD148" si="282">SUM(AA149:AA150)</f>
        <v>0</v>
      </c>
      <c r="AB148" s="380">
        <f t="shared" si="282"/>
        <v>0</v>
      </c>
      <c r="AC148" s="380">
        <f t="shared" si="282"/>
        <v>0</v>
      </c>
      <c r="AD148" s="380">
        <f t="shared" si="282"/>
        <v>0</v>
      </c>
      <c r="AE148" s="380">
        <f t="shared" si="281"/>
        <v>0</v>
      </c>
      <c r="AF148" s="334">
        <f t="shared" ref="AF148:AG148" si="283">SUM(AF149:AF150)</f>
        <v>11353</v>
      </c>
      <c r="AG148" s="334">
        <f t="shared" si="283"/>
        <v>13758</v>
      </c>
    </row>
    <row r="149" spans="1:33" ht="24" x14ac:dyDescent="0.2">
      <c r="A149" s="89"/>
      <c r="B149" s="90"/>
      <c r="C149" s="91"/>
      <c r="D149" s="101" t="s">
        <v>179</v>
      </c>
      <c r="E149" s="72">
        <v>8724</v>
      </c>
      <c r="F149" s="72">
        <f t="shared" ref="F149:F150" si="284">G149+E149</f>
        <v>9745</v>
      </c>
      <c r="G149" s="72">
        <f t="shared" ref="G149:G150" si="285">SUM(H149:S149)</f>
        <v>1021</v>
      </c>
      <c r="H149" s="72"/>
      <c r="I149" s="72">
        <f>237+566+218</f>
        <v>1021</v>
      </c>
      <c r="J149" s="72"/>
      <c r="K149" s="72"/>
      <c r="L149" s="72"/>
      <c r="M149" s="72"/>
      <c r="N149" s="511"/>
      <c r="O149" s="72"/>
      <c r="P149" s="72"/>
      <c r="Q149" s="72"/>
      <c r="R149" s="72"/>
      <c r="S149" s="72"/>
      <c r="T149" s="72"/>
      <c r="U149" s="380">
        <f t="shared" ref="U149:U150" si="286">V149+T149</f>
        <v>0</v>
      </c>
      <c r="V149" s="380">
        <f>SUM(W149:AE149)</f>
        <v>0</v>
      </c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34">
        <f>E149+T149</f>
        <v>8724</v>
      </c>
      <c r="AG149" s="334">
        <f>F149+U149</f>
        <v>9745</v>
      </c>
    </row>
    <row r="150" spans="1:33" ht="24" x14ac:dyDescent="0.2">
      <c r="A150" s="89"/>
      <c r="B150" s="90"/>
      <c r="C150" s="91"/>
      <c r="D150" s="101" t="s">
        <v>180</v>
      </c>
      <c r="E150" s="72">
        <v>2629</v>
      </c>
      <c r="F150" s="72">
        <f t="shared" si="284"/>
        <v>4013</v>
      </c>
      <c r="G150" s="72">
        <f t="shared" si="285"/>
        <v>1384</v>
      </c>
      <c r="H150" s="72"/>
      <c r="I150" s="72">
        <f>106+5+479+165+629</f>
        <v>1384</v>
      </c>
      <c r="J150" s="72"/>
      <c r="K150" s="72"/>
      <c r="L150" s="72"/>
      <c r="M150" s="72"/>
      <c r="N150" s="511"/>
      <c r="O150" s="72"/>
      <c r="P150" s="72"/>
      <c r="Q150" s="72"/>
      <c r="R150" s="72"/>
      <c r="S150" s="72"/>
      <c r="T150" s="72"/>
      <c r="U150" s="380">
        <f t="shared" si="286"/>
        <v>0</v>
      </c>
      <c r="V150" s="380">
        <f>SUM(W150:AE150)</f>
        <v>0</v>
      </c>
      <c r="W150" s="380"/>
      <c r="X150" s="380"/>
      <c r="Y150" s="380"/>
      <c r="Z150" s="380"/>
      <c r="AA150" s="380"/>
      <c r="AB150" s="380"/>
      <c r="AC150" s="380"/>
      <c r="AD150" s="380"/>
      <c r="AE150" s="380"/>
      <c r="AF150" s="334">
        <f>E150+T150</f>
        <v>2629</v>
      </c>
      <c r="AG150" s="334">
        <f>F150+U150</f>
        <v>4013</v>
      </c>
    </row>
    <row r="151" spans="1:33" ht="6.75" customHeight="1" x14ac:dyDescent="0.2">
      <c r="A151" s="89"/>
      <c r="B151" s="90"/>
      <c r="C151" s="91"/>
      <c r="D151" s="68"/>
      <c r="E151" s="72"/>
      <c r="F151" s="72"/>
      <c r="G151" s="72"/>
      <c r="H151" s="72"/>
      <c r="I151" s="72"/>
      <c r="J151" s="72"/>
      <c r="K151" s="72"/>
      <c r="L151" s="72"/>
      <c r="M151" s="72"/>
      <c r="N151" s="511"/>
      <c r="O151" s="72"/>
      <c r="P151" s="72"/>
      <c r="Q151" s="72"/>
      <c r="R151" s="72"/>
      <c r="S151" s="72"/>
      <c r="T151" s="72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34"/>
      <c r="AG151" s="334"/>
    </row>
    <row r="152" spans="1:33" ht="6.75" customHeight="1" x14ac:dyDescent="0.2">
      <c r="A152" s="67"/>
      <c r="B152" s="84"/>
      <c r="C152" s="85"/>
      <c r="D152" s="68"/>
      <c r="E152" s="72"/>
      <c r="F152" s="72"/>
      <c r="G152" s="72"/>
      <c r="H152" s="72"/>
      <c r="I152" s="72"/>
      <c r="J152" s="72"/>
      <c r="K152" s="72"/>
      <c r="L152" s="72"/>
      <c r="M152" s="72"/>
      <c r="N152" s="511"/>
      <c r="O152" s="72"/>
      <c r="P152" s="72"/>
      <c r="Q152" s="72"/>
      <c r="R152" s="72"/>
      <c r="S152" s="72"/>
      <c r="T152" s="72"/>
      <c r="U152" s="380"/>
      <c r="V152" s="380"/>
      <c r="W152" s="380"/>
      <c r="X152" s="380"/>
      <c r="Y152" s="380"/>
      <c r="Z152" s="380"/>
      <c r="AA152" s="380"/>
      <c r="AB152" s="380"/>
      <c r="AC152" s="380"/>
      <c r="AD152" s="380"/>
      <c r="AE152" s="380"/>
      <c r="AF152" s="334"/>
      <c r="AG152" s="334"/>
    </row>
    <row r="153" spans="1:33" s="181" customFormat="1" ht="24.75" customHeight="1" thickBot="1" x14ac:dyDescent="0.25">
      <c r="A153" s="619" t="s">
        <v>132</v>
      </c>
      <c r="B153" s="620"/>
      <c r="C153" s="620"/>
      <c r="D153" s="621"/>
      <c r="E153" s="92">
        <f>SUM(E142,E98)</f>
        <v>75248949</v>
      </c>
      <c r="F153" s="92">
        <f>SUM(F142,F98)</f>
        <v>75595268</v>
      </c>
      <c r="G153" s="92">
        <f t="shared" ref="G153:S153" si="287">SUM(G142,G98)</f>
        <v>346319</v>
      </c>
      <c r="H153" s="92">
        <f t="shared" si="287"/>
        <v>93935</v>
      </c>
      <c r="I153" s="92">
        <f t="shared" si="287"/>
        <v>102333</v>
      </c>
      <c r="J153" s="92">
        <f t="shared" si="287"/>
        <v>69285</v>
      </c>
      <c r="K153" s="92">
        <f t="shared" si="287"/>
        <v>-7294</v>
      </c>
      <c r="L153" s="92">
        <f t="shared" si="287"/>
        <v>83988</v>
      </c>
      <c r="M153" s="92">
        <f t="shared" si="287"/>
        <v>738</v>
      </c>
      <c r="N153" s="521">
        <f t="shared" si="287"/>
        <v>3334</v>
      </c>
      <c r="O153" s="92">
        <f t="shared" si="287"/>
        <v>0</v>
      </c>
      <c r="P153" s="92">
        <f t="shared" si="287"/>
        <v>0</v>
      </c>
      <c r="Q153" s="92">
        <f t="shared" si="287"/>
        <v>0</v>
      </c>
      <c r="R153" s="92">
        <f t="shared" si="287"/>
        <v>0</v>
      </c>
      <c r="S153" s="92">
        <f t="shared" si="287"/>
        <v>0</v>
      </c>
      <c r="T153" s="92">
        <f>SUM(T142,T98)</f>
        <v>-1806440</v>
      </c>
      <c r="U153" s="391">
        <f t="shared" ref="U153:AE153" si="288">SUM(U142,U98)</f>
        <v>-1710675</v>
      </c>
      <c r="V153" s="391">
        <f t="shared" si="288"/>
        <v>95765</v>
      </c>
      <c r="W153" s="391">
        <f t="shared" si="288"/>
        <v>151722</v>
      </c>
      <c r="X153" s="391">
        <f t="shared" si="288"/>
        <v>-936</v>
      </c>
      <c r="Y153" s="391">
        <f t="shared" si="288"/>
        <v>-28181</v>
      </c>
      <c r="Z153" s="391">
        <f t="shared" si="288"/>
        <v>1945</v>
      </c>
      <c r="AA153" s="391">
        <f t="shared" ref="AA153:AD153" si="289">SUM(AA142,AA98)</f>
        <v>-28047</v>
      </c>
      <c r="AB153" s="391">
        <f t="shared" si="289"/>
        <v>-738</v>
      </c>
      <c r="AC153" s="391">
        <f t="shared" si="289"/>
        <v>0</v>
      </c>
      <c r="AD153" s="391">
        <f t="shared" si="289"/>
        <v>0</v>
      </c>
      <c r="AE153" s="391">
        <f t="shared" si="288"/>
        <v>0</v>
      </c>
      <c r="AF153" s="344">
        <f>SUM(AF142,AF98)</f>
        <v>73442509</v>
      </c>
      <c r="AG153" s="344">
        <f>SUM(AG142,AG98)</f>
        <v>73884593</v>
      </c>
    </row>
    <row r="154" spans="1:33" s="181" customFormat="1" ht="12.75" thickBot="1" x14ac:dyDescent="0.25">
      <c r="A154" s="587" t="s">
        <v>119</v>
      </c>
      <c r="B154" s="588"/>
      <c r="C154" s="588"/>
      <c r="D154" s="589"/>
      <c r="E154" s="92">
        <f>SUM(E11,E140)</f>
        <v>102535003</v>
      </c>
      <c r="F154" s="279">
        <f>SUM(F11,F140)</f>
        <v>102288466</v>
      </c>
      <c r="G154" s="279">
        <f t="shared" ref="G154:S154" si="290">SUM(G11,G140)</f>
        <v>-246537</v>
      </c>
      <c r="H154" s="279">
        <f t="shared" si="290"/>
        <v>-502126</v>
      </c>
      <c r="I154" s="279">
        <f t="shared" si="290"/>
        <v>104738</v>
      </c>
      <c r="J154" s="279">
        <f t="shared" si="290"/>
        <v>69285</v>
      </c>
      <c r="K154" s="279">
        <f t="shared" si="290"/>
        <v>-6494</v>
      </c>
      <c r="L154" s="279">
        <f t="shared" si="290"/>
        <v>83988</v>
      </c>
      <c r="M154" s="279">
        <f t="shared" si="290"/>
        <v>738</v>
      </c>
      <c r="N154" s="522">
        <f t="shared" si="290"/>
        <v>3334</v>
      </c>
      <c r="O154" s="279">
        <f t="shared" si="290"/>
        <v>0</v>
      </c>
      <c r="P154" s="279">
        <f t="shared" si="290"/>
        <v>0</v>
      </c>
      <c r="Q154" s="279">
        <f t="shared" si="290"/>
        <v>0</v>
      </c>
      <c r="R154" s="279">
        <f t="shared" si="290"/>
        <v>0</v>
      </c>
      <c r="S154" s="279">
        <f t="shared" si="290"/>
        <v>0</v>
      </c>
      <c r="T154" s="279">
        <f>SUM(T11,T140)</f>
        <v>-1806440</v>
      </c>
      <c r="U154" s="392">
        <f t="shared" ref="U154:AE154" si="291">SUM(U11,U140)</f>
        <v>-1711475</v>
      </c>
      <c r="V154" s="392">
        <f t="shared" si="291"/>
        <v>94965</v>
      </c>
      <c r="W154" s="392">
        <f t="shared" si="291"/>
        <v>151722</v>
      </c>
      <c r="X154" s="392">
        <f t="shared" si="291"/>
        <v>-936</v>
      </c>
      <c r="Y154" s="392">
        <f t="shared" si="291"/>
        <v>-28181</v>
      </c>
      <c r="Z154" s="392">
        <f t="shared" si="291"/>
        <v>1145</v>
      </c>
      <c r="AA154" s="392">
        <f t="shared" ref="AA154:AD154" si="292">SUM(AA11,AA140)</f>
        <v>-28047</v>
      </c>
      <c r="AB154" s="392">
        <f t="shared" si="292"/>
        <v>-738</v>
      </c>
      <c r="AC154" s="392">
        <f t="shared" si="292"/>
        <v>0</v>
      </c>
      <c r="AD154" s="392">
        <f t="shared" si="292"/>
        <v>0</v>
      </c>
      <c r="AE154" s="392">
        <f t="shared" si="291"/>
        <v>0</v>
      </c>
      <c r="AF154" s="345">
        <f>SUM(AF11,AF140)</f>
        <v>100728563</v>
      </c>
      <c r="AG154" s="345">
        <f>SUM(AG11,AG140)</f>
        <v>100576991</v>
      </c>
    </row>
    <row r="155" spans="1:33" ht="7.5" customHeight="1" x14ac:dyDescent="0.2"/>
    <row r="157" spans="1:33" x14ac:dyDescent="0.2">
      <c r="A157" s="590"/>
      <c r="B157" s="590"/>
      <c r="C157" s="590"/>
      <c r="D157" s="590"/>
      <c r="E157" s="590"/>
      <c r="F157" s="590"/>
      <c r="G157" s="590"/>
      <c r="H157" s="590"/>
      <c r="I157" s="590"/>
      <c r="J157" s="590"/>
      <c r="K157" s="590"/>
      <c r="L157" s="590"/>
      <c r="M157" s="590"/>
      <c r="N157" s="590"/>
      <c r="O157" s="590"/>
      <c r="P157" s="590"/>
      <c r="Q157" s="590"/>
      <c r="R157" s="590"/>
      <c r="S157" s="590"/>
      <c r="T157" s="590"/>
      <c r="U157" s="590"/>
      <c r="V157" s="590"/>
      <c r="W157" s="590"/>
      <c r="X157" s="590"/>
      <c r="Y157" s="590"/>
      <c r="Z157" s="590"/>
      <c r="AA157" s="590"/>
      <c r="AB157" s="590"/>
      <c r="AC157" s="590"/>
      <c r="AD157" s="590"/>
      <c r="AE157" s="590"/>
      <c r="AF157" s="590"/>
      <c r="AG157" s="36"/>
    </row>
  </sheetData>
  <sheetProtection formatCells="0" formatColumns="0"/>
  <autoFilter ref="A10:AF154">
    <filterColumn colId="0" showButton="0"/>
    <filterColumn colId="1" showButton="0"/>
  </autoFilter>
  <mergeCells count="98">
    <mergeCell ref="A7:AG7"/>
    <mergeCell ref="A9:C9"/>
    <mergeCell ref="A10:C10"/>
    <mergeCell ref="B33:C33"/>
    <mergeCell ref="A11:D11"/>
    <mergeCell ref="A13:C13"/>
    <mergeCell ref="B14:C14"/>
    <mergeCell ref="B15:C15"/>
    <mergeCell ref="B16:C16"/>
    <mergeCell ref="B17:C17"/>
    <mergeCell ref="B26:C26"/>
    <mergeCell ref="B27:C27"/>
    <mergeCell ref="B28:C28"/>
    <mergeCell ref="A29:C29"/>
    <mergeCell ref="B30:C30"/>
    <mergeCell ref="B31:C31"/>
    <mergeCell ref="B32:C32"/>
    <mergeCell ref="A18:C18"/>
    <mergeCell ref="B19:C19"/>
    <mergeCell ref="A35:C35"/>
    <mergeCell ref="B36:C36"/>
    <mergeCell ref="B24:C24"/>
    <mergeCell ref="B25:C25"/>
    <mergeCell ref="B20:C20"/>
    <mergeCell ref="B21:C21"/>
    <mergeCell ref="B22:C22"/>
    <mergeCell ref="B23:C23"/>
    <mergeCell ref="A54:C54"/>
    <mergeCell ref="B55:C55"/>
    <mergeCell ref="B56:C56"/>
    <mergeCell ref="B37:C37"/>
    <mergeCell ref="B38:C38"/>
    <mergeCell ref="B39:C39"/>
    <mergeCell ref="B40:C40"/>
    <mergeCell ref="B41:C41"/>
    <mergeCell ref="A47:C47"/>
    <mergeCell ref="B48:C48"/>
    <mergeCell ref="B49:C49"/>
    <mergeCell ref="B42:C42"/>
    <mergeCell ref="B43:C43"/>
    <mergeCell ref="A44:C44"/>
    <mergeCell ref="B45:C45"/>
    <mergeCell ref="B46:C46"/>
    <mergeCell ref="B50:C50"/>
    <mergeCell ref="B51:C51"/>
    <mergeCell ref="B52:C52"/>
    <mergeCell ref="B67:C67"/>
    <mergeCell ref="B68:C68"/>
    <mergeCell ref="B57:C57"/>
    <mergeCell ref="B58:C58"/>
    <mergeCell ref="B59:C59"/>
    <mergeCell ref="B60:C60"/>
    <mergeCell ref="A61:C61"/>
    <mergeCell ref="B62:C62"/>
    <mergeCell ref="B63:C63"/>
    <mergeCell ref="B64:C64"/>
    <mergeCell ref="B65:C65"/>
    <mergeCell ref="A66:C66"/>
    <mergeCell ref="B53:C53"/>
    <mergeCell ref="B89:C89"/>
    <mergeCell ref="B79:C79"/>
    <mergeCell ref="B80:C80"/>
    <mergeCell ref="B81:C81"/>
    <mergeCell ref="B82:C82"/>
    <mergeCell ref="B83:C83"/>
    <mergeCell ref="B84:C84"/>
    <mergeCell ref="A70:C70"/>
    <mergeCell ref="B77:C77"/>
    <mergeCell ref="B78:C78"/>
    <mergeCell ref="B85:C85"/>
    <mergeCell ref="A153:D153"/>
    <mergeCell ref="B111:C111"/>
    <mergeCell ref="B112:C112"/>
    <mergeCell ref="B113:C113"/>
    <mergeCell ref="B72:C72"/>
    <mergeCell ref="B73:C73"/>
    <mergeCell ref="B74:C74"/>
    <mergeCell ref="B75:C75"/>
    <mergeCell ref="B76:C76"/>
    <mergeCell ref="B86:C86"/>
    <mergeCell ref="B87:C87"/>
    <mergeCell ref="B88:C88"/>
    <mergeCell ref="A154:D154"/>
    <mergeCell ref="A157:AF157"/>
    <mergeCell ref="B90:C90"/>
    <mergeCell ref="B91:C91"/>
    <mergeCell ref="B92:C92"/>
    <mergeCell ref="B93:C93"/>
    <mergeCell ref="B94:C94"/>
    <mergeCell ref="A98:D98"/>
    <mergeCell ref="B100:C100"/>
    <mergeCell ref="B114:C114"/>
    <mergeCell ref="A140:D140"/>
    <mergeCell ref="A142:C142"/>
    <mergeCell ref="B143:C143"/>
    <mergeCell ref="B144:C144"/>
    <mergeCell ref="B108:C108"/>
    <mergeCell ref="B109:C109"/>
  </mergeCells>
  <printOptions horizontalCentered="1"/>
  <pageMargins left="0.98425196850393704" right="0.39370078740157483" top="0.47244094488188981" bottom="0.19685039370078741" header="0.23622047244094491" footer="0.19685039370078741"/>
  <pageSetup paperSize="9" scale="69" orientation="portrait" r:id="rId1"/>
  <headerFooter differentFirst="1">
    <oddHeader xml:space="preserve">&amp;R&amp;"Times New Roman,Regular"&amp;8 &amp;10 </oddHeader>
    <oddFooter>&amp;L&amp;"Times New Roman,Regular"&amp;8&amp;D; &amp;T&amp;R&amp;"Times New Roman,Regular"&amp;8&amp;P (&amp;N)</oddFooter>
    <firstHeader xml:space="preserve">&amp;R&amp;"Times New Roman,Regular"&amp;9 
1.pielikums Jūrmalas pilsētas domes  2016.gada 25.augusta saistošajiem noteikumiem Nr.28
(protokols Nr.11,  8.punkts) </firstHeader>
    <firstFooter>&amp;L&amp;"Times New Roman,Regular"&amp;9&amp;D; &amp;T&amp;R&amp;"Times New Roman,Regular"&amp;9&amp;P (&amp;N)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showGridLines="0" workbookViewId="0">
      <selection activeCell="I9" sqref="I9"/>
    </sheetView>
  </sheetViews>
  <sheetFormatPr defaultRowHeight="16.5" x14ac:dyDescent="0.25"/>
  <cols>
    <col min="1" max="1" width="44.7109375" style="297" bestFit="1" customWidth="1"/>
    <col min="2" max="2" width="14.5703125" style="297" customWidth="1"/>
    <col min="3" max="3" width="5.28515625" style="297" bestFit="1" customWidth="1"/>
    <col min="4" max="4" width="14.42578125" style="297" customWidth="1"/>
    <col min="5" max="5" width="6.140625" style="297" bestFit="1" customWidth="1"/>
    <col min="6" max="16384" width="9.140625" style="297"/>
  </cols>
  <sheetData>
    <row r="1" spans="1:5" x14ac:dyDescent="0.25">
      <c r="D1" s="298"/>
    </row>
    <row r="2" spans="1:5" ht="17.25" x14ac:dyDescent="0.3">
      <c r="A2" s="299"/>
      <c r="B2" s="646" t="s">
        <v>1</v>
      </c>
      <c r="C2" s="646"/>
      <c r="D2" s="647" t="s">
        <v>3</v>
      </c>
      <c r="E2" s="647"/>
    </row>
    <row r="3" spans="1:5" ht="11.25" customHeight="1" x14ac:dyDescent="0.25">
      <c r="A3" s="299"/>
      <c r="B3" s="300"/>
      <c r="C3" s="300"/>
      <c r="D3" s="301"/>
    </row>
    <row r="4" spans="1:5" ht="17.25" x14ac:dyDescent="0.3">
      <c r="A4" s="302" t="s">
        <v>655</v>
      </c>
      <c r="B4" s="399">
        <f>Ienemumi!AG98</f>
        <v>73883063</v>
      </c>
      <c r="C4" s="304" t="s">
        <v>659</v>
      </c>
      <c r="D4" s="303">
        <f>Ienemumi!F142</f>
        <v>1530</v>
      </c>
      <c r="E4" s="304" t="s">
        <v>659</v>
      </c>
    </row>
    <row r="5" spans="1:5" ht="17.25" x14ac:dyDescent="0.3">
      <c r="A5" s="302" t="s">
        <v>656</v>
      </c>
      <c r="B5" s="399">
        <f>Izdevumi!G262-'Kopa_ien-izd'!B13-'Kopa_ien-izd'!D5</f>
        <v>89820816.799999997</v>
      </c>
      <c r="C5" s="304" t="s">
        <v>659</v>
      </c>
      <c r="D5" s="303">
        <f>Izdevumi!AQ262</f>
        <v>15288</v>
      </c>
      <c r="E5" s="304" t="s">
        <v>659</v>
      </c>
    </row>
    <row r="6" spans="1:5" ht="17.25" x14ac:dyDescent="0.3">
      <c r="A6" s="302"/>
      <c r="B6" s="303"/>
      <c r="C6" s="304"/>
      <c r="D6" s="303"/>
      <c r="E6" s="304"/>
    </row>
    <row r="7" spans="1:5" ht="17.25" x14ac:dyDescent="0.3">
      <c r="A7" s="307" t="s">
        <v>657</v>
      </c>
      <c r="B7" s="303">
        <f>B4-B5</f>
        <v>-15937753.799999997</v>
      </c>
      <c r="C7" s="304" t="s">
        <v>659</v>
      </c>
      <c r="D7" s="303">
        <f>D4-D5</f>
        <v>-13758</v>
      </c>
      <c r="E7" s="304" t="s">
        <v>659</v>
      </c>
    </row>
    <row r="8" spans="1:5" ht="17.25" x14ac:dyDescent="0.3">
      <c r="A8" s="302" t="s">
        <v>658</v>
      </c>
      <c r="B8" s="303">
        <f>B9-B10+B11-B12-B13</f>
        <v>15937754</v>
      </c>
      <c r="C8" s="304" t="s">
        <v>659</v>
      </c>
      <c r="D8" s="303">
        <f>D9-D10+D11-D12-D13</f>
        <v>13758</v>
      </c>
      <c r="E8" s="304" t="s">
        <v>659</v>
      </c>
    </row>
    <row r="9" spans="1:5" x14ac:dyDescent="0.25">
      <c r="A9" s="299" t="s">
        <v>660</v>
      </c>
      <c r="B9" s="400">
        <f>Ienemumi!AG115</f>
        <v>12265481</v>
      </c>
      <c r="C9" s="306" t="s">
        <v>659</v>
      </c>
      <c r="D9" s="305">
        <f>Ienemumi!F147</f>
        <v>13758</v>
      </c>
      <c r="E9" s="306" t="s">
        <v>659</v>
      </c>
    </row>
    <row r="10" spans="1:5" x14ac:dyDescent="0.25">
      <c r="A10" s="299" t="s">
        <v>661</v>
      </c>
      <c r="B10" s="305">
        <f>Izdevumi!G261-D10</f>
        <v>370763</v>
      </c>
      <c r="C10" s="306" t="s">
        <v>659</v>
      </c>
      <c r="D10" s="406">
        <f>Izdevumi!AQ261</f>
        <v>0</v>
      </c>
      <c r="E10" s="306"/>
    </row>
    <row r="11" spans="1:5" x14ac:dyDescent="0.25">
      <c r="A11" s="299" t="s">
        <v>662</v>
      </c>
      <c r="B11" s="305">
        <f>Ienemumi!F104</f>
        <v>14413159</v>
      </c>
      <c r="C11" s="306" t="s">
        <v>659</v>
      </c>
      <c r="D11" s="305"/>
    </row>
    <row r="12" spans="1:5" x14ac:dyDescent="0.25">
      <c r="A12" s="299" t="s">
        <v>663</v>
      </c>
      <c r="B12" s="305">
        <f>Izdevumi!AO263</f>
        <v>6185659</v>
      </c>
      <c r="C12" s="306" t="s">
        <v>659</v>
      </c>
      <c r="D12" s="305"/>
    </row>
    <row r="13" spans="1:5" x14ac:dyDescent="0.25">
      <c r="A13" s="299" t="s">
        <v>664</v>
      </c>
      <c r="B13" s="305">
        <f>Izdevumi!G75+Izdevumi!G76+Izdevumi!G77+Izdevumi!G99+Izdevumi!G134+Izdevumi!G135</f>
        <v>4184464</v>
      </c>
      <c r="C13" s="306" t="s">
        <v>659</v>
      </c>
      <c r="D13" s="305"/>
    </row>
    <row r="18" spans="2:2" x14ac:dyDescent="0.25">
      <c r="B18" s="451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Liepina</cp:lastModifiedBy>
  <cp:lastPrinted>2016-08-26T12:51:20Z</cp:lastPrinted>
  <dcterms:created xsi:type="dcterms:W3CDTF">2006-10-31T12:58:11Z</dcterms:created>
  <dcterms:modified xsi:type="dcterms:W3CDTF">2016-08-26T12:51:24Z</dcterms:modified>
</cp:coreProperties>
</file>