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lemumi_s\Budzets_2017\2017_Publicesanai\"/>
    </mc:Choice>
  </mc:AlternateContent>
  <bookViews>
    <workbookView xWindow="0" yWindow="0" windowWidth="28800" windowHeight="13725" tabRatio="813" activeTab="27"/>
  </bookViews>
  <sheets>
    <sheet name="3" sheetId="61" r:id="rId1"/>
    <sheet name="4" sheetId="24" r:id="rId2"/>
    <sheet name="5" sheetId="62" r:id="rId3"/>
    <sheet name="6" sheetId="51" r:id="rId4"/>
    <sheet name="7" sheetId="52" r:id="rId5"/>
    <sheet name="8" sheetId="53" r:id="rId6"/>
    <sheet name="9" sheetId="54" r:id="rId7"/>
    <sheet name="10" sheetId="63" r:id="rId8"/>
    <sheet name="11" sheetId="55" r:id="rId9"/>
    <sheet name="12" sheetId="56" r:id="rId10"/>
    <sheet name="13" sheetId="57" r:id="rId11"/>
    <sheet name="14" sheetId="66" r:id="rId12"/>
    <sheet name="15" sheetId="67" r:id="rId13"/>
    <sheet name="16" sheetId="68" r:id="rId14"/>
    <sheet name="17" sheetId="69" r:id="rId15"/>
    <sheet name="18" sheetId="64" r:id="rId16"/>
    <sheet name="19" sheetId="70" r:id="rId17"/>
    <sheet name="20" sheetId="65" r:id="rId18"/>
    <sheet name="21" sheetId="45" r:id="rId19"/>
    <sheet name="22" sheetId="71" r:id="rId20"/>
    <sheet name="23" sheetId="46" r:id="rId21"/>
    <sheet name="24" sheetId="47" r:id="rId22"/>
    <sheet name="25" sheetId="48" r:id="rId23"/>
    <sheet name="26" sheetId="49" r:id="rId24"/>
    <sheet name="27" sheetId="50" r:id="rId25"/>
    <sheet name="28" sheetId="58" r:id="rId26"/>
    <sheet name="29" sheetId="59" r:id="rId27"/>
    <sheet name="30" sheetId="72" r:id="rId28"/>
    <sheet name="31" sheetId="44" r:id="rId29"/>
    <sheet name="32" sheetId="43" r:id="rId30"/>
  </sheets>
  <definedNames>
    <definedName name="_xlnm._FilterDatabase" localSheetId="17" hidden="1">'20'!$A$47:$I$87</definedName>
    <definedName name="_xlnm._FilterDatabase" localSheetId="19" hidden="1">'22'!$D$11:$G$127</definedName>
    <definedName name="_xlnm._FilterDatabase" localSheetId="25" hidden="1">'28'!$I$10:$L$186</definedName>
    <definedName name="_xlnm._FilterDatabase" localSheetId="0" hidden="1">'3'!$A$7:$T$39</definedName>
    <definedName name="_xlnm._FilterDatabase" localSheetId="27" hidden="1">'30'!$K$11:$M$208</definedName>
    <definedName name="_xlnm.Print_Area" localSheetId="28">'31'!$A$1:$J$68</definedName>
    <definedName name="_xlnm.Print_Area" localSheetId="29">'32'!$A$1:$AC$110</definedName>
    <definedName name="_xlnm.Print_Titles" localSheetId="29">'32'!$3:$3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3" i="72" l="1"/>
  <c r="I203" i="72"/>
  <c r="H203" i="72"/>
  <c r="G203" i="72"/>
  <c r="F203" i="72"/>
  <c r="E203" i="72"/>
  <c r="D203" i="72"/>
  <c r="L198" i="72"/>
  <c r="K198" i="72"/>
  <c r="I198" i="72"/>
  <c r="H198" i="72"/>
  <c r="G198" i="72"/>
  <c r="F198" i="72"/>
  <c r="E198" i="72"/>
  <c r="D198" i="72"/>
  <c r="L193" i="72"/>
  <c r="K193" i="72"/>
  <c r="I193" i="72"/>
  <c r="H193" i="72"/>
  <c r="G193" i="72"/>
  <c r="F193" i="72"/>
  <c r="E193" i="72"/>
  <c r="D193" i="72"/>
  <c r="L192" i="72"/>
  <c r="K192" i="72"/>
  <c r="I192" i="72"/>
  <c r="H192" i="72"/>
  <c r="G192" i="72"/>
  <c r="F192" i="72"/>
  <c r="E192" i="72"/>
  <c r="D192" i="72"/>
  <c r="L186" i="72"/>
  <c r="K186" i="72"/>
  <c r="I186" i="72"/>
  <c r="H186" i="72"/>
  <c r="G186" i="72"/>
  <c r="F186" i="72"/>
  <c r="E186" i="72"/>
  <c r="D186" i="72"/>
  <c r="L184" i="72"/>
  <c r="K184" i="72"/>
  <c r="I184" i="72"/>
  <c r="H184" i="72"/>
  <c r="G184" i="72"/>
  <c r="F184" i="72"/>
  <c r="E184" i="72"/>
  <c r="D184" i="72"/>
  <c r="L183" i="72"/>
  <c r="K183" i="72"/>
  <c r="I183" i="72"/>
  <c r="H183" i="72"/>
  <c r="H173" i="72" s="1"/>
  <c r="G183" i="72"/>
  <c r="F183" i="72"/>
  <c r="E183" i="72"/>
  <c r="D183" i="72"/>
  <c r="K182" i="72"/>
  <c r="K179" i="72" s="1"/>
  <c r="L179" i="72"/>
  <c r="H179" i="72"/>
  <c r="F179" i="72"/>
  <c r="F173" i="72" s="1"/>
  <c r="D179" i="72"/>
  <c r="H178" i="72"/>
  <c r="L174" i="72"/>
  <c r="L173" i="72" s="1"/>
  <c r="K174" i="72"/>
  <c r="H174" i="72"/>
  <c r="F174" i="72"/>
  <c r="D174" i="72"/>
  <c r="I173" i="72"/>
  <c r="G173" i="72"/>
  <c r="E173" i="72"/>
  <c r="D173" i="72"/>
  <c r="L168" i="72"/>
  <c r="K168" i="72"/>
  <c r="I168" i="72"/>
  <c r="H168" i="72"/>
  <c r="G168" i="72"/>
  <c r="F168" i="72"/>
  <c r="E168" i="72"/>
  <c r="D168" i="72"/>
  <c r="L167" i="72"/>
  <c r="K167" i="72"/>
  <c r="I167" i="72"/>
  <c r="H167" i="72"/>
  <c r="G167" i="72"/>
  <c r="F167" i="72"/>
  <c r="E167" i="72"/>
  <c r="D167" i="72"/>
  <c r="L163" i="72"/>
  <c r="K163" i="72"/>
  <c r="I163" i="72"/>
  <c r="H163" i="72"/>
  <c r="G163" i="72"/>
  <c r="F163" i="72"/>
  <c r="E163" i="72"/>
  <c r="D163" i="72"/>
  <c r="L159" i="72"/>
  <c r="K159" i="72"/>
  <c r="I159" i="72"/>
  <c r="H159" i="72"/>
  <c r="G159" i="72"/>
  <c r="F159" i="72"/>
  <c r="E159" i="72"/>
  <c r="D159" i="72"/>
  <c r="L158" i="72"/>
  <c r="K158" i="72"/>
  <c r="I158" i="72"/>
  <c r="H158" i="72"/>
  <c r="G158" i="72"/>
  <c r="F158" i="72"/>
  <c r="E158" i="72"/>
  <c r="D158" i="72"/>
  <c r="L156" i="72"/>
  <c r="K156" i="72"/>
  <c r="I156" i="72"/>
  <c r="H156" i="72"/>
  <c r="G156" i="72"/>
  <c r="F156" i="72"/>
  <c r="E156" i="72"/>
  <c r="D156" i="72"/>
  <c r="L152" i="72"/>
  <c r="K152" i="72"/>
  <c r="I152" i="72"/>
  <c r="H152" i="72"/>
  <c r="G152" i="72"/>
  <c r="F152" i="72"/>
  <c r="E152" i="72"/>
  <c r="D152" i="72"/>
  <c r="L148" i="72"/>
  <c r="K148" i="72"/>
  <c r="I148" i="72"/>
  <c r="H148" i="72"/>
  <c r="G148" i="72"/>
  <c r="F148" i="72"/>
  <c r="E148" i="72"/>
  <c r="D148" i="72"/>
  <c r="L141" i="72"/>
  <c r="K141" i="72"/>
  <c r="I141" i="72"/>
  <c r="H141" i="72"/>
  <c r="G141" i="72"/>
  <c r="F141" i="72"/>
  <c r="E141" i="72"/>
  <c r="D141" i="72"/>
  <c r="L140" i="72"/>
  <c r="K140" i="72"/>
  <c r="I140" i="72"/>
  <c r="H140" i="72"/>
  <c r="H131" i="72" s="1"/>
  <c r="G140" i="72"/>
  <c r="F140" i="72"/>
  <c r="E140" i="72"/>
  <c r="D140" i="72"/>
  <c r="D131" i="72" s="1"/>
  <c r="K139" i="72"/>
  <c r="K137" i="72" s="1"/>
  <c r="K131" i="72" s="1"/>
  <c r="L137" i="72"/>
  <c r="I137" i="72"/>
  <c r="H137" i="72"/>
  <c r="G137" i="72"/>
  <c r="F137" i="72"/>
  <c r="E137" i="72"/>
  <c r="D137" i="72"/>
  <c r="L132" i="72"/>
  <c r="K132" i="72"/>
  <c r="I132" i="72"/>
  <c r="H132" i="72"/>
  <c r="G132" i="72"/>
  <c r="F132" i="72"/>
  <c r="E132" i="72"/>
  <c r="D132" i="72"/>
  <c r="L131" i="72"/>
  <c r="I131" i="72"/>
  <c r="G131" i="72"/>
  <c r="F131" i="72"/>
  <c r="E131" i="72"/>
  <c r="L125" i="72"/>
  <c r="K125" i="72"/>
  <c r="I125" i="72"/>
  <c r="H125" i="72"/>
  <c r="G125" i="72"/>
  <c r="F125" i="72"/>
  <c r="E125" i="72"/>
  <c r="E121" i="72" s="1"/>
  <c r="E111" i="72" s="1"/>
  <c r="D125" i="72"/>
  <c r="L122" i="72"/>
  <c r="K122" i="72"/>
  <c r="I122" i="72"/>
  <c r="H122" i="72"/>
  <c r="G122" i="72"/>
  <c r="F122" i="72"/>
  <c r="E122" i="72"/>
  <c r="D122" i="72"/>
  <c r="L121" i="72"/>
  <c r="K121" i="72"/>
  <c r="I121" i="72"/>
  <c r="I111" i="72" s="1"/>
  <c r="H121" i="72"/>
  <c r="G121" i="72"/>
  <c r="F121" i="72"/>
  <c r="D121" i="72"/>
  <c r="K119" i="72"/>
  <c r="L117" i="72"/>
  <c r="K117" i="72"/>
  <c r="K111" i="72" s="1"/>
  <c r="I117" i="72"/>
  <c r="H117" i="72"/>
  <c r="G117" i="72"/>
  <c r="F117" i="72"/>
  <c r="F111" i="72" s="1"/>
  <c r="E117" i="72"/>
  <c r="D117" i="72"/>
  <c r="H113" i="72"/>
  <c r="L112" i="72"/>
  <c r="K112" i="72"/>
  <c r="I112" i="72"/>
  <c r="H112" i="72"/>
  <c r="G112" i="72"/>
  <c r="F112" i="72"/>
  <c r="E112" i="72"/>
  <c r="D112" i="72"/>
  <c r="L111" i="72"/>
  <c r="H111" i="72"/>
  <c r="G111" i="72"/>
  <c r="D111" i="72"/>
  <c r="L105" i="72"/>
  <c r="K105" i="72"/>
  <c r="I105" i="72"/>
  <c r="H105" i="72"/>
  <c r="G105" i="72"/>
  <c r="F105" i="72"/>
  <c r="E105" i="72"/>
  <c r="D105" i="72"/>
  <c r="L103" i="72"/>
  <c r="L95" i="72" s="1"/>
  <c r="K103" i="72"/>
  <c r="I103" i="72"/>
  <c r="H103" i="72"/>
  <c r="G103" i="72"/>
  <c r="G95" i="72" s="1"/>
  <c r="F103" i="72"/>
  <c r="E103" i="72"/>
  <c r="D103" i="72"/>
  <c r="K102" i="72"/>
  <c r="K100" i="72" s="1"/>
  <c r="K95" i="72" s="1"/>
  <c r="L100" i="72"/>
  <c r="I100" i="72"/>
  <c r="H100" i="72"/>
  <c r="G100" i="72"/>
  <c r="F100" i="72"/>
  <c r="E100" i="72"/>
  <c r="D100" i="72"/>
  <c r="L96" i="72"/>
  <c r="K96" i="72"/>
  <c r="I96" i="72"/>
  <c r="H96" i="72"/>
  <c r="G96" i="72"/>
  <c r="F96" i="72"/>
  <c r="E96" i="72"/>
  <c r="D96" i="72"/>
  <c r="I95" i="72"/>
  <c r="H95" i="72"/>
  <c r="F95" i="72"/>
  <c r="E95" i="72"/>
  <c r="D95" i="72"/>
  <c r="L93" i="72"/>
  <c r="K93" i="72"/>
  <c r="I93" i="72"/>
  <c r="H93" i="72"/>
  <c r="G93" i="72"/>
  <c r="F93" i="72"/>
  <c r="E93" i="72"/>
  <c r="D93" i="72"/>
  <c r="L90" i="72"/>
  <c r="K90" i="72"/>
  <c r="I90" i="72"/>
  <c r="H90" i="72"/>
  <c r="G90" i="72"/>
  <c r="F90" i="72"/>
  <c r="E90" i="72"/>
  <c r="D90" i="72"/>
  <c r="L85" i="72"/>
  <c r="K85" i="72"/>
  <c r="I85" i="72"/>
  <c r="H85" i="72"/>
  <c r="G85" i="72"/>
  <c r="F85" i="72"/>
  <c r="E85" i="72"/>
  <c r="D85" i="72"/>
  <c r="L84" i="72"/>
  <c r="K84" i="72"/>
  <c r="I84" i="72"/>
  <c r="H84" i="72"/>
  <c r="G84" i="72"/>
  <c r="F84" i="72"/>
  <c r="E84" i="72"/>
  <c r="D84" i="72"/>
  <c r="L79" i="72"/>
  <c r="K79" i="72"/>
  <c r="I79" i="72"/>
  <c r="H79" i="72"/>
  <c r="G79" i="72"/>
  <c r="F79" i="72"/>
  <c r="E79" i="72"/>
  <c r="D79" i="72"/>
  <c r="L73" i="72"/>
  <c r="K73" i="72"/>
  <c r="I73" i="72"/>
  <c r="H73" i="72"/>
  <c r="G73" i="72"/>
  <c r="F73" i="72"/>
  <c r="E73" i="72"/>
  <c r="D73" i="72"/>
  <c r="L72" i="72"/>
  <c r="K72" i="72"/>
  <c r="I72" i="72"/>
  <c r="H72" i="72"/>
  <c r="G72" i="72"/>
  <c r="F72" i="72"/>
  <c r="E72" i="72"/>
  <c r="D72" i="72"/>
  <c r="L69" i="72"/>
  <c r="K69" i="72"/>
  <c r="I69" i="72"/>
  <c r="H69" i="72"/>
  <c r="G69" i="72"/>
  <c r="F69" i="72"/>
  <c r="E69" i="72"/>
  <c r="D69" i="72"/>
  <c r="L65" i="72"/>
  <c r="K65" i="72"/>
  <c r="I65" i="72"/>
  <c r="H65" i="72"/>
  <c r="G65" i="72"/>
  <c r="F65" i="72"/>
  <c r="E65" i="72"/>
  <c r="D65" i="72"/>
  <c r="L64" i="72"/>
  <c r="K64" i="72"/>
  <c r="I64" i="72"/>
  <c r="H64" i="72"/>
  <c r="G64" i="72"/>
  <c r="F64" i="72"/>
  <c r="E64" i="72"/>
  <c r="D64" i="72"/>
  <c r="L62" i="72"/>
  <c r="K62" i="72"/>
  <c r="I62" i="72"/>
  <c r="H62" i="72"/>
  <c r="G62" i="72"/>
  <c r="F62" i="72"/>
  <c r="E62" i="72"/>
  <c r="D62" i="72"/>
  <c r="L59" i="72"/>
  <c r="K59" i="72"/>
  <c r="I59" i="72"/>
  <c r="H59" i="72"/>
  <c r="H58" i="72" s="1"/>
  <c r="G59" i="72"/>
  <c r="F59" i="72"/>
  <c r="E59" i="72"/>
  <c r="D59" i="72"/>
  <c r="D58" i="72" s="1"/>
  <c r="L58" i="72"/>
  <c r="K58" i="72"/>
  <c r="F58" i="72"/>
  <c r="L55" i="72"/>
  <c r="K55" i="72"/>
  <c r="I55" i="72"/>
  <c r="H55" i="72"/>
  <c r="G55" i="72"/>
  <c r="F55" i="72"/>
  <c r="E55" i="72"/>
  <c r="D55" i="72"/>
  <c r="L52" i="72"/>
  <c r="K52" i="72"/>
  <c r="I52" i="72"/>
  <c r="H52" i="72"/>
  <c r="G52" i="72"/>
  <c r="F52" i="72"/>
  <c r="E52" i="72"/>
  <c r="D52" i="72"/>
  <c r="L49" i="72"/>
  <c r="K49" i="72"/>
  <c r="I49" i="72"/>
  <c r="H49" i="72"/>
  <c r="G49" i="72"/>
  <c r="F49" i="72"/>
  <c r="E49" i="72"/>
  <c r="D49" i="72"/>
  <c r="L48" i="72"/>
  <c r="K48" i="72"/>
  <c r="I48" i="72"/>
  <c r="H48" i="72"/>
  <c r="G48" i="72"/>
  <c r="F48" i="72"/>
  <c r="E48" i="72"/>
  <c r="D48" i="72"/>
  <c r="L44" i="72"/>
  <c r="K44" i="72"/>
  <c r="H44" i="72"/>
  <c r="F44" i="72"/>
  <c r="D44" i="72"/>
  <c r="L41" i="72"/>
  <c r="K41" i="72"/>
  <c r="K36" i="72" s="1"/>
  <c r="H41" i="72"/>
  <c r="F41" i="72"/>
  <c r="D41" i="72"/>
  <c r="H38" i="72"/>
  <c r="L37" i="72"/>
  <c r="K37" i="72"/>
  <c r="I37" i="72"/>
  <c r="H37" i="72"/>
  <c r="G37" i="72"/>
  <c r="F37" i="72"/>
  <c r="E37" i="72"/>
  <c r="D37" i="72"/>
  <c r="L36" i="72"/>
  <c r="I36" i="72"/>
  <c r="H36" i="72"/>
  <c r="G36" i="72"/>
  <c r="F36" i="72"/>
  <c r="E36" i="72"/>
  <c r="D36" i="72"/>
  <c r="L29" i="72"/>
  <c r="K29" i="72"/>
  <c r="I29" i="72"/>
  <c r="H29" i="72"/>
  <c r="G29" i="72"/>
  <c r="F29" i="72"/>
  <c r="E29" i="72"/>
  <c r="D29" i="72"/>
  <c r="L27" i="72"/>
  <c r="K27" i="72"/>
  <c r="I27" i="72"/>
  <c r="H27" i="72"/>
  <c r="H11" i="72" s="1"/>
  <c r="G27" i="72"/>
  <c r="F27" i="72"/>
  <c r="E27" i="72"/>
  <c r="D27" i="72"/>
  <c r="D11" i="72" s="1"/>
  <c r="K26" i="72"/>
  <c r="L23" i="72"/>
  <c r="K23" i="72"/>
  <c r="I23" i="72"/>
  <c r="H23" i="72"/>
  <c r="G23" i="72"/>
  <c r="F23" i="72"/>
  <c r="E23" i="72"/>
  <c r="D23" i="72"/>
  <c r="L18" i="72"/>
  <c r="K18" i="72"/>
  <c r="I18" i="72"/>
  <c r="H18" i="72"/>
  <c r="G18" i="72"/>
  <c r="F18" i="72"/>
  <c r="E18" i="72"/>
  <c r="D18" i="72"/>
  <c r="L13" i="72"/>
  <c r="K13" i="72"/>
  <c r="I13" i="72"/>
  <c r="H13" i="72"/>
  <c r="G13" i="72"/>
  <c r="F13" i="72"/>
  <c r="E13" i="72"/>
  <c r="D13" i="72"/>
  <c r="L12" i="72"/>
  <c r="K12" i="72"/>
  <c r="I12" i="72"/>
  <c r="H12" i="72"/>
  <c r="G12" i="72"/>
  <c r="F12" i="72"/>
  <c r="E12" i="72"/>
  <c r="D12" i="72"/>
  <c r="L11" i="72"/>
  <c r="K11" i="72"/>
  <c r="I11" i="72"/>
  <c r="G11" i="72"/>
  <c r="F11" i="72"/>
  <c r="E11" i="72"/>
  <c r="K10" i="72" l="1"/>
  <c r="K173" i="72"/>
  <c r="L10" i="72"/>
  <c r="H279" i="71" l="1"/>
  <c r="F279" i="71"/>
  <c r="E279" i="71"/>
  <c r="D279" i="71"/>
  <c r="H272" i="71"/>
  <c r="F272" i="71"/>
  <c r="E272" i="71"/>
  <c r="D272" i="71"/>
  <c r="H201" i="71"/>
  <c r="F201" i="71"/>
  <c r="E201" i="71"/>
  <c r="D201" i="71"/>
  <c r="H132" i="71"/>
  <c r="F132" i="71"/>
  <c r="E132" i="71"/>
  <c r="D132" i="71"/>
  <c r="H9" i="71"/>
  <c r="F9" i="71"/>
  <c r="E9" i="71"/>
  <c r="D9" i="71"/>
  <c r="H9" i="70"/>
  <c r="F9" i="70"/>
  <c r="E9" i="70"/>
  <c r="D9" i="70"/>
  <c r="H10" i="69"/>
  <c r="F10" i="69"/>
  <c r="E10" i="69"/>
  <c r="D10" i="69"/>
  <c r="H23" i="68"/>
  <c r="H19" i="68"/>
  <c r="L10" i="68"/>
  <c r="K10" i="68"/>
  <c r="I10" i="68"/>
  <c r="H10" i="68"/>
  <c r="G10" i="68"/>
  <c r="F10" i="68"/>
  <c r="E10" i="68"/>
  <c r="D10" i="68"/>
  <c r="F55" i="67"/>
  <c r="E55" i="67"/>
  <c r="D55" i="67"/>
  <c r="H51" i="67"/>
  <c r="F51" i="67"/>
  <c r="E51" i="67"/>
  <c r="D51" i="67"/>
  <c r="F35" i="67"/>
  <c r="E35" i="67"/>
  <c r="D35" i="67"/>
  <c r="H33" i="67"/>
  <c r="F31" i="67"/>
  <c r="F30" i="67" s="1"/>
  <c r="E31" i="67"/>
  <c r="D31" i="67"/>
  <c r="H30" i="67"/>
  <c r="E30" i="67"/>
  <c r="D30" i="67"/>
  <c r="F19" i="67"/>
  <c r="E19" i="67"/>
  <c r="D19" i="67"/>
  <c r="F14" i="67"/>
  <c r="F12" i="67" s="1"/>
  <c r="F9" i="67" s="1"/>
  <c r="E12" i="67"/>
  <c r="E9" i="67" s="1"/>
  <c r="D12" i="67"/>
  <c r="H9" i="67"/>
  <c r="D9" i="67"/>
  <c r="H9" i="66"/>
  <c r="F9" i="66"/>
  <c r="E9" i="66"/>
  <c r="D9" i="66"/>
  <c r="H86" i="65" l="1"/>
  <c r="F86" i="65"/>
  <c r="E86" i="65"/>
  <c r="D86" i="65"/>
  <c r="H80" i="65"/>
  <c r="H53" i="65"/>
  <c r="F53" i="65"/>
  <c r="H49" i="65"/>
  <c r="H48" i="65" s="1"/>
  <c r="F49" i="65"/>
  <c r="F48" i="65"/>
  <c r="E48" i="65"/>
  <c r="D48" i="65"/>
  <c r="H43" i="65"/>
  <c r="H24" i="65"/>
  <c r="H9" i="65"/>
  <c r="F9" i="65"/>
  <c r="E9" i="65"/>
  <c r="D9" i="65"/>
  <c r="H32" i="64"/>
  <c r="F32" i="64"/>
  <c r="E32" i="64"/>
  <c r="D32" i="64"/>
  <c r="H18" i="64"/>
  <c r="F18" i="64"/>
  <c r="E18" i="64"/>
  <c r="D18" i="64"/>
  <c r="H9" i="64"/>
  <c r="F9" i="64"/>
  <c r="E9" i="64"/>
  <c r="D9" i="64"/>
  <c r="G642" i="63"/>
  <c r="F638" i="63"/>
  <c r="H630" i="63"/>
  <c r="F630" i="63"/>
  <c r="F628" i="63"/>
  <c r="H625" i="63"/>
  <c r="F625" i="63"/>
  <c r="F624" i="63"/>
  <c r="F610" i="63" s="1"/>
  <c r="H620" i="63"/>
  <c r="F620" i="63"/>
  <c r="F613" i="63"/>
  <c r="H612" i="63"/>
  <c r="H610" i="63" s="1"/>
  <c r="F612" i="63"/>
  <c r="E610" i="63"/>
  <c r="D610" i="63"/>
  <c r="H604" i="63"/>
  <c r="F604" i="63"/>
  <c r="E604" i="63"/>
  <c r="D604" i="63"/>
  <c r="H598" i="63"/>
  <c r="F598" i="63"/>
  <c r="E598" i="63"/>
  <c r="D598" i="63"/>
  <c r="F587" i="63"/>
  <c r="H583" i="63"/>
  <c r="F583" i="63"/>
  <c r="F550" i="63" s="1"/>
  <c r="D583" i="63"/>
  <c r="H578" i="63"/>
  <c r="F578" i="63"/>
  <c r="H571" i="63"/>
  <c r="F571" i="63"/>
  <c r="D571" i="63"/>
  <c r="F568" i="63"/>
  <c r="D567" i="63"/>
  <c r="D550" i="63" s="1"/>
  <c r="H559" i="63"/>
  <c r="F559" i="63"/>
  <c r="D558" i="63"/>
  <c r="H553" i="63"/>
  <c r="F553" i="63"/>
  <c r="H552" i="63"/>
  <c r="F552" i="63"/>
  <c r="H550" i="63"/>
  <c r="E550" i="63"/>
  <c r="D545" i="63"/>
  <c r="H539" i="63"/>
  <c r="F539" i="63"/>
  <c r="F536" i="63"/>
  <c r="F524" i="63"/>
  <c r="D524" i="63"/>
  <c r="F520" i="63"/>
  <c r="F519" i="63"/>
  <c r="H509" i="63"/>
  <c r="F509" i="63"/>
  <c r="D509" i="63"/>
  <c r="F502" i="63"/>
  <c r="F496" i="63"/>
  <c r="F494" i="63" s="1"/>
  <c r="F495" i="63"/>
  <c r="H494" i="63"/>
  <c r="D493" i="63"/>
  <c r="H489" i="63"/>
  <c r="F489" i="63"/>
  <c r="H482" i="63"/>
  <c r="F482" i="63"/>
  <c r="H478" i="63"/>
  <c r="H477" i="63"/>
  <c r="F477" i="63"/>
  <c r="D476" i="63"/>
  <c r="F473" i="63"/>
  <c r="H472" i="63"/>
  <c r="F472" i="63"/>
  <c r="D471" i="63"/>
  <c r="F466" i="63"/>
  <c r="F459" i="63"/>
  <c r="F458" i="63"/>
  <c r="D456" i="63"/>
  <c r="F454" i="63"/>
  <c r="F451" i="63"/>
  <c r="F446" i="63"/>
  <c r="M443" i="63"/>
  <c r="F443" i="63"/>
  <c r="M442" i="63"/>
  <c r="K442" i="63"/>
  <c r="F442" i="63"/>
  <c r="M441" i="63"/>
  <c r="K441" i="63"/>
  <c r="K443" i="63" s="1"/>
  <c r="H441" i="63"/>
  <c r="F441" i="63"/>
  <c r="D441" i="63"/>
  <c r="H440" i="63"/>
  <c r="F436" i="63"/>
  <c r="H432" i="63"/>
  <c r="F432" i="63"/>
  <c r="D431" i="63"/>
  <c r="F423" i="63"/>
  <c r="F417" i="63"/>
  <c r="F413" i="63"/>
  <c r="H412" i="63"/>
  <c r="F412" i="63"/>
  <c r="H406" i="63"/>
  <c r="F406" i="63"/>
  <c r="H396" i="63"/>
  <c r="F396" i="63"/>
  <c r="H395" i="63"/>
  <c r="F395" i="63"/>
  <c r="H391" i="63"/>
  <c r="H390" i="63" s="1"/>
  <c r="D391" i="63"/>
  <c r="E390" i="63"/>
  <c r="D390" i="63"/>
  <c r="D385" i="63"/>
  <c r="H380" i="63"/>
  <c r="F380" i="63"/>
  <c r="H373" i="63"/>
  <c r="F373" i="63"/>
  <c r="H365" i="63"/>
  <c r="F365" i="63"/>
  <c r="F353" i="63"/>
  <c r="F352" i="63"/>
  <c r="F338" i="63"/>
  <c r="F337" i="63"/>
  <c r="D337" i="63"/>
  <c r="D292" i="63" s="1"/>
  <c r="H334" i="63"/>
  <c r="F334" i="63"/>
  <c r="F328" i="63"/>
  <c r="H327" i="63"/>
  <c r="H292" i="63" s="1"/>
  <c r="F327" i="63"/>
  <c r="F319" i="63"/>
  <c r="H311" i="63"/>
  <c r="F311" i="63"/>
  <c r="F310" i="63"/>
  <c r="F308" i="63"/>
  <c r="M302" i="63"/>
  <c r="K302" i="63"/>
  <c r="H302" i="63"/>
  <c r="F302" i="63"/>
  <c r="H298" i="63"/>
  <c r="F298" i="63"/>
  <c r="F292" i="63" s="1"/>
  <c r="D293" i="63"/>
  <c r="E292" i="63"/>
  <c r="M281" i="63"/>
  <c r="K281" i="63"/>
  <c r="H281" i="63"/>
  <c r="F281" i="63"/>
  <c r="D280" i="63"/>
  <c r="D279" i="63"/>
  <c r="H276" i="63"/>
  <c r="F276" i="63"/>
  <c r="E276" i="63"/>
  <c r="D276" i="63"/>
  <c r="F259" i="63"/>
  <c r="F255" i="63"/>
  <c r="F249" i="63"/>
  <c r="F244" i="63"/>
  <c r="F243" i="63"/>
  <c r="H242" i="63"/>
  <c r="F242" i="63"/>
  <c r="D242" i="63"/>
  <c r="H238" i="63"/>
  <c r="H235" i="63" s="1"/>
  <c r="F238" i="63"/>
  <c r="D237" i="63"/>
  <c r="F235" i="63"/>
  <c r="E235" i="63"/>
  <c r="D235" i="63"/>
  <c r="F227" i="63"/>
  <c r="F223" i="63"/>
  <c r="F222" i="63" s="1"/>
  <c r="H222" i="63"/>
  <c r="H218" i="63"/>
  <c r="F218" i="63"/>
  <c r="D217" i="63"/>
  <c r="H216" i="63"/>
  <c r="E216" i="63"/>
  <c r="D216" i="63"/>
  <c r="F202" i="63"/>
  <c r="H201" i="63"/>
  <c r="F201" i="63"/>
  <c r="E201" i="63"/>
  <c r="D201" i="63"/>
  <c r="H193" i="63"/>
  <c r="F193" i="63"/>
  <c r="F190" i="63"/>
  <c r="D189" i="63"/>
  <c r="H185" i="63"/>
  <c r="F185" i="63"/>
  <c r="H181" i="63"/>
  <c r="F181" i="63"/>
  <c r="D181" i="63"/>
  <c r="D180" i="63"/>
  <c r="D167" i="63" s="1"/>
  <c r="H176" i="63"/>
  <c r="F176" i="63"/>
  <c r="D175" i="63"/>
  <c r="F169" i="63"/>
  <c r="F167" i="63" s="1"/>
  <c r="D168" i="63"/>
  <c r="H167" i="63"/>
  <c r="E167" i="63"/>
  <c r="H156" i="63"/>
  <c r="F156" i="63"/>
  <c r="M152" i="63"/>
  <c r="K152" i="63"/>
  <c r="H151" i="63"/>
  <c r="F151" i="63"/>
  <c r="D148" i="63"/>
  <c r="D137" i="63"/>
  <c r="F126" i="63"/>
  <c r="D126" i="63"/>
  <c r="F119" i="63"/>
  <c r="E119" i="63"/>
  <c r="D119" i="63"/>
  <c r="F116" i="63"/>
  <c r="D113" i="63"/>
  <c r="D112" i="63"/>
  <c r="D111" i="63"/>
  <c r="F106" i="63"/>
  <c r="H104" i="63"/>
  <c r="F104" i="63"/>
  <c r="D104" i="63"/>
  <c r="E103" i="63"/>
  <c r="D103" i="63"/>
  <c r="D69" i="63" s="1"/>
  <c r="F95" i="63"/>
  <c r="N94" i="63"/>
  <c r="F94" i="63"/>
  <c r="N93" i="63"/>
  <c r="N95" i="63" s="1"/>
  <c r="L93" i="63"/>
  <c r="L95" i="63" s="1"/>
  <c r="H93" i="63"/>
  <c r="F93" i="63"/>
  <c r="D93" i="63"/>
  <c r="F90" i="63"/>
  <c r="F86" i="63"/>
  <c r="F82" i="63"/>
  <c r="F78" i="63"/>
  <c r="F77" i="63" s="1"/>
  <c r="F69" i="63" s="1"/>
  <c r="H70" i="63"/>
  <c r="H69" i="63" s="1"/>
  <c r="F70" i="63"/>
  <c r="D70" i="63"/>
  <c r="E69" i="63"/>
  <c r="H62" i="63"/>
  <c r="F62" i="63"/>
  <c r="F60" i="63" s="1"/>
  <c r="D61" i="63"/>
  <c r="H60" i="63"/>
  <c r="E60" i="63"/>
  <c r="D60" i="63"/>
  <c r="F53" i="63"/>
  <c r="H47" i="63"/>
  <c r="F47" i="63"/>
  <c r="F44" i="63" s="1"/>
  <c r="D46" i="63"/>
  <c r="H44" i="63"/>
  <c r="E44" i="63"/>
  <c r="E642" i="63" s="1"/>
  <c r="D44" i="63"/>
  <c r="D39" i="63"/>
  <c r="D37" i="63"/>
  <c r="F22" i="63"/>
  <c r="F11" i="63" s="1"/>
  <c r="F10" i="63" s="1"/>
  <c r="H11" i="63"/>
  <c r="H10" i="63" s="1"/>
  <c r="E10" i="63"/>
  <c r="D10" i="63"/>
  <c r="H9" i="62"/>
  <c r="F9" i="62"/>
  <c r="E9" i="62"/>
  <c r="D9" i="62"/>
  <c r="H43" i="61"/>
  <c r="G43" i="61"/>
  <c r="F43" i="61"/>
  <c r="H42" i="61"/>
  <c r="F42" i="61"/>
  <c r="S41" i="61"/>
  <c r="R41" i="61"/>
  <c r="Q41" i="61"/>
  <c r="P41" i="61"/>
  <c r="O41" i="61"/>
  <c r="N41" i="61"/>
  <c r="M41" i="61"/>
  <c r="L41" i="61"/>
  <c r="K41" i="61"/>
  <c r="J41" i="61"/>
  <c r="I41" i="61"/>
  <c r="H41" i="61"/>
  <c r="G41" i="61"/>
  <c r="F41" i="61"/>
  <c r="H39" i="61"/>
  <c r="F39" i="61"/>
  <c r="S38" i="61"/>
  <c r="Q38" i="61"/>
  <c r="Q37" i="61" s="1"/>
  <c r="O38" i="61"/>
  <c r="N38" i="61"/>
  <c r="M38" i="61"/>
  <c r="M37" i="61" s="1"/>
  <c r="M5" i="61" s="1"/>
  <c r="L38" i="61"/>
  <c r="L37" i="61" s="1"/>
  <c r="K38" i="61"/>
  <c r="J38" i="61"/>
  <c r="I38" i="61"/>
  <c r="I37" i="61" s="1"/>
  <c r="I5" i="61" s="1"/>
  <c r="H38" i="61"/>
  <c r="H37" i="61" s="1"/>
  <c r="G38" i="61"/>
  <c r="F38" i="61"/>
  <c r="S37" i="61"/>
  <c r="R37" i="61"/>
  <c r="P37" i="61"/>
  <c r="O37" i="61"/>
  <c r="N37" i="61"/>
  <c r="K37" i="61"/>
  <c r="J37" i="61"/>
  <c r="G37" i="61"/>
  <c r="F37" i="61"/>
  <c r="H35" i="61"/>
  <c r="F35" i="61"/>
  <c r="H34" i="61"/>
  <c r="H33" i="61" s="1"/>
  <c r="F34" i="61"/>
  <c r="S33" i="61"/>
  <c r="Q33" i="61"/>
  <c r="O33" i="61"/>
  <c r="N33" i="61"/>
  <c r="M33" i="61"/>
  <c r="L33" i="61"/>
  <c r="K33" i="61"/>
  <c r="J33" i="61"/>
  <c r="I33" i="61"/>
  <c r="G33" i="61"/>
  <c r="F33" i="61"/>
  <c r="H32" i="61"/>
  <c r="F32" i="61"/>
  <c r="H31" i="61"/>
  <c r="F31" i="61"/>
  <c r="H30" i="61"/>
  <c r="F30" i="61"/>
  <c r="H29" i="61"/>
  <c r="F29" i="61"/>
  <c r="H28" i="61"/>
  <c r="F28" i="61"/>
  <c r="H27" i="61"/>
  <c r="H26" i="61" s="1"/>
  <c r="F27" i="61"/>
  <c r="S26" i="61"/>
  <c r="Q26" i="61"/>
  <c r="O26" i="61"/>
  <c r="N26" i="61"/>
  <c r="M26" i="61"/>
  <c r="L26" i="61"/>
  <c r="K26" i="61"/>
  <c r="J26" i="61"/>
  <c r="I26" i="61"/>
  <c r="G26" i="61"/>
  <c r="F26" i="61"/>
  <c r="H24" i="61"/>
  <c r="F24" i="61"/>
  <c r="H23" i="61"/>
  <c r="F23" i="61"/>
  <c r="F21" i="61" s="1"/>
  <c r="H22" i="61"/>
  <c r="F22" i="61"/>
  <c r="S21" i="61"/>
  <c r="Q21" i="61"/>
  <c r="Q7" i="61" s="1"/>
  <c r="O21" i="61"/>
  <c r="N21" i="61"/>
  <c r="M21" i="61"/>
  <c r="L21" i="61"/>
  <c r="L7" i="61" s="1"/>
  <c r="K21" i="61"/>
  <c r="J21" i="61"/>
  <c r="I21" i="61"/>
  <c r="H21" i="61"/>
  <c r="G21" i="61"/>
  <c r="N19" i="61"/>
  <c r="H19" i="61"/>
  <c r="F19" i="61"/>
  <c r="H18" i="61"/>
  <c r="F18" i="61"/>
  <c r="H17" i="61"/>
  <c r="F17" i="61"/>
  <c r="H16" i="61"/>
  <c r="F16" i="61"/>
  <c r="H15" i="61"/>
  <c r="F15" i="61"/>
  <c r="H14" i="61"/>
  <c r="F14" i="61"/>
  <c r="H13" i="61"/>
  <c r="F13" i="61"/>
  <c r="H12" i="61"/>
  <c r="F12" i="61"/>
  <c r="H11" i="61"/>
  <c r="F11" i="61"/>
  <c r="Y10" i="61"/>
  <c r="N10" i="61"/>
  <c r="W10" i="61" s="1"/>
  <c r="F10" i="61"/>
  <c r="H9" i="61"/>
  <c r="F9" i="61"/>
  <c r="S8" i="61"/>
  <c r="Q8" i="61"/>
  <c r="O8" i="61"/>
  <c r="N8" i="61"/>
  <c r="M8" i="61"/>
  <c r="L8" i="61"/>
  <c r="K8" i="61"/>
  <c r="J8" i="61"/>
  <c r="I8" i="61"/>
  <c r="G8" i="61"/>
  <c r="F8" i="61"/>
  <c r="F7" i="61" s="1"/>
  <c r="F5" i="61" s="1"/>
  <c r="S7" i="61"/>
  <c r="O7" i="61"/>
  <c r="N7" i="61"/>
  <c r="N5" i="61" s="1"/>
  <c r="M7" i="61"/>
  <c r="K7" i="61"/>
  <c r="J7" i="61"/>
  <c r="I7" i="61"/>
  <c r="G7" i="61"/>
  <c r="S5" i="61"/>
  <c r="O5" i="61"/>
  <c r="K5" i="61"/>
  <c r="J5" i="61"/>
  <c r="G5" i="61"/>
  <c r="D642" i="63" l="1"/>
  <c r="F216" i="63"/>
  <c r="F642" i="63" s="1"/>
  <c r="F390" i="63"/>
  <c r="H642" i="63"/>
  <c r="L5" i="61"/>
  <c r="Q5" i="61"/>
  <c r="H10" i="61"/>
  <c r="H8" i="61" s="1"/>
  <c r="H7" i="61" s="1"/>
  <c r="H5" i="61" s="1"/>
  <c r="K108" i="59" l="1"/>
  <c r="J108" i="59"/>
  <c r="H108" i="59"/>
  <c r="G108" i="59"/>
  <c r="F108" i="59"/>
  <c r="E108" i="59"/>
  <c r="D108" i="59"/>
  <c r="C108" i="59"/>
  <c r="K106" i="59"/>
  <c r="J106" i="59"/>
  <c r="H106" i="59"/>
  <c r="G106" i="59"/>
  <c r="F106" i="59"/>
  <c r="E106" i="59"/>
  <c r="D106" i="59"/>
  <c r="C106" i="59"/>
  <c r="K104" i="59"/>
  <c r="J104" i="59"/>
  <c r="H104" i="59"/>
  <c r="G104" i="59"/>
  <c r="F104" i="59"/>
  <c r="E104" i="59"/>
  <c r="D104" i="59"/>
  <c r="C104" i="59"/>
  <c r="K101" i="59"/>
  <c r="J101" i="59"/>
  <c r="H101" i="59"/>
  <c r="G101" i="59"/>
  <c r="F101" i="59"/>
  <c r="E101" i="59"/>
  <c r="D101" i="59"/>
  <c r="C101" i="59"/>
  <c r="K98" i="59"/>
  <c r="J98" i="59"/>
  <c r="H98" i="59"/>
  <c r="G98" i="59"/>
  <c r="F98" i="59"/>
  <c r="E98" i="59"/>
  <c r="D98" i="59"/>
  <c r="C98" i="59"/>
  <c r="K94" i="59"/>
  <c r="J94" i="59"/>
  <c r="H94" i="59"/>
  <c r="G94" i="59"/>
  <c r="F94" i="59"/>
  <c r="E94" i="59"/>
  <c r="D94" i="59"/>
  <c r="C94" i="59"/>
  <c r="K92" i="59"/>
  <c r="J92" i="59"/>
  <c r="H92" i="59"/>
  <c r="G92" i="59"/>
  <c r="F92" i="59"/>
  <c r="E92" i="59"/>
  <c r="D92" i="59"/>
  <c r="C92" i="59"/>
  <c r="K88" i="59"/>
  <c r="J88" i="59"/>
  <c r="H88" i="59"/>
  <c r="G88" i="59"/>
  <c r="F88" i="59"/>
  <c r="E88" i="59"/>
  <c r="D88" i="59"/>
  <c r="C88" i="59"/>
  <c r="K86" i="59"/>
  <c r="J86" i="59"/>
  <c r="H86" i="59"/>
  <c r="G86" i="59"/>
  <c r="F86" i="59"/>
  <c r="E86" i="59"/>
  <c r="D86" i="59"/>
  <c r="C86" i="59"/>
  <c r="K82" i="59"/>
  <c r="J82" i="59"/>
  <c r="H82" i="59"/>
  <c r="G82" i="59"/>
  <c r="F82" i="59"/>
  <c r="E82" i="59"/>
  <c r="D82" i="59"/>
  <c r="C82" i="59"/>
  <c r="K78" i="59"/>
  <c r="J78" i="59"/>
  <c r="H78" i="59"/>
  <c r="G78" i="59"/>
  <c r="F78" i="59"/>
  <c r="E78" i="59"/>
  <c r="D78" i="59"/>
  <c r="C78" i="59"/>
  <c r="K75" i="59"/>
  <c r="J75" i="59"/>
  <c r="H75" i="59"/>
  <c r="G75" i="59"/>
  <c r="F75" i="59"/>
  <c r="E75" i="59"/>
  <c r="D75" i="59"/>
  <c r="C75" i="59"/>
  <c r="K74" i="59"/>
  <c r="J74" i="59"/>
  <c r="H74" i="59"/>
  <c r="G74" i="59"/>
  <c r="F74" i="59"/>
  <c r="E74" i="59"/>
  <c r="D74" i="59"/>
  <c r="C74" i="59"/>
  <c r="K65" i="59"/>
  <c r="J65" i="59"/>
  <c r="H65" i="59"/>
  <c r="G65" i="59"/>
  <c r="F65" i="59"/>
  <c r="E65" i="59"/>
  <c r="D65" i="59"/>
  <c r="C65" i="59"/>
  <c r="K62" i="59"/>
  <c r="J62" i="59"/>
  <c r="H62" i="59"/>
  <c r="G62" i="59"/>
  <c r="F62" i="59"/>
  <c r="E62" i="59"/>
  <c r="D62" i="59"/>
  <c r="C62" i="59"/>
  <c r="K58" i="59"/>
  <c r="J58" i="59"/>
  <c r="H58" i="59"/>
  <c r="G58" i="59"/>
  <c r="F58" i="59"/>
  <c r="E58" i="59"/>
  <c r="D58" i="59"/>
  <c r="C58" i="59"/>
  <c r="K54" i="59"/>
  <c r="J54" i="59"/>
  <c r="H54" i="59"/>
  <c r="G54" i="59"/>
  <c r="F54" i="59"/>
  <c r="E54" i="59"/>
  <c r="D54" i="59"/>
  <c r="C54" i="59"/>
  <c r="K50" i="59"/>
  <c r="J50" i="59"/>
  <c r="H50" i="59"/>
  <c r="G50" i="59"/>
  <c r="F50" i="59"/>
  <c r="E50" i="59"/>
  <c r="D50" i="59"/>
  <c r="C50" i="59"/>
  <c r="K48" i="59"/>
  <c r="J48" i="59"/>
  <c r="H48" i="59"/>
  <c r="G48" i="59"/>
  <c r="F48" i="59"/>
  <c r="E48" i="59"/>
  <c r="D48" i="59"/>
  <c r="C48" i="59"/>
  <c r="K42" i="59"/>
  <c r="J42" i="59"/>
  <c r="H42" i="59"/>
  <c r="G42" i="59"/>
  <c r="F42" i="59"/>
  <c r="E42" i="59"/>
  <c r="D42" i="59"/>
  <c r="C42" i="59"/>
  <c r="K41" i="59"/>
  <c r="J41" i="59"/>
  <c r="H41" i="59"/>
  <c r="G41" i="59"/>
  <c r="F41" i="59"/>
  <c r="E41" i="59"/>
  <c r="D41" i="59"/>
  <c r="C41" i="59"/>
  <c r="K31" i="59"/>
  <c r="J31" i="59"/>
  <c r="H31" i="59"/>
  <c r="G31" i="59"/>
  <c r="F31" i="59"/>
  <c r="E31" i="59"/>
  <c r="D31" i="59"/>
  <c r="C31" i="59"/>
  <c r="K25" i="59"/>
  <c r="J25" i="59"/>
  <c r="H25" i="59"/>
  <c r="G25" i="59"/>
  <c r="F25" i="59"/>
  <c r="E25" i="59"/>
  <c r="D25" i="59"/>
  <c r="C25" i="59"/>
  <c r="K20" i="59"/>
  <c r="J20" i="59"/>
  <c r="H20" i="59"/>
  <c r="G20" i="59"/>
  <c r="F20" i="59"/>
  <c r="E20" i="59"/>
  <c r="D20" i="59"/>
  <c r="C20" i="59"/>
  <c r="K15" i="59"/>
  <c r="J15" i="59"/>
  <c r="H15" i="59"/>
  <c r="G15" i="59"/>
  <c r="F15" i="59"/>
  <c r="E15" i="59"/>
  <c r="D15" i="59"/>
  <c r="C15" i="59"/>
  <c r="K11" i="59"/>
  <c r="J11" i="59"/>
  <c r="H11" i="59"/>
  <c r="G11" i="59"/>
  <c r="F11" i="59"/>
  <c r="E11" i="59"/>
  <c r="D11" i="59"/>
  <c r="C11" i="59"/>
  <c r="K10" i="59"/>
  <c r="J10" i="59"/>
  <c r="H10" i="59"/>
  <c r="G10" i="59"/>
  <c r="F10" i="59"/>
  <c r="E10" i="59"/>
  <c r="D10" i="59"/>
  <c r="C10" i="59"/>
  <c r="K178" i="58"/>
  <c r="J178" i="58"/>
  <c r="H178" i="58"/>
  <c r="G178" i="58"/>
  <c r="F178" i="58"/>
  <c r="E178" i="58"/>
  <c r="D178" i="58"/>
  <c r="C178" i="58"/>
  <c r="K175" i="58"/>
  <c r="J175" i="58"/>
  <c r="H175" i="58"/>
  <c r="G175" i="58"/>
  <c r="F175" i="58"/>
  <c r="E175" i="58"/>
  <c r="D175" i="58"/>
  <c r="C175" i="58"/>
  <c r="K171" i="58"/>
  <c r="J171" i="58"/>
  <c r="H171" i="58"/>
  <c r="G171" i="58"/>
  <c r="F171" i="58"/>
  <c r="E171" i="58"/>
  <c r="D171" i="58"/>
  <c r="C171" i="58"/>
  <c r="K169" i="58"/>
  <c r="J169" i="58"/>
  <c r="H169" i="58"/>
  <c r="G169" i="58"/>
  <c r="F169" i="58"/>
  <c r="E169" i="58"/>
  <c r="D169" i="58"/>
  <c r="C169" i="58"/>
  <c r="K165" i="58"/>
  <c r="J165" i="58"/>
  <c r="H165" i="58"/>
  <c r="G165" i="58"/>
  <c r="F165" i="58"/>
  <c r="E165" i="58"/>
  <c r="D165" i="58"/>
  <c r="C165" i="58"/>
  <c r="J164" i="58"/>
  <c r="J163" i="58"/>
  <c r="K161" i="58"/>
  <c r="J161" i="58"/>
  <c r="H161" i="58"/>
  <c r="G161" i="58"/>
  <c r="F161" i="58"/>
  <c r="E161" i="58"/>
  <c r="D161" i="58"/>
  <c r="C161" i="58"/>
  <c r="K160" i="58"/>
  <c r="J160" i="58"/>
  <c r="H160" i="58"/>
  <c r="G160" i="58"/>
  <c r="F160" i="58"/>
  <c r="E160" i="58"/>
  <c r="D160" i="58"/>
  <c r="C160" i="58"/>
  <c r="K156" i="58"/>
  <c r="J156" i="58"/>
  <c r="H156" i="58"/>
  <c r="G156" i="58"/>
  <c r="F156" i="58"/>
  <c r="E156" i="58"/>
  <c r="D156" i="58"/>
  <c r="C156" i="58"/>
  <c r="K154" i="58"/>
  <c r="J154" i="58"/>
  <c r="H154" i="58"/>
  <c r="G154" i="58"/>
  <c r="F154" i="58"/>
  <c r="E154" i="58"/>
  <c r="D154" i="58"/>
  <c r="C154" i="58"/>
  <c r="K152" i="58"/>
  <c r="J152" i="58"/>
  <c r="H152" i="58"/>
  <c r="G152" i="58"/>
  <c r="F152" i="58"/>
  <c r="E152" i="58"/>
  <c r="D152" i="58"/>
  <c r="C152" i="58"/>
  <c r="K150" i="58"/>
  <c r="J150" i="58"/>
  <c r="H150" i="58"/>
  <c r="G150" i="58"/>
  <c r="F150" i="58"/>
  <c r="E150" i="58"/>
  <c r="D150" i="58"/>
  <c r="C150" i="58"/>
  <c r="K147" i="58"/>
  <c r="J147" i="58"/>
  <c r="H147" i="58"/>
  <c r="G147" i="58"/>
  <c r="F147" i="58"/>
  <c r="E147" i="58"/>
  <c r="D147" i="58"/>
  <c r="C147" i="58"/>
  <c r="K142" i="58"/>
  <c r="J142" i="58"/>
  <c r="H142" i="58"/>
  <c r="G142" i="58"/>
  <c r="F142" i="58"/>
  <c r="E142" i="58"/>
  <c r="D142" i="58"/>
  <c r="C142" i="58"/>
  <c r="K136" i="58"/>
  <c r="J136" i="58"/>
  <c r="H136" i="58"/>
  <c r="G136" i="58"/>
  <c r="F136" i="58"/>
  <c r="E136" i="58"/>
  <c r="D136" i="58"/>
  <c r="C136" i="58"/>
  <c r="K134" i="58"/>
  <c r="J134" i="58"/>
  <c r="H134" i="58"/>
  <c r="G134" i="58"/>
  <c r="F134" i="58"/>
  <c r="E134" i="58"/>
  <c r="D134" i="58"/>
  <c r="C134" i="58"/>
  <c r="K133" i="58"/>
  <c r="J133" i="58"/>
  <c r="H133" i="58"/>
  <c r="G133" i="58"/>
  <c r="F133" i="58"/>
  <c r="E133" i="58"/>
  <c r="D133" i="58"/>
  <c r="C133" i="58"/>
  <c r="K131" i="58"/>
  <c r="J131" i="58"/>
  <c r="H131" i="58"/>
  <c r="G131" i="58"/>
  <c r="K129" i="58"/>
  <c r="J129" i="58"/>
  <c r="H129" i="58"/>
  <c r="G129" i="58"/>
  <c r="K127" i="58"/>
  <c r="J127" i="58"/>
  <c r="H127" i="58"/>
  <c r="G127" i="58"/>
  <c r="F127" i="58"/>
  <c r="E127" i="58"/>
  <c r="D127" i="58"/>
  <c r="C127" i="58"/>
  <c r="K125" i="58"/>
  <c r="J125" i="58"/>
  <c r="H125" i="58"/>
  <c r="G125" i="58"/>
  <c r="F125" i="58"/>
  <c r="E125" i="58"/>
  <c r="D125" i="58"/>
  <c r="C125" i="58"/>
  <c r="K120" i="58"/>
  <c r="J120" i="58"/>
  <c r="H120" i="58"/>
  <c r="G120" i="58"/>
  <c r="F120" i="58"/>
  <c r="E120" i="58"/>
  <c r="D120" i="58"/>
  <c r="C120" i="58"/>
  <c r="K119" i="58"/>
  <c r="J119" i="58"/>
  <c r="H119" i="58"/>
  <c r="G119" i="58"/>
  <c r="F119" i="58"/>
  <c r="E119" i="58"/>
  <c r="D119" i="58"/>
  <c r="C119" i="58"/>
  <c r="K117" i="58"/>
  <c r="J117" i="58"/>
  <c r="H117" i="58"/>
  <c r="G117" i="58"/>
  <c r="F117" i="58"/>
  <c r="E117" i="58"/>
  <c r="D117" i="58"/>
  <c r="C117" i="58"/>
  <c r="K113" i="58"/>
  <c r="J113" i="58"/>
  <c r="H113" i="58"/>
  <c r="G113" i="58"/>
  <c r="F113" i="58"/>
  <c r="E113" i="58"/>
  <c r="D113" i="58"/>
  <c r="C113" i="58"/>
  <c r="K110" i="58"/>
  <c r="J110" i="58"/>
  <c r="H110" i="58"/>
  <c r="G110" i="58"/>
  <c r="F110" i="58"/>
  <c r="E110" i="58"/>
  <c r="D110" i="58"/>
  <c r="C110" i="58"/>
  <c r="K107" i="58"/>
  <c r="J107" i="58"/>
  <c r="H107" i="58"/>
  <c r="G107" i="58"/>
  <c r="F107" i="58"/>
  <c r="E107" i="58"/>
  <c r="D107" i="58"/>
  <c r="C107" i="58"/>
  <c r="K106" i="58"/>
  <c r="J106" i="58"/>
  <c r="H106" i="58"/>
  <c r="G106" i="58"/>
  <c r="F106" i="58"/>
  <c r="E106" i="58"/>
  <c r="D106" i="58"/>
  <c r="C106" i="58"/>
  <c r="K102" i="58"/>
  <c r="J102" i="58"/>
  <c r="H102" i="58"/>
  <c r="G102" i="58"/>
  <c r="F102" i="58"/>
  <c r="E102" i="58"/>
  <c r="D102" i="58"/>
  <c r="C102" i="58"/>
  <c r="K99" i="58"/>
  <c r="J99" i="58"/>
  <c r="H99" i="58"/>
  <c r="G99" i="58"/>
  <c r="F99" i="58"/>
  <c r="E99" i="58"/>
  <c r="D99" i="58"/>
  <c r="C99" i="58"/>
  <c r="K96" i="58"/>
  <c r="J96" i="58"/>
  <c r="H96" i="58"/>
  <c r="G96" i="58"/>
  <c r="F96" i="58"/>
  <c r="E96" i="58"/>
  <c r="D96" i="58"/>
  <c r="C96" i="58"/>
  <c r="K92" i="58"/>
  <c r="J92" i="58"/>
  <c r="H92" i="58"/>
  <c r="G92" i="58"/>
  <c r="F92" i="58"/>
  <c r="E92" i="58"/>
  <c r="D92" i="58"/>
  <c r="C92" i="58"/>
  <c r="K88" i="58"/>
  <c r="J88" i="58"/>
  <c r="H88" i="58"/>
  <c r="G88" i="58"/>
  <c r="F88" i="58"/>
  <c r="E88" i="58"/>
  <c r="D88" i="58"/>
  <c r="C88" i="58"/>
  <c r="K84" i="58"/>
  <c r="J84" i="58"/>
  <c r="H84" i="58"/>
  <c r="G84" i="58"/>
  <c r="F84" i="58"/>
  <c r="E84" i="58"/>
  <c r="D84" i="58"/>
  <c r="C84" i="58"/>
  <c r="K79" i="58"/>
  <c r="J79" i="58"/>
  <c r="H79" i="58"/>
  <c r="G79" i="58"/>
  <c r="F79" i="58"/>
  <c r="E79" i="58"/>
  <c r="D79" i="58"/>
  <c r="C79" i="58"/>
  <c r="K76" i="58"/>
  <c r="J76" i="58"/>
  <c r="H76" i="58"/>
  <c r="G76" i="58"/>
  <c r="F76" i="58"/>
  <c r="E76" i="58"/>
  <c r="D76" i="58"/>
  <c r="C76" i="58"/>
  <c r="K74" i="58"/>
  <c r="J74" i="58"/>
  <c r="H74" i="58"/>
  <c r="G74" i="58"/>
  <c r="F74" i="58"/>
  <c r="E74" i="58"/>
  <c r="D74" i="58"/>
  <c r="C74" i="58"/>
  <c r="K73" i="58"/>
  <c r="J73" i="58"/>
  <c r="J10" i="58" s="1"/>
  <c r="I73" i="58"/>
  <c r="H73" i="58"/>
  <c r="G73" i="58"/>
  <c r="F73" i="58"/>
  <c r="E73" i="58"/>
  <c r="D73" i="58"/>
  <c r="C73" i="58"/>
  <c r="K69" i="58"/>
  <c r="J69" i="58"/>
  <c r="H69" i="58"/>
  <c r="G69" i="58"/>
  <c r="F69" i="58"/>
  <c r="E69" i="58"/>
  <c r="D69" i="58"/>
  <c r="C69" i="58"/>
  <c r="K67" i="58"/>
  <c r="J67" i="58"/>
  <c r="H67" i="58"/>
  <c r="G67" i="58"/>
  <c r="F67" i="58"/>
  <c r="E67" i="58"/>
  <c r="D67" i="58"/>
  <c r="C67" i="58"/>
  <c r="K63" i="58"/>
  <c r="J63" i="58"/>
  <c r="H63" i="58"/>
  <c r="G63" i="58"/>
  <c r="F63" i="58"/>
  <c r="E63" i="58"/>
  <c r="D63" i="58"/>
  <c r="C63" i="58"/>
  <c r="K59" i="58"/>
  <c r="J59" i="58"/>
  <c r="H59" i="58"/>
  <c r="G59" i="58"/>
  <c r="F59" i="58"/>
  <c r="E59" i="58"/>
  <c r="D59" i="58"/>
  <c r="C59" i="58"/>
  <c r="K55" i="58"/>
  <c r="J55" i="58"/>
  <c r="H55" i="58"/>
  <c r="G55" i="58"/>
  <c r="F55" i="58"/>
  <c r="E55" i="58"/>
  <c r="D55" i="58"/>
  <c r="C55" i="58"/>
  <c r="K51" i="58"/>
  <c r="J51" i="58"/>
  <c r="H51" i="58"/>
  <c r="G51" i="58"/>
  <c r="F51" i="58"/>
  <c r="E51" i="58"/>
  <c r="D51" i="58"/>
  <c r="C51" i="58"/>
  <c r="K50" i="58"/>
  <c r="J50" i="58"/>
  <c r="H50" i="58"/>
  <c r="G50" i="58"/>
  <c r="F50" i="58"/>
  <c r="E50" i="58"/>
  <c r="D50" i="58"/>
  <c r="C50" i="58"/>
  <c r="K44" i="58"/>
  <c r="J44" i="58"/>
  <c r="H44" i="58"/>
  <c r="G44" i="58"/>
  <c r="F44" i="58"/>
  <c r="E44" i="58"/>
  <c r="D44" i="58"/>
  <c r="C44" i="58"/>
  <c r="K38" i="58"/>
  <c r="J38" i="58"/>
  <c r="H38" i="58"/>
  <c r="G38" i="58"/>
  <c r="F38" i="58"/>
  <c r="E38" i="58"/>
  <c r="D38" i="58"/>
  <c r="C38" i="58"/>
  <c r="K31" i="58"/>
  <c r="J31" i="58"/>
  <c r="H31" i="58"/>
  <c r="G31" i="58"/>
  <c r="F31" i="58"/>
  <c r="E31" i="58"/>
  <c r="D31" i="58"/>
  <c r="C31" i="58"/>
  <c r="K26" i="58"/>
  <c r="J26" i="58"/>
  <c r="H26" i="58"/>
  <c r="G26" i="58"/>
  <c r="F26" i="58"/>
  <c r="E26" i="58"/>
  <c r="D26" i="58"/>
  <c r="C26" i="58"/>
  <c r="K25" i="58"/>
  <c r="J25" i="58"/>
  <c r="H25" i="58"/>
  <c r="G25" i="58"/>
  <c r="F25" i="58"/>
  <c r="E25" i="58"/>
  <c r="D25" i="58"/>
  <c r="C25" i="58"/>
  <c r="K17" i="58"/>
  <c r="J17" i="58"/>
  <c r="H17" i="58"/>
  <c r="G17" i="58"/>
  <c r="F17" i="58"/>
  <c r="E17" i="58"/>
  <c r="D17" i="58"/>
  <c r="C17" i="58"/>
  <c r="K11" i="58"/>
  <c r="J11" i="58"/>
  <c r="H11" i="58"/>
  <c r="G11" i="58"/>
  <c r="F11" i="58"/>
  <c r="E11" i="58"/>
  <c r="D11" i="58"/>
  <c r="C11" i="58"/>
  <c r="K10" i="58"/>
  <c r="H10" i="58"/>
  <c r="G10" i="58"/>
  <c r="F10" i="58"/>
  <c r="E10" i="58"/>
  <c r="D10" i="58"/>
  <c r="C10" i="58"/>
  <c r="H30" i="57" l="1"/>
  <c r="F30" i="57"/>
  <c r="E30" i="57"/>
  <c r="D30" i="57"/>
  <c r="H22" i="57"/>
  <c r="F22" i="57"/>
  <c r="E22" i="57"/>
  <c r="D22" i="57"/>
  <c r="H9" i="57"/>
  <c r="F9" i="57"/>
  <c r="E9" i="57"/>
  <c r="D9" i="57"/>
  <c r="H37" i="56"/>
  <c r="F37" i="56"/>
  <c r="E37" i="56"/>
  <c r="D37" i="56"/>
  <c r="H10" i="56"/>
  <c r="H9" i="56" s="1"/>
  <c r="F9" i="56"/>
  <c r="E9" i="56"/>
  <c r="D9" i="56"/>
  <c r="H42" i="55"/>
  <c r="F42" i="55"/>
  <c r="E42" i="55"/>
  <c r="D42" i="55"/>
  <c r="H25" i="55"/>
  <c r="F25" i="55"/>
  <c r="E25" i="55"/>
  <c r="D25" i="55"/>
  <c r="H9" i="55"/>
  <c r="F9" i="55"/>
  <c r="E9" i="55"/>
  <c r="D9" i="55"/>
  <c r="H9" i="54"/>
  <c r="F9" i="54"/>
  <c r="E9" i="54"/>
  <c r="D9" i="54"/>
  <c r="F26" i="53"/>
  <c r="K11" i="53"/>
  <c r="J11" i="53"/>
  <c r="H11" i="53"/>
  <c r="G11" i="53"/>
  <c r="F11" i="53"/>
  <c r="E11" i="53"/>
  <c r="D11" i="53"/>
  <c r="C11" i="53"/>
  <c r="H9" i="52"/>
  <c r="F9" i="52"/>
  <c r="E9" i="52"/>
  <c r="D9" i="52"/>
  <c r="G9" i="51"/>
  <c r="E9" i="51"/>
  <c r="D9" i="51"/>
  <c r="C9" i="51"/>
  <c r="H70" i="50" l="1"/>
  <c r="F70" i="50"/>
  <c r="E70" i="50"/>
  <c r="D70" i="50"/>
  <c r="H61" i="50"/>
  <c r="F61" i="50"/>
  <c r="E61" i="50"/>
  <c r="D61" i="50"/>
  <c r="H43" i="50"/>
  <c r="F43" i="50"/>
  <c r="E43" i="50"/>
  <c r="D43" i="50"/>
  <c r="H32" i="50"/>
  <c r="F32" i="50"/>
  <c r="E32" i="50"/>
  <c r="D32" i="50"/>
  <c r="H26" i="50"/>
  <c r="F26" i="50"/>
  <c r="E26" i="50"/>
  <c r="D26" i="50"/>
  <c r="H15" i="50"/>
  <c r="F15" i="50"/>
  <c r="E15" i="50"/>
  <c r="D15" i="50"/>
  <c r="F10" i="50"/>
  <c r="F9" i="50" s="1"/>
  <c r="E10" i="50"/>
  <c r="E9" i="50" s="1"/>
  <c r="H9" i="50"/>
  <c r="D9" i="50"/>
  <c r="F37" i="49"/>
  <c r="E37" i="49"/>
  <c r="E29" i="49" s="1"/>
  <c r="H29" i="49"/>
  <c r="F29" i="49"/>
  <c r="D29" i="49"/>
  <c r="H16" i="49"/>
  <c r="F16" i="49"/>
  <c r="E16" i="49"/>
  <c r="D16" i="49"/>
  <c r="H9" i="49"/>
  <c r="F9" i="49"/>
  <c r="E9" i="49"/>
  <c r="D9" i="49"/>
  <c r="H42" i="48"/>
  <c r="F42" i="48"/>
  <c r="E42" i="48"/>
  <c r="D42" i="48"/>
  <c r="H36" i="48"/>
  <c r="F36" i="48"/>
  <c r="E36" i="48"/>
  <c r="D36" i="48"/>
  <c r="H29" i="48"/>
  <c r="F29" i="48"/>
  <c r="E29" i="48"/>
  <c r="D29" i="48"/>
  <c r="H15" i="48"/>
  <c r="F15" i="48"/>
  <c r="E15" i="48"/>
  <c r="D15" i="48"/>
  <c r="H9" i="48"/>
  <c r="F9" i="48"/>
  <c r="E9" i="48"/>
  <c r="D9" i="48"/>
  <c r="F59" i="47"/>
  <c r="F57" i="47"/>
  <c r="H56" i="47"/>
  <c r="F56" i="47"/>
  <c r="E56" i="47"/>
  <c r="D56" i="47"/>
  <c r="H46" i="47"/>
  <c r="F46" i="47"/>
  <c r="E46" i="47"/>
  <c r="D46" i="47"/>
  <c r="H36" i="47"/>
  <c r="F36" i="47"/>
  <c r="E36" i="47"/>
  <c r="D36" i="47"/>
  <c r="H25" i="47"/>
  <c r="F25" i="47"/>
  <c r="E25" i="47"/>
  <c r="D25" i="47"/>
  <c r="H17" i="47"/>
  <c r="F17" i="47"/>
  <c r="E17" i="47"/>
  <c r="D17" i="47"/>
  <c r="D12" i="47"/>
  <c r="H9" i="47"/>
  <c r="F9" i="47"/>
  <c r="E9" i="47"/>
  <c r="D9" i="47"/>
  <c r="F33" i="46"/>
  <c r="F29" i="46" s="1"/>
  <c r="H29" i="46"/>
  <c r="E29" i="46"/>
  <c r="D29" i="46"/>
  <c r="H23" i="46"/>
  <c r="F23" i="46"/>
  <c r="E23" i="46"/>
  <c r="D23" i="46"/>
  <c r="F18" i="46"/>
  <c r="F11" i="46"/>
  <c r="F10" i="46"/>
  <c r="F9" i="46" s="1"/>
  <c r="H9" i="46"/>
  <c r="E9" i="46"/>
  <c r="D9" i="46"/>
  <c r="H9" i="45"/>
  <c r="F9" i="45"/>
  <c r="E9" i="45"/>
  <c r="D9" i="45"/>
  <c r="C68" i="44" l="1"/>
  <c r="C67" i="44"/>
  <c r="I66" i="44"/>
  <c r="G66" i="44"/>
  <c r="E66" i="44"/>
  <c r="C65" i="44"/>
  <c r="C64" i="44"/>
  <c r="C63" i="44"/>
  <c r="C62" i="44"/>
  <c r="C61" i="44"/>
  <c r="C60" i="44"/>
  <c r="C59" i="44"/>
  <c r="C58" i="44"/>
  <c r="C57" i="44"/>
  <c r="C56" i="44"/>
  <c r="C55" i="44"/>
  <c r="C54" i="44"/>
  <c r="C53" i="44"/>
  <c r="I52" i="44"/>
  <c r="G52" i="44"/>
  <c r="E52" i="44"/>
  <c r="C51" i="44"/>
  <c r="C50" i="44"/>
  <c r="C49" i="44"/>
  <c r="E37" i="44"/>
  <c r="C47" i="44"/>
  <c r="C46" i="44"/>
  <c r="C45" i="44"/>
  <c r="C44" i="44"/>
  <c r="C43" i="44"/>
  <c r="C42" i="44"/>
  <c r="C41" i="44"/>
  <c r="C40" i="44"/>
  <c r="C39" i="44"/>
  <c r="C38" i="44"/>
  <c r="G37" i="44"/>
  <c r="C35" i="44"/>
  <c r="C34" i="44"/>
  <c r="I33" i="44"/>
  <c r="G33" i="44"/>
  <c r="C32" i="44"/>
  <c r="C31" i="44"/>
  <c r="I30" i="44"/>
  <c r="G30" i="44"/>
  <c r="C29" i="44"/>
  <c r="I28" i="44"/>
  <c r="G28" i="44"/>
  <c r="J22" i="44"/>
  <c r="I22" i="44" s="1"/>
  <c r="H22" i="44"/>
  <c r="G22" i="44" s="1"/>
  <c r="F22" i="44"/>
  <c r="E13" i="44"/>
  <c r="G36" i="44" l="1"/>
  <c r="G24" i="44" s="1"/>
  <c r="E28" i="44"/>
  <c r="D22" i="44"/>
  <c r="C28" i="44"/>
  <c r="E33" i="44"/>
  <c r="C33" i="44" s="1"/>
  <c r="E36" i="44"/>
  <c r="G27" i="44"/>
  <c r="G26" i="44" s="1"/>
  <c r="E30" i="44"/>
  <c r="E27" i="44" s="1"/>
  <c r="C52" i="44"/>
  <c r="C66" i="44"/>
  <c r="C30" i="44"/>
  <c r="C48" i="44"/>
  <c r="I27" i="44"/>
  <c r="I37" i="44"/>
  <c r="G21" i="44" l="1"/>
  <c r="G17" i="44"/>
  <c r="G13" i="44" s="1"/>
  <c r="G12" i="44" s="1"/>
  <c r="H64" i="44" s="1"/>
  <c r="E26" i="44"/>
  <c r="E24" i="44" s="1"/>
  <c r="E21" i="44" s="1"/>
  <c r="E12" i="44"/>
  <c r="I36" i="44"/>
  <c r="C36" i="44" s="1"/>
  <c r="C37" i="44"/>
  <c r="C27" i="44"/>
  <c r="I26" i="44"/>
  <c r="H43" i="44" l="1"/>
  <c r="H61" i="44"/>
  <c r="H58" i="44"/>
  <c r="H47" i="44"/>
  <c r="H65" i="44"/>
  <c r="H44" i="44"/>
  <c r="H62" i="44"/>
  <c r="H45" i="44"/>
  <c r="H63" i="44"/>
  <c r="H38" i="44"/>
  <c r="H51" i="44"/>
  <c r="G11" i="44"/>
  <c r="H11" i="44" s="1"/>
  <c r="H53" i="44"/>
  <c r="H31" i="44"/>
  <c r="H49" i="44"/>
  <c r="H67" i="44"/>
  <c r="H66" i="44" s="1"/>
  <c r="H50" i="44"/>
  <c r="H68" i="44"/>
  <c r="H42" i="44"/>
  <c r="H56" i="44"/>
  <c r="H39" i="44"/>
  <c r="H57" i="44"/>
  <c r="H34" i="44"/>
  <c r="H54" i="44"/>
  <c r="H52" i="44" s="1"/>
  <c r="H35" i="44"/>
  <c r="H55" i="44"/>
  <c r="H29" i="44"/>
  <c r="H28" i="44" s="1"/>
  <c r="H46" i="44"/>
  <c r="H60" i="44"/>
  <c r="H40" i="44"/>
  <c r="H41" i="44"/>
  <c r="H59" i="44"/>
  <c r="H32" i="44"/>
  <c r="H48" i="44"/>
  <c r="F34" i="44"/>
  <c r="F53" i="44"/>
  <c r="F64" i="44"/>
  <c r="F46" i="44"/>
  <c r="F29" i="44"/>
  <c r="F28" i="44" s="1"/>
  <c r="F55" i="44"/>
  <c r="F41" i="44"/>
  <c r="F62" i="44"/>
  <c r="F44" i="44"/>
  <c r="F65" i="44"/>
  <c r="F47" i="44"/>
  <c r="F60" i="44"/>
  <c r="F42" i="44"/>
  <c r="F68" i="44"/>
  <c r="F50" i="44"/>
  <c r="F35" i="44"/>
  <c r="F33" i="44" s="1"/>
  <c r="F58" i="44"/>
  <c r="F40" i="44"/>
  <c r="F61" i="44"/>
  <c r="F43" i="44"/>
  <c r="F56" i="44"/>
  <c r="F38" i="44"/>
  <c r="F63" i="44"/>
  <c r="F48" i="44"/>
  <c r="E11" i="44"/>
  <c r="F11" i="44" s="1"/>
  <c r="F54" i="44"/>
  <c r="F31" i="44"/>
  <c r="F57" i="44"/>
  <c r="F39" i="44"/>
  <c r="F51" i="44"/>
  <c r="F32" i="44"/>
  <c r="F59" i="44"/>
  <c r="F45" i="44"/>
  <c r="F67" i="44"/>
  <c r="F66" i="44" s="1"/>
  <c r="F49" i="44"/>
  <c r="H30" i="44"/>
  <c r="H27" i="44" s="1"/>
  <c r="H37" i="44"/>
  <c r="H33" i="44"/>
  <c r="C26" i="44"/>
  <c r="I24" i="44"/>
  <c r="H36" i="44" l="1"/>
  <c r="F30" i="44"/>
  <c r="F27" i="44" s="1"/>
  <c r="F26" i="44" s="1"/>
  <c r="H26" i="44"/>
  <c r="F37" i="44"/>
  <c r="F52" i="44"/>
  <c r="I21" i="44"/>
  <c r="I17" i="44"/>
  <c r="I13" i="44" s="1"/>
  <c r="I12" i="44" s="1"/>
  <c r="C24" i="44"/>
  <c r="F36" i="44" l="1"/>
  <c r="H24" i="44"/>
  <c r="J68" i="44"/>
  <c r="D68" i="44" s="1"/>
  <c r="J63" i="44"/>
  <c r="D63" i="44" s="1"/>
  <c r="J59" i="44"/>
  <c r="D59" i="44" s="1"/>
  <c r="J55" i="44"/>
  <c r="D55" i="44" s="1"/>
  <c r="J50" i="44"/>
  <c r="D50" i="44" s="1"/>
  <c r="J45" i="44"/>
  <c r="D45" i="44" s="1"/>
  <c r="J41" i="44"/>
  <c r="D41" i="44" s="1"/>
  <c r="J35" i="44"/>
  <c r="D35" i="44" s="1"/>
  <c r="J67" i="44"/>
  <c r="J62" i="44"/>
  <c r="D62" i="44" s="1"/>
  <c r="J58" i="44"/>
  <c r="D58" i="44" s="1"/>
  <c r="J54" i="44"/>
  <c r="D54" i="44" s="1"/>
  <c r="J49" i="44"/>
  <c r="D49" i="44" s="1"/>
  <c r="J44" i="44"/>
  <c r="D44" i="44" s="1"/>
  <c r="J40" i="44"/>
  <c r="D40" i="44" s="1"/>
  <c r="J34" i="44"/>
  <c r="J31" i="44"/>
  <c r="J65" i="44"/>
  <c r="D65" i="44" s="1"/>
  <c r="J61" i="44"/>
  <c r="D61" i="44" s="1"/>
  <c r="J57" i="44"/>
  <c r="D57" i="44" s="1"/>
  <c r="J53" i="44"/>
  <c r="J48" i="44"/>
  <c r="D48" i="44" s="1"/>
  <c r="J47" i="44"/>
  <c r="D47" i="44" s="1"/>
  <c r="J43" i="44"/>
  <c r="D43" i="44" s="1"/>
  <c r="J39" i="44"/>
  <c r="D39" i="44" s="1"/>
  <c r="I11" i="44"/>
  <c r="J64" i="44"/>
  <c r="D64" i="44" s="1"/>
  <c r="J60" i="44"/>
  <c r="D60" i="44" s="1"/>
  <c r="J56" i="44"/>
  <c r="D56" i="44" s="1"/>
  <c r="J51" i="44"/>
  <c r="D51" i="44" s="1"/>
  <c r="J46" i="44"/>
  <c r="D46" i="44" s="1"/>
  <c r="J42" i="44"/>
  <c r="D42" i="44" s="1"/>
  <c r="J32" i="44"/>
  <c r="D32" i="44" s="1"/>
  <c r="J29" i="44"/>
  <c r="J38" i="44"/>
  <c r="C12" i="44"/>
  <c r="F24" i="44"/>
  <c r="J33" i="44" l="1"/>
  <c r="D33" i="44" s="1"/>
  <c r="D34" i="44"/>
  <c r="J37" i="44"/>
  <c r="D38" i="44"/>
  <c r="J28" i="44"/>
  <c r="D29" i="44"/>
  <c r="J11" i="44"/>
  <c r="C11" i="44"/>
  <c r="J52" i="44"/>
  <c r="D52" i="44" s="1"/>
  <c r="D53" i="44"/>
  <c r="J30" i="44"/>
  <c r="D30" i="44" s="1"/>
  <c r="D31" i="44"/>
  <c r="J66" i="44"/>
  <c r="D66" i="44" s="1"/>
  <c r="D67" i="44"/>
  <c r="J36" i="44" l="1"/>
  <c r="D36" i="44" s="1"/>
  <c r="D37" i="44"/>
  <c r="J27" i="44"/>
  <c r="D28" i="44"/>
  <c r="J26" i="44" l="1"/>
  <c r="D27" i="44"/>
  <c r="J24" i="44" l="1"/>
  <c r="D24" i="44" s="1"/>
  <c r="D26" i="44"/>
  <c r="AC110" i="43" l="1"/>
  <c r="AB110" i="43"/>
  <c r="AA110" i="43"/>
  <c r="Z110" i="43"/>
  <c r="Y110" i="43"/>
  <c r="D109" i="43"/>
  <c r="D108" i="43" s="1"/>
  <c r="AC107" i="43"/>
  <c r="AB107" i="43"/>
  <c r="AA107" i="43"/>
  <c r="Z107" i="43"/>
  <c r="Y107" i="43"/>
  <c r="X107" i="43"/>
  <c r="W107" i="43"/>
  <c r="V107" i="43"/>
  <c r="U107" i="43"/>
  <c r="T107" i="43"/>
  <c r="S107" i="43"/>
  <c r="R107" i="43"/>
  <c r="Q107" i="43"/>
  <c r="P107" i="43"/>
  <c r="O107" i="43"/>
  <c r="N107" i="43"/>
  <c r="M107" i="43"/>
  <c r="L107" i="43"/>
  <c r="D107" i="43"/>
  <c r="AC106" i="43"/>
  <c r="AB106" i="43"/>
  <c r="AA106" i="43"/>
  <c r="Z106" i="43"/>
  <c r="Z105" i="43" s="1"/>
  <c r="Y106" i="43"/>
  <c r="X106" i="43"/>
  <c r="W106" i="43"/>
  <c r="V106" i="43"/>
  <c r="V105" i="43" s="1"/>
  <c r="U106" i="43"/>
  <c r="T106" i="43"/>
  <c r="S106" i="43"/>
  <c r="R106" i="43"/>
  <c r="R105" i="43" s="1"/>
  <c r="Q106" i="43"/>
  <c r="P106" i="43"/>
  <c r="O106" i="43"/>
  <c r="N106" i="43"/>
  <c r="N105" i="43" s="1"/>
  <c r="M106" i="43"/>
  <c r="L106" i="43"/>
  <c r="K106" i="43"/>
  <c r="J106" i="43"/>
  <c r="I106" i="43"/>
  <c r="H106" i="43"/>
  <c r="G106" i="43"/>
  <c r="F106" i="43"/>
  <c r="E106" i="43"/>
  <c r="D106" i="43"/>
  <c r="AC105" i="43"/>
  <c r="AB105" i="43"/>
  <c r="AA105" i="43"/>
  <c r="Y105" i="43"/>
  <c r="X105" i="43"/>
  <c r="W105" i="43"/>
  <c r="U105" i="43"/>
  <c r="T105" i="43"/>
  <c r="S105" i="43"/>
  <c r="Q105" i="43"/>
  <c r="P105" i="43"/>
  <c r="O105" i="43"/>
  <c r="M105" i="43"/>
  <c r="L105" i="43"/>
  <c r="D105" i="43"/>
  <c r="Z103" i="43"/>
  <c r="E96" i="43"/>
  <c r="X89" i="43"/>
  <c r="W89" i="43"/>
  <c r="V89" i="43"/>
  <c r="U89" i="43"/>
  <c r="T89" i="43"/>
  <c r="S89" i="43"/>
  <c r="R89" i="43"/>
  <c r="Q89" i="43"/>
  <c r="P89" i="43"/>
  <c r="O89" i="43"/>
  <c r="N89" i="43"/>
  <c r="M89" i="43"/>
  <c r="L89" i="43"/>
  <c r="K89" i="43"/>
  <c r="J89" i="43"/>
  <c r="I89" i="43"/>
  <c r="H89" i="43"/>
  <c r="G89" i="43"/>
  <c r="F89" i="43"/>
  <c r="E89" i="43"/>
  <c r="D89" i="43"/>
  <c r="O87" i="43"/>
  <c r="N87" i="43"/>
  <c r="M87" i="43"/>
  <c r="L87" i="43"/>
  <c r="K87" i="43"/>
  <c r="J87" i="43"/>
  <c r="I87" i="43"/>
  <c r="H87" i="43"/>
  <c r="G87" i="43"/>
  <c r="F87" i="43"/>
  <c r="E87" i="43" s="1"/>
  <c r="O85" i="43"/>
  <c r="N85" i="43"/>
  <c r="M85" i="43"/>
  <c r="L85" i="43"/>
  <c r="K85" i="43"/>
  <c r="J85" i="43"/>
  <c r="I85" i="43"/>
  <c r="H85" i="43"/>
  <c r="G85" i="43"/>
  <c r="F85" i="43"/>
  <c r="E85" i="43"/>
  <c r="N83" i="43"/>
  <c r="M83" i="43"/>
  <c r="L83" i="43"/>
  <c r="K83" i="43"/>
  <c r="J83" i="43"/>
  <c r="I83" i="43"/>
  <c r="H83" i="43"/>
  <c r="G83" i="43"/>
  <c r="F83" i="43"/>
  <c r="E83" i="43"/>
  <c r="D83" i="43" s="1"/>
  <c r="M81" i="43"/>
  <c r="L81" i="43"/>
  <c r="D81" i="43"/>
  <c r="K80" i="43"/>
  <c r="K107" i="43" s="1"/>
  <c r="K105" i="43" s="1"/>
  <c r="J80" i="43"/>
  <c r="I80" i="43"/>
  <c r="H80" i="43"/>
  <c r="G80" i="43"/>
  <c r="G81" i="43" s="1"/>
  <c r="F80" i="43"/>
  <c r="A80" i="43"/>
  <c r="E81" i="43" s="1"/>
  <c r="H79" i="43"/>
  <c r="G79" i="43"/>
  <c r="F79" i="43"/>
  <c r="E79" i="43"/>
  <c r="D79" i="43"/>
  <c r="H78" i="43"/>
  <c r="D75" i="43"/>
  <c r="D74" i="43"/>
  <c r="M73" i="43"/>
  <c r="L73" i="43"/>
  <c r="K73" i="43"/>
  <c r="J73" i="43"/>
  <c r="I73" i="43"/>
  <c r="H73" i="43"/>
  <c r="G73" i="43"/>
  <c r="F73" i="43"/>
  <c r="E73" i="43"/>
  <c r="D73" i="43"/>
  <c r="M71" i="43"/>
  <c r="K71" i="43"/>
  <c r="I71" i="43"/>
  <c r="G71" i="43"/>
  <c r="E71" i="43"/>
  <c r="D70" i="43"/>
  <c r="N71" i="43" s="1"/>
  <c r="T65" i="43"/>
  <c r="P65" i="43"/>
  <c r="H65" i="43"/>
  <c r="F65" i="43"/>
  <c r="E65" i="43"/>
  <c r="E110" i="43" s="1"/>
  <c r="H64" i="43"/>
  <c r="X65" i="43" s="1"/>
  <c r="G64" i="43"/>
  <c r="F64" i="43"/>
  <c r="F107" i="43" s="1"/>
  <c r="E64" i="43"/>
  <c r="W65" i="43" s="1"/>
  <c r="W110" i="43" s="1"/>
  <c r="K63" i="43"/>
  <c r="J63" i="43"/>
  <c r="A45" i="43"/>
  <c r="AC44" i="43"/>
  <c r="AC103" i="43" s="1"/>
  <c r="AB44" i="43"/>
  <c r="AA44" i="43"/>
  <c r="Z44" i="43"/>
  <c r="Y44" i="43"/>
  <c r="X44" i="43"/>
  <c r="W44" i="43"/>
  <c r="V44" i="43"/>
  <c r="U44" i="43"/>
  <c r="T44" i="43"/>
  <c r="S44" i="43"/>
  <c r="R44" i="43"/>
  <c r="Q44" i="43"/>
  <c r="P44" i="43"/>
  <c r="O44" i="43"/>
  <c r="N44" i="43"/>
  <c r="M44" i="43"/>
  <c r="L44" i="43"/>
  <c r="K44" i="43"/>
  <c r="J44" i="43"/>
  <c r="I44" i="43" s="1"/>
  <c r="R42" i="43"/>
  <c r="Q42" i="43"/>
  <c r="P42" i="43"/>
  <c r="O42" i="43"/>
  <c r="N42" i="43"/>
  <c r="M42" i="43"/>
  <c r="L42" i="43"/>
  <c r="K42" i="43"/>
  <c r="J42" i="43"/>
  <c r="I42" i="43"/>
  <c r="H42" i="43"/>
  <c r="L38" i="43"/>
  <c r="K38" i="43"/>
  <c r="J38" i="43"/>
  <c r="I38" i="43"/>
  <c r="H38" i="43"/>
  <c r="G38" i="43"/>
  <c r="Q36" i="43"/>
  <c r="P36" i="43"/>
  <c r="O36" i="43"/>
  <c r="N36" i="43"/>
  <c r="M36" i="43"/>
  <c r="L36" i="43"/>
  <c r="K36" i="43"/>
  <c r="J36" i="43"/>
  <c r="I36" i="43"/>
  <c r="H36" i="43"/>
  <c r="G36" i="43" s="1"/>
  <c r="L34" i="43"/>
  <c r="K34" i="43"/>
  <c r="J34" i="43"/>
  <c r="I34" i="43"/>
  <c r="H34" i="43"/>
  <c r="G34" i="43" s="1"/>
  <c r="M32" i="43"/>
  <c r="L32" i="43"/>
  <c r="K32" i="43"/>
  <c r="J32" i="43"/>
  <c r="I32" i="43"/>
  <c r="H32" i="43" s="1"/>
  <c r="Q30" i="43"/>
  <c r="P30" i="43"/>
  <c r="O30" i="43"/>
  <c r="N30" i="43"/>
  <c r="M30" i="43"/>
  <c r="L30" i="43"/>
  <c r="K30" i="43"/>
  <c r="J30" i="43"/>
  <c r="I30" i="43"/>
  <c r="H30" i="43"/>
  <c r="G30" i="43"/>
  <c r="S28" i="43"/>
  <c r="R28" i="43"/>
  <c r="Q28" i="43"/>
  <c r="P28" i="43"/>
  <c r="O28" i="43"/>
  <c r="N28" i="43"/>
  <c r="M28" i="43"/>
  <c r="L28" i="43"/>
  <c r="K28" i="43"/>
  <c r="J28" i="43"/>
  <c r="I28" i="43" s="1"/>
  <c r="L26" i="43"/>
  <c r="K26" i="43"/>
  <c r="J26" i="43"/>
  <c r="I26" i="43"/>
  <c r="H26" i="43"/>
  <c r="G26" i="43" s="1"/>
  <c r="E26" i="43"/>
  <c r="N24" i="43"/>
  <c r="M24" i="43"/>
  <c r="L24" i="43"/>
  <c r="K24" i="43"/>
  <c r="K9" i="43" s="1"/>
  <c r="K10" i="43" s="1"/>
  <c r="J24" i="43"/>
  <c r="I24" i="43"/>
  <c r="N22" i="43"/>
  <c r="M22" i="43"/>
  <c r="L22" i="43"/>
  <c r="K22" i="43"/>
  <c r="J22" i="43"/>
  <c r="I22" i="43"/>
  <c r="P20" i="43"/>
  <c r="O20" i="43"/>
  <c r="N20" i="43"/>
  <c r="M20" i="43"/>
  <c r="L20" i="43"/>
  <c r="K20" i="43"/>
  <c r="J20" i="43"/>
  <c r="I20" i="43"/>
  <c r="H20" i="43"/>
  <c r="G20" i="43"/>
  <c r="F20" i="43" s="1"/>
  <c r="AA18" i="43"/>
  <c r="Z18" i="43"/>
  <c r="Z109" i="43" s="1"/>
  <c r="Z108" i="43" s="1"/>
  <c r="Y18" i="43"/>
  <c r="Y103" i="43" s="1"/>
  <c r="X18" i="43"/>
  <c r="W18" i="43"/>
  <c r="V18" i="43"/>
  <c r="V109" i="43" s="1"/>
  <c r="U18" i="43"/>
  <c r="T18" i="43"/>
  <c r="S18" i="43"/>
  <c r="R18" i="43"/>
  <c r="Q18" i="43"/>
  <c r="P18" i="43"/>
  <c r="P103" i="43" s="1"/>
  <c r="O18" i="43"/>
  <c r="N18" i="43"/>
  <c r="M18" i="43"/>
  <c r="L18" i="43"/>
  <c r="K18" i="43"/>
  <c r="J18" i="43"/>
  <c r="I18" i="43"/>
  <c r="H18" i="43"/>
  <c r="G18" i="43"/>
  <c r="R16" i="43"/>
  <c r="Q16" i="43"/>
  <c r="P16" i="43"/>
  <c r="O16" i="43"/>
  <c r="N16" i="43"/>
  <c r="M16" i="43"/>
  <c r="L16" i="43"/>
  <c r="K16" i="43"/>
  <c r="J16" i="43"/>
  <c r="I16" i="43"/>
  <c r="H16" i="43" s="1"/>
  <c r="S14" i="43"/>
  <c r="S109" i="43" s="1"/>
  <c r="R14" i="43"/>
  <c r="R109" i="43" s="1"/>
  <c r="Q14" i="43"/>
  <c r="Q109" i="43" s="1"/>
  <c r="P14" i="43"/>
  <c r="O14" i="43"/>
  <c r="O109" i="43" s="1"/>
  <c r="N14" i="43"/>
  <c r="N109" i="43" s="1"/>
  <c r="M14" i="43"/>
  <c r="M109" i="43" s="1"/>
  <c r="L14" i="43"/>
  <c r="K14" i="43"/>
  <c r="J14" i="43"/>
  <c r="J109" i="43" s="1"/>
  <c r="I14" i="43"/>
  <c r="I109" i="43" s="1"/>
  <c r="A12" i="43"/>
  <c r="AC10" i="43"/>
  <c r="Y10" i="43"/>
  <c r="U10" i="43"/>
  <c r="AC9" i="43"/>
  <c r="AA9" i="43"/>
  <c r="AA10" i="43" s="1"/>
  <c r="Z9" i="43"/>
  <c r="Z10" i="43" s="1"/>
  <c r="Y9" i="43"/>
  <c r="W9" i="43"/>
  <c r="W10" i="43" s="1"/>
  <c r="V9" i="43"/>
  <c r="V10" i="43" s="1"/>
  <c r="U9" i="43"/>
  <c r="S9" i="43"/>
  <c r="S10" i="43" s="1"/>
  <c r="D9" i="43"/>
  <c r="D10" i="43" s="1"/>
  <c r="AC8" i="43"/>
  <c r="Y8" i="43"/>
  <c r="AC7" i="43"/>
  <c r="AB7" i="43"/>
  <c r="AB8" i="43" s="1"/>
  <c r="AA7" i="43"/>
  <c r="AA8" i="43" s="1"/>
  <c r="Z7" i="43"/>
  <c r="Z8" i="43" s="1"/>
  <c r="Y7" i="43"/>
  <c r="W7" i="43"/>
  <c r="W8" i="43" s="1"/>
  <c r="AC5" i="43"/>
  <c r="Y5" i="43"/>
  <c r="AC4" i="43"/>
  <c r="AA4" i="43"/>
  <c r="AA5" i="43" s="1"/>
  <c r="Z4" i="43"/>
  <c r="Z5" i="43" s="1"/>
  <c r="Y4" i="43"/>
  <c r="W4" i="43"/>
  <c r="W5" i="43" s="1"/>
  <c r="H9" i="24"/>
  <c r="F9" i="24"/>
  <c r="E9" i="24"/>
  <c r="D9" i="24"/>
  <c r="X110" i="43" l="1"/>
  <c r="X7" i="43"/>
  <c r="X8" i="43" s="1"/>
  <c r="I9" i="43"/>
  <c r="I10" i="43" s="1"/>
  <c r="M9" i="43"/>
  <c r="M10" i="43" s="1"/>
  <c r="E103" i="43"/>
  <c r="E9" i="43"/>
  <c r="E10" i="43" s="1"/>
  <c r="E4" i="43"/>
  <c r="E5" i="43" s="1"/>
  <c r="E109" i="43"/>
  <c r="E108" i="43" s="1"/>
  <c r="L9" i="43"/>
  <c r="L10" i="43" s="1"/>
  <c r="L109" i="43"/>
  <c r="T110" i="43"/>
  <c r="T7" i="43"/>
  <c r="T8" i="43" s="1"/>
  <c r="D110" i="43"/>
  <c r="D7" i="43"/>
  <c r="D8" i="43" s="1"/>
  <c r="D4" i="43"/>
  <c r="D5" i="43" s="1"/>
  <c r="G9" i="43"/>
  <c r="G10" i="43" s="1"/>
  <c r="G109" i="43"/>
  <c r="W109" i="43"/>
  <c r="W108" i="43" s="1"/>
  <c r="W103" i="43"/>
  <c r="AA109" i="43"/>
  <c r="AA108" i="43" s="1"/>
  <c r="AA103" i="43"/>
  <c r="G107" i="43"/>
  <c r="G105" i="43" s="1"/>
  <c r="H81" i="43"/>
  <c r="K109" i="43"/>
  <c r="T103" i="43"/>
  <c r="X103" i="43"/>
  <c r="F9" i="43"/>
  <c r="F10" i="43" s="1"/>
  <c r="F109" i="43"/>
  <c r="N9" i="43"/>
  <c r="N10" i="43" s="1"/>
  <c r="R9" i="43"/>
  <c r="R10" i="43" s="1"/>
  <c r="Q9" i="43"/>
  <c r="Q10" i="43" s="1"/>
  <c r="P9" i="43"/>
  <c r="P10" i="43" s="1"/>
  <c r="P4" i="43"/>
  <c r="P5" i="43" s="1"/>
  <c r="P109" i="43"/>
  <c r="T9" i="43"/>
  <c r="T10" i="43" s="1"/>
  <c r="T4" i="43"/>
  <c r="T5" i="43" s="1"/>
  <c r="T109" i="43"/>
  <c r="T108" i="43" s="1"/>
  <c r="X9" i="43"/>
  <c r="X10" i="43" s="1"/>
  <c r="X4" i="43"/>
  <c r="X5" i="43" s="1"/>
  <c r="X109" i="43"/>
  <c r="X108" i="43" s="1"/>
  <c r="AB103" i="43"/>
  <c r="AB9" i="43"/>
  <c r="AB10" i="43" s="1"/>
  <c r="AB4" i="43"/>
  <c r="AB5" i="43" s="1"/>
  <c r="AB109" i="43"/>
  <c r="AB108" i="43" s="1"/>
  <c r="H107" i="43"/>
  <c r="H105" i="43" s="1"/>
  <c r="L65" i="43"/>
  <c r="E7" i="43"/>
  <c r="E8" i="43" s="1"/>
  <c r="I81" i="43"/>
  <c r="O9" i="43"/>
  <c r="O10" i="43" s="1"/>
  <c r="H9" i="43"/>
  <c r="H10" i="43" s="1"/>
  <c r="H109" i="43"/>
  <c r="I103" i="43"/>
  <c r="J9" i="43"/>
  <c r="J10" i="43" s="1"/>
  <c r="P110" i="43"/>
  <c r="P7" i="43"/>
  <c r="P8" i="43" s="1"/>
  <c r="F81" i="43"/>
  <c r="J81" i="43"/>
  <c r="K81" i="43"/>
  <c r="F105" i="43"/>
  <c r="I65" i="43"/>
  <c r="M65" i="43"/>
  <c r="M4" i="43" s="1"/>
  <c r="M5" i="43" s="1"/>
  <c r="Q65" i="43"/>
  <c r="U65" i="43"/>
  <c r="U103" i="43" s="1"/>
  <c r="H71" i="43"/>
  <c r="H110" i="43" s="1"/>
  <c r="L71" i="43"/>
  <c r="E107" i="43"/>
  <c r="E105" i="43" s="1"/>
  <c r="I107" i="43"/>
  <c r="I105" i="43" s="1"/>
  <c r="U109" i="43"/>
  <c r="Y109" i="43"/>
  <c r="Y108" i="43" s="1"/>
  <c r="AC109" i="43"/>
  <c r="AC108" i="43" s="1"/>
  <c r="J65" i="43"/>
  <c r="N65" i="43"/>
  <c r="N4" i="43" s="1"/>
  <c r="N5" i="43" s="1"/>
  <c r="R65" i="43"/>
  <c r="V65" i="43"/>
  <c r="D103" i="43"/>
  <c r="J107" i="43"/>
  <c r="J105" i="43" s="1"/>
  <c r="G65" i="43"/>
  <c r="K65" i="43"/>
  <c r="O65" i="43"/>
  <c r="O103" i="43" s="1"/>
  <c r="S65" i="43"/>
  <c r="S103" i="43" s="1"/>
  <c r="F71" i="43"/>
  <c r="F4" i="43" s="1"/>
  <c r="F5" i="43" s="1"/>
  <c r="J71" i="43"/>
  <c r="K7" i="43" l="1"/>
  <c r="K8" i="43" s="1"/>
  <c r="K4" i="43"/>
  <c r="K5" i="43" s="1"/>
  <c r="V7" i="43"/>
  <c r="V8" i="43" s="1"/>
  <c r="V4" i="43"/>
  <c r="V5" i="43" s="1"/>
  <c r="V110" i="43"/>
  <c r="V108" i="43" s="1"/>
  <c r="V103" i="43"/>
  <c r="Q110" i="43"/>
  <c r="Q108" i="43" s="1"/>
  <c r="Q7" i="43"/>
  <c r="Q8" i="43" s="1"/>
  <c r="L110" i="43"/>
  <c r="L7" i="43"/>
  <c r="L8" i="43" s="1"/>
  <c r="L103" i="43"/>
  <c r="K108" i="43"/>
  <c r="N103" i="43"/>
  <c r="F7" i="43"/>
  <c r="F8" i="43" s="1"/>
  <c r="F110" i="43"/>
  <c r="F108" i="43" s="1"/>
  <c r="G110" i="43"/>
  <c r="G108" i="43" s="1"/>
  <c r="G7" i="43"/>
  <c r="G8" i="43" s="1"/>
  <c r="R7" i="43"/>
  <c r="R8" i="43" s="1"/>
  <c r="R110" i="43"/>
  <c r="R108" i="43" s="1"/>
  <c r="M110" i="43"/>
  <c r="M108" i="43" s="1"/>
  <c r="M7" i="43"/>
  <c r="M8" i="43" s="1"/>
  <c r="F103" i="43"/>
  <c r="H108" i="43"/>
  <c r="R103" i="43"/>
  <c r="Q4" i="43"/>
  <c r="Q5" i="43" s="1"/>
  <c r="H103" i="43"/>
  <c r="L108" i="43"/>
  <c r="S110" i="43"/>
  <c r="S108" i="43" s="1"/>
  <c r="S7" i="43"/>
  <c r="S8" i="43" s="1"/>
  <c r="S4" i="43"/>
  <c r="S5" i="43" s="1"/>
  <c r="N7" i="43"/>
  <c r="N8" i="43" s="1"/>
  <c r="N110" i="43"/>
  <c r="N108" i="43" s="1"/>
  <c r="I110" i="43"/>
  <c r="I108" i="43" s="1"/>
  <c r="I7" i="43"/>
  <c r="I8" i="43" s="1"/>
  <c r="Q103" i="43"/>
  <c r="H4" i="43"/>
  <c r="H5" i="43" s="1"/>
  <c r="H7" i="43"/>
  <c r="H8" i="43" s="1"/>
  <c r="P108" i="43"/>
  <c r="K103" i="43"/>
  <c r="L4" i="43"/>
  <c r="L5" i="43" s="1"/>
  <c r="I4" i="43"/>
  <c r="I5" i="43" s="1"/>
  <c r="O110" i="43"/>
  <c r="O108" i="43" s="1"/>
  <c r="O7" i="43"/>
  <c r="O8" i="43" s="1"/>
  <c r="O4" i="43"/>
  <c r="O5" i="43" s="1"/>
  <c r="J7" i="43"/>
  <c r="J8" i="43" s="1"/>
  <c r="J110" i="43"/>
  <c r="J108" i="43" s="1"/>
  <c r="J103" i="43"/>
  <c r="U110" i="43"/>
  <c r="U108" i="43" s="1"/>
  <c r="U7" i="43"/>
  <c r="U8" i="43" s="1"/>
  <c r="U4" i="43"/>
  <c r="U5" i="43" s="1"/>
  <c r="J4" i="43"/>
  <c r="J5" i="43" s="1"/>
  <c r="M103" i="43"/>
  <c r="K110" i="43"/>
  <c r="R4" i="43"/>
  <c r="R5" i="43" s="1"/>
  <c r="G103" i="43"/>
  <c r="G4" i="43"/>
  <c r="G5" i="43" s="1"/>
</calcChain>
</file>

<file path=xl/comments1.xml><?xml version="1.0" encoding="utf-8"?>
<comments xmlns="http://schemas.openxmlformats.org/spreadsheetml/2006/main">
  <authors>
    <author>Inga Grinhagena</author>
  </authors>
  <commentList>
    <comment ref="F12" authorId="0" shapeId="0">
      <text>
        <r>
          <rPr>
            <b/>
            <sz val="8"/>
            <color indexed="81"/>
            <rFont val="Tahoma"/>
            <family val="2"/>
            <charset val="186"/>
          </rPr>
          <t>Inga:</t>
        </r>
        <r>
          <rPr>
            <sz val="8"/>
            <color indexed="81"/>
            <rFont val="Tahoma"/>
            <family val="2"/>
            <charset val="186"/>
          </rPr>
          <t xml:space="preserve">
2017. - 750.20</t>
        </r>
      </text>
    </comment>
    <comment ref="F13" authorId="0" shapeId="0">
      <text>
        <r>
          <rPr>
            <b/>
            <sz val="8"/>
            <color indexed="81"/>
            <rFont val="Tahoma"/>
            <family val="2"/>
            <charset val="186"/>
          </rPr>
          <t xml:space="preserve">Inga:
</t>
        </r>
        <r>
          <rPr>
            <sz val="8"/>
            <color indexed="81"/>
            <rFont val="Tahoma"/>
            <family val="2"/>
            <charset val="186"/>
          </rPr>
          <t xml:space="preserve">provizoriskās izmaksas no projekta tāmes
2017. 205700.00
2018. - 84700.00 EUR
</t>
        </r>
      </text>
    </comment>
    <comment ref="F14" authorId="0" shapeId="0">
      <text>
        <r>
          <rPr>
            <b/>
            <sz val="9"/>
            <color indexed="81"/>
            <rFont val="Tahoma"/>
            <family val="2"/>
            <charset val="186"/>
          </rPr>
          <t>Inga Grinhagena:</t>
        </r>
        <r>
          <rPr>
            <sz val="9"/>
            <color indexed="81"/>
            <rFont val="Tahoma"/>
            <family val="2"/>
            <charset val="186"/>
          </rPr>
          <t xml:space="preserve">
2017. - 5445.00</t>
        </r>
      </text>
    </comment>
    <comment ref="F22" authorId="0" shapeId="0">
      <text>
        <r>
          <rPr>
            <b/>
            <sz val="8"/>
            <color indexed="81"/>
            <rFont val="Tahoma"/>
            <family val="2"/>
            <charset val="186"/>
          </rPr>
          <t>Inga:</t>
        </r>
        <r>
          <rPr>
            <sz val="8"/>
            <color indexed="81"/>
            <rFont val="Tahoma"/>
            <family val="2"/>
            <charset val="186"/>
          </rPr>
          <t xml:space="preserve">
uz 2017.g.</t>
        </r>
      </text>
    </comment>
    <comment ref="F23" authorId="0" shapeId="0">
      <text>
        <r>
          <rPr>
            <b/>
            <sz val="8"/>
            <color indexed="81"/>
            <rFont val="Tahoma"/>
            <family val="2"/>
            <charset val="186"/>
          </rPr>
          <t>Inga:</t>
        </r>
        <r>
          <rPr>
            <sz val="8"/>
            <color indexed="81"/>
            <rFont val="Tahoma"/>
            <family val="2"/>
            <charset val="186"/>
          </rPr>
          <t xml:space="preserve">
uz 2017.g</t>
        </r>
        <r>
          <rPr>
            <sz val="9"/>
            <color indexed="81"/>
            <rFont val="Tahoma"/>
            <family val="2"/>
            <charset val="186"/>
          </rPr>
          <t>.</t>
        </r>
      </text>
    </comment>
    <comment ref="F49" authorId="0" shapeId="0">
      <text>
        <r>
          <rPr>
            <b/>
            <sz val="8"/>
            <color indexed="81"/>
            <rFont val="Tahoma"/>
            <family val="2"/>
            <charset val="186"/>
          </rPr>
          <t xml:space="preserve">Inga:
</t>
        </r>
        <r>
          <rPr>
            <sz val="8"/>
            <color indexed="81"/>
            <rFont val="Tahoma"/>
            <family val="2"/>
            <charset val="186"/>
          </rPr>
          <t>2017. 7500.00 (mājiņa) 2 gab.</t>
        </r>
      </text>
    </comment>
    <comment ref="F63" authorId="0" shapeId="0">
      <text>
        <r>
          <rPr>
            <b/>
            <sz val="8"/>
            <color indexed="81"/>
            <rFont val="Tahoma"/>
            <family val="2"/>
            <charset val="186"/>
          </rPr>
          <t>Inga:</t>
        </r>
        <r>
          <rPr>
            <sz val="8"/>
            <color indexed="81"/>
            <rFont val="Tahoma"/>
            <family val="2"/>
            <charset val="186"/>
          </rPr>
          <t xml:space="preserve">
2016. = 6578.04 (AV)
2017. = 26312.18  
2018. = 5445.00 (AU)</t>
        </r>
      </text>
    </comment>
    <comment ref="F64" authorId="0" shapeId="0">
      <text>
        <r>
          <rPr>
            <b/>
            <sz val="8"/>
            <color indexed="81"/>
            <rFont val="Tahoma"/>
            <family val="2"/>
            <charset val="186"/>
          </rPr>
          <t>Inga:</t>
        </r>
        <r>
          <rPr>
            <sz val="8"/>
            <color indexed="81"/>
            <rFont val="Tahoma"/>
            <family val="2"/>
            <charset val="186"/>
          </rPr>
          <t xml:space="preserve">
2017.=4000.00</t>
        </r>
      </text>
    </comment>
    <comment ref="F71" authorId="0" shapeId="0">
      <text>
        <r>
          <rPr>
            <b/>
            <sz val="8"/>
            <color indexed="81"/>
            <rFont val="Tahoma"/>
            <family val="2"/>
            <charset val="186"/>
          </rPr>
          <t>Inga:</t>
        </r>
        <r>
          <rPr>
            <sz val="8"/>
            <color indexed="81"/>
            <rFont val="Tahoma"/>
            <family val="2"/>
            <charset val="186"/>
          </rPr>
          <t xml:space="preserve">
2016.g.=113419.49 
* mīnuss līgumsods EUR 10699.95 
2017.g. ? EUR 6473.48 garantijas summa (pēc grāmatv. datiem EUR 5349.98)</t>
        </r>
      </text>
    </comment>
    <comment ref="F72" authorId="0" shapeId="0">
      <text>
        <r>
          <rPr>
            <b/>
            <sz val="8"/>
            <color indexed="81"/>
            <rFont val="Tahoma"/>
            <family val="2"/>
            <charset val="186"/>
          </rPr>
          <t>Inga:</t>
        </r>
        <r>
          <rPr>
            <sz val="8"/>
            <color indexed="81"/>
            <rFont val="Tahoma"/>
            <family val="2"/>
            <charset val="186"/>
          </rPr>
          <t xml:space="preserve">
2017.=955.90 AU</t>
        </r>
      </text>
    </comment>
    <comment ref="F73" authorId="0" shapeId="0">
      <text>
        <r>
          <rPr>
            <b/>
            <sz val="9"/>
            <color indexed="81"/>
            <rFont val="Tahoma"/>
            <family val="2"/>
            <charset val="186"/>
          </rPr>
          <t>Inga Grinhagena:</t>
        </r>
        <r>
          <rPr>
            <sz val="9"/>
            <color indexed="81"/>
            <rFont val="Tahoma"/>
            <family val="2"/>
            <charset val="186"/>
          </rPr>
          <t xml:space="preserve">
2017. </t>
        </r>
      </text>
    </comment>
    <comment ref="F74" authorId="0" shapeId="0">
      <text>
        <r>
          <rPr>
            <b/>
            <sz val="9"/>
            <color indexed="81"/>
            <rFont val="Tahoma"/>
            <family val="2"/>
            <charset val="186"/>
          </rPr>
          <t>Inga Grinhagena:</t>
        </r>
        <r>
          <rPr>
            <sz val="9"/>
            <color indexed="81"/>
            <rFont val="Tahoma"/>
            <family val="2"/>
            <charset val="186"/>
          </rPr>
          <t xml:space="preserve">
projekta tāme 166000.00+pvn</t>
        </r>
      </text>
    </comment>
    <comment ref="F96" authorId="0" shapeId="0">
      <text>
        <r>
          <rPr>
            <b/>
            <sz val="8"/>
            <color indexed="81"/>
            <rFont val="Tahoma"/>
            <family val="2"/>
            <charset val="186"/>
          </rPr>
          <t xml:space="preserve">Inga:
</t>
        </r>
        <r>
          <rPr>
            <sz val="8"/>
            <color indexed="81"/>
            <rFont val="Tahoma"/>
            <family val="2"/>
            <charset val="186"/>
          </rPr>
          <t xml:space="preserve">2016.g. EUR 357.17 mūzikas skola (3 mēn.) 
2017.g. EUR9 11638.09 mūzikas skola
</t>
        </r>
      </text>
    </comment>
    <comment ref="F97" authorId="0" shapeId="0">
      <text>
        <r>
          <rPr>
            <b/>
            <sz val="8"/>
            <color indexed="81"/>
            <rFont val="Tahoma"/>
            <family val="2"/>
            <charset val="186"/>
          </rPr>
          <t>Inga:</t>
        </r>
        <r>
          <rPr>
            <sz val="8"/>
            <color indexed="81"/>
            <rFont val="Tahoma"/>
            <family val="2"/>
            <charset val="186"/>
          </rPr>
          <t xml:space="preserve">
2016.g. EUR 4011.15
2017.g. EUR 19583.85</t>
        </r>
      </text>
    </comment>
    <comment ref="F98" authorId="0" shapeId="0">
      <text>
        <r>
          <rPr>
            <b/>
            <sz val="8"/>
            <color indexed="81"/>
            <rFont val="Tahoma"/>
            <family val="2"/>
            <charset val="186"/>
          </rPr>
          <t>Inga Grinhagena:</t>
        </r>
        <r>
          <rPr>
            <sz val="8"/>
            <color indexed="81"/>
            <rFont val="Tahoma"/>
            <family val="2"/>
            <charset val="186"/>
          </rPr>
          <t xml:space="preserve">
2016. - 1207517.04
2017. - 4217303.85 tsk. garantijas nauda 224166.15
</t>
        </r>
        <r>
          <rPr>
            <sz val="9"/>
            <color indexed="81"/>
            <rFont val="Tahoma"/>
            <family val="2"/>
            <charset val="186"/>
          </rPr>
          <t xml:space="preserve">
</t>
        </r>
      </text>
    </comment>
    <comment ref="F105" authorId="0" shapeId="0">
      <text>
        <r>
          <rPr>
            <b/>
            <sz val="8"/>
            <color indexed="81"/>
            <rFont val="Tahoma"/>
            <family val="2"/>
            <charset val="186"/>
          </rPr>
          <t xml:space="preserve">Inga:
</t>
        </r>
        <r>
          <rPr>
            <sz val="8"/>
            <color indexed="81"/>
            <rFont val="Tahoma"/>
            <family val="2"/>
            <charset val="186"/>
          </rPr>
          <t xml:space="preserve">2015.=64982.50
2016.=2800.97 (garantijas nauda)
uz 2017.g. garantijas naudu 2800.97? </t>
        </r>
      </text>
    </comment>
    <comment ref="F106" authorId="0" shapeId="0">
      <text>
        <r>
          <rPr>
            <b/>
            <sz val="8"/>
            <color indexed="81"/>
            <rFont val="Tahoma"/>
            <family val="2"/>
            <charset val="186"/>
          </rPr>
          <t xml:space="preserve">Inga:
</t>
        </r>
        <r>
          <rPr>
            <sz val="8"/>
            <color indexed="81"/>
            <rFont val="Tahoma"/>
            <family val="2"/>
            <charset val="186"/>
          </rPr>
          <t xml:space="preserve">2016.g. EUR 297.37 bibliotēka (2 mēn.) 
2017.g. EUR 4579.78 bibliotēka
</t>
        </r>
      </text>
    </comment>
    <comment ref="F107" authorId="0" shapeId="0">
      <text>
        <r>
          <rPr>
            <b/>
            <sz val="8"/>
            <color indexed="81"/>
            <rFont val="Tahoma"/>
            <family val="2"/>
            <charset val="186"/>
          </rPr>
          <t>Inga:</t>
        </r>
        <r>
          <rPr>
            <sz val="8"/>
            <color indexed="81"/>
            <rFont val="Tahoma"/>
            <family val="2"/>
            <charset val="186"/>
          </rPr>
          <t xml:space="preserve">
2016.g. EUR 2373.46 (2 mēn.)
2017.g. EUR 15776.54</t>
        </r>
      </text>
    </comment>
    <comment ref="F108" authorId="0" shapeId="0">
      <text>
        <r>
          <rPr>
            <b/>
            <sz val="8"/>
            <color indexed="81"/>
            <rFont val="Tahoma"/>
            <family val="2"/>
            <charset val="186"/>
          </rPr>
          <t>Inga:</t>
        </r>
        <r>
          <rPr>
            <sz val="8"/>
            <color indexed="81"/>
            <rFont val="Tahoma"/>
            <family val="2"/>
            <charset val="186"/>
          </rPr>
          <t xml:space="preserve">
2016.g. EUR 543163.30
2017.g. EUR 1571363.53
2018.g. EUR 91 143.40 (garantijas nauda)</t>
        </r>
      </text>
    </comment>
    <comment ref="B111" authorId="0" shapeId="0">
      <text>
        <r>
          <rPr>
            <b/>
            <sz val="9"/>
            <color indexed="81"/>
            <rFont val="Tahoma"/>
            <family val="2"/>
            <charset val="186"/>
          </rPr>
          <t xml:space="preserve">Inga Grinhagena:
</t>
        </r>
        <r>
          <rPr>
            <u/>
            <sz val="9"/>
            <color indexed="81"/>
            <rFont val="Tahoma"/>
            <family val="2"/>
            <charset val="186"/>
          </rPr>
          <t>PIN</t>
        </r>
        <r>
          <rPr>
            <sz val="9"/>
            <color indexed="81"/>
            <rFont val="Tahoma"/>
            <family val="2"/>
            <charset val="186"/>
          </rPr>
          <t xml:space="preserve">
= Ķemeru parka atjaunošana</t>
        </r>
      </text>
    </comment>
    <comment ref="B112" authorId="0" shapeId="0">
      <text>
        <r>
          <rPr>
            <b/>
            <sz val="9"/>
            <color indexed="81"/>
            <rFont val="Tahoma"/>
            <family val="2"/>
            <charset val="186"/>
          </rPr>
          <t xml:space="preserve">Inga Grinhagena:
</t>
        </r>
        <r>
          <rPr>
            <u/>
            <sz val="9"/>
            <color indexed="81"/>
            <rFont val="Tahoma"/>
            <family val="2"/>
            <charset val="186"/>
          </rPr>
          <t>PIN</t>
        </r>
        <r>
          <rPr>
            <sz val="9"/>
            <color indexed="81"/>
            <rFont val="Tahoma"/>
            <family val="2"/>
            <charset val="186"/>
          </rPr>
          <t xml:space="preserve">
 = Ķemeru ūdenstorņa atjaunošana</t>
        </r>
      </text>
    </comment>
    <comment ref="D119" authorId="0" shapeId="0">
      <text>
        <r>
          <rPr>
            <b/>
            <sz val="9"/>
            <color indexed="81"/>
            <rFont val="Tahoma"/>
            <family val="2"/>
            <charset val="186"/>
          </rPr>
          <t>Inga:</t>
        </r>
        <r>
          <rPr>
            <sz val="9"/>
            <color indexed="81"/>
            <rFont val="Tahoma"/>
            <family val="2"/>
            <charset val="186"/>
          </rPr>
          <t xml:space="preserve">
</t>
        </r>
      </text>
    </comment>
    <comment ref="E119" authorId="0" shapeId="0">
      <text>
        <r>
          <rPr>
            <b/>
            <sz val="9"/>
            <color indexed="81"/>
            <rFont val="Tahoma"/>
            <family val="2"/>
            <charset val="186"/>
          </rPr>
          <t>Inga:</t>
        </r>
        <r>
          <rPr>
            <sz val="9"/>
            <color indexed="81"/>
            <rFont val="Tahoma"/>
            <family val="2"/>
            <charset val="186"/>
          </rPr>
          <t xml:space="preserve">
</t>
        </r>
      </text>
    </comment>
    <comment ref="E168" authorId="0" shapeId="0">
      <text>
        <r>
          <rPr>
            <b/>
            <sz val="9"/>
            <color indexed="81"/>
            <rFont val="Tahoma"/>
            <family val="2"/>
            <charset val="186"/>
          </rPr>
          <t>Inga Grinhagena:</t>
        </r>
        <r>
          <rPr>
            <sz val="9"/>
            <color indexed="81"/>
            <rFont val="Tahoma"/>
            <family val="2"/>
            <charset val="186"/>
          </rPr>
          <t xml:space="preserve">
+ 5000.00? ekspertīze</t>
        </r>
      </text>
    </comment>
    <comment ref="B175" authorId="0" shapeId="0">
      <text>
        <r>
          <rPr>
            <b/>
            <sz val="9"/>
            <color indexed="81"/>
            <rFont val="Tahoma"/>
            <family val="2"/>
            <charset val="186"/>
          </rPr>
          <t>Inga Grinhagena:</t>
        </r>
        <r>
          <rPr>
            <sz val="9"/>
            <color indexed="81"/>
            <rFont val="Tahoma"/>
            <family val="2"/>
            <charset val="186"/>
          </rPr>
          <t xml:space="preserve">
</t>
        </r>
        <r>
          <rPr>
            <u/>
            <sz val="9"/>
            <color indexed="81"/>
            <rFont val="Tahoma"/>
            <family val="2"/>
            <charset val="186"/>
          </rPr>
          <t>PIN</t>
        </r>
      </text>
    </comment>
    <comment ref="F177" authorId="0" shapeId="0">
      <text>
        <r>
          <rPr>
            <b/>
            <sz val="8"/>
            <color indexed="81"/>
            <rFont val="Tahoma"/>
            <family val="2"/>
            <charset val="186"/>
          </rPr>
          <t>Inga:</t>
        </r>
        <r>
          <rPr>
            <sz val="8"/>
            <color indexed="81"/>
            <rFont val="Tahoma"/>
            <family val="2"/>
            <charset val="186"/>
          </rPr>
          <t xml:space="preserve">
2017.=60000.00</t>
        </r>
      </text>
    </comment>
    <comment ref="F178" authorId="0" shapeId="0">
      <text>
        <r>
          <rPr>
            <b/>
            <sz val="8"/>
            <color indexed="81"/>
            <rFont val="Tahoma"/>
            <family val="2"/>
            <charset val="186"/>
          </rPr>
          <t>Inga:</t>
        </r>
        <r>
          <rPr>
            <sz val="8"/>
            <color indexed="81"/>
            <rFont val="Tahoma"/>
            <family val="2"/>
            <charset val="186"/>
          </rPr>
          <t xml:space="preserve">
2017.=8000.00</t>
        </r>
      </text>
    </comment>
    <comment ref="B180" authorId="0" shapeId="0">
      <text>
        <r>
          <rPr>
            <b/>
            <sz val="9"/>
            <color indexed="81"/>
            <rFont val="Tahoma"/>
            <family val="2"/>
            <charset val="186"/>
          </rPr>
          <t>Inga Grinhagena:</t>
        </r>
        <r>
          <rPr>
            <sz val="9"/>
            <color indexed="81"/>
            <rFont val="Tahoma"/>
            <family val="2"/>
            <charset val="186"/>
          </rPr>
          <t xml:space="preserve">
= Slokas stadiona infrastruktūras pilnveide</t>
        </r>
      </text>
    </comment>
    <comment ref="F186" authorId="0" shapeId="0">
      <text>
        <r>
          <rPr>
            <b/>
            <sz val="8"/>
            <color indexed="81"/>
            <rFont val="Tahoma"/>
            <family val="2"/>
            <charset val="186"/>
          </rPr>
          <t xml:space="preserve">Inga:
</t>
        </r>
        <r>
          <rPr>
            <sz val="8"/>
            <color indexed="81"/>
            <rFont val="Tahoma"/>
            <family val="2"/>
            <charset val="186"/>
          </rPr>
          <t xml:space="preserve">
2017. - 294118.00 (BP)
2018. - 44118.00 (AU)
</t>
        </r>
      </text>
    </comment>
    <comment ref="F187" authorId="0" shapeId="0">
      <text>
        <r>
          <rPr>
            <b/>
            <sz val="8"/>
            <color indexed="81"/>
            <rFont val="Tahoma"/>
            <family val="2"/>
            <charset val="186"/>
          </rPr>
          <t>Inga:</t>
        </r>
        <r>
          <rPr>
            <sz val="8"/>
            <color indexed="81"/>
            <rFont val="Tahoma"/>
            <family val="2"/>
            <charset val="186"/>
          </rPr>
          <t xml:space="preserve">
Baibas skaitlis?</t>
        </r>
      </text>
    </comment>
    <comment ref="B189" authorId="0" shapeId="0">
      <text>
        <r>
          <rPr>
            <b/>
            <sz val="9"/>
            <color indexed="81"/>
            <rFont val="Tahoma"/>
            <family val="2"/>
            <charset val="186"/>
          </rPr>
          <t xml:space="preserve">Inga :
</t>
        </r>
        <r>
          <rPr>
            <u/>
            <sz val="9"/>
            <color indexed="81"/>
            <rFont val="Tahoma"/>
            <family val="2"/>
            <charset val="186"/>
          </rPr>
          <t>PIN</t>
        </r>
        <r>
          <rPr>
            <sz val="9"/>
            <color indexed="81"/>
            <rFont val="Tahoma"/>
            <family val="2"/>
            <charset val="186"/>
          </rPr>
          <t xml:space="preserve">
</t>
        </r>
      </text>
    </comment>
    <comment ref="F191" authorId="0" shapeId="0">
      <text>
        <r>
          <rPr>
            <b/>
            <sz val="8"/>
            <color indexed="81"/>
            <rFont val="Tahoma"/>
            <family val="2"/>
            <charset val="186"/>
          </rPr>
          <t>Inga Grinhagena:</t>
        </r>
        <r>
          <rPr>
            <sz val="8"/>
            <color indexed="81"/>
            <rFont val="Tahoma"/>
            <family val="2"/>
            <charset val="186"/>
          </rPr>
          <t xml:space="preserve">
kā noslēgs līgumu, ja budžetā tiek paredzēta tikai avansa EUR 82650.00
summa? -Katrīnai?</t>
        </r>
      </text>
    </comment>
    <comment ref="E217" authorId="0" shapeId="0">
      <text>
        <r>
          <rPr>
            <b/>
            <sz val="9"/>
            <color indexed="81"/>
            <rFont val="Tahoma"/>
            <family val="2"/>
            <charset val="186"/>
          </rPr>
          <t>Inga Grinhagena:</t>
        </r>
        <r>
          <rPr>
            <sz val="9"/>
            <color indexed="81"/>
            <rFont val="Tahoma"/>
            <family val="2"/>
            <charset val="186"/>
          </rPr>
          <t xml:space="preserve">
3000.00 ekspertīze?</t>
        </r>
      </text>
    </comment>
    <comment ref="F239" authorId="0" shapeId="0">
      <text>
        <r>
          <rPr>
            <b/>
            <sz val="9"/>
            <color indexed="81"/>
            <rFont val="Tahoma"/>
            <family val="2"/>
            <charset val="186"/>
          </rPr>
          <t>Inga Grinhagena:</t>
        </r>
        <r>
          <rPr>
            <sz val="9"/>
            <color indexed="81"/>
            <rFont val="Tahoma"/>
            <family val="2"/>
            <charset val="186"/>
          </rPr>
          <t xml:space="preserve">
projekta tāme?</t>
        </r>
      </text>
    </comment>
    <comment ref="F271" authorId="0" shapeId="0">
      <text>
        <r>
          <rPr>
            <b/>
            <sz val="9"/>
            <color indexed="81"/>
            <rFont val="Tahoma"/>
            <family val="2"/>
            <charset val="186"/>
          </rPr>
          <t>Inga Grinhagena:</t>
        </r>
        <r>
          <rPr>
            <sz val="9"/>
            <color indexed="81"/>
            <rFont val="Tahoma"/>
            <family val="2"/>
            <charset val="186"/>
          </rPr>
          <t xml:space="preserve">
2017. = 249 000.00
2018. = 249 000.00</t>
        </r>
      </text>
    </comment>
    <comment ref="F303" authorId="0" shapeId="0">
      <text>
        <r>
          <rPr>
            <b/>
            <sz val="8"/>
            <color indexed="81"/>
            <rFont val="Tahoma"/>
            <family val="2"/>
            <charset val="186"/>
          </rPr>
          <t>Inga:</t>
        </r>
        <r>
          <rPr>
            <sz val="8"/>
            <color indexed="81"/>
            <rFont val="Tahoma"/>
            <family val="2"/>
            <charset val="186"/>
          </rPr>
          <t xml:space="preserve">
2016.=6598.13 (AV 19%)
2017.=28128.87+5445.00 (AU)</t>
        </r>
      </text>
    </comment>
    <comment ref="F304" authorId="0" shapeId="0">
      <text>
        <r>
          <rPr>
            <b/>
            <sz val="8"/>
            <color indexed="81"/>
            <rFont val="Tahoma"/>
            <family val="2"/>
            <charset val="186"/>
          </rPr>
          <t>Inga:</t>
        </r>
        <r>
          <rPr>
            <sz val="8"/>
            <color indexed="81"/>
            <rFont val="Tahoma"/>
            <family val="2"/>
            <charset val="186"/>
          </rPr>
          <t xml:space="preserve">
2017. - 7000.00</t>
        </r>
      </text>
    </comment>
    <comment ref="F305" authorId="0" shapeId="0">
      <text>
        <r>
          <rPr>
            <b/>
            <sz val="9"/>
            <color indexed="81"/>
            <rFont val="Tahoma"/>
            <family val="2"/>
            <charset val="186"/>
          </rPr>
          <t>Inga Grinhagena:</t>
        </r>
        <r>
          <rPr>
            <sz val="9"/>
            <color indexed="81"/>
            <rFont val="Tahoma"/>
            <family val="2"/>
            <charset val="186"/>
          </rPr>
          <t xml:space="preserve">
3 mēn. *1500.00</t>
        </r>
      </text>
    </comment>
    <comment ref="F306" authorId="0" shapeId="0">
      <text>
        <r>
          <rPr>
            <b/>
            <sz val="9"/>
            <color indexed="81"/>
            <rFont val="Tahoma"/>
            <family val="2"/>
            <charset val="186"/>
          </rPr>
          <t>Inga Grinhagena:</t>
        </r>
        <r>
          <rPr>
            <sz val="9"/>
            <color indexed="81"/>
            <rFont val="Tahoma"/>
            <family val="2"/>
            <charset val="186"/>
          </rPr>
          <t xml:space="preserve">
2017. - 170000.00
2018. - ?</t>
        </r>
      </text>
    </comment>
    <comment ref="F335" authorId="0" shapeId="0">
      <text>
        <r>
          <rPr>
            <b/>
            <sz val="8"/>
            <color indexed="81"/>
            <rFont val="Tahoma"/>
            <family val="2"/>
            <charset val="186"/>
          </rPr>
          <t>Inga:</t>
        </r>
        <r>
          <rPr>
            <sz val="8"/>
            <color indexed="81"/>
            <rFont val="Tahoma"/>
            <family val="2"/>
            <charset val="186"/>
          </rPr>
          <t xml:space="preserve">
BP = 34727.00
AU = 5445.00</t>
        </r>
      </text>
    </comment>
    <comment ref="B385" authorId="0" shapeId="0">
      <text>
        <r>
          <rPr>
            <b/>
            <sz val="9"/>
            <color indexed="81"/>
            <rFont val="Tahoma"/>
            <family val="2"/>
            <charset val="186"/>
          </rPr>
          <t>Inga:</t>
        </r>
        <r>
          <rPr>
            <sz val="9"/>
            <color indexed="81"/>
            <rFont val="Tahoma"/>
            <family val="2"/>
            <charset val="186"/>
          </rPr>
          <t xml:space="preserve">
Pirmsskolas izglītības pakalpojumu nodrošināšana, paplašinot PII ''Zvaniņš'', PII ''Madara'' un PII ''Lācītis'', izveidotas papildus 76 vietas. </t>
        </r>
        <r>
          <rPr>
            <sz val="9"/>
            <color indexed="10"/>
            <rFont val="Tahoma"/>
            <family val="2"/>
            <charset val="186"/>
          </rPr>
          <t>Viss izdarīts?</t>
        </r>
      </text>
    </comment>
    <comment ref="B423" authorId="0" shapeId="0">
      <text>
        <r>
          <rPr>
            <b/>
            <sz val="8"/>
            <color indexed="81"/>
            <rFont val="Tahoma"/>
            <family val="2"/>
            <charset val="186"/>
          </rPr>
          <t>Inga Grinhagena:</t>
        </r>
        <r>
          <rPr>
            <sz val="8"/>
            <color indexed="81"/>
            <rFont val="Tahoma"/>
            <family val="2"/>
            <charset val="186"/>
          </rPr>
          <t xml:space="preserve">
Viestura iela 6, Jūrmalā.
Skola atrodas citas juridiskas personas īpašumā esošajās telpās</t>
        </r>
      </text>
    </comment>
    <comment ref="F444" authorId="0" shapeId="0">
      <text>
        <r>
          <rPr>
            <b/>
            <sz val="8"/>
            <color indexed="81"/>
            <rFont val="Tahoma"/>
            <family val="2"/>
            <charset val="186"/>
          </rPr>
          <t>Inga:</t>
        </r>
        <r>
          <rPr>
            <sz val="8"/>
            <color indexed="81"/>
            <rFont val="Tahoma"/>
            <family val="2"/>
            <charset val="186"/>
          </rPr>
          <t xml:space="preserve">
2017. = 15269.06
2018. = 10556.07</t>
        </r>
      </text>
    </comment>
    <comment ref="F445" authorId="0" shapeId="0">
      <text>
        <r>
          <rPr>
            <b/>
            <sz val="8"/>
            <color indexed="81"/>
            <rFont val="Tahoma"/>
            <family val="2"/>
            <charset val="186"/>
          </rPr>
          <t>Inga:</t>
        </r>
        <r>
          <rPr>
            <sz val="8"/>
            <color indexed="81"/>
            <rFont val="Tahoma"/>
            <family val="2"/>
            <charset val="186"/>
          </rPr>
          <t xml:space="preserve">
2017. = 22614.35
2018. = 16083.97
</t>
        </r>
      </text>
    </comment>
    <comment ref="F446" authorId="0" shapeId="0">
      <text>
        <r>
          <rPr>
            <b/>
            <sz val="8"/>
            <color indexed="81"/>
            <rFont val="Tahoma"/>
            <family val="2"/>
            <charset val="186"/>
          </rPr>
          <t>Inga:</t>
        </r>
        <r>
          <rPr>
            <sz val="8"/>
            <color indexed="81"/>
            <rFont val="Tahoma"/>
            <family val="2"/>
            <charset val="186"/>
          </rPr>
          <t xml:space="preserve">
2016.=876 354.12
2017.=4449167.85
2018.=3438019.20</t>
        </r>
      </text>
    </comment>
    <comment ref="F449" authorId="0" shapeId="0">
      <text>
        <r>
          <rPr>
            <b/>
            <sz val="8"/>
            <color indexed="81"/>
            <rFont val="Tahoma"/>
            <family val="2"/>
            <charset val="186"/>
          </rPr>
          <t>Inga:</t>
        </r>
        <r>
          <rPr>
            <sz val="8"/>
            <color indexed="81"/>
            <rFont val="Tahoma"/>
            <family val="2"/>
            <charset val="186"/>
          </rPr>
          <t xml:space="preserve">
2017. - 3558.35
2018. - 5207.91</t>
        </r>
      </text>
    </comment>
    <comment ref="F451" authorId="0" shapeId="0">
      <text>
        <r>
          <rPr>
            <b/>
            <sz val="8"/>
            <color indexed="81"/>
            <rFont val="Tahoma"/>
            <family val="2"/>
            <charset val="186"/>
          </rPr>
          <t>Inga:</t>
        </r>
        <r>
          <rPr>
            <sz val="8"/>
            <color indexed="81"/>
            <rFont val="Tahoma"/>
            <family val="2"/>
            <charset val="186"/>
          </rPr>
          <t xml:space="preserve">
2017. - 1755605.97
2018. - 2158345.69</t>
        </r>
      </text>
    </comment>
    <comment ref="F452" authorId="0" shapeId="0">
      <text>
        <r>
          <rPr>
            <b/>
            <sz val="8"/>
            <color indexed="81"/>
            <rFont val="Tahoma"/>
            <family val="2"/>
            <charset val="186"/>
          </rPr>
          <t>Inga:</t>
        </r>
        <r>
          <rPr>
            <sz val="8"/>
            <color indexed="81"/>
            <rFont val="Tahoma"/>
            <family val="2"/>
            <charset val="186"/>
          </rPr>
          <t xml:space="preserve">
2017. - 5404.46
218. - 1324.35
</t>
        </r>
      </text>
    </comment>
    <comment ref="F473" authorId="0" shapeId="0">
      <text>
        <r>
          <rPr>
            <b/>
            <sz val="8"/>
            <color indexed="81"/>
            <rFont val="Tahoma"/>
            <family val="2"/>
            <charset val="186"/>
          </rPr>
          <t>Inga:</t>
        </r>
        <r>
          <rPr>
            <sz val="8"/>
            <color indexed="81"/>
            <rFont val="Tahoma"/>
            <family val="2"/>
            <charset val="186"/>
          </rPr>
          <t xml:space="preserve">
2016.=20000.00 (10% AV) ? 
2017.=80000.00</t>
        </r>
      </text>
    </comment>
    <comment ref="F474" authorId="0" shapeId="0">
      <text>
        <r>
          <rPr>
            <b/>
            <sz val="8"/>
            <color indexed="81"/>
            <rFont val="Tahoma"/>
            <family val="2"/>
            <charset val="186"/>
          </rPr>
          <t>Inga Grinhagena:</t>
        </r>
        <r>
          <rPr>
            <sz val="8"/>
            <color indexed="81"/>
            <rFont val="Tahoma"/>
            <family val="2"/>
            <charset val="186"/>
          </rPr>
          <t xml:space="preserve">
2017.=6500.00</t>
        </r>
      </text>
    </comment>
    <comment ref="F475" authorId="0" shapeId="0">
      <text>
        <r>
          <rPr>
            <b/>
            <sz val="9"/>
            <color indexed="81"/>
            <rFont val="Tahoma"/>
            <family val="2"/>
            <charset val="186"/>
          </rPr>
          <t>Inga Grinhagena:</t>
        </r>
        <r>
          <rPr>
            <sz val="9"/>
            <color indexed="81"/>
            <rFont val="Tahoma"/>
            <family val="2"/>
            <charset val="186"/>
          </rPr>
          <t xml:space="preserve">
1 mēn. BU</t>
        </r>
      </text>
    </comment>
    <comment ref="F539" authorId="0" shapeId="0">
      <text>
        <r>
          <rPr>
            <b/>
            <sz val="9"/>
            <color indexed="81"/>
            <rFont val="Tahoma"/>
            <family val="2"/>
            <charset val="186"/>
          </rPr>
          <t>Inga Grinhagena:</t>
        </r>
        <r>
          <rPr>
            <sz val="9"/>
            <color indexed="81"/>
            <rFont val="Tahoma"/>
            <family val="2"/>
            <charset val="186"/>
          </rPr>
          <t xml:space="preserve">
IP: 3059200.00</t>
        </r>
      </text>
    </comment>
    <comment ref="B545" authorId="0" shapeId="0">
      <text>
        <r>
          <rPr>
            <b/>
            <sz val="9"/>
            <color indexed="81"/>
            <rFont val="Tahoma"/>
            <family val="2"/>
            <charset val="186"/>
          </rPr>
          <t>Inga Grinhagena:</t>
        </r>
        <r>
          <rPr>
            <sz val="9"/>
            <color indexed="81"/>
            <rFont val="Tahoma"/>
            <family val="2"/>
            <charset val="186"/>
          </rPr>
          <t xml:space="preserve">
Pirmsskolas izglītības pakalpojumu nodrošināšana, izmantojot Jūrmalas austrumu daļā esošo izglītības iestāžu nenoslogotās telpas, t.i., sākumskolā ''Taurenītis'' izveidotas papildus 16 vietas.
</t>
        </r>
      </text>
    </comment>
    <comment ref="F560" authorId="0" shapeId="0">
      <text>
        <r>
          <rPr>
            <b/>
            <sz val="9"/>
            <color indexed="81"/>
            <rFont val="Tahoma"/>
            <family val="2"/>
            <charset val="186"/>
          </rPr>
          <t>Inga Grinhagena:</t>
        </r>
        <r>
          <rPr>
            <sz val="9"/>
            <color indexed="81"/>
            <rFont val="Tahoma"/>
            <family val="2"/>
            <charset val="186"/>
          </rPr>
          <t xml:space="preserve">
būs AV 2016.?</t>
        </r>
      </text>
    </comment>
    <comment ref="B568" authorId="0" shapeId="0">
      <text>
        <r>
          <rPr>
            <b/>
            <sz val="9"/>
            <color indexed="81"/>
            <rFont val="Tahoma"/>
            <family val="2"/>
            <charset val="186"/>
          </rPr>
          <t>Inga Grinhagena:</t>
        </r>
        <r>
          <rPr>
            <sz val="9"/>
            <color indexed="81"/>
            <rFont val="Tahoma"/>
            <family val="2"/>
            <charset val="186"/>
          </rPr>
          <t xml:space="preserve">
= Majoru sporta laukums</t>
        </r>
      </text>
    </comment>
    <comment ref="F572" authorId="0" shapeId="0">
      <text>
        <r>
          <rPr>
            <b/>
            <sz val="8"/>
            <color indexed="81"/>
            <rFont val="Tahoma"/>
            <family val="2"/>
            <charset val="186"/>
          </rPr>
          <t>Inga:</t>
        </r>
        <r>
          <rPr>
            <sz val="8"/>
            <color indexed="81"/>
            <rFont val="Tahoma"/>
            <family val="2"/>
            <charset val="186"/>
          </rPr>
          <t xml:space="preserve">
2017. = 963.16</t>
        </r>
      </text>
    </comment>
    <comment ref="F573" authorId="0" shapeId="0">
      <text>
        <r>
          <rPr>
            <b/>
            <sz val="8"/>
            <color indexed="81"/>
            <rFont val="Tahoma"/>
            <family val="2"/>
            <charset val="186"/>
          </rPr>
          <t>Inga:</t>
        </r>
        <r>
          <rPr>
            <sz val="8"/>
            <color indexed="81"/>
            <rFont val="Tahoma"/>
            <family val="2"/>
            <charset val="186"/>
          </rPr>
          <t xml:space="preserve">
2017. = 4800.00</t>
        </r>
      </text>
    </comment>
    <comment ref="F574" authorId="0" shapeId="0">
      <text>
        <r>
          <rPr>
            <b/>
            <sz val="8"/>
            <color indexed="81"/>
            <rFont val="Tahoma"/>
            <family val="2"/>
            <charset val="186"/>
          </rPr>
          <t xml:space="preserve">Inga:
</t>
        </r>
        <r>
          <rPr>
            <sz val="8"/>
            <color indexed="81"/>
            <rFont val="Tahoma"/>
            <family val="2"/>
            <charset val="186"/>
          </rPr>
          <t>2017. =65000.00</t>
        </r>
      </text>
    </comment>
    <comment ref="B587" authorId="0" shapeId="0">
      <text>
        <r>
          <rPr>
            <b/>
            <sz val="8"/>
            <color indexed="81"/>
            <rFont val="Tahoma"/>
            <family val="2"/>
            <charset val="186"/>
          </rPr>
          <t>Inga:</t>
        </r>
        <r>
          <rPr>
            <sz val="8"/>
            <color indexed="81"/>
            <rFont val="Tahoma"/>
            <family val="2"/>
            <charset val="186"/>
          </rPr>
          <t xml:space="preserve">
Uzlabota Slokas stadiona infrastruktūra - vieglatlētikas skrejceliņa seguma maiņa, sintētiskā futbola laukuma seguma maiņa un tribīņu nesošo metāla konstrukciju stiprināšana.</t>
        </r>
      </text>
    </comment>
    <comment ref="F588" authorId="0" shapeId="0">
      <text>
        <r>
          <rPr>
            <b/>
            <sz val="9"/>
            <color indexed="81"/>
            <rFont val="Tahoma"/>
            <family val="2"/>
            <charset val="186"/>
          </rPr>
          <t>Inga Grinhagena:</t>
        </r>
        <r>
          <rPr>
            <sz val="9"/>
            <color indexed="81"/>
            <rFont val="Tahoma"/>
            <family val="2"/>
            <charset val="186"/>
          </rPr>
          <t xml:space="preserve">
uz 2017.g.</t>
        </r>
      </text>
    </comment>
    <comment ref="F621" authorId="0" shapeId="0">
      <text>
        <r>
          <rPr>
            <b/>
            <sz val="8"/>
            <color indexed="81"/>
            <rFont val="Tahoma"/>
            <family val="2"/>
            <charset val="186"/>
          </rPr>
          <t xml:space="preserve">Inga:
</t>
        </r>
        <r>
          <rPr>
            <sz val="8"/>
            <color indexed="81"/>
            <rFont val="Tahoma"/>
            <family val="2"/>
            <charset val="186"/>
          </rPr>
          <t>2016.=0.00
2017.=35000.00</t>
        </r>
      </text>
    </comment>
    <comment ref="F622" authorId="0" shapeId="0">
      <text>
        <r>
          <rPr>
            <b/>
            <sz val="8"/>
            <color indexed="81"/>
            <rFont val="Tahoma"/>
            <family val="2"/>
            <charset val="186"/>
          </rPr>
          <t>Inga:</t>
        </r>
        <r>
          <rPr>
            <sz val="8"/>
            <color indexed="81"/>
            <rFont val="Tahoma"/>
            <family val="2"/>
            <charset val="186"/>
          </rPr>
          <t xml:space="preserve">
2016.=0.00
2017.=8000.00</t>
        </r>
      </text>
    </comment>
    <comment ref="F632" authorId="0" shapeId="0">
      <text>
        <r>
          <rPr>
            <b/>
            <sz val="8"/>
            <color indexed="81"/>
            <rFont val="Tahoma"/>
            <family val="2"/>
            <charset val="186"/>
          </rPr>
          <t>Inga:</t>
        </r>
        <r>
          <rPr>
            <sz val="8"/>
            <color indexed="81"/>
            <rFont val="Tahoma"/>
            <family val="2"/>
            <charset val="186"/>
          </rPr>
          <t xml:space="preserve">
2017. = projekts +AU
2018. - AU</t>
        </r>
      </text>
    </comment>
    <comment ref="F633" authorId="0" shapeId="0">
      <text>
        <r>
          <rPr>
            <b/>
            <sz val="8"/>
            <color indexed="81"/>
            <rFont val="Tahoma"/>
            <family val="2"/>
            <charset val="186"/>
          </rPr>
          <t>Inga:</t>
        </r>
        <r>
          <rPr>
            <sz val="8"/>
            <color indexed="81"/>
            <rFont val="Tahoma"/>
            <family val="2"/>
            <charset val="186"/>
          </rPr>
          <t xml:space="preserve">
uz 2017.=9680.00</t>
        </r>
      </text>
    </comment>
    <comment ref="F634" authorId="0" shapeId="0">
      <text>
        <r>
          <rPr>
            <b/>
            <sz val="8"/>
            <color indexed="81"/>
            <rFont val="Tahoma"/>
            <family val="2"/>
            <charset val="186"/>
          </rPr>
          <t>Inga:</t>
        </r>
        <r>
          <rPr>
            <sz val="8"/>
            <color indexed="81"/>
            <rFont val="Tahoma"/>
            <family val="2"/>
            <charset val="186"/>
          </rPr>
          <t xml:space="preserve">
2017. - 300000.00 4 mēn.
2018. - 500000.00 8 mēn.</t>
        </r>
        <r>
          <rPr>
            <sz val="9"/>
            <color indexed="81"/>
            <rFont val="Tahoma"/>
            <family val="2"/>
            <charset val="186"/>
          </rPr>
          <t xml:space="preserve">
</t>
        </r>
      </text>
    </comment>
    <comment ref="B638" authorId="0" shapeId="0">
      <text>
        <r>
          <rPr>
            <b/>
            <sz val="9"/>
            <color indexed="81"/>
            <rFont val="Tahoma"/>
            <family val="2"/>
            <charset val="186"/>
          </rPr>
          <t xml:space="preserve">Inga Grinhagena:
</t>
        </r>
        <r>
          <rPr>
            <u/>
            <sz val="9"/>
            <color indexed="81"/>
            <rFont val="Tahoma"/>
            <family val="2"/>
            <charset val="186"/>
          </rPr>
          <t>PIN</t>
        </r>
        <r>
          <rPr>
            <sz val="9"/>
            <color indexed="81"/>
            <rFont val="Tahoma"/>
            <family val="2"/>
            <charset val="186"/>
          </rPr>
          <t xml:space="preserve">
Infrastruktūras izveide kvalitatīvai ārpus ģimenes aprūpes pakalpojumu nodrošināšanai. Indikatīvā projekta kopsumma ITI SAM ietvaros 1 327 835.15EUR.</t>
        </r>
      </text>
    </comment>
    <comment ref="D642" authorId="0" shapeId="0">
      <text>
        <r>
          <rPr>
            <b/>
            <sz val="9"/>
            <color indexed="81"/>
            <rFont val="Tahoma"/>
            <family val="2"/>
            <charset val="186"/>
          </rPr>
          <t>Inga:</t>
        </r>
        <r>
          <rPr>
            <sz val="9"/>
            <color indexed="81"/>
            <rFont val="Tahoma"/>
            <family val="2"/>
            <charset val="186"/>
          </rPr>
          <t xml:space="preserve">
10 338 956.00</t>
        </r>
      </text>
    </comment>
  </commentList>
</comments>
</file>

<file path=xl/comments2.xml><?xml version="1.0" encoding="utf-8"?>
<comments xmlns="http://schemas.openxmlformats.org/spreadsheetml/2006/main">
  <authors>
    <author>Gundega Ose</author>
  </authors>
  <commentList>
    <comment ref="F21" authorId="0" shapeId="0">
      <text>
        <r>
          <rPr>
            <b/>
            <sz val="9"/>
            <color indexed="81"/>
            <rFont val="Tahoma"/>
            <family val="2"/>
            <charset val="186"/>
          </rPr>
          <t>Gundega Ose:</t>
        </r>
        <r>
          <rPr>
            <sz val="9"/>
            <color indexed="81"/>
            <rFont val="Tahoma"/>
            <family val="2"/>
            <charset val="186"/>
          </rPr>
          <t xml:space="preserve">
Kafijas pauze</t>
        </r>
      </text>
    </comment>
    <comment ref="F22" authorId="0" shapeId="0">
      <text>
        <r>
          <rPr>
            <b/>
            <sz val="9"/>
            <color indexed="81"/>
            <rFont val="Tahoma"/>
            <family val="2"/>
            <charset val="186"/>
          </rPr>
          <t>Gundega Ose:</t>
        </r>
        <r>
          <rPr>
            <sz val="9"/>
            <color indexed="81"/>
            <rFont val="Tahoma"/>
            <family val="2"/>
            <charset val="186"/>
          </rPr>
          <t xml:space="preserve">
Iekārtu noma</t>
        </r>
      </text>
    </comment>
    <comment ref="F23" authorId="0" shapeId="0">
      <text>
        <r>
          <rPr>
            <b/>
            <sz val="9"/>
            <color indexed="81"/>
            <rFont val="Tahoma"/>
            <family val="2"/>
            <charset val="186"/>
          </rPr>
          <t>Gundega Ose:</t>
        </r>
        <r>
          <rPr>
            <sz val="9"/>
            <color indexed="81"/>
            <rFont val="Tahoma"/>
            <family val="2"/>
            <charset val="186"/>
          </rPr>
          <t xml:space="preserve">
Telpu noformēšanas materiāli, reklāmas baneri, identifikācijas zīmes, plakāti utt.</t>
        </r>
      </text>
    </comment>
    <comment ref="F24" authorId="0" shapeId="0">
      <text>
        <r>
          <rPr>
            <b/>
            <sz val="9"/>
            <color indexed="81"/>
            <rFont val="Tahoma"/>
            <family val="2"/>
            <charset val="186"/>
          </rPr>
          <t>Gundega Ose:</t>
        </r>
        <r>
          <rPr>
            <sz val="9"/>
            <color indexed="81"/>
            <rFont val="Tahoma"/>
            <family val="2"/>
            <charset val="186"/>
          </rPr>
          <t xml:space="preserve">
Autoratlīdzība pasākuma vadītājam</t>
        </r>
      </text>
    </comment>
    <comment ref="F25" authorId="0" shapeId="0">
      <text>
        <r>
          <rPr>
            <b/>
            <sz val="9"/>
            <color indexed="81"/>
            <rFont val="Tahoma"/>
            <family val="2"/>
            <charset val="186"/>
          </rPr>
          <t>Gundega Ose:</t>
        </r>
        <r>
          <rPr>
            <sz val="9"/>
            <color indexed="81"/>
            <rFont val="Tahoma"/>
            <family val="2"/>
            <charset val="186"/>
          </rPr>
          <t xml:space="preserve">
Publicitātes nodrošināšana pasākumam TV, radio.</t>
        </r>
      </text>
    </comment>
    <comment ref="F26" authorId="0" shapeId="0">
      <text>
        <r>
          <rPr>
            <b/>
            <sz val="9"/>
            <color indexed="81"/>
            <rFont val="Tahoma"/>
            <family val="2"/>
            <charset val="186"/>
          </rPr>
          <t>Gundega Ose:</t>
        </r>
        <r>
          <rPr>
            <sz val="9"/>
            <color indexed="81"/>
            <rFont val="Tahoma"/>
            <family val="2"/>
            <charset val="186"/>
          </rPr>
          <t xml:space="preserve">
Apmācību seminārs apmeklētājiem</t>
        </r>
      </text>
    </comment>
  </commentList>
</comments>
</file>

<file path=xl/comments3.xml><?xml version="1.0" encoding="utf-8"?>
<comments xmlns="http://schemas.openxmlformats.org/spreadsheetml/2006/main">
  <authors>
    <author>Jānis Artemjevs</author>
  </authors>
  <commentList>
    <comment ref="D38" authorId="0" shapeId="0">
      <text>
        <r>
          <rPr>
            <b/>
            <sz val="9"/>
            <color indexed="81"/>
            <rFont val="Tahoma"/>
            <family val="2"/>
            <charset val="186"/>
          </rPr>
          <t>Jānis Artemjevs:</t>
        </r>
        <r>
          <rPr>
            <sz val="9"/>
            <color indexed="81"/>
            <rFont val="Tahoma"/>
            <family val="2"/>
            <charset val="186"/>
          </rPr>
          <t xml:space="preserve">
EEK 1150</t>
        </r>
      </text>
    </comment>
    <comment ref="D39" authorId="0" shapeId="0">
      <text>
        <r>
          <rPr>
            <b/>
            <sz val="9"/>
            <color indexed="81"/>
            <rFont val="Tahoma"/>
            <family val="2"/>
            <charset val="186"/>
          </rPr>
          <t>Jānis Artemjevs:</t>
        </r>
        <r>
          <rPr>
            <sz val="9"/>
            <color indexed="81"/>
            <rFont val="Tahoma"/>
            <family val="2"/>
            <charset val="186"/>
          </rPr>
          <t xml:space="preserve">
EEK 1210</t>
        </r>
      </text>
    </comment>
    <comment ref="D40" authorId="0" shapeId="0">
      <text>
        <r>
          <rPr>
            <b/>
            <sz val="9"/>
            <color indexed="81"/>
            <rFont val="Tahoma"/>
            <family val="2"/>
            <charset val="186"/>
          </rPr>
          <t>Jānis Artemjevs:</t>
        </r>
        <r>
          <rPr>
            <sz val="9"/>
            <color indexed="81"/>
            <rFont val="Tahoma"/>
            <family val="2"/>
            <charset val="186"/>
          </rPr>
          <t xml:space="preserve">
EEK 2231
</t>
        </r>
      </text>
    </comment>
  </commentList>
</comments>
</file>

<file path=xl/comments4.xml><?xml version="1.0" encoding="utf-8"?>
<comments xmlns="http://schemas.openxmlformats.org/spreadsheetml/2006/main">
  <authors>
    <author>Diana Golovina</author>
  </authors>
  <commentList>
    <comment ref="H14" authorId="0" shapeId="0">
      <text>
        <r>
          <rPr>
            <b/>
            <sz val="9"/>
            <color indexed="81"/>
            <rFont val="Tahoma"/>
            <family val="2"/>
            <charset val="186"/>
          </rPr>
          <t>Diana Golovina:</t>
        </r>
        <r>
          <rPr>
            <sz val="9"/>
            <color indexed="81"/>
            <rFont val="Tahoma"/>
            <family val="2"/>
            <charset val="186"/>
          </rPr>
          <t xml:space="preserve">
10 baneri (cena 250 EUR)</t>
        </r>
      </text>
    </comment>
  </commentList>
</comments>
</file>

<file path=xl/comments5.xml><?xml version="1.0" encoding="utf-8"?>
<comments xmlns="http://schemas.openxmlformats.org/spreadsheetml/2006/main">
  <authors>
    <author>Vita Madjare</author>
    <author>Iveta Tiško</author>
  </authors>
  <commentList>
    <comment ref="A64" authorId="0" shapeId="0">
      <text>
        <r>
          <rPr>
            <b/>
            <sz val="9"/>
            <color indexed="81"/>
            <rFont val="Tahoma"/>
            <family val="2"/>
            <charset val="186"/>
          </rPr>
          <t>Vita Madjare:</t>
        </r>
        <r>
          <rPr>
            <sz val="9"/>
            <color indexed="81"/>
            <rFont val="Tahoma"/>
            <family val="2"/>
            <charset val="186"/>
          </rPr>
          <t xml:space="preserve">
Šāda summa ir pēc 16.12.sēdes grozījumiem</t>
        </r>
      </text>
    </comment>
    <comment ref="L80" authorId="0" shapeId="0">
      <text>
        <r>
          <rPr>
            <b/>
            <sz val="9"/>
            <color indexed="81"/>
            <rFont val="Tahoma"/>
            <family val="2"/>
            <charset val="186"/>
          </rPr>
          <t>Vita Madjare:</t>
        </r>
        <r>
          <rPr>
            <sz val="9"/>
            <color indexed="81"/>
            <rFont val="Tahoma"/>
            <family val="2"/>
            <charset val="186"/>
          </rPr>
          <t xml:space="preserve">
precizēt summas, jo daļa tika atmaksāta 2016.gadā kā ERAF fianansējums (18.04.2016) Tad arī tika pilnībā dzēsts kredīts Nr.A2/15/129</t>
        </r>
      </text>
    </comment>
    <comment ref="A88" authorId="1" shapeId="0">
      <text>
        <r>
          <rPr>
            <b/>
            <sz val="9"/>
            <color indexed="81"/>
            <rFont val="Tahoma"/>
            <family val="2"/>
            <charset val="186"/>
          </rPr>
          <t>Iveta Tiško:</t>
        </r>
        <r>
          <rPr>
            <sz val="9"/>
            <color indexed="81"/>
            <rFont val="Tahoma"/>
            <family val="2"/>
            <charset val="186"/>
          </rPr>
          <t xml:space="preserve">
labots 15.06.2015. no 6409892 uz 6361742 pamatojoties uz 11.06.15. JPD lēmumu.</t>
        </r>
      </text>
    </comment>
    <comment ref="C92" authorId="0" shapeId="0">
      <text>
        <r>
          <rPr>
            <b/>
            <sz val="9"/>
            <color indexed="81"/>
            <rFont val="Tahoma"/>
            <family val="2"/>
            <charset val="186"/>
          </rPr>
          <t>Vita Madjare:</t>
        </r>
        <r>
          <rPr>
            <sz val="9"/>
            <color indexed="81"/>
            <rFont val="Tahoma"/>
            <family val="2"/>
            <charset val="186"/>
          </rPr>
          <t xml:space="preserve">
Saskaņā ar 13.05.2016. grozījumiem</t>
        </r>
      </text>
    </comment>
  </commentList>
</comments>
</file>

<file path=xl/sharedStrings.xml><?xml version="1.0" encoding="utf-8"?>
<sst xmlns="http://schemas.openxmlformats.org/spreadsheetml/2006/main" count="3476" uniqueCount="1620">
  <si>
    <t>Piezīmes</t>
  </si>
  <si>
    <t xml:space="preserve">Attīstības plānošanas dokumenta nosaukums/ Rīcības virziens un aktiv.numurs* </t>
  </si>
  <si>
    <t>Ekonomiskās klasifikācijas kodi</t>
  </si>
  <si>
    <t>Pasākums/ aktivitāte/ projekts/ pakalpojuma nosaukums/ objekts</t>
  </si>
  <si>
    <t>Nr.</t>
  </si>
  <si>
    <t>Funkcionālās klasifikācijas kods:</t>
  </si>
  <si>
    <t>Programma:</t>
  </si>
  <si>
    <t>Reģistrācijas Nr.</t>
  </si>
  <si>
    <t>Budžeta finansēta institūcija</t>
  </si>
  <si>
    <t xml:space="preserve">2017.gada budžeta projekta atšifrējums pa programmām </t>
  </si>
  <si>
    <t>Struktūrvienība</t>
  </si>
  <si>
    <t>2016.gada precizētais budžets</t>
  </si>
  <si>
    <t>2016.gada gaidāmā izpilde</t>
  </si>
  <si>
    <t xml:space="preserve">2017.gada budžeta pieprasījums </t>
  </si>
  <si>
    <t>KOPĀ</t>
  </si>
  <si>
    <t>Jūrmalas pilsētas dome</t>
  </si>
  <si>
    <t>01.330.</t>
  </si>
  <si>
    <t>Inventārs</t>
  </si>
  <si>
    <t>Transportlīdzekļu uzturēšana un remonts</t>
  </si>
  <si>
    <t>Degviela</t>
  </si>
  <si>
    <t>Informācijas sistēmas uzturēšana</t>
  </si>
  <si>
    <t>Samaksa par virsstundu darbu un darbu svētku dienās</t>
  </si>
  <si>
    <t>EKK</t>
  </si>
  <si>
    <t>Administratīvi juridiskās pārvaldes Tiesvedības nodaļa</t>
  </si>
  <si>
    <t>Ar tiesvedības procesiem saistīti izdevumi</t>
  </si>
  <si>
    <t>Juridiskā pārstāvniecība</t>
  </si>
  <si>
    <t>Tiesas spriedumu izpilde</t>
  </si>
  <si>
    <t>saskaņā ar paskaidrojuma rakstu</t>
  </si>
  <si>
    <t>Tiesāšanās izdevumi</t>
  </si>
  <si>
    <t>Jaunrades parka izveide Kauguros</t>
  </si>
  <si>
    <t>Dzintaru koncertzāles Lielās zāles rekonstrukcija un teritorijas labiekārtošana</t>
  </si>
  <si>
    <t xml:space="preserve">  Jūrmalas pilsētas pašvaldības saistības (EUR)</t>
  </si>
  <si>
    <t>Aizņēmuma apjoms</t>
  </si>
  <si>
    <t>Aizņēmuma paņemšanas gads</t>
  </si>
  <si>
    <t xml:space="preserve">Projekts/Aizņēmuma atdošanas maksajuma gads </t>
  </si>
  <si>
    <t xml:space="preserve"> KOPĀ SAISTĪBU APJOMS</t>
  </si>
  <si>
    <t>Saistību apjoms % no pamatbudžeta ieņēmumiem, t.sk.,</t>
  </si>
  <si>
    <t xml:space="preserve"> saistību apjoms bez galvojumiem</t>
  </si>
  <si>
    <t xml:space="preserve">           esošo saistību apjoms</t>
  </si>
  <si>
    <t xml:space="preserve">           plānoto saistību apjoms</t>
  </si>
  <si>
    <t xml:space="preserve">Pamatbudžeta ieņēmumi bez mērķdotācijas un iemaksām PFIF </t>
  </si>
  <si>
    <t>Plānojamās saistības</t>
  </si>
  <si>
    <t>2018-2020</t>
  </si>
  <si>
    <t>Daudzfunkcionāla, interaktīva dabas tūrisma objekta izveide Ķemeros (5.6.2.SAM)</t>
  </si>
  <si>
    <t>Kredīta % atmaksa 2,7%</t>
  </si>
  <si>
    <t>2018-2019</t>
  </si>
  <si>
    <t xml:space="preserve">Ķemeru parka atjaunošana (5.6.2.SAM) </t>
  </si>
  <si>
    <t xml:space="preserve"> 2017, 2018</t>
  </si>
  <si>
    <t xml:space="preserve">Jūrmalas pilsētas Lielupes pamatskolas ēku un Jūrmalas Valsts ģimnāzijas telpu pārbūvei, sporta zāles būvniecībai Aizputes ielā 1A, Jūrmalā </t>
  </si>
  <si>
    <t>Ceļu un to kompleksa investīciju projektu īstenošanai (2017)</t>
  </si>
  <si>
    <t>Kauguru-Slokas apvedceļa posma dzelzceļa dienvidu pusē izbūve (pieslēgums A10/E22 ceļam)</t>
  </si>
  <si>
    <t>Jūrmalas pašvaldības, Lielupes radīto plūdu un krasta erozijas risku apdraudējumu novēršanas pasākumi Dzintaros un Majoros (SAM 5.1.1.)</t>
  </si>
  <si>
    <t>Mellužu estrādes un Piena paviljona atjaunošana</t>
  </si>
  <si>
    <t>Jūrmalas sporta centra ēkas un baseina pārbūve</t>
  </si>
  <si>
    <t>Jūrmalas sociālās aprūpes centra attīstība un ēku energoefektivitātes uzlabošana</t>
  </si>
  <si>
    <t>Ķemeru vidusskolas ēkas pārbūve (t.sk. energoefektivitātes paaugstināšana) Tukuma ielā 10, Jūrmalā (ITI SAM 4.2.2)</t>
  </si>
  <si>
    <t>Pirmsskolas izglītības iestāde "Mārīte" pārbūve</t>
  </si>
  <si>
    <r>
      <t>(</t>
    </r>
    <r>
      <rPr>
        <sz val="10"/>
        <rFont val="Times New Roman"/>
        <family val="1"/>
        <charset val="186"/>
      </rPr>
      <t>Kredīta % atmaksa 2,7%)</t>
    </r>
  </si>
  <si>
    <t>2017; 2018</t>
  </si>
  <si>
    <t>Pirmsskolas izglītības iestāde "Bitīte" pārbūve</t>
  </si>
  <si>
    <t>(Kredīta % atmaksa 2,7%)</t>
  </si>
  <si>
    <t>Pirmsskolas izglītības iestāde "Madara" pārbūve</t>
  </si>
  <si>
    <t>Jūrmalas Valsts ģimnāzijas ēkas pārbūve un infrastruktūras pilnvaide, metodiskā centra izveide Raiņa ielā 55, Jūrmalā (ITI SAM 8.1.2.)</t>
  </si>
  <si>
    <t>Kredīta % atmaksas 2.7%</t>
  </si>
  <si>
    <t>2019-2020</t>
  </si>
  <si>
    <t>2016, 2017,2018</t>
  </si>
  <si>
    <t>Plānojamās kredītsaistības</t>
  </si>
  <si>
    <t>Aizņēmumu atmaksa</t>
  </si>
  <si>
    <t>2008, 2009</t>
  </si>
  <si>
    <t>Slokas pamatskolas ēkas rekonstrukcija</t>
  </si>
  <si>
    <t xml:space="preserve">Kredīta atm.2,367% </t>
  </si>
  <si>
    <t>Bērnudārza "Katrīna" ēkas rekonstrukcija</t>
  </si>
  <si>
    <t>Dzintara mežaparka rekonstrukcija</t>
  </si>
  <si>
    <t xml:space="preserve">Kredīta atm. 1,852% </t>
  </si>
  <si>
    <t>Slokas sporta kompleksa būvniecība</t>
  </si>
  <si>
    <t>Raiņa ielas rekonstrukcija posmā no Satiksmes ielas līdz Nometņu ielai, Jūrmalā</t>
  </si>
  <si>
    <t>2012, 2013</t>
  </si>
  <si>
    <t>Ēkas rekonstrukcijai ar funkcijas maiņu par sociālās aprūpes ēku ar publiski pieejamām telpām 1.stāvā Skolas ielā 44</t>
  </si>
  <si>
    <t>Kredīta % atmaksa 1,833%</t>
  </si>
  <si>
    <t>Kompleksi risinājumi siltumnīcefekta gāzu emisiju samazināšanai Jūrmalas pašvaldības izglītības iestāžu ēkās</t>
  </si>
  <si>
    <t>Kredīta % atmaksa 1,871%</t>
  </si>
  <si>
    <t>2012, 2013, 2014</t>
  </si>
  <si>
    <t>Aspazijas mājas Nr.002 restaurācija un ēkas Nr.001 rekonstrukcija, saglabājot funkciju muzejs Z.Meirovica prospektā 18/20, Jūrmalā</t>
  </si>
  <si>
    <t>Kredīta % atmaksa (2,7%)</t>
  </si>
  <si>
    <t>2012, 2013, 2014, 2015</t>
  </si>
  <si>
    <t>Dzintaru koncertzāles slēgtās zāles rekonstrukcija/restaurācija Turaidas ielā 1, Jūrmalā</t>
  </si>
  <si>
    <t>Kredīta % atmaksa 2,7%)</t>
  </si>
  <si>
    <t>2013, 2014</t>
  </si>
  <si>
    <t xml:space="preserve">Bērnudārza jaunbūvei Tukuma ielā 9, Jūrmalā </t>
  </si>
  <si>
    <t>Kredīta % atmaksa (2,7%01.14)</t>
  </si>
  <si>
    <t>Mācību korpusa lit.002 rekonstrukcija bez apjoma palielināšanas Dūņu ceļš 2, Jūrmalā</t>
  </si>
  <si>
    <t>Kredīta % atmaksa 0,55%</t>
  </si>
  <si>
    <t>2013, 2014, 2015</t>
  </si>
  <si>
    <t>Ēkas lit.002 rekontrukcijas par Mākslas skolu Strēlnieku prospektā 30 un Jāņa Poruka prospekta izbūve posmā no Friča Brīvzemnieka ielas līdz sporta zālei "Taurenītis" Jūrmalā</t>
  </si>
  <si>
    <t>2014, 2015</t>
  </si>
  <si>
    <t>Jūrmalas Valsts ģimnāzijas un sākumskolas "Atvase" daudzfunkcionālās sporta halles projektēšana un celtniecība (atmaksa 10 gados)</t>
  </si>
  <si>
    <t>Ielu asfalta seguma kapitālais remonts</t>
  </si>
  <si>
    <t>Jūrmalas ūdenssaimniecības attīstības projekta II kārta (ar sadārdzinājumu) (atmaksa 10 gados)</t>
  </si>
  <si>
    <t>Kredīta atmaksa 2,7%</t>
  </si>
  <si>
    <t>Kompleksi risinājumi siltumnīcefekta gāzu emisiju samazināšanai Jūrmalas pilsētas Mežmalas vidusskolā (atmaksa 5 gados)</t>
  </si>
  <si>
    <t>Jūrmalas pilsētas tranzītielas P128 (Talsu šoseja/Kolkas iela) izbūve (atmaksa 10 gados)</t>
  </si>
  <si>
    <t>Ielu asfalta seguma kapitālais remonts (atmaksa 10 gados)</t>
  </si>
  <si>
    <t>2016;2017</t>
  </si>
  <si>
    <t>Dubultu kultūras un izglītības centra Strēlnieku prospektā 30, Jūrmalā būvniecība  (atmaksa 10 gados)</t>
  </si>
  <si>
    <t>Ceļu un to kompleksa investīciju projektu īstenošanai (2016)</t>
  </si>
  <si>
    <t>Jūrmalas ūdenssaimniecības attīstības projekta trešā kārta (atmaksa 20 gados)</t>
  </si>
  <si>
    <t>Galvojumi un ilgtermiņa saistības</t>
  </si>
  <si>
    <t>Galvojums Ūdenssaimn.NEFCO</t>
  </si>
  <si>
    <t>Kredīta % atmaksa 3%</t>
  </si>
  <si>
    <t>Galvojums Ūdenssaimn.EIB</t>
  </si>
  <si>
    <t>Kredīta % atmaksa 2,1%</t>
  </si>
  <si>
    <t>Galvojums SIA "Jūrmalas siltums" 2-cauruļu siltumapg.proj. Iev.</t>
  </si>
  <si>
    <t>Kredīta % atmaksa 0.077%</t>
  </si>
  <si>
    <t>Galvojums projektā "Piejūra" (20 gadi)</t>
  </si>
  <si>
    <t>Studējošā kredīta galvojums Konstantīnam Ņedošivinam</t>
  </si>
  <si>
    <t>Kredīta %atmaksa, 6 mēn. euribor</t>
  </si>
  <si>
    <t>Studiju kredīta galvojums Konstantīnam Ņedošivinam</t>
  </si>
  <si>
    <t xml:space="preserve">Kredīta %atmaksa, </t>
  </si>
  <si>
    <t>2007, 2011</t>
  </si>
  <si>
    <t>Ilgtermiņa saistības</t>
  </si>
  <si>
    <t>Saistības pavisam kopā:</t>
  </si>
  <si>
    <t>Pamatsumma, t.sk.:</t>
  </si>
  <si>
    <t>Plānotā atmaksa:</t>
  </si>
  <si>
    <t>Atmaksa:</t>
  </si>
  <si>
    <t>% kopā, t.sk.:</t>
  </si>
  <si>
    <t>Plānotā % atmaksa:</t>
  </si>
  <si>
    <t>% Atmaksa:</t>
  </si>
  <si>
    <t>Aprūpējamā vienas dienas uzturēšanās izmaksas (no pašvaldības budžeta) 2017.gadā</t>
  </si>
  <si>
    <t>Rādītāju nosaukumi</t>
  </si>
  <si>
    <t>tajā skaitā pa nodaļām:</t>
  </si>
  <si>
    <t>Sociālās aprūpes nodaļa</t>
  </si>
  <si>
    <t>Sociālās aprūpes un sociālās rehabilitācijas nodaļa</t>
  </si>
  <si>
    <t>Veselības un sociālās aprūpes nodaļa</t>
  </si>
  <si>
    <t>no pašvaldības budžeta</t>
  </si>
  <si>
    <t xml:space="preserve">kopā </t>
  </si>
  <si>
    <t xml:space="preserve">Pašvaldības budžets 2017.g. kopā </t>
  </si>
  <si>
    <t>Cits finansējums, t.sk.:</t>
  </si>
  <si>
    <t>Klientu pensijas 90%</t>
  </si>
  <si>
    <t>Klientu līdzdalības maksājumi</t>
  </si>
  <si>
    <t>Pārējie finanšu avoti</t>
  </si>
  <si>
    <t>Pašvaldības finansēto gultas vietu skaits</t>
  </si>
  <si>
    <t>Kopējo gultas vietu skaits</t>
  </si>
  <si>
    <t>Vienas gultas vietas izmaksas dienā</t>
  </si>
  <si>
    <t>Nodaļas gultasdienu skaits gadā (gultas/dienas)</t>
  </si>
  <si>
    <t>Kopējie IZDEVUMI, t.sk.:</t>
  </si>
  <si>
    <t>Atlīdzība</t>
  </si>
  <si>
    <t>Darba samaksa</t>
  </si>
  <si>
    <t>Pārējo darbinieku darba mēnešalga (darba alga)</t>
  </si>
  <si>
    <t xml:space="preserve">Piemaksas </t>
  </si>
  <si>
    <t>Piemaksa par nakts darbu</t>
  </si>
  <si>
    <t>Darba devēja valsts sociālās apdrošināšanas obligātās iemaksas</t>
  </si>
  <si>
    <t>Darba devēja izdevumi veselības, dzīvības un nelaimes gadījumu apdrošināšanai</t>
  </si>
  <si>
    <t>Preces un pakalpojumi</t>
  </si>
  <si>
    <t>Pakalpojumi</t>
  </si>
  <si>
    <t>Telefona abonēšanas maksa, vietējo un tālsarunu apmaksa, interneta pakalpojumu sniedzēju apmaksa</t>
  </si>
  <si>
    <t>Mobilā telefona abonēšanas maksas un sarunu apmaksa</t>
  </si>
  <si>
    <t>Izdevumi par ūdeni un kanalizāciju</t>
  </si>
  <si>
    <t>Maksa par elektroenerģiju</t>
  </si>
  <si>
    <t>Izdevumi par atkritumu izvešanu</t>
  </si>
  <si>
    <t>Uz līguma pamata pieaicināto ekspertu izdevumi</t>
  </si>
  <si>
    <t>Semināru, kursu un konferenču apmaksa</t>
  </si>
  <si>
    <t>Pārējie iestādes administratīvie izdevumi</t>
  </si>
  <si>
    <t>Ēku, būvju un telpu kārtējais remonts</t>
  </si>
  <si>
    <t>Iekārtas, inventāra un aparatūras remonts, tehniskā apkalpošana</t>
  </si>
  <si>
    <t>Ēku, būvju un telpu uzturēšana</t>
  </si>
  <si>
    <t>Pārējie remontdarbu un iestāžu uzturēšanas pakalpojumi</t>
  </si>
  <si>
    <t>Krājumi, materiāli, energoresursi, preces, biroja preces un inventārs</t>
  </si>
  <si>
    <t xml:space="preserve">Biroja preces </t>
  </si>
  <si>
    <t>Kurināmais</t>
  </si>
  <si>
    <t>Zāles, ķimikālijas, laboratorijas preces</t>
  </si>
  <si>
    <t>Remontmateriāli</t>
  </si>
  <si>
    <t>Saimniecības materiāli</t>
  </si>
  <si>
    <t xml:space="preserve">Datortehnikas remonts un uzturēšana </t>
  </si>
  <si>
    <t>Mīkstais inventārs</t>
  </si>
  <si>
    <t>Virtuves inventārs, trauki un galda piederumi</t>
  </si>
  <si>
    <t>Ēdināšanas izdevumi</t>
  </si>
  <si>
    <t>Apdrošināšanas izdevumi veselības, dzīvības un nelaimes gadījumu apdrošināšanai</t>
  </si>
  <si>
    <t>Pārējie valsts un pašvaldību aprūpē un apgādē esošo personu uzturēšanas izdevumi, kuri nav minēti citos koda 2360 apakškodos</t>
  </si>
  <si>
    <t>Budžeta iestāžu nodokļu maksājumi</t>
  </si>
  <si>
    <t>Budžeta iestāžu dabas resursu nodoklis</t>
  </si>
  <si>
    <t>2017.gada budžets</t>
  </si>
  <si>
    <t xml:space="preserve">  Jūrmalas pilsētas pašvaldības SIA "Veselības un sociālās aprūpes centrs - Sloka" </t>
  </si>
  <si>
    <t>Pārējie nodokļi un nodevas - UDRVN</t>
  </si>
  <si>
    <t>JPAP_R3.1.2._131</t>
  </si>
  <si>
    <t>*Informatīvi:</t>
  </si>
  <si>
    <t>Jūrmalas pilsētas attīstības programma 2014.-2020.gadam (JPAP)</t>
  </si>
  <si>
    <t>Rīcības virziens: R3.1.2. Pašvaldības pārvaldes kapacitātes celšana</t>
  </si>
  <si>
    <t>Aktivitāte: Nr.131. Kvalitatīva pašvaldības pārvaldes kapacitātes nodrošināšana</t>
  </si>
  <si>
    <t>Kultūras nodaļa</t>
  </si>
  <si>
    <t>Kultūras pasākumi</t>
  </si>
  <si>
    <t>08.620</t>
  </si>
  <si>
    <t>Jūrmala Raiņa un Aspazijas pilsēta</t>
  </si>
  <si>
    <t>JPAP_R3.3.1._202</t>
  </si>
  <si>
    <t>Kultūras projektu konkurss - Profesionālās mākslas pieejamība Jūrmalā</t>
  </si>
  <si>
    <t>JPAP_R1.7.1._42 JPAP_R1.7.1._43
JPAP_R3.3.1._191</t>
  </si>
  <si>
    <t>Jūrmalas pilsētas domes līdzfinansēto iedzīvotāju iniciatīvas projektu īstenošana kultūras un mākslas attīstības veicināšanas jomā</t>
  </si>
  <si>
    <t>JPAP_R3.3.1._191</t>
  </si>
  <si>
    <t>Izglītības semināri nozares darbiniekiem</t>
  </si>
  <si>
    <t>JPAP_R1.7.1._42</t>
  </si>
  <si>
    <t>Kauguru rudens svētki</t>
  </si>
  <si>
    <t>JPAP_R1.7.1._42 JPAP_R3.3.1._191</t>
  </si>
  <si>
    <t>Kūrortsvētki</t>
  </si>
  <si>
    <t>Gada balva kultūrā</t>
  </si>
  <si>
    <t>Starptautiskais Baltijas jūras koru konkurss, festivāls u.tml.</t>
  </si>
  <si>
    <t>Jūrmala - Latvijas valsts simtgadei.</t>
  </si>
  <si>
    <t>JPAP_R1.7.1._42 JPAP_R1.7.1._43</t>
  </si>
  <si>
    <t>Valsts svētku svinīgais pasākums</t>
  </si>
  <si>
    <t>JPAP_R1.7.1._43</t>
  </si>
  <si>
    <t>Rīcības virziens: R1.7.1. Kultūras tūrisma piedāvājuma attīstība</t>
  </si>
  <si>
    <t>Aktivitāte: Nr.42. Jaunu kultūras tūrisma produktu attīstība</t>
  </si>
  <si>
    <t>Aktivitāte: Nr.43. Kultūras dzīves piedāvājuma attīstība visa gada garumā</t>
  </si>
  <si>
    <t>Rīcības virziens: R.3.3.1. Pilsētas kultūras iestāžu un muzeju darbības pilnveide</t>
  </si>
  <si>
    <t>Aktivitāte: Nr.191. Daudzveidīgu kultūras pasākumu pieejamība Jūrmalas iedzīvotājiem Jūrmalas pilsētā</t>
  </si>
  <si>
    <t>Aktivitāte: Nr.202. Pilsētas tēla "Jūrmala - Raiņa un Aspazijas pilsēta" izveide</t>
  </si>
  <si>
    <t>Jūrmalas pilsētas Labklājības pārvalde</t>
  </si>
  <si>
    <t>Sociālā darba daļa</t>
  </si>
  <si>
    <t>Atbalsts ģimenēm ar bērniem</t>
  </si>
  <si>
    <t>10.400.</t>
  </si>
  <si>
    <t>Pabalsts audžu  ģimenei</t>
  </si>
  <si>
    <t>JPAS_J10 JPAP_R3.5.1._216</t>
  </si>
  <si>
    <t>Atlīdzība audžu ģimenes vecākiem</t>
  </si>
  <si>
    <t xml:space="preserve">Pabalsts jaundzimušā aprūpei </t>
  </si>
  <si>
    <t>JPAS_J10 JPAP_R3.5.1._223</t>
  </si>
  <si>
    <t>Pabalsts aizbildņiem</t>
  </si>
  <si>
    <t>Pabalsts kultūras pasākumu apmeklēšanai daudzbērnu ģimenēm</t>
  </si>
  <si>
    <t>JPAS_J10 JPAP_R3.5.1._217</t>
  </si>
  <si>
    <t>Ziemassvētku apsveikums aizbildnībā esošiem bērniem un bērniem no sociālā riska ģimenēm</t>
  </si>
  <si>
    <t>Sociālās rehabilitācijas pakalpojumu nodrošināšana bērnam invalīdam VSAC''Rīga'' filiālē ''Rīga''</t>
  </si>
  <si>
    <t>JPAS_J10 JPAP_R3.5.1._220</t>
  </si>
  <si>
    <t>Mājokļa atbalsts</t>
  </si>
  <si>
    <t>10.600.</t>
  </si>
  <si>
    <t>Īres maksa par īrētiem dzīvokļiem bāreņiem un bez vecāku gādības palikušiem bērniem pēc ārpusģimenes aprūpes beigšanās, līdz pašvaldība nodrošina ar dzīvojamo platību</t>
  </si>
  <si>
    <t>JPAS_J10 JPAP_R3.5.1._224</t>
  </si>
  <si>
    <t xml:space="preserve">Pārējais citur nekvalificēts atbalsts sociāli atstumtām personām </t>
  </si>
  <si>
    <t>10.700.</t>
  </si>
  <si>
    <t>Pabalsts garā slimo rīcības nespējīgo personu aizgādnim</t>
  </si>
  <si>
    <t>Pabalsts sociālās rehabilitācijas mērķu sasniegšanai</t>
  </si>
  <si>
    <t>Pabalsts bāreņiem un bez vecāku gādības palikušiem bērniem pēc ārpusģimenes aprūpes beigšanās (vsk. mācību laikā)</t>
  </si>
  <si>
    <t xml:space="preserve">Bērnu namu audzēkņiem un aizbildnībā esošiem bērniem sasniedzot pilngadību </t>
  </si>
  <si>
    <t>Jūrmalas pilsētas attīstības stratēģija 2010-2030 (JPAS)</t>
  </si>
  <si>
    <t>Aktivitāte: J10 sociāli drošas vides nodrošināšana</t>
  </si>
  <si>
    <t>Rīcības virziens: R3.5.1. Sociālo pakalpojumu attīstība</t>
  </si>
  <si>
    <t>Aktivitāte: Nr.216. Sociālā atbalsta infrastruktūras attīstība</t>
  </si>
  <si>
    <t>Aktivitāte: Nr.217. Daudzbērnu ģimeņu atbalsta pasākumi</t>
  </si>
  <si>
    <t>Aktivitāte: Nr.220. Sociālās aprūpes un sociālās rehabilitācijas pakalpojumu pieejamība</t>
  </si>
  <si>
    <t>Aktivitāte: Nr.223. Kvalitatīva sociālās palīdzības nodrošināšana un sociālā atbalsta sniegšana</t>
  </si>
  <si>
    <t>Aktivitāte: Nr.224. Kvalitatīva sociālā atbalsta sniegšana mazaizsargātām personām mājokļa nodrošināšanai</t>
  </si>
  <si>
    <t xml:space="preserve">Reģistrācijas Nr. </t>
  </si>
  <si>
    <t>Sociālās palīdzības daļa</t>
  </si>
  <si>
    <t>Sociālā aizsardzība invaliditātes gadījumā</t>
  </si>
  <si>
    <t>10.120.</t>
  </si>
  <si>
    <t xml:space="preserve">Pabalsts personām ar funkcionāliem traucējumiem </t>
  </si>
  <si>
    <t xml:space="preserve">Speciāli pielāgota autotransporta degvielas iegādes apmaksa </t>
  </si>
  <si>
    <t>Atbalsts gados veciem cilvēkiem</t>
  </si>
  <si>
    <t>10.200.</t>
  </si>
  <si>
    <t xml:space="preserve">Veselības aprūpes pabalsts </t>
  </si>
  <si>
    <t>Veselības uzlabošanas pabalsts pensijas vecuma cilvēkiem</t>
  </si>
  <si>
    <t xml:space="preserve">Pabalsts garentētā minimālā ienākumu GMI līmeņa nodrošināšanai </t>
  </si>
  <si>
    <t>Pabalsts ģimenēm, kurās bērns uzsāk mācības pirmajā klasē</t>
  </si>
  <si>
    <t>Pabalsts skolas piederumu iegādei daudzbērnu ģimenēm</t>
  </si>
  <si>
    <t>Pabalsts izglītības ieguves atbalstam</t>
  </si>
  <si>
    <t>Dzīvokļa pabalsts</t>
  </si>
  <si>
    <t xml:space="preserve">2017.gada budžeta projekts </t>
  </si>
  <si>
    <t>Apbedīšanas pabalsts</t>
  </si>
  <si>
    <t xml:space="preserve">Vienreizējie pabalsti krīzes situācijās, kā arī stihiskas nelaimes gadījumiem un ugunsgrēka gadījumiem   </t>
  </si>
  <si>
    <t>Pārējie citur neklasificētie sociālās aizsardzības pasākumi</t>
  </si>
  <si>
    <t>10.920.</t>
  </si>
  <si>
    <t>Jūrmalas pašvaldības pabalsts politiski represētām personām</t>
  </si>
  <si>
    <t>Pabalsts ilgdzīvotājiem</t>
  </si>
  <si>
    <t>Pabalsts personām ar izcilu mūža ieguldījumu Jūrmalas pilsētas attīstībā</t>
  </si>
  <si>
    <t>Sociālo pakalpojumu daļa</t>
  </si>
  <si>
    <t>Sociālā palīdzība</t>
  </si>
  <si>
    <t>03.110.</t>
  </si>
  <si>
    <t>Sabiedriskās vietās mirušo personu transporta izdevumu segšana</t>
  </si>
  <si>
    <r>
      <t>JPAS_J10</t>
    </r>
    <r>
      <rPr>
        <sz val="9"/>
        <rFont val="Times New Roman"/>
        <family val="1"/>
        <charset val="186"/>
      </rPr>
      <t xml:space="preserve">
JPAP_R3.5.1._225</t>
    </r>
  </si>
  <si>
    <t xml:space="preserve">Pabalsts mājokļa vides pieejamības nodrošināšanai    </t>
  </si>
  <si>
    <t>JPAS_J6 JPAP_R3.5.1._216</t>
  </si>
  <si>
    <t>Ergoterapeita vides novērtējumam, ja prasītājs ir trūcīga persona</t>
  </si>
  <si>
    <t>Ergoterapeita novērtējuma nodrošināšana</t>
  </si>
  <si>
    <t>Asistenta pakalpojuma nodrošināšana</t>
  </si>
  <si>
    <t>JPAS_J5 JPAP_R3.5.1._223</t>
  </si>
  <si>
    <t>Asistenta pakalpojuma nodrošināšana (Valsts atmaksāts)</t>
  </si>
  <si>
    <t xml:space="preserve">Veselības un sociālās aprūpes centrs - Sloka -sociālās aprūpes nodaļa SAN   </t>
  </si>
  <si>
    <t>SIA''Pansionāts Dzimtene'' līdz 1998.gada 1.janvārim ievietotajiem iemītniekiem paredzētie līdzekļi</t>
  </si>
  <si>
    <t>Sociālie dzīvokļi un mājas</t>
  </si>
  <si>
    <t xml:space="preserve">Pārējais citur nekvalificēts atbalsts sociāli atstumtām personām  </t>
  </si>
  <si>
    <t xml:space="preserve">Veselības un sociālās aprūpes centrs - Sloka -īslaicīga sociālās aprūpes un sociālās rehabilitācijas nodaļa SASRN    </t>
  </si>
  <si>
    <t xml:space="preserve">Veselības un sociālās aprūpes centrs - Sloka - Veselības un sociālās aprūpes nodaļa   </t>
  </si>
  <si>
    <t xml:space="preserve">Bezpiederīgo apglabāšana </t>
  </si>
  <si>
    <t>JPAS_J10 JPAP_R3.5.1._225</t>
  </si>
  <si>
    <t xml:space="preserve">Pabalsts aprūpes mājās nodrošināšanai </t>
  </si>
  <si>
    <t>Higiēnas un sociālo iemaņu apgūšanas pakalpojumu nodrošinājums sociāli mazaizsargātiem pašvaldības iedzīvotājiem</t>
  </si>
  <si>
    <t>Aktivitāte: J5 droša pilsēta</t>
  </si>
  <si>
    <t>Aktivitāte: J6 labs mājoklis</t>
  </si>
  <si>
    <t>Aktivitāte: Nr.225. Iestādes "Jūrmalas kapi" sniegto pakalpojumu pilnveide</t>
  </si>
  <si>
    <t>Veselības aprūpes nodaļa</t>
  </si>
  <si>
    <t>Specializēto medicīnisko pakalpjumu līdzfinansējums</t>
  </si>
  <si>
    <t>07.220.</t>
  </si>
  <si>
    <t>Bērnu ortodontija un sakodiena anomāliju izdevumu segšana</t>
  </si>
  <si>
    <t>JPAS_J8 JPAP_R3.6.1._226 VVPJP_2.3.4.</t>
  </si>
  <si>
    <t>Eksperta-ortodonta novērtējuma apmaksa</t>
  </si>
  <si>
    <t>Atkarību profilakses programmu finansējums</t>
  </si>
  <si>
    <t>07.410.</t>
  </si>
  <si>
    <t>JPAS_J8 JPAP_R3.6.2._227 VVPJP_2.3.3.</t>
  </si>
  <si>
    <t>Atkarību profilakses centra darba nodrašinājums, tajā skaitā pa klasifikācijas kodiem:</t>
  </si>
  <si>
    <t>ECAD projektiem</t>
  </si>
  <si>
    <t>Dalības maksa ECAD (Eiropas pilsētu kustība pret narkotikām)</t>
  </si>
  <si>
    <t>Pārējo veselības aprūpes pakalpojumu līdzfinansējums</t>
  </si>
  <si>
    <t>07.620.</t>
  </si>
  <si>
    <t>Protezēšanas izdevumi</t>
  </si>
  <si>
    <t>JPAS_J8 JPAP_R3.6.1._226</t>
  </si>
  <si>
    <t>Zobu ekstrakcija bez bezpajumtniekiem</t>
  </si>
  <si>
    <t>Starptautiski projekti(dalības maksa)</t>
  </si>
  <si>
    <t>Tuberkulozes slimnieku veselības programmas atbalsts</t>
  </si>
  <si>
    <t>Psihologu/psihoterapeitu pakalpojumi Supervīzijas</t>
  </si>
  <si>
    <t>Veselību veicinošu pasākumu kopuma senioriem nodrošināšana</t>
  </si>
  <si>
    <t>Grūtnieču un jauno māmiņu fizisko aktivitāšu uzlabošana (veicināšana)</t>
  </si>
  <si>
    <t>Līdzfinansējums jaunu veselības aprūpes projektu īstenošanā</t>
  </si>
  <si>
    <t>Veselības nedēļa</t>
  </si>
  <si>
    <t>Starptautiska un nacionāla mēroga Veselīgo pilsētu stratēģisko virzienu pieredzes apmaiņas semināri</t>
  </si>
  <si>
    <t>Aktivitāte: J8 iedzīvotāju veselība</t>
  </si>
  <si>
    <t>Jūrmalas pilsētas attīstības programma 2014.–2020.gadam (JPAP)</t>
  </si>
  <si>
    <t>Rīcības virziens: R3.6.1. Veselības aprūpes pakalpojumu attīstība</t>
  </si>
  <si>
    <t>Aktivitātes: Nr.226. Veselības pakalpojumu attīstība</t>
  </si>
  <si>
    <t>Rīcības virziens: R3.6.2. Veselīga dzīvesveida veicināšana</t>
  </si>
  <si>
    <t>Aktivitātes: Nr.227. Veselīga dzīvesveida veicināšana</t>
  </si>
  <si>
    <t>Veselības veicināšanas plāns Jūrmalas pilsētai 2013.-2020.gadam (VVPJP)</t>
  </si>
  <si>
    <t>Aktivitāte: Nr.2.3.3. Atkarības vielu ietekmes mazināšana</t>
  </si>
  <si>
    <t>Aktivitāte: Nr.2.3.4. Mutes dobuma veselība</t>
  </si>
  <si>
    <t xml:space="preserve">Budžeta finansēta institūcija: </t>
  </si>
  <si>
    <t xml:space="preserve">Struktūrvienība:  </t>
  </si>
  <si>
    <t>Sabiedrības integrācijas nodaļa</t>
  </si>
  <si>
    <t>Integrācijas projektu īstenošana</t>
  </si>
  <si>
    <r>
      <t xml:space="preserve"> </t>
    </r>
    <r>
      <rPr>
        <b/>
        <sz val="9"/>
        <rFont val="Times New Roman"/>
        <family val="1"/>
        <charset val="186"/>
      </rPr>
      <t>08.400.</t>
    </r>
  </si>
  <si>
    <t xml:space="preserve">Sabiedrības integrācijas programmas realizācija, pašvaldības iedzīvotāju iniciatīvas integrācijas projekti </t>
  </si>
  <si>
    <t>JPAS_J14 JPAP_R3.1.3._133 JPAP_R3.5.1._222</t>
  </si>
  <si>
    <t>Nacionālo vērtību stiprināšana</t>
  </si>
  <si>
    <t>08.620.</t>
  </si>
  <si>
    <t>Fotoklubs ''Jaunais fokuss''</t>
  </si>
  <si>
    <t>JPAS_J15 JPAP_R3.5.1._222</t>
  </si>
  <si>
    <t>Autordziesmu festivāls</t>
  </si>
  <si>
    <t>Latviskās identitātes stiprināšanas programma latviešu nacionalo vērtību stiprināšanai</t>
  </si>
  <si>
    <t>Etniskā integrācija</t>
  </si>
  <si>
    <t>Valsts valodas apmācība mazākumtautību pārstāvjiem un nepilsoņiem</t>
  </si>
  <si>
    <t>Integrācija kultūras aspektā</t>
  </si>
  <si>
    <t xml:space="preserve">Krievu tradicionālie svētki „Masļeņņica” (Meteņi) </t>
  </si>
  <si>
    <t>Romu kopienas dienas</t>
  </si>
  <si>
    <t xml:space="preserve"> Jaunatnes Dzejas dienas ''Vienotā valodā''</t>
  </si>
  <si>
    <t>Ekumeniskas Lieldienas</t>
  </si>
  <si>
    <t>Sociālā integrācija</t>
  </si>
  <si>
    <t>Starptautiskā veco ļaužu diena</t>
  </si>
  <si>
    <t>Ziemassvētku sveicieni sociāli neaizsargātām iedzīvotāju grupām</t>
  </si>
  <si>
    <t>Invalīdu sporta attīstība</t>
  </si>
  <si>
    <t>Sociālā integrācijas programma ilgstošiem bezdarbniekiem</t>
  </si>
  <si>
    <t>Radošās spēles vecvecākiem un mazbērniem''Mūsu mazā zemīte''</t>
  </si>
  <si>
    <t>Dienas nometne bērniem ar īpašām vajadzībām</t>
  </si>
  <si>
    <t>Atzinības izteikšana par paveikto un sasniegto NVO un sociālajā darbā</t>
  </si>
  <si>
    <t>JPAS_J15 JPAP_R3.1.3._133</t>
  </si>
  <si>
    <t>Integrācijas rīcības virzieni izglītības jomā</t>
  </si>
  <si>
    <t>I-II Pasaules kara kritušo karavīru kapu apmeklēšana un uzkopšana</t>
  </si>
  <si>
    <t>Naturalizācijas veicināšanas pasākumi sadarbībā ar PLMP paplašinot pakalpojumu pieejamibu</t>
  </si>
  <si>
    <t>Grāmata par Latviju .Mazākumtautības bērnu integrācijas bilingvāls palīgmateriāls</t>
  </si>
  <si>
    <t>Pilsoniskās sabiedrības stiprināšana</t>
  </si>
  <si>
    <t>Starppilsētu konference Jūrmalā</t>
  </si>
  <si>
    <t>JPAS_J14 JPAP_R3.1.3._133</t>
  </si>
  <si>
    <t>Jūrmalas NVO izstāde</t>
  </si>
  <si>
    <t>Izglītojoši semināri NVO pārstāvjiem (4 semināri)</t>
  </si>
  <si>
    <t>Staptautiska konference ''Reliģiskā darbība publiskās iestādēs''</t>
  </si>
  <si>
    <t>Aktivitātes Ķemeru iedzīvotājiem</t>
  </si>
  <si>
    <t>Aktivitāte: J14 sabiedrības līdzdalības uzlabošana pilsētas dzīves veidošanā un efektīvai pilsētas pārvaldei</t>
  </si>
  <si>
    <t>Aktivitāte: J15 jūrmalnieka piederības sajūtas veidošana</t>
  </si>
  <si>
    <t>Rīcības virziens: R3.1.3. Nevalstiskā sektora attīstības atbalsts</t>
  </si>
  <si>
    <t>Aktivitāte: Nr.133. Sadarbība ar nevalstiskajām organizācijām</t>
  </si>
  <si>
    <t>Aktivitāte: Nr.222. Sabiedrības integrācijas veicināšana</t>
  </si>
  <si>
    <t>90000056357</t>
  </si>
  <si>
    <t xml:space="preserve">Struktūrvienība </t>
  </si>
  <si>
    <t>Mārketinga un ārējo sakaru pārvaldes Sabiedrisko attiecību nodaļa</t>
  </si>
  <si>
    <t xml:space="preserve">Programma: </t>
  </si>
  <si>
    <t>Sabiedrisko attiecību veidošanas pasākumi</t>
  </si>
  <si>
    <t>08.300.</t>
  </si>
  <si>
    <t>KOPĀ:</t>
  </si>
  <si>
    <t>Tipogrāfijas un maketēšanas pakalpojumi Jūrmalas pašvaldības informatīvā biļetena izdošanai</t>
  </si>
  <si>
    <t>JPAP_R3.1.4._135</t>
  </si>
  <si>
    <t>Pašvaldības informatīvā biļetene piegāde (pasta pakalpojumi)</t>
  </si>
  <si>
    <t xml:space="preserve">Online ziņu abonements (ziņu aģentūra LETA), mediju monitorings un publicitātes pārskati </t>
  </si>
  <si>
    <t>JPAP_R3.1.4._135
JPAP_R1.9.1._51</t>
  </si>
  <si>
    <t>Foto pakalpojumi (ziņu aģentūra LETA)</t>
  </si>
  <si>
    <t>Periodikas pasūtīšana 2017.gadam (laikrakstu, žurnālu, rokasgrāmatu abonements)</t>
  </si>
  <si>
    <t>JPAP_R3.1.4._135
JPAP_R3.1.2._131</t>
  </si>
  <si>
    <t>Profesionālas fotosesijas, video izgatavošana un prezentāciju izstrāde sabiedrības informēšanai</t>
  </si>
  <si>
    <t>JPAP_R1.2.2._11
JPAP_R1.9.1._51
JPAP_R3.1.4._135
JPAP_R3.3.1._199
JPAP_R3.3.1._202</t>
  </si>
  <si>
    <t>Sabiedrisko attiecību kampaņu, mediju pasākumu, konferenču, semināru, gadadienu u.c. pasākumu organizēšanas izdevumi. Aģentūru pakalpojumi</t>
  </si>
  <si>
    <t>Līgumi ar fiziskām personām (autoratlīdzības, uzņēmuma līgumi)</t>
  </si>
  <si>
    <t>JPAP_R1.2.2._11
JPAP_R3.1.4._135
JPAP_R3.3.1._199
JPAP_R3.3.1._202</t>
  </si>
  <si>
    <t>Sabiedriskās domas pētījumi par iedzīvotāju attieksmi par Jūrmalas pilsētas domes darbu un aktuālajiem jautājumiem</t>
  </si>
  <si>
    <t>JPAP_R3.1.1._118</t>
  </si>
  <si>
    <t>Informācijas izvietošana vietējā laikrakstā</t>
  </si>
  <si>
    <t>Jūrmalas pilsētas sociālo kontu uzturēšana un pašreklāma (Facebook, Twitter); Jūrmalas pilsētas tīmekļa vietnes atslēgas vārdu reklamēšana google.com</t>
  </si>
  <si>
    <t>JPAP_R1.2.2._11
JPAP_R1.9.1._51
JPAP_R3.1.4._135</t>
  </si>
  <si>
    <t>* Informatīvi -</t>
  </si>
  <si>
    <t>Jūrmalas pilsētas attīstības programma 2014-2020. (JPAP):</t>
  </si>
  <si>
    <t>Rīcības virziens: R1.2.2. Kultūrvēsturiskā mantojuma saglabāšana un attīstība</t>
  </si>
  <si>
    <t xml:space="preserve">                          Aktivitātes: Nr.11. Esošās kultūrvēsturiskās koka arhitektūras vērtību apzināšana un popularizēšana</t>
  </si>
  <si>
    <t>Rīcības virziens: R1.9.1. Jūrmalas kā kūrorta un tikšanās vietas tēla veidošana</t>
  </si>
  <si>
    <t xml:space="preserve">                          Aktivitātes: Nr.51. Jūrmalas pilsētas portāla funkcionalitātes paplašināšana</t>
  </si>
  <si>
    <t>Rīcības virziens: R3.1.1. Pilsētas attīstības plānošana</t>
  </si>
  <si>
    <t xml:space="preserve">                          Aktivitātes: Nr.118. Iedzīvotāju un uzņēmēju aptauju veikšana</t>
  </si>
  <si>
    <t xml:space="preserve">                          Aktivitātes: Nr.131. Kvalitatīva pašvaldības pārvaldes kapacitātes nodrošināšana</t>
  </si>
  <si>
    <t>Rīcības virziens: R3.1.4. Uzlabota komunikācija ar pilsētas iedzīvotājiem</t>
  </si>
  <si>
    <t xml:space="preserve">                          Aktivitātes: Nr.135. Pastāvīga un proaktīva iedzīvotāju informēšana un līdzdalības nodrošināšana pašvaldības politikas plānošanas un lēmumu</t>
  </si>
  <si>
    <t xml:space="preserve">                                                           pieņemšanas procesā</t>
  </si>
  <si>
    <t>Rīcības virziens: R3.3.1. Pilsētas kultūras iestāžu un muzeju darbības pilnveide</t>
  </si>
  <si>
    <t xml:space="preserve">                          Aktivitātes: Nr.199. Jūrmalas muzeju popularizēšana</t>
  </si>
  <si>
    <t xml:space="preserve">                          Aktivitātes: Nr.202. Pilsētas tēla “Jūrmala – Raiņa un Aspazijas pilsēta” izveide</t>
  </si>
  <si>
    <t>Marketinga un ārējo sakaru pārvaldes Ārējo sakaru un protokola nodaļa</t>
  </si>
  <si>
    <t>Ar ārējo sakaru attīstību saistītās starptautiskās un institucionālās sadarbības aktivitātes</t>
  </si>
  <si>
    <t>04.900.</t>
  </si>
  <si>
    <t>Jūrmalas sadraudzības pilsētu delegāciju, ārvalstu delegāciju un ārvalstu vēstnieku uzņemšana</t>
  </si>
  <si>
    <t>JPAP_R1.10.1._57
JPAP_R1.10.2._58
JPAP_R1.10.3._59</t>
  </si>
  <si>
    <t>Jūrmalas domes oficiālo delegāciju vizītes uz esošajām un potenciālajām sadraudzības pilsētām, domes vadības oficiālie ārvalstu komandējumi</t>
  </si>
  <si>
    <t>Ārvalstu komandējumu dienas naudas</t>
  </si>
  <si>
    <t>Ar ārējiem sakariem un sadraudzības pilsētu aktivitāšu īstenošanu saistīto pasākumu organizēšanas izdevumi (ēdināšana, izmitināšana, u.c. saistītie izdevumi)</t>
  </si>
  <si>
    <t>JPAP_R1.7.1._43
JPAP_R1.9.1._49
JPAP_R1.10.3._59</t>
  </si>
  <si>
    <t>Oficiālie reprezentācijas materiāli (dāvanas, prezentācijas, bukleti, plakāti, u.c.)</t>
  </si>
  <si>
    <t>JPAP_R1.10.1._57
JPAP_R1.10.2._58</t>
  </si>
  <si>
    <t>Sadraudzības līgumu notariālie tulkojumi, oficiālās sarakstes tulkojumi</t>
  </si>
  <si>
    <t>Dalībmaksa starptautiskajās organizācijās (Mēri par mieru, UBC)</t>
  </si>
  <si>
    <t>JPAP_R1.10.3._59</t>
  </si>
  <si>
    <t>Autotransports, autotransporta noma</t>
  </si>
  <si>
    <t>JPAP_R1.7.1._43
JPAP_R1.9.1._49
JPAP_R1.10.1._57
JPAP_R1.10.3._59</t>
  </si>
  <si>
    <t xml:space="preserve">Autoratlīdzību honorāri </t>
  </si>
  <si>
    <t>Jūrmalas pilsētas attīstības programma 2014-2020 (JPAP):</t>
  </si>
  <si>
    <t xml:space="preserve">                          Aktivitātes: Nr.43. Kultūras dzīves piedāvājuma attīstība visa gada garumā </t>
  </si>
  <si>
    <t xml:space="preserve">                          Aktivitātes: Nr.49. Jūrmalas kā konferenču un tikšanās vietas popularizēšana nozares speciālistu vidē</t>
  </si>
  <si>
    <t>Rīcības virziens: R1.10.1. Sadarbība ar Jūrmalas sadraudzības pilsētām</t>
  </si>
  <si>
    <t xml:space="preserve">                          Aktivitātes: Nr.57. Sadarbības projekti ar Jūrmalas sadraudzības pilsētām</t>
  </si>
  <si>
    <t>Rīcības virziens: R1.10.2. Sadarbība ar diplomātisko korpusu (ārvalstu vēstniecībām Latvijā un Latvijas Republikas vēstniecībām un konsulātiem ārvalstīs)</t>
  </si>
  <si>
    <t xml:space="preserve">                          Aktivitātes: Nr.58. Diplomātiskā dienesta Latvijā un ārvalstīs pārstāvju informēšanas aktivitātes</t>
  </si>
  <si>
    <t>Rīcības virziens: R1.10.3. Sadarbība ar asociācijām, starptautiskām organizācijām un institūcijām Latvijā un ārvalstīs</t>
  </si>
  <si>
    <t xml:space="preserve">                          Aktivitātes: Nr.59. Asociācijām, starptautisko organizāciju informēšanas un monitoringa aktivitātes</t>
  </si>
  <si>
    <t>2017.gada budžeta projekta atšifrējums pa programmām un budžeta veidiem</t>
  </si>
  <si>
    <t>Struktūrvienība:</t>
  </si>
  <si>
    <t>Mārketinga un ārējo sakaru pārvaldes Tūrisma nodaļa</t>
  </si>
  <si>
    <t>Tūrisma attīstības nodrošināšanas pasākumi</t>
  </si>
  <si>
    <t>04.730.</t>
  </si>
  <si>
    <t>2016.gada precizētais budžets (EUR)</t>
  </si>
  <si>
    <t>2016.gada gaidāmā izpilde (EUR)</t>
  </si>
  <si>
    <t>2017.gada budžeta pieprasījums (EUR)</t>
  </si>
  <si>
    <t>pamatbudžets</t>
  </si>
  <si>
    <t>maksas pakalpojumi</t>
  </si>
  <si>
    <t>Dalības maksa</t>
  </si>
  <si>
    <t>JPAP_R1.1.1._2
JPAP_R1.1.1._3
JPKK_1
JPTAS_1</t>
  </si>
  <si>
    <t>1.1.</t>
  </si>
  <si>
    <t>Dalība Latvijas kūrortpilsētu asociācijā</t>
  </si>
  <si>
    <t>1.2.</t>
  </si>
  <si>
    <t>Dalība EDEN asociācijā</t>
  </si>
  <si>
    <t>1.3.</t>
  </si>
  <si>
    <t>Dalības maksa ESPA(Eiropas kūrortu asociācija)</t>
  </si>
  <si>
    <t>Dalība tūrisma izstādēs un gadatirgos</t>
  </si>
  <si>
    <t>JPAP_R1.7.1._42
JPAP_R1.8.2._47
JPAP_R1.8.2._48
JPAP_R1.9.1._49
JPKK_3
JPTAS_3</t>
  </si>
  <si>
    <t>2.1.</t>
  </si>
  <si>
    <t>Dalība tūrisma izstādē Rīgā, Latvijā, Baltour</t>
  </si>
  <si>
    <t>Vizītes</t>
  </si>
  <si>
    <t>JPAP_R1.8.2._47
JPAP_R1.9.1._49
JPAP_R1.10.3._59
JPKK_3
JPTAS_3</t>
  </si>
  <si>
    <t>3.1.</t>
  </si>
  <si>
    <t>Dalība tūrisma darba semināros, dienās, prezentācijās un to rīkošana (Norvēģija, Somija, Polija, Zviedrija, Krievija, Ukraina, Baltkrievija, Izraēla u.c.)</t>
  </si>
  <si>
    <t>Informatīvie materiāli par Jūrmalu</t>
  </si>
  <si>
    <t>JPAP_R1.2.2._11
JPAP_R1.7.1._42
JPAP_R1.7.1._43
JPAP_R1.7.2._44
JPAP_R1.8.2._47
JPAP_R1.8.2._48
JPKK_3
JPTAS_3</t>
  </si>
  <si>
    <t>4.1.</t>
  </si>
  <si>
    <t>Tūrisma informatīvie materiāli par Jūrmalu</t>
  </si>
  <si>
    <t>Pārējie pakalpojumi</t>
  </si>
  <si>
    <t>5.1.</t>
  </si>
  <si>
    <t>www.jurmala.lv tūrisma reklāmas banera izgatavošano, tūrisma reklāmu izvietošana Latvijas, ārvalstu ziņu portālos, radio., vilcienos, lidostās, žurnālos, TV</t>
  </si>
  <si>
    <t>JPAP_R1.7.1._42
JPAP_R1.7.1._43
JPAP_R1.7.2._44
JPAP_R1.8.2._47
JPAP_R1.8.2._48
JPKK_3
JPTAS_3</t>
  </si>
  <si>
    <t>5.2.</t>
  </si>
  <si>
    <t>Tulkojumi</t>
  </si>
  <si>
    <t>JPAP_R1.9.1._50
JPAP_R1.9.1._51
JPKK_3
JPTAS_3</t>
  </si>
  <si>
    <t>5.3.</t>
  </si>
  <si>
    <t>Ārvalstu tūrisma aģentu un žurnālistu, citu delegāciju uzņemšana Jūrmalā</t>
  </si>
  <si>
    <t>JPAP_R1.8.2._47
JPAP_R1.9.1._49</t>
  </si>
  <si>
    <t>5.4.</t>
  </si>
  <si>
    <t>Tūrisma informatīvo ceļa zīmju kājāmgājējiem un autotransportam finansējums, kultūras objektu plāksnes</t>
  </si>
  <si>
    <t>JPAP_R1.7.2._44
JPTAS_4
JPTAS_5</t>
  </si>
  <si>
    <t>5.5.</t>
  </si>
  <si>
    <t>Jaunā gada pasākuma rīkošana Dzintaru mežparkā</t>
  </si>
  <si>
    <t>JPAP_R1.7.1._43
JPKK_3</t>
  </si>
  <si>
    <t>5.6.</t>
  </si>
  <si>
    <t>Tūrisma statistikas datu sagatavošana</t>
  </si>
  <si>
    <t>JPAP_R1.4.2._16
JPAP_R1.4.3._17
JPAP_R1.7.1._42
JPAP_R1.7.1._43
JPAP_R1.7.2._44
JPAP_R1.8.2._47
JPAP_R1.8.2._48
JPKK_3
JPTAS_3</t>
  </si>
  <si>
    <t>5.7.</t>
  </si>
  <si>
    <t>Tūrisma stenda nodrošināšana</t>
  </si>
  <si>
    <t>5.8.</t>
  </si>
  <si>
    <t>Tūrisma mobilās aplikācijas izstrādāšana</t>
  </si>
  <si>
    <t>5.9.</t>
  </si>
  <si>
    <t>Tūrisma veicināšanas pasākumi interneta vidē ārvalstīs</t>
  </si>
  <si>
    <t>5.10.</t>
  </si>
  <si>
    <t>Tūrisma viesmīlības un tūrisma produktu veidošanas apmācību rīkošana Jūrmalas tūrisma uzņēmējiem</t>
  </si>
  <si>
    <t>5.11.</t>
  </si>
  <si>
    <t>Tūrisma informācijas uzglabāšanas USB kartes (500 gb.)</t>
  </si>
  <si>
    <t>6.</t>
  </si>
  <si>
    <t>Live Riga</t>
  </si>
  <si>
    <t>JPAP_R1.7.1._42
JPAP_R1.7.1._43
JPAP_R1.7.2._44
JPAP_R1.8.2._47
JPAP_R1.8.2._48
JPAP_R1.9.1._49
JPAP_R1.9.1._50
JPKK_3</t>
  </si>
  <si>
    <t>6.1.</t>
  </si>
  <si>
    <t>www.jurmala.lv reklāmas banera ievietošana Latvijas ārvalstu tūrisma ziņu portālos, reklāma Live Riga portālā</t>
  </si>
  <si>
    <t>6.2.</t>
  </si>
  <si>
    <t>Jūrmalas reklāma MEET Riga izdevumā</t>
  </si>
  <si>
    <t>PVN</t>
  </si>
  <si>
    <t>Realizācijas līgumi</t>
  </si>
  <si>
    <t>Jūrmalas pilsētas tūrisma attīstības stratēģija 2007.-2018.gadam (JPTAS):</t>
  </si>
  <si>
    <t>Uzdevums: 1. Jūrmalas kā kūrorta pilsētas attīstības veicināšana</t>
  </si>
  <si>
    <t>Uzdevums: 3. Pilsētas tēla mērķtiecīga veidošana Rietumos un turpmāka pilnveidošana Baltijā un Austrumos</t>
  </si>
  <si>
    <t>Uzdevums: 4. Tūrisma objektu un aktivitāšu zonēšana</t>
  </si>
  <si>
    <t>Uzdevums: 5. Tūrisma infrastruktūras radīšana, uzlabošana un kvalitātes paaugstināšana</t>
  </si>
  <si>
    <t>Jūrmalas pilsētas kūrorta koncepcija 2009.-2018.gadam (JPKK):</t>
  </si>
  <si>
    <t>Uzdevums: 3. Veselības kūrorta tēla mērķtiecīga veidošana rietumvalstīs un turpmāka popularizēšana Baltijā un Eiropā</t>
  </si>
  <si>
    <t>Rīcības virziens: R1.1.1. Kūrortu tiesiskās sistēmas un organizāciju izveides veicināšana</t>
  </si>
  <si>
    <t xml:space="preserve">                          Aktivitātes: Nr.2. Sadarbība ar citiem potenciālajiem Latvijas kūrortiem</t>
  </si>
  <si>
    <t xml:space="preserve">                          Aktivitātes: Nr.3. Sadarbība ar ārvalstu un starptautiskajām kūrortu un tūrisma organizācijām</t>
  </si>
  <si>
    <t>Rīcības virziens: R1.4.2. Ēdināšanas pakalpojumu attīstība</t>
  </si>
  <si>
    <t xml:space="preserve">                          Aktivitātes: Nr.16. Kvalitatīvas ēdināšanas pakalpojumu kvalitātes paaugstināšanas veicināšana</t>
  </si>
  <si>
    <t>Rīcības virziens: R1.4.3. Citu tūrisma pakalpojumu attīstība</t>
  </si>
  <si>
    <t xml:space="preserve">                          Aktivitātes: Nr.17. Tūrisma pakalpojumu piedāvājuma dažādošana</t>
  </si>
  <si>
    <t xml:space="preserve">                          Aktivitātes: Nr.42. Jaunu kultūras tūrisma produktu attīstība</t>
  </si>
  <si>
    <t xml:space="preserve">                          Aktivitātes: Nr.43. Kultūras dzīves piedāvājuma attīstība visa gada garumā</t>
  </si>
  <si>
    <t>Rīcības virziens: R1.7.2. Kultūras tūrisma infrastruktūras attīstība</t>
  </si>
  <si>
    <t xml:space="preserve">                          Aktivitātes: Nr.44. Esošo Jūrmalas kultūras tūrisma objektu attīstība</t>
  </si>
  <si>
    <t>Rīcības virziens: R1.8.2. Konferenču un korporatīvo pasākumu nodrošināšanas pakalpojumu attīstība</t>
  </si>
  <si>
    <t xml:space="preserve">                          Aktivitātes: Nr.47. Konferenču un citu pasākumu komplekso piedāvājumu sagatavošana un popularizēšana</t>
  </si>
  <si>
    <t xml:space="preserve">                          Aktivitātes: Nr.48. Esošo un jaunu starptautisku kultūras un tikšanās pasākumu iniciēšana un īstenošana</t>
  </si>
  <si>
    <t xml:space="preserve">                          Aktivitātes: Nr.50. Jūrmalas kūrorta pārstāvniecība interneta un mobilo aplikāciju resursos</t>
  </si>
  <si>
    <t xml:space="preserve">                          Aktivitātes: Nr.51. Jūrmalas pilsētas portāla funkcionalitātes paplašināšana </t>
  </si>
  <si>
    <t>Mārketinga un ārējo sakaru pārvaldes Mārketinga nodaļa</t>
  </si>
  <si>
    <t>Pilsētas ekonomiskās attīstības pasākumi</t>
  </si>
  <si>
    <t xml:space="preserve">2017.gada budžets </t>
  </si>
  <si>
    <t>Informatīvo materiālu un reklāmas izvietošana medijos - TV, radio, internetā, presē, vidē  un citos drukātajos materiālos pilsētas zīmola komunikācijas kampaņu pasākumiem un pilsētas tēla kampaņas.</t>
  </si>
  <si>
    <t>JPAP_R1.9.1._53</t>
  </si>
  <si>
    <t>Pasākumu, kampaņu informatīvo, mārketinga un reklāmas materiālu izstrāde un izgatavošana. Suvenīru un prezentmateriālu iegāde.</t>
  </si>
  <si>
    <t>JPAP_R2.2.1._70</t>
  </si>
  <si>
    <t>Organizatoriskie izdevumi</t>
  </si>
  <si>
    <t>Radošo, komunikāciju, pasākumu attīstības aģentūru pakalpojumi: radošo ideju izstrāde, pasākumu konceptu sagatavošana un īstenošana,  pilsētvides objektu, u.c norišu radošās idejas, dizaina konceptu izstrāde, ražošana un uzstādīšana</t>
  </si>
  <si>
    <t>Līgumi ar fiziskām personām (autoratlīdzības)</t>
  </si>
  <si>
    <t xml:space="preserve">                          Aktivitātes: Nr.53. Jūrmalas pilsētas zīmola integrētās komunikācijas kampaņu un pilsētas mārketinga aktivitāšu īstenošana</t>
  </si>
  <si>
    <t>Rīcības virziens: R2.2.1. Jūrmalas vizuālās identitātes standarta izstrāde un ieviešana</t>
  </si>
  <si>
    <t xml:space="preserve">                          Aktivitātes: Nr.70. Jūrmalas vizuālās identitātes veidošana un uzraudzīšana</t>
  </si>
  <si>
    <t>Attīstības pārvaldes Projektu ieviešanas nodaļa</t>
  </si>
  <si>
    <t>Iedzīvotāju projektu konkurss pašvaldības administratīvajā teritorijā esošas atpūtas infrastruktūras attīstībai</t>
  </si>
  <si>
    <t>JPAP_R3.1.3._133</t>
  </si>
  <si>
    <t>Biedru nauda dalībai biedrībā ''Partnerība laukiem un jūrai''</t>
  </si>
  <si>
    <t>JPAP_R3.3.1._195</t>
  </si>
  <si>
    <t>Projektu pieteikumu sagatavošanas izmaksas</t>
  </si>
  <si>
    <t>JPAP_R1.6.1._21
JPAP_R1.10.1._57</t>
  </si>
  <si>
    <t>Darbības programmas "Izaugsme un nodarbinātība" projektu pieteikumu pavadošās dokumentācijas izstrāde</t>
  </si>
  <si>
    <t>JPAP_R2.1.1._62
JPAP_R2.4.2._80</t>
  </si>
  <si>
    <t xml:space="preserve">JPAP_R1.6.1._21
JPAP_R1.6.1._22
JPAP_R1.7.2._45
JPAP_R2.1.1._62
JPAP_R2.4.2._80
JPAP_R3.7.2._230
JPAP_R3.2.3._165 JPAP_R3.3.1._195 </t>
  </si>
  <si>
    <t>Rīcības virziens: R1.6.1. Dabas tūrisma infrastruktūras attīstība</t>
  </si>
  <si>
    <t xml:space="preserve">                          Aktivitātes: Nr.21. Daudzfunkcionāla, interaktīva dabas tūrisma objekta izveide Ķemeros</t>
  </si>
  <si>
    <t xml:space="preserve">                          Aktivitātes: Nr.22. Jaunu dabas tūrisma objektu izveide un esošo dabas tūrisma objektu pilnveide</t>
  </si>
  <si>
    <t xml:space="preserve">                          Aktivitātes: Nr.45. Ķemeru teritorijas un Ķemeru parka infrastruktūras atjaunošana un pilnveide</t>
  </si>
  <si>
    <t>Rīcības virziens: R2.1.1. Ielu un ceļu rekonstrukcija, satiksmes drošības uzlabošana</t>
  </si>
  <si>
    <t xml:space="preserve">                          Aktivitātes: Nr.62. Jūrmalas ielu un tiltu tīkla pilnveide</t>
  </si>
  <si>
    <t>Rīcības virziens: R2.4.2. Kuģošanas infrastruktūras attīstība Lielupē</t>
  </si>
  <si>
    <t xml:space="preserve">                          Aktivitātes: Nr.80. Lielupes kuģošanas un ūdenstūrisma infrastruktūras un pakalpojumu attīstība</t>
  </si>
  <si>
    <t xml:space="preserve">                          Aktivitātes: Nr.133. Sadarbība ar nevalstiskajām organizācijām</t>
  </si>
  <si>
    <t>Rīcības virziens: R3.2.3. Vispārizglītojošo skolu izglītības pakalpojumi</t>
  </si>
  <si>
    <t xml:space="preserve">                          Aktivitātes: Nr.165. Vispārējās izglītības iestāžu mācību vides uzlabošana</t>
  </si>
  <si>
    <t xml:space="preserve">                          Aktivitātes: Nr.195. Mellužu estrādes kompleksa restaurācija un pārbūve</t>
  </si>
  <si>
    <t>Rīcības virziens: R3.7.2. Vietējās uzņēmējdarbības atbalsta infrastruktūras attīstība</t>
  </si>
  <si>
    <t xml:space="preserve">                          Aktivitātes: Nr.230. Uzņēmējdarbības veicināšana</t>
  </si>
  <si>
    <t>Attīstības pārvaldes Stratēģiskās un biznesa plānošanas nodaļa</t>
  </si>
  <si>
    <t>Jūrmalas attīstības plānošanas darbi</t>
  </si>
  <si>
    <t>JPAP_R3.1.1._119</t>
  </si>
  <si>
    <t>Uzņēmējdarbības attīstības veicināšana</t>
  </si>
  <si>
    <t>JPAP_R3.7.1._229</t>
  </si>
  <si>
    <t>JPAP_R3.7.1._229
JPAP_R3.7.3._234</t>
  </si>
  <si>
    <t>KPFI īstenotā projekta ēku monitorēšana (9 izglītības iestāžu ēkas)</t>
  </si>
  <si>
    <t>JPAP_R2.6.2._89</t>
  </si>
  <si>
    <t>Karjeras attīstības pasākumi</t>
  </si>
  <si>
    <t>JPAP_R3.2.3._159</t>
  </si>
  <si>
    <t>Enerģētikas rīcības plāna ieviešana</t>
  </si>
  <si>
    <t>Energopārvaldības sistēmas izstrāde un ieviešana</t>
  </si>
  <si>
    <t>Starptautisku festivālu līdzfinansēšana</t>
  </si>
  <si>
    <t>JPAP_R1.8.2._47
JPAP_R1.8.2._48
JPAP_R3.3.1._191</t>
  </si>
  <si>
    <t>Projekta "Baltic Enterpreneurship Laboratories - BELT/Baltijas uzņēmējdarbības laboratorijas" īstenošana</t>
  </si>
  <si>
    <t>Pasākuma "Vakanču gadatirgus" organizēšana</t>
  </si>
  <si>
    <t>Enkurobjekta projekta "Dabas izglītības centrs" Ķemeros satura koncepcijas izstrāde</t>
  </si>
  <si>
    <t>JPAP_R1.6.1._21</t>
  </si>
  <si>
    <t>Daudzfunkcionāla dabas tūrisma objekta izveide Ķemeros</t>
  </si>
  <si>
    <t>JPAP_R3.3.1._192</t>
  </si>
  <si>
    <t>Tehniski ekonomiskā pamatojuma izstrāde Lielupes ledus halles būvniecībai</t>
  </si>
  <si>
    <t>JPAP_R3.3.3._206</t>
  </si>
  <si>
    <t>Jūrmalas pilsētas investīciju objektu vizualizāciju izstrāde</t>
  </si>
  <si>
    <t>Telpu noma biznesa inkubatora darbības nodrošināšanai</t>
  </si>
  <si>
    <t>Sabiedriskā transporta organizēšanas pasākumi</t>
  </si>
  <si>
    <t>04.510.</t>
  </si>
  <si>
    <t>Braukšanas maksas atlaides un zaudējumu kompensēšana Jūrmalas pilsētas maršrutu tīkla pilsētas nozīmes maršrutos</t>
  </si>
  <si>
    <t>JPAP_R2.3.1._74</t>
  </si>
  <si>
    <t>Produktu subsīdijas komersantiem sabiedriskā transporta pakalpojumu nodrošināšanai</t>
  </si>
  <si>
    <t>Audits (SIA "Autobusu parks Jūrmala-SV")</t>
  </si>
  <si>
    <t>Licenču kartīšu pasūtīšana</t>
  </si>
  <si>
    <t>Jūrmalas karšu sistēmas izstrāde</t>
  </si>
  <si>
    <t>JPAP_R2.3.1._74
JPAP_R2.3.1._74</t>
  </si>
  <si>
    <t>Karšu shēmas un kustību sarakstu izstrāde</t>
  </si>
  <si>
    <t>Pieturvietu marķēšana</t>
  </si>
  <si>
    <t>Sabiedriskā transporta kontrole</t>
  </si>
  <si>
    <t>Rīcības virziens: R2.3.1. Kopējā sektora attīstība, pārvaldība</t>
  </si>
  <si>
    <t xml:space="preserve">                          Aktivitātes: Nr.74. Sabiedriskā transporta attīstība Jūrmalā</t>
  </si>
  <si>
    <t>Rīcības virziens: R2.6.2. Racionālas un videi draudzīgas energoapgādes sistēmas attīstība</t>
  </si>
  <si>
    <t xml:space="preserve">                          Aktivitātes: Nr.89. Ilgtspējīga atjaunojamo energoresursu izmantošana, energoefektivitātes paaugstināšana un energopārvaldības sistēmas </t>
  </si>
  <si>
    <t xml:space="preserve">                          ieviešana un sertificēšana Jūrmalas pašvaldības teritorijā</t>
  </si>
  <si>
    <t xml:space="preserve">                          Aktivitātes: Nr.119. Pašvaldības attīstības plānošanas dokumentu  izstrāde un uzraudzība</t>
  </si>
  <si>
    <t>Rīcības virziens: R3.1.5. Pilsētas pārvaldības infrastruktūras pilnveide</t>
  </si>
  <si>
    <t xml:space="preserve">                          Aktivitātes: Nr.139. Jūrmalas kartes ieviešana</t>
  </si>
  <si>
    <t xml:space="preserve">                          Aktivitātes: Nr.159. Karjeras konsultāciju attīstība</t>
  </si>
  <si>
    <t xml:space="preserve">                          Aktivitātes: Nr.191. Daudzveidīgu kultūras pasākumu pieejamība Jūrmalas iedzīvotājiem Jūrmalas pilsētā</t>
  </si>
  <si>
    <t xml:space="preserve">                          Aktivitātes: Nr.192. Jūrmalas kultūras iestāžu ēku remonts un būvniecība, teritoriju labiekārtošana un materiāltehniskais nodrošinājums</t>
  </si>
  <si>
    <t>Rīcības virziens: R3.3.3. Sporta sektora attīstība</t>
  </si>
  <si>
    <t xml:space="preserve">                          Aktivitātes: Nr.206. Publiskās sporta infrastruktūras attīstība</t>
  </si>
  <si>
    <t>Rīcības virziens: R3.7.1. Pašvaldības uzņēmējdarbības atbalsta politikas plānošana un attīstība</t>
  </si>
  <si>
    <t xml:space="preserve">                          Aktivitātes: Nr.229. Veicināt esošo uzņēmumu attīstību un jaunu uzņēmumu rašanos</t>
  </si>
  <si>
    <t>Rīcības virziens: R3.7.3. Uzņēmumu izveides, darbības un sadarbības motivācija</t>
  </si>
  <si>
    <t xml:space="preserve">                          Aktivitātes: Nr.234. Uzņēmējdarbības motivācijas veicināšana</t>
  </si>
  <si>
    <t>Nepieciešams precizēt rīcību - "Iedzīvotāju un uzņēmēju aptauju veikšana". Pie rezultātiem aiz vārda "jūrmalnieku" papildināt ar "un Jūrmalas uzņēmēju" un aiz vārda "pilsētas" ar "un uzņēmējdarbības un uzņēmējdarbības vides".</t>
  </si>
  <si>
    <t>Nepieciešams Rīcības plānā RV3.7.1 papildināt ar rīcību "Veicināt esošo uzņēmumu attīstību un jaunu uzņēmumu rašanos, tajā skaitā veicināt ārvalstu investīciju piesaisti pilsētā, nodrošinot un veicinot esošo un jauno uzņēmumu apmācību iespējas un mentoru piesaisti". Rezultāts - Dalība starptautiskās investīciju piesaistes izstādēs, izstrādāti investīciju objektu piesaistes materiāli, sniegts atbalsts Jūrmalas biznesa inkubatora darbībai, veicinātas plašākas esošo un jauno uzņēmēju apmācību iespējas, sniegts atbalsts mentoru programmas īstenošanā.</t>
  </si>
  <si>
    <t>Nepieciešams precizēt rīcību Nr. 95 "Ilgtspējīga atjaunojamo energoresursu izmantošana, energoefektivitātes paaugstināšana Jūrmalas pašvaldības teritorijā un energopārvaldības sistēmas ieviešana un sertificēšana"</t>
  </si>
  <si>
    <t xml:space="preserve">Nepieciešams Rīcības plānā RV3.7.3 papildināt ar rīcību </t>
  </si>
  <si>
    <t>Attīstības pārvaldes Vides nodaļa</t>
  </si>
  <si>
    <t>Vides piesārņojuma novēršana un samazināšana</t>
  </si>
  <si>
    <t>05.300.</t>
  </si>
  <si>
    <t>Priedaines rekultivētā atkritumu izgāztuve - atkritumu nosedzošā slāņa aizsardzība/ apsaimniekošana (informatīvo zīmju uzstādīšana/ uzturēšana (iespējams remonts pēc bojājjumiem)).</t>
  </si>
  <si>
    <t>JPAP_R2.7.1._96</t>
  </si>
  <si>
    <t>Vides stāvokļa monitoringa veikšanai (slēgtajā-rekultivētajā izgāztuvē ''Priedaine'') un urbumu aku uzturēšana</t>
  </si>
  <si>
    <t>JPAP_R3.4.1._208</t>
  </si>
  <si>
    <t>Priedaines rekultivētās atkritumu izgāztuves esošā augstuma līmeņa izmaiņas-uzmērījums/ monitorings pēc rekultivācijas pabeigšanas</t>
  </si>
  <si>
    <t>Rīgas jūras līča, Lielupes, Slokas karjera, noteku uz jūru ūdens kvalitātes mikrobioloģiskās un fizikāli ķīmiskās analīzes</t>
  </si>
  <si>
    <t>JPAP_R2.5.2._83
JPAP_R3.4.1._208
JPŪRARP_RV1.6.2._7</t>
  </si>
  <si>
    <t>Dabas lieguma ''Lielupes grīvas pļavas'' apsaimniekošana</t>
  </si>
  <si>
    <t>JPAP_R1.6.1._25
JPŪRARP_RV1.6.2._9
JPŪRARP_RV2.8.1._12</t>
  </si>
  <si>
    <t>Ekspertu konsultācijas dažādu pilsētas teritoriju vides sakārtošanas un piesārņojuma likvidēšanas jautājumos</t>
  </si>
  <si>
    <t>Meža dzīvnieku populācijas ierobežošanas pasākumi pilsētas teritorijā</t>
  </si>
  <si>
    <t>Vides aizsardzības pasākumi bioloģiskās daudzveidības un ainavas aizsardzības jomā</t>
  </si>
  <si>
    <t>05.400.</t>
  </si>
  <si>
    <t>Pludmales erozijas ietekmes mazināšanas pasākumi / rekomendācijas par erozijas seku likvidēšanu/ krasta kāpu atjaunošanas darbi (smilšu piebēršana, koka pinumu veidošana, kārklu stādījumi, kāpu augu stādījumi, info zīmes)</t>
  </si>
  <si>
    <t>JPAP_R1.6.2._35
JPŪRARP_RV1.6.2._6</t>
  </si>
  <si>
    <t>Pludmales kārklu joslas sēdināšana - kāpu biotopa uzturēšana, invazīvo sugu likvidēšana</t>
  </si>
  <si>
    <t>JPAP_R1.2.1._8
JPŪRARP_RV2.8.1._12</t>
  </si>
  <si>
    <t>Pilsētas aizsargājamo koku sakopšana pamatojoties uz inventarizāciju</t>
  </si>
  <si>
    <t>JPAP_R2.8.1._101</t>
  </si>
  <si>
    <t>Vides aizsardzības veicināšanas pasākumu vadība, regulēšana, uzraudzība</t>
  </si>
  <si>
    <t>05.600.</t>
  </si>
  <si>
    <t>Zilā Karoga programmas realizēšana</t>
  </si>
  <si>
    <t>JPAP_R1.6.2._29</t>
  </si>
  <si>
    <t>JPAP_R1.6.2._33
JPŪRARP_RV1.6.2._9</t>
  </si>
  <si>
    <t>Jūrmalas pilsētas ūdens resursu aizsardzības rīcības plāns 2016.-2020.gadam (JPŪRAP):</t>
  </si>
  <si>
    <t>Rīcības virziens: RV1.6.2. Peldvietu infrastruktūras attīstība</t>
  </si>
  <si>
    <t xml:space="preserve">                          Aktivitātes: Nr.6. Aizkavēt krasta erozijas procesu, t.sk., veikt pētījumu par plūdu iespējas novēršanu, klimata pārmaiņu ietekmi un krasta erozijas mazināšanu</t>
  </si>
  <si>
    <t xml:space="preserve">                          Aktivitātes: Nr.7. Peldūdens monitorings</t>
  </si>
  <si>
    <t xml:space="preserve">                          Aktivitātes: Nr.9. Uzlabot publisko ūdeņu piekrastes pieejamību</t>
  </si>
  <si>
    <t>Rīcības virziens: RV2.8.1. Publiskās telpas pilnveide</t>
  </si>
  <si>
    <t xml:space="preserve">                          Aktivitātes: Nr.12. Lielupes krastmalas un piekrastes ekosistēmas ilgtspējīga apsaimniekošana</t>
  </si>
  <si>
    <t>Rīcības virziens: R1.2.1. Ilgtspējīgas kūrorta resursu ieguves un izmantošanas attīstība</t>
  </si>
  <si>
    <t xml:space="preserve">                          Aktivitātes: Nr.8. Jūrmalas kūrorta dabas resursu aizsardzības pasākumi un racionāla dabas dziedniecisko resursu izmantošana</t>
  </si>
  <si>
    <t xml:space="preserve">                          Aktivitātes: Nr.25. Dabas lieguma “Lielupes grīvas pļavas” apsaimniekošanas pasākumu realizācija un atbilstošas infrastruktūras izveide</t>
  </si>
  <si>
    <t>Rīcības virziens: R1.6.2. Peldvietu infrastruktūras attīstība</t>
  </si>
  <si>
    <t xml:space="preserve">                          Aktivitātes: Nr.29. Baltijas jūras Rīgas jūras līča peldvietu un Jūrmalas iekšzemes peldvietas infrastruktūras attīstība saskaņā ar „Zilā karoga” </t>
  </si>
  <si>
    <t xml:space="preserve">                          programmas standartu un Jūrmalas iekšzemes peldvietu un atpūtas vietu infrastruktūras attīstība</t>
  </si>
  <si>
    <t xml:space="preserve">                          Aktivitātes: Nr.33. Pludmales zonas labiekārtošana un apsaimniekošana</t>
  </si>
  <si>
    <t xml:space="preserve">                          Aktivitātes: Nr.35. Krasta erozijas procesu aizkavēšanas pasākumi</t>
  </si>
  <si>
    <t>Rīcības virziens: R2.5.2. Notekūdeņu apsaimniekošanas sistēmu pilnveide</t>
  </si>
  <si>
    <t xml:space="preserve">                          Aktivitātes: Nr.83. Notekūdeņu un lietus ūdens savākšanas un attīrīšanas sistēmu attīstība Jūrmalas pilsētā</t>
  </si>
  <si>
    <t>Rīcības virziens: R2.7.1. Atkritumu apsaimniekošanas sistēmas pilnveide</t>
  </si>
  <si>
    <t xml:space="preserve">                          Aktivitātes: Nr.96. Atkritumu apsaimniekošanas sistēmas pilnveide</t>
  </si>
  <si>
    <t>Rīcības virziens: R2.8.1. Publiskās telpas pilnveide</t>
  </si>
  <si>
    <t xml:space="preserve">                          Aktivitātes: Nr.101. Ielu apstādījumu koku sakopšana</t>
  </si>
  <si>
    <t>Rīcības virziens: R3.4.1. Sabiedriskās kārtības un iedzīvotāju drošības nodrošināšana</t>
  </si>
  <si>
    <t xml:space="preserve">                          Aktivitātes: Nr.208. Vides monitoringa informācijas sistēmas ieviešana un dažādu vides monitoringu veikšana</t>
  </si>
  <si>
    <t>Budžeta finansēta institūcija:</t>
  </si>
  <si>
    <t>Jūrmalas Kultūras centrs</t>
  </si>
  <si>
    <t>Pilsētas kultūras un atpūtas pasākumi</t>
  </si>
  <si>
    <t>pamat-budžets</t>
  </si>
  <si>
    <t>Valsts svētki, svinamās un atceres dienas</t>
  </si>
  <si>
    <t>JPAP_R3.3.1._191
JPAP_R3.3.1._194</t>
  </si>
  <si>
    <t>Gadskārtu svētki</t>
  </si>
  <si>
    <t>Lielākie Jūrmalas pilsētas pasākumi</t>
  </si>
  <si>
    <t>Kūrorta svētku gājiens</t>
  </si>
  <si>
    <t>3.2.</t>
  </si>
  <si>
    <t>Jomas ielas svētki</t>
  </si>
  <si>
    <t>3.3.</t>
  </si>
  <si>
    <t>Nakts ekspedīcija ģimenei "Nestāsti pasaciņas"</t>
  </si>
  <si>
    <t>JPAP_R1.7.1._ 43
JPAP_R3.3.1._191</t>
  </si>
  <si>
    <t>3.4.</t>
  </si>
  <si>
    <t>Jaunā gada sagaidīšana</t>
  </si>
  <si>
    <t xml:space="preserve">JKC piedāvājums </t>
  </si>
  <si>
    <t>Vasaras koncerti</t>
  </si>
  <si>
    <t>4.2.</t>
  </si>
  <si>
    <t>Dzejas dienas</t>
  </si>
  <si>
    <t>4.3.</t>
  </si>
  <si>
    <t>Pasākumu cikli</t>
  </si>
  <si>
    <t>4.4.</t>
  </si>
  <si>
    <t>Atpūtas pasākumi - džeza klubs, balles</t>
  </si>
  <si>
    <t>4.5.</t>
  </si>
  <si>
    <t>Mākslas izstādes</t>
  </si>
  <si>
    <t>4.6.</t>
  </si>
  <si>
    <t>Kinoseansi</t>
  </si>
  <si>
    <t>JPAP_R3.3.1._203</t>
  </si>
  <si>
    <t>KKN piedāvājums</t>
  </si>
  <si>
    <t>"Jokosim tautiski"</t>
  </si>
  <si>
    <t>Neformālo pianistu festivāls</t>
  </si>
  <si>
    <t>Pasākumu cikls "Bērnu vasara"</t>
  </si>
  <si>
    <t>Jauniešu teātra studija  "Eksperiments"</t>
  </si>
  <si>
    <t>Mātes dienas koncerts</t>
  </si>
  <si>
    <t>Mākslinieku nama piedāvājums</t>
  </si>
  <si>
    <t>Mākslas dienas</t>
  </si>
  <si>
    <t>Muzeju nakts</t>
  </si>
  <si>
    <t>6.3.</t>
  </si>
  <si>
    <t>Mākslas projekts - konkurss / izstāde  "JĀ / NEatkarība"</t>
  </si>
  <si>
    <t>6.4.</t>
  </si>
  <si>
    <t>Jūrmalas teātra piedāvājums</t>
  </si>
  <si>
    <t>7.1.</t>
  </si>
  <si>
    <t xml:space="preserve">Jauniestudējumi </t>
  </si>
  <si>
    <t>JPAP_R3.3.1._191
JPAP_R3.3.1._194
JPAP_R3.3.1._197</t>
  </si>
  <si>
    <t>7.2.</t>
  </si>
  <si>
    <t>Jūrmals Bērnu un jauniešu teātris Uzvedums - eksāmens sezonas noslēgumā</t>
  </si>
  <si>
    <t>7.3.</t>
  </si>
  <si>
    <t>Jubilejas pasākums</t>
  </si>
  <si>
    <t>7.4.</t>
  </si>
  <si>
    <t>Teātra pirmizrādes</t>
  </si>
  <si>
    <t>7.5.</t>
  </si>
  <si>
    <t>Ziemassvētku koncerts</t>
  </si>
  <si>
    <t>JPAP_R1.7.1._43
JPAP_R3.3.1._191
JPAP_R3.3.1._194</t>
  </si>
  <si>
    <t>Dažādi projekti</t>
  </si>
  <si>
    <t>8.1.</t>
  </si>
  <si>
    <t>Pilsētas Ziemassvētku noformējuma konkursa noslēguma pasākums</t>
  </si>
  <si>
    <t>8.2.</t>
  </si>
  <si>
    <t>Zvaigznes dienas pasākums</t>
  </si>
  <si>
    <t>8.3.</t>
  </si>
  <si>
    <t xml:space="preserve">Pasākumu cikls "Bērnu vasara" </t>
  </si>
  <si>
    <t>8.4.</t>
  </si>
  <si>
    <t>Starptautiskais senioru deju festivāls "Puķu balle"</t>
  </si>
  <si>
    <t>8.5.</t>
  </si>
  <si>
    <t>Atklāšanas un tematiskie pasākumi</t>
  </si>
  <si>
    <t>8.6.</t>
  </si>
  <si>
    <t>Ķemeru svētki</t>
  </si>
  <si>
    <t>8.7.</t>
  </si>
  <si>
    <t>18. novembra svētki Ķemeros</t>
  </si>
  <si>
    <t>8.8.</t>
  </si>
  <si>
    <t>Pasākums jauniešiem "Augsim Latvijai"</t>
  </si>
  <si>
    <t>Jūrmals radošo kolektīvu darbības finansējums</t>
  </si>
  <si>
    <t>9.1.</t>
  </si>
  <si>
    <t>Pilsētas radošo kolektīvu piedalīšanās republikas mēroga pasākumos</t>
  </si>
  <si>
    <t>JPAP_R3.3.1._194</t>
  </si>
  <si>
    <t>9.2.</t>
  </si>
  <si>
    <t>Pilsētas radošo kolektīvu un kultūras darbinieku pilsētas mēroga konkursi un skates</t>
  </si>
  <si>
    <t>9.3.</t>
  </si>
  <si>
    <t>Radošo kolektīvu jubilejas un citi  kolektīvu iniciēti projekti</t>
  </si>
  <si>
    <t>Citas kultūras pasākumu izmaksas</t>
  </si>
  <si>
    <t>10.1.</t>
  </si>
  <si>
    <t>Tipogrāfiajs pakalpojumi (biļetes, afišas un tml.)</t>
  </si>
  <si>
    <t>10.2.</t>
  </si>
  <si>
    <t>AKKA/LAA un LaIPA</t>
  </si>
  <si>
    <t>10.3.</t>
  </si>
  <si>
    <t>Publisko pasākumu apdrošināšana</t>
  </si>
  <si>
    <t>10.4.</t>
  </si>
  <si>
    <t>Elektroenerģijas apmaksa un pieslēguma nodrošinājums kultūras pasākumos dabā</t>
  </si>
  <si>
    <t>10.5.</t>
  </si>
  <si>
    <t>Reklāmas izdevumi kultūras pasākumiem</t>
  </si>
  <si>
    <t>Jūrmalas pilsētas attīstības programma 2014.-2020.gadam (JPAP):</t>
  </si>
  <si>
    <t>Rīcības virziens R1.7.1.    Kultūras tūrisma piedāvājuma attīstība</t>
  </si>
  <si>
    <t>Aktivitātes Nr.43 Kultūras dzīves piedāvājuma attīstība visa gada garumā</t>
  </si>
  <si>
    <t>Rīcības virziens R3.3.1.    Pilsētas kultūras iestāžu un muzeju darbības pilnveide</t>
  </si>
  <si>
    <t>Aktivitātes Nr.191 Daudzveidīgu kultūras pasākumu pieejamība Jūrmalas iedzīvotājiem Jūrmalas pilsētā</t>
  </si>
  <si>
    <t>Aktivitātes Nr.194 Amatiermākslas attīstības veicināšana</t>
  </si>
  <si>
    <t>Aktivitātes Nr.197 Teātra attīstība</t>
  </si>
  <si>
    <t>Aktivitātes Nr.203 Kino pakalpojuma attīstība</t>
  </si>
  <si>
    <t>Jūrmalas pilsētas muzejs</t>
  </si>
  <si>
    <t>90000056408</t>
  </si>
  <si>
    <t>Jūrmalas brīvdabas muzejs</t>
  </si>
  <si>
    <t>Attīstības plānošanas dokumenta nosaukums/ Rīcības virziens un aktiv.numurs*</t>
  </si>
  <si>
    <t>Lieldienu pasākums</t>
  </si>
  <si>
    <t>JPAP_R3.3.1._191
JPAP_R3.3.1._199
JPAP_R3.3.1._200</t>
  </si>
  <si>
    <t>Starptautiskā muzeju nakts</t>
  </si>
  <si>
    <t>Ceturtdiena - zivju diena</t>
  </si>
  <si>
    <t>JPAP_R3.3.1._191
JPAP_R3.3.1._198
JPAP_R3.3.1._199
JPAP_R3.3.1._200</t>
  </si>
  <si>
    <t>Vīna svētki zvejnieka sētā</t>
  </si>
  <si>
    <t>Senlatviešu Līgo svētku tradīcijas</t>
  </si>
  <si>
    <t>Aspazijas māja</t>
  </si>
  <si>
    <t xml:space="preserve">Funkcionālās klasifikācijas kods: </t>
  </si>
  <si>
    <t xml:space="preserve">Dzejas dienas </t>
  </si>
  <si>
    <t>JPAP_R3.3.1._191
JPAP_R3.3.1._199</t>
  </si>
  <si>
    <t>Izstādes (Noformēšana, reklāma un atklāšana)</t>
  </si>
  <si>
    <t>Aspazijas dzimšanas dienas pasākums</t>
  </si>
  <si>
    <t>Starptautiskā Muzeju nakts</t>
  </si>
  <si>
    <t xml:space="preserve">Elzas diena </t>
  </si>
  <si>
    <t>Tikšanās ar radošām personībām pasākumu ciklā "Kafija ar ASPAZIJU"</t>
  </si>
  <si>
    <t xml:space="preserve">Pasākumu cikls "Jauns cilvēks pēkšņi raksta" </t>
  </si>
  <si>
    <t xml:space="preserve">Starptautiskā jūras ainavu izstāde "Marina" </t>
  </si>
  <si>
    <t>Kultūras projekts "Bērnu gada balva mākslā "Lielā zemene""</t>
  </si>
  <si>
    <t>Materiālu iegāde muzejpedagoģiskām programmām</t>
  </si>
  <si>
    <t>JPAP_R3.3.1._191
JPAP_R3.3.1._192
JPAP_R3.3.1._199</t>
  </si>
  <si>
    <t xml:space="preserve">Muzeja mākslas krājuma izstādes </t>
  </si>
  <si>
    <t xml:space="preserve">Jūrmalas mākslinieku jubilejas personālizstādes </t>
  </si>
  <si>
    <t>Pārējo mākslas izstāžu iekārtošanas, noformēšanas, atklāšanas un reklāmas pasākumi</t>
  </si>
  <si>
    <t>Jūrmalas mākslinieku grupas 40 gadu jubilejas izstāde</t>
  </si>
  <si>
    <t>Priekšmetu iepirkumi muzeja kolekciju papildināšanai</t>
  </si>
  <si>
    <t>Muzeja priekšmetu restaurācija</t>
  </si>
  <si>
    <t>Dažādu kopiju izgatavošana izstāžu un muzeja krājuma vajadzībām</t>
  </si>
  <si>
    <t>Jūrmalas pilsētas muzeja 55 gadu jubilejai veltīts izstāžu cikls "Mēneša eksponāts"</t>
  </si>
  <si>
    <t>Aktivitātes Nr.192 Jūrmalas kultūras iestāžu ēku remonts un būvniecība, teritoriju labiekārtošana un materiāltehniskais nodrošinājums</t>
  </si>
  <si>
    <t>Aktivitātes Nr.198 Zvejniecības amatu kultūras mantojuma saglabāšana</t>
  </si>
  <si>
    <t>Aktivitātes Nr.199 Jūrmalas muzeja popularizēšana</t>
  </si>
  <si>
    <t>Aktivitātes Nr.200 Jūrmalas brīvdabas muzeja attīstība</t>
  </si>
  <si>
    <t>Jūrmalas Sporta skola</t>
  </si>
  <si>
    <t>Sporta skolas pasākumi</t>
  </si>
  <si>
    <t>09.510.</t>
  </si>
  <si>
    <t xml:space="preserve">Basketbols </t>
  </si>
  <si>
    <t>Dalība Latvijas čempionātos</t>
  </si>
  <si>
    <t>1.1.1.</t>
  </si>
  <si>
    <t>Dalība LJBL</t>
  </si>
  <si>
    <t>JPAP_R3.2.4._174
JPAP_R3.2.4._178</t>
  </si>
  <si>
    <t>1.1.2.</t>
  </si>
  <si>
    <t>Dalība EGBL</t>
  </si>
  <si>
    <t>JPAP_R3.2.4._170</t>
  </si>
  <si>
    <t>Basketbola programmas īstenošanas nodrošināšana</t>
  </si>
  <si>
    <t>Dienas nometnes</t>
  </si>
  <si>
    <t>JPAP_R3.2.4._178
JPAP_R3.2.4._184</t>
  </si>
  <si>
    <t>1.4.</t>
  </si>
  <si>
    <t>Izbraukuma nometnes</t>
  </si>
  <si>
    <t>Burāšana</t>
  </si>
  <si>
    <t>Burāšanas programmas īstenošanas nodrošināšana</t>
  </si>
  <si>
    <t>JPAP_R3.2.4._173</t>
  </si>
  <si>
    <t>Jūrmalas Sporta skolas bilancā esošās motorlaivas izmantošanas izmaksas</t>
  </si>
  <si>
    <t>Daiļslidošana</t>
  </si>
  <si>
    <t>Dalība Latvijas čempionātos un sacensībās</t>
  </si>
  <si>
    <t>Daiļslidošanas programmas īstenošanas nodrošināšana</t>
  </si>
  <si>
    <t>Džudo</t>
  </si>
  <si>
    <t>Džudo programmas īstenošanas nodrošināšana</t>
  </si>
  <si>
    <t>Futbols</t>
  </si>
  <si>
    <t>Futbola programmas īstenošanas nodrošināšana</t>
  </si>
  <si>
    <t>Nometnes</t>
  </si>
  <si>
    <t>5.3.1.</t>
  </si>
  <si>
    <t xml:space="preserve">Dienas nometnes </t>
  </si>
  <si>
    <t>5.3.2.</t>
  </si>
  <si>
    <t>Diennakts nometnes</t>
  </si>
  <si>
    <t>Handbols</t>
  </si>
  <si>
    <t>Handbola programmas īstenošanas nodrošināšana</t>
  </si>
  <si>
    <t>Hokejs</t>
  </si>
  <si>
    <t>Dalība Latvijas jaunatnes hokejmeistarsacikstēs</t>
  </si>
  <si>
    <t>Hokeja programmas īstenošanas nodrošināšana</t>
  </si>
  <si>
    <t>Mākslas vingrošana</t>
  </si>
  <si>
    <t>M/V programmas īstenošanas nodrošināšana</t>
  </si>
  <si>
    <t>8.3.1.</t>
  </si>
  <si>
    <t>8.3.2.</t>
  </si>
  <si>
    <t>Peldēšana</t>
  </si>
  <si>
    <t>Peldēšanas programmas īstenošanas nodrošināšana</t>
  </si>
  <si>
    <t>9.3.1.</t>
  </si>
  <si>
    <t xml:space="preserve">Izbraukuma nometne, Elektiņai, Lietuva, </t>
  </si>
  <si>
    <t>9.3.2.</t>
  </si>
  <si>
    <t>Dienas nometne, Jūrmalā, 10 dienas Jūnijs</t>
  </si>
  <si>
    <t>9.3.3.</t>
  </si>
  <si>
    <t>Dienas nometne, Jūrmala, 10 dienas Augusts</t>
  </si>
  <si>
    <t>9.3.4.</t>
  </si>
  <si>
    <t xml:space="preserve">Dienas nometne, Jūrmala, 8 dienas </t>
  </si>
  <si>
    <t>Regbijs</t>
  </si>
  <si>
    <t>Regbijas programmas īstenošanas nodrošināšana</t>
  </si>
  <si>
    <t>10.3.1.</t>
  </si>
  <si>
    <t>Vieglatlētika</t>
  </si>
  <si>
    <t>Vielatlētikas programmas īstenošanas nodrošināšana</t>
  </si>
  <si>
    <t>11.3.</t>
  </si>
  <si>
    <t>11.3.1.</t>
  </si>
  <si>
    <t>11.3.2</t>
  </si>
  <si>
    <t>Volejbols</t>
  </si>
  <si>
    <t>Volejbola programmas īstenošanas nodrošināšana</t>
  </si>
  <si>
    <t xml:space="preserve">Līdzfinansējums sportistei A.Baikovai (arī viņas trenerei) sagatavošanās treniņiem dalībai Eiropas spēlēs </t>
  </si>
  <si>
    <t>Rīcības virziens R3.2.4. Profesionālās ievirzes interešu izglītības pakalpojumi</t>
  </si>
  <si>
    <t>Aktivitātes Nr.170 Starptautiskās sadarbības attīstība</t>
  </si>
  <si>
    <t>Aktivitātes Nr.173 Profesionālās ievirzes un interešu izglītības iestāžu mācību vides uzlabošana</t>
  </si>
  <si>
    <t>Aktivitātes Nr.174 Jūrmalas skolu un valsts mēroga sacensību rīkošana izglītojamajiem</t>
  </si>
  <si>
    <t>Aktivitātes Nr.178 Profesionālās ievirzes un interešu izglītības iestādes attīstība, materiāltehniskais aprīkojums</t>
  </si>
  <si>
    <t>Aktivitātes Nr.184 Brīvā laika pavadīšanas iespējas pilsētā, izmantojot esošās un radot jaunas</t>
  </si>
  <si>
    <t>Jūrmalas pilsētas pašvaldības 2017.-2019.gada Ceļu fonda izlietojuma programma</t>
  </si>
  <si>
    <r>
      <t xml:space="preserve">MD plāns 2017.g. = atl.g.s.535 259 + ieņēm.1 503 455 = </t>
    </r>
    <r>
      <rPr>
        <b/>
        <u/>
        <sz val="14"/>
        <color rgb="FFC00000"/>
        <rFont val="Times New Roman"/>
        <family val="1"/>
        <charset val="186"/>
      </rPr>
      <t>2 038 714</t>
    </r>
  </si>
  <si>
    <t>Objekta nosaukums</t>
  </si>
  <si>
    <t>Orientē-jošais apjoms</t>
  </si>
  <si>
    <t>FKK</t>
  </si>
  <si>
    <t>Kopā, Ceļu fonds</t>
  </si>
  <si>
    <t>Mērķdotācija pašvaldību autoceļiem (ielām)</t>
  </si>
  <si>
    <t xml:space="preserve">Pašvaldības pamatbudžeta asignējumi </t>
  </si>
  <si>
    <t>Mērķa ziedojumi</t>
  </si>
  <si>
    <t xml:space="preserve">2018.gadā </t>
  </si>
  <si>
    <t xml:space="preserve">2019.gadā </t>
  </si>
  <si>
    <t>Stratēģisko dokumentu kods *</t>
  </si>
  <si>
    <t>2017.gads budžeta pieprasījums</t>
  </si>
  <si>
    <t>2017.gads budžets</t>
  </si>
  <si>
    <t xml:space="preserve">Finansē-juma apjoms </t>
  </si>
  <si>
    <t>Finansē-juma apjoms</t>
  </si>
  <si>
    <t xml:space="preserve">PAVISAM KOPĀ </t>
  </si>
  <si>
    <r>
      <t xml:space="preserve">Struktūrvienība: </t>
    </r>
    <r>
      <rPr>
        <b/>
        <sz val="9"/>
        <rFont val="Times New Roman"/>
        <family val="1"/>
        <charset val="186"/>
      </rPr>
      <t>Attīstības pārvaldes Būvniecības projektu vadības nodaļa</t>
    </r>
  </si>
  <si>
    <t xml:space="preserve">KOPĀ </t>
  </si>
  <si>
    <t>Kapitālais remonts</t>
  </si>
  <si>
    <t>Ielu  seguma kapitālais un kārtējais remonts</t>
  </si>
  <si>
    <r>
      <t>50 000 m</t>
    </r>
    <r>
      <rPr>
        <sz val="9"/>
        <rFont val="Calibri"/>
        <family val="2"/>
        <charset val="186"/>
      </rPr>
      <t>²</t>
    </r>
  </si>
  <si>
    <t>5250</t>
  </si>
  <si>
    <t>JPAP_R.2.1.1._62</t>
  </si>
  <si>
    <t>Ielu seguma kapitālais remonts</t>
  </si>
  <si>
    <r>
      <t>21 500 m</t>
    </r>
    <r>
      <rPr>
        <sz val="9"/>
        <rFont val="Calibri"/>
        <family val="2"/>
        <charset val="186"/>
      </rPr>
      <t>²</t>
    </r>
  </si>
  <si>
    <r>
      <t>66 000 m</t>
    </r>
    <r>
      <rPr>
        <sz val="9"/>
        <rFont val="Calibri"/>
        <family val="2"/>
        <charset val="186"/>
      </rPr>
      <t>²</t>
    </r>
  </si>
  <si>
    <r>
      <t>77 000 m</t>
    </r>
    <r>
      <rPr>
        <sz val="9"/>
        <rFont val="Calibri"/>
        <family val="2"/>
        <charset val="186"/>
      </rPr>
      <t>²</t>
    </r>
  </si>
  <si>
    <t>KR</t>
  </si>
  <si>
    <t>PB</t>
  </si>
  <si>
    <t>Trotuāru izbūve un esošo trotuāru atjaunošana</t>
  </si>
  <si>
    <r>
      <t>10 700 m</t>
    </r>
    <r>
      <rPr>
        <sz val="9"/>
        <rFont val="Calibri"/>
        <family val="2"/>
        <charset val="186"/>
      </rPr>
      <t>²</t>
    </r>
  </si>
  <si>
    <r>
      <t>13 800 m</t>
    </r>
    <r>
      <rPr>
        <sz val="9"/>
        <rFont val="Calibri"/>
        <family val="2"/>
        <charset val="186"/>
      </rPr>
      <t>²</t>
    </r>
  </si>
  <si>
    <r>
      <t>13 500 m</t>
    </r>
    <r>
      <rPr>
        <sz val="9"/>
        <rFont val="Calibri"/>
        <family val="2"/>
        <charset val="186"/>
      </rPr>
      <t>²</t>
    </r>
  </si>
  <si>
    <t>Jaunu ielu izbūve</t>
  </si>
  <si>
    <r>
      <t>330 m</t>
    </r>
    <r>
      <rPr>
        <sz val="9"/>
        <rFont val="Calibri"/>
        <family val="2"/>
        <charset val="186"/>
      </rPr>
      <t>²</t>
    </r>
  </si>
  <si>
    <t>5240</t>
  </si>
  <si>
    <r>
      <t>2 030 m</t>
    </r>
    <r>
      <rPr>
        <sz val="9"/>
        <rFont val="Calibri"/>
        <family val="2"/>
        <charset val="186"/>
      </rPr>
      <t>²</t>
    </r>
  </si>
  <si>
    <t>2.5.</t>
  </si>
  <si>
    <t>Tiltu atjaunošana</t>
  </si>
  <si>
    <t>17 gab.</t>
  </si>
  <si>
    <t>17 gab</t>
  </si>
  <si>
    <t>Seguma remonts, atjaunošana publiskās vietās un pašvaldības teritorijās</t>
  </si>
  <si>
    <r>
      <t>195 m</t>
    </r>
    <r>
      <rPr>
        <sz val="9"/>
        <rFont val="Calibri"/>
        <family val="2"/>
        <charset val="186"/>
      </rPr>
      <t>²</t>
    </r>
  </si>
  <si>
    <r>
      <t>6 655 m</t>
    </r>
    <r>
      <rPr>
        <sz val="9"/>
        <rFont val="Calibri"/>
        <family val="2"/>
        <charset val="186"/>
      </rPr>
      <t>²</t>
    </r>
  </si>
  <si>
    <t>Seguma atjaunošana, teritorijas labiekārtošana pilsētas iekškvartālos</t>
  </si>
  <si>
    <t>JPAP_R.2.8.1._106</t>
  </si>
  <si>
    <t>Jaunu autostāvvietu izbūve</t>
  </si>
  <si>
    <r>
      <t>1 050 m</t>
    </r>
    <r>
      <rPr>
        <sz val="9"/>
        <rFont val="Calibri"/>
        <family val="2"/>
        <charset val="186"/>
      </rPr>
      <t>²</t>
    </r>
  </si>
  <si>
    <r>
      <t>5 535 m</t>
    </r>
    <r>
      <rPr>
        <sz val="9"/>
        <rFont val="Calibri"/>
        <family val="2"/>
        <charset val="186"/>
      </rPr>
      <t>²</t>
    </r>
  </si>
  <si>
    <t>Grantēto ielu asfaltēšana</t>
  </si>
  <si>
    <r>
      <t>8 900 m</t>
    </r>
    <r>
      <rPr>
        <sz val="9"/>
        <rFont val="Calibri"/>
        <family val="2"/>
        <charset val="186"/>
      </rPr>
      <t>²</t>
    </r>
  </si>
  <si>
    <r>
      <t>28 600 m</t>
    </r>
    <r>
      <rPr>
        <sz val="9"/>
        <rFont val="Calibri"/>
        <family val="2"/>
        <charset val="186"/>
      </rPr>
      <t>²</t>
    </r>
  </si>
  <si>
    <r>
      <t>38 300 m</t>
    </r>
    <r>
      <rPr>
        <sz val="9"/>
        <rFont val="Calibri"/>
        <family val="2"/>
        <charset val="186"/>
      </rPr>
      <t>²</t>
    </r>
  </si>
  <si>
    <t>Kauguru-Slokas apvedceļa posma dzelzceļa dienvidu pusē izbūve</t>
  </si>
  <si>
    <t>Dubultu satiksmes mezgla pie Slokas ielas pārbūve</t>
  </si>
  <si>
    <t>Kārtējais remonts</t>
  </si>
  <si>
    <t>Grantēto ielu uzturēšana</t>
  </si>
  <si>
    <r>
      <t>38 500 m</t>
    </r>
    <r>
      <rPr>
        <sz val="9"/>
        <rFont val="Calibri"/>
        <family val="2"/>
        <charset val="186"/>
      </rPr>
      <t>²</t>
    </r>
  </si>
  <si>
    <t>2246</t>
  </si>
  <si>
    <t>Ceļa seguma remonts (t.sk.bedrīšu remonts)</t>
  </si>
  <si>
    <r>
      <t>9 000 m</t>
    </r>
    <r>
      <rPr>
        <sz val="9"/>
        <rFont val="Calibri"/>
        <family val="2"/>
        <charset val="186"/>
      </rPr>
      <t>²</t>
    </r>
  </si>
  <si>
    <t>Asfalta seguma remonts iekškvartālos</t>
  </si>
  <si>
    <r>
      <t>1 500 m</t>
    </r>
    <r>
      <rPr>
        <sz val="9"/>
        <rFont val="Calibri"/>
        <family val="2"/>
        <charset val="186"/>
      </rPr>
      <t>²</t>
    </r>
  </si>
  <si>
    <t>Ceļu infrastruktūra</t>
  </si>
  <si>
    <t>Ceļa horizontālo apzīmējumu uzklāšana</t>
  </si>
  <si>
    <r>
      <t>8 965 m</t>
    </r>
    <r>
      <rPr>
        <sz val="9"/>
        <rFont val="Calibri"/>
        <family val="2"/>
        <charset val="186"/>
      </rPr>
      <t>²</t>
    </r>
  </si>
  <si>
    <t>Barjeru remonts</t>
  </si>
  <si>
    <t>25 m</t>
  </si>
  <si>
    <t>Ceļa zīmju un barjeru ekspliotācija</t>
  </si>
  <si>
    <t>7 180 gab./3 300 m</t>
  </si>
  <si>
    <t>Ceļa zīmju nomaiņa</t>
  </si>
  <si>
    <t>400 gb.</t>
  </si>
  <si>
    <t>2312</t>
  </si>
  <si>
    <t>5239</t>
  </si>
  <si>
    <t>Citi</t>
  </si>
  <si>
    <t>Stāvvietas izbūve E.Dārziņa ielā 17 un Tūristu ielas atjaunošana (Tūristu iela 2B/Tūristu iela 3A)</t>
  </si>
  <si>
    <t>Veloceliņu tīkla attīstība Jūrmalas pilsētā</t>
  </si>
  <si>
    <t>3.7 km</t>
  </si>
  <si>
    <t>JPAP_R.2.1.2._67</t>
  </si>
  <si>
    <r>
      <t xml:space="preserve">Struktūrvienība: </t>
    </r>
    <r>
      <rPr>
        <b/>
        <sz val="9"/>
        <rFont val="Times New Roman"/>
        <family val="1"/>
        <charset val="186"/>
      </rPr>
      <t>Pilsētsaimniecības pārvaldes Labiekārtošanas nodaļa</t>
    </r>
  </si>
  <si>
    <t>Labiekārtošanas pasākumi</t>
  </si>
  <si>
    <t xml:space="preserve">Ielu ietvju un zaļo zonu mehanizētā un nemehanizētā tīrīšana (tai skaitā arī BC kategorijas ielas) </t>
  </si>
  <si>
    <t>365 km</t>
  </si>
  <si>
    <t>05.100.</t>
  </si>
  <si>
    <t>2244</t>
  </si>
  <si>
    <t>Kredītu atmaksa</t>
  </si>
  <si>
    <t xml:space="preserve"> Ielu asfalta seguma kapitālais remonts</t>
  </si>
  <si>
    <t>Raiņa ielas rekonstrukcija posmā no Satiksmes ielas līdz Nometņu ielai</t>
  </si>
  <si>
    <t>*Informatīvi</t>
  </si>
  <si>
    <t>Rīcības virziens: R.2.1.1. Ielu un ceļu rekonstrukcija, satiksmes drošības uzlabošana</t>
  </si>
  <si>
    <t xml:space="preserve">Aktivitāte: Nr.62 Jūrmalas ielu un tiltu tīkla pilnveide
                </t>
  </si>
  <si>
    <t>Rīcības virziens: R.2.1.2. Velotransporta infrastruktūras attīstība</t>
  </si>
  <si>
    <t xml:space="preserve">Aktivitāte: Nr.67 Veloceliņu tīkla attīstība
                </t>
  </si>
  <si>
    <t>Rīcības virziens: R.2.8.1. Publiskās telpas pilnveide</t>
  </si>
  <si>
    <t>Aktivitāte: Nr. 106 Jūrmalas pilsētā esošo daudzdzīvokļu namu pagalmu, izglītības iestāžu un piebraucamo ceļu rekonstrukcija</t>
  </si>
  <si>
    <t>Administratīvi juridiskās pārvaldes Juridiskā nodrošinājuma nodaļa</t>
  </si>
  <si>
    <t>Juridiskie pakalpojumi ar pašvaldības darbu saistītos jautājumos</t>
  </si>
  <si>
    <t>JPAP_ R.3.1.2._131</t>
  </si>
  <si>
    <t>Jūrmalas pilsētas attīstības programma 2014. - 2020.gadam (JPAP):</t>
  </si>
  <si>
    <t>Aktivitāte: Nr.131 Kvalitatīva pašvaldības pārvaldes nodrošināšana</t>
  </si>
  <si>
    <t>Attīstības pārvaldes Būvniecības projektu vadības nodaļa</t>
  </si>
  <si>
    <t>Administratīvo ēku būvniecība, atjaunošana un uzlabošana</t>
  </si>
  <si>
    <t xml:space="preserve"> 01.110.</t>
  </si>
  <si>
    <t>Domes administratīvo ēku remontdarbi/būvdarbi</t>
  </si>
  <si>
    <t xml:space="preserve">JPAP_R.3.1.2._131 </t>
  </si>
  <si>
    <t>Glābšanas staciju būvniecība, atjaunošana un uzlabošana</t>
  </si>
  <si>
    <t>03.600.</t>
  </si>
  <si>
    <t>JPAP_R1.6.2._30</t>
  </si>
  <si>
    <t>Jaunķemeru glābšanas stacija</t>
  </si>
  <si>
    <t xml:space="preserve">Konteinertipa glābšanas staciju projekta izstrāde </t>
  </si>
  <si>
    <t>Pārvietojams glābēju novērošanas tornis</t>
  </si>
  <si>
    <t>Glābšanas staciju infrastruktūras atjaunošana (Kapteiņa Zolta iela 123, Jūrmala)</t>
  </si>
  <si>
    <t>Mellužu glābšanas stacijas pārbūve un siltināšana</t>
  </si>
  <si>
    <t>Zem P2.8. vai P.3.1. tiks izveidota jauna aktivitāte Rīcības plānā!</t>
  </si>
  <si>
    <t>Ostas būvniecība, atjaunošana un uzlabošana</t>
  </si>
  <si>
    <t>04.520.</t>
  </si>
  <si>
    <t>JPAP_ R2.4.2._80</t>
  </si>
  <si>
    <t>Jūrmalas ostas pārvaldes pakalpojumu centra izveidošana</t>
  </si>
  <si>
    <t xml:space="preserve">Ūdenstūrisma pakalpojumu centra "Majori" izveide </t>
  </si>
  <si>
    <t>Publisko teritoriju, ēku un mājokļu būvniecība, atjaunošana un uzlabošana</t>
  </si>
  <si>
    <t>06.600.</t>
  </si>
  <si>
    <t>Jauno Slokas kapu izbūve un labiekārtošana</t>
  </si>
  <si>
    <t>JPAP_R2.8.2._114</t>
  </si>
  <si>
    <t>Pašvaldības iestāde ''Jūrmalas kapi''</t>
  </si>
  <si>
    <t>R2.8.2. Nr.114</t>
  </si>
  <si>
    <t xml:space="preserve">Dubultu kultūras un izglītības centrs Strēlnieku prospektā 30, Jūrmalā </t>
  </si>
  <si>
    <t>JPAP_R3.3.1._192
JPAP_R.3.2.4._185</t>
  </si>
  <si>
    <t>KR             5240</t>
  </si>
  <si>
    <t>PB             5240</t>
  </si>
  <si>
    <t xml:space="preserve">KR       </t>
  </si>
  <si>
    <t xml:space="preserve">PB           </t>
  </si>
  <si>
    <t>JPAP_R3.3.1._192
JPAP_R.3.2.4._173</t>
  </si>
  <si>
    <t>Ķemeru parka atjaunošana kā ārstniecības un infrastruktūru papildinošu komponenti Tukuma iela 32a, Tukuma iela 32, Tūristu iela 1, Jūrmala</t>
  </si>
  <si>
    <t>R1.5.2.</t>
  </si>
  <si>
    <t>Tūrisma informācijas centra izveide Ķemeru ūdens tornī Tukuma ielā 32, Jūrmalā</t>
  </si>
  <si>
    <t xml:space="preserve">R3.3.1. </t>
  </si>
  <si>
    <t xml:space="preserve">Ķemeru parka Mīlestības saliņa </t>
  </si>
  <si>
    <t>Pasta ēkas atjaunošana Tukuma iela 30, Jūrmala</t>
  </si>
  <si>
    <t>R1.2.2.</t>
  </si>
  <si>
    <t>Tirdzniecības nojumes jaunbūve un inženierkomunikāciju izbūve Slokas ielā 3313, Jūrmalā</t>
  </si>
  <si>
    <t>Pašvaldības īpašumā esošo ēku kapitālais remonts</t>
  </si>
  <si>
    <t>R.3.2.1. aktivitāte - Kvalitatīvas pašvaldības pārvaldes kapacitātes nodrošināšana (AP SBPN priekšlikums)
R.3.5.1. 182</t>
  </si>
  <si>
    <t>Pašvaldības dzīvojamā fonda remonts</t>
  </si>
  <si>
    <t>JPAP_R2.9.1._115</t>
  </si>
  <si>
    <t>Ēku nojaukšana</t>
  </si>
  <si>
    <t>JPAP_R2.8.1._105</t>
  </si>
  <si>
    <t xml:space="preserve">Majoru muiža </t>
  </si>
  <si>
    <t>JPAP_R1.4.3._17</t>
  </si>
  <si>
    <t>Tūrisma informācijas centrs Lienes ielā 5, Jūrmalā</t>
  </si>
  <si>
    <t>R.3.2.1. aktivitāte - Kvalitatīvas pašvaldības pārvaldes kapacitātes nodrošināšana (AP SBPN priekšlikums)</t>
  </si>
  <si>
    <t>Ķemeru kapličas atjaunošana</t>
  </si>
  <si>
    <t>R2.8.2.</t>
  </si>
  <si>
    <t>Alternatīvās enerģijas laternu uzstādīšana izejās uz pludmali</t>
  </si>
  <si>
    <t xml:space="preserve">Vieglas konstrukcijas pagaidu nojume </t>
  </si>
  <si>
    <t>Apsekošana, specifikāciju un tāmju sagatavošana</t>
  </si>
  <si>
    <t>JPAP_R.3.1.2._131</t>
  </si>
  <si>
    <t xml:space="preserve">Ēkas restaurācija un atjaunošana Pils ielā 1, Jūrmalā </t>
  </si>
  <si>
    <t>JPAP_R.3.2.4._185</t>
  </si>
  <si>
    <t>Valsts budžets</t>
  </si>
  <si>
    <t>Jūrmalas pašvaldības, Lielupes radīto plūdu un krasta erozijas risku apdraudējumu novēršanas pasākumi Dzintaros un Majoros</t>
  </si>
  <si>
    <t>JPAP_R1.6.2._35</t>
  </si>
  <si>
    <t xml:space="preserve">Kapteiņa Zolta piemiņas vietas teritorijas labiekārtošana </t>
  </si>
  <si>
    <t>JPAP_R.2.8.1._98</t>
  </si>
  <si>
    <t>Atpūtu un sportu veicinošas infrastruktūras izveide, atjaunošana un labiekārtošana</t>
  </si>
  <si>
    <t xml:space="preserve"> 08.100.</t>
  </si>
  <si>
    <t xml:space="preserve">Jaunrades parks Kauguros </t>
  </si>
  <si>
    <t>R.1.6.1.</t>
  </si>
  <si>
    <t>R2.8.1. Nr.106</t>
  </si>
  <si>
    <t>Jauniešu mājas un skatu torņa izbūve Jaunrades parkā Kauguros</t>
  </si>
  <si>
    <t>Pilsētas atpūtas parka un Jauniešu mājas izveide Kauguros</t>
  </si>
  <si>
    <t>JPAP_R.2.8.1._103
JPAP_R.3.7.2._230</t>
  </si>
  <si>
    <t>Slokas sporta komplekss</t>
  </si>
  <si>
    <t>R.1.6.3.</t>
  </si>
  <si>
    <t>Sabiedriskā centra Valtera prospektā 54 attīstība</t>
  </si>
  <si>
    <t>JPAP_R.3.3.1._192</t>
  </si>
  <si>
    <t>Ķemeru parka pārbūve un restaurācija</t>
  </si>
  <si>
    <t>JPAP_R1.5.2._21</t>
  </si>
  <si>
    <t>Dabas izglītības centra izveide Ķemeros, Emīla Dārziņa ielā 28, Jūrmalā</t>
  </si>
  <si>
    <t>R1.6.1.</t>
  </si>
  <si>
    <t>Daudzfunkcionāla un interaktīva dabas tūrisma objekta izveide Ķemeros</t>
  </si>
  <si>
    <t>Ķemeru ūdenstorņa atjaunošana</t>
  </si>
  <si>
    <t>Bibliotēku ēku būvniecība, atjaunošana un uzlabošana</t>
  </si>
  <si>
    <t>08.210.</t>
  </si>
  <si>
    <t>R3.3.2.</t>
  </si>
  <si>
    <t>Bibliotēku remonts</t>
  </si>
  <si>
    <t>R3.3.1. Nr.169</t>
  </si>
  <si>
    <t>Muzeja ēku būvniecība, atjaunošana un uzlabošana</t>
  </si>
  <si>
    <t>08.220.</t>
  </si>
  <si>
    <t>Jūrmalas brīvdabas muzejs Tīklu ielā 1a, Jūrmalā</t>
  </si>
  <si>
    <t>R3.3.1.</t>
  </si>
  <si>
    <t xml:space="preserve">Jūrmalas pilsētas brīvdabas muzeja infrastruktūras attīstība </t>
  </si>
  <si>
    <t>JPAP_R.3.3.1._200</t>
  </si>
  <si>
    <t>Muzeji un izstāžu zāles</t>
  </si>
  <si>
    <t>JPAP_R.3.3.1_192</t>
  </si>
  <si>
    <t>Kultūras centru un namu būvniecība, atjaunošana un uzlabošana</t>
  </si>
  <si>
    <t>08.230.</t>
  </si>
  <si>
    <t>Jūrmalas Kultūras centra piebūve Jomas ielā 35, Jūrmalā</t>
  </si>
  <si>
    <t>Jūrmalas teātra pārbūve Muižas ielā 7, Jūrmalā</t>
  </si>
  <si>
    <t xml:space="preserve">Jūrmalas teātra ēkas pārbūve un energoefektivitātes paaugstināšana Muižas ielā 7, Jūrmalā        </t>
  </si>
  <si>
    <t xml:space="preserve">Kultūras centru remonts </t>
  </si>
  <si>
    <t>Jūrmalas māksla telpas izveide</t>
  </si>
  <si>
    <t>Teātra, koncertzāles un estrāžu būvniecība, atjaunošana un uzlabošana</t>
  </si>
  <si>
    <t>08.240.</t>
  </si>
  <si>
    <t xml:space="preserve">Dzintaru koncertzāles Mazās (slēgtās) zāles restaurācija Turaidas ielā 1 </t>
  </si>
  <si>
    <t>Dzintaru koncertzāle</t>
  </si>
  <si>
    <t>R1.7.2. Nr.49</t>
  </si>
  <si>
    <t>Pagaidu žogs Mellužu estrādē</t>
  </si>
  <si>
    <t xml:space="preserve">Mellužu estrādes un Piena paviljona/bāra ēkas atjaunošana, t.sk. teritorijas labiekārtošana </t>
  </si>
  <si>
    <t>PB 5250</t>
  </si>
  <si>
    <t>KR 5250</t>
  </si>
  <si>
    <t>ES5250</t>
  </si>
  <si>
    <t>Pirmsskolas  izglītības iestāžu būvniecība, atjaunošana un uzlabošana</t>
  </si>
  <si>
    <t>09.100.</t>
  </si>
  <si>
    <t>Avārijas darbi</t>
  </si>
  <si>
    <t>JPAP_R.3.2.2_155</t>
  </si>
  <si>
    <t>Jūrmalas pilsētas pašvaldības pirmsskolas izglītības iestāžu infrastruktūras attīstība</t>
  </si>
  <si>
    <t>Pirmsskolas  izglītības iestādes</t>
  </si>
  <si>
    <t>Jūrmalas PII ''Austras koks''</t>
  </si>
  <si>
    <t>Pirmsskolas izglītības iestādes ''Bitītes'' pārbūve</t>
  </si>
  <si>
    <t>Jūrmalas PII ''Bitīte''</t>
  </si>
  <si>
    <t>Zem R3.2.2. tiks izveidota jauna aktivitāte Rīcības plānā!</t>
  </si>
  <si>
    <t>Jūrmalas PII ''Katrīna''</t>
  </si>
  <si>
    <t>Jūrmalas PII ''Lācītis''</t>
  </si>
  <si>
    <t>Jūrmalas PII ''Madara''</t>
  </si>
  <si>
    <t>Pirmsskolas izglītības iestādes ''Mārītes'' pārbūve</t>
  </si>
  <si>
    <t>Jūrmalas PII ''Mārīte''</t>
  </si>
  <si>
    <t>Jūrmalas PII ''Namiņš''</t>
  </si>
  <si>
    <t>Jūrmalas PII ''Podziņa''</t>
  </si>
  <si>
    <t>Jūrmalas PII ''Saulīte''</t>
  </si>
  <si>
    <t>Jūrmalas PII ''Zvaniņš''</t>
  </si>
  <si>
    <t>Pirmsskolas  izglītības iestāžu būvdarbi</t>
  </si>
  <si>
    <t xml:space="preserve">Pirmsskolas izglītības pakalpojumu pieejamības uzlabošana Jūrmalas pilsētas rietumu  daļā </t>
  </si>
  <si>
    <t xml:space="preserve">Sākumskolu, pamatskolu, vidusskolu būvniecība, atjaunošana un uzlabošana </t>
  </si>
  <si>
    <t>09.210.</t>
  </si>
  <si>
    <t>JPAP_R.3.2.3._165</t>
  </si>
  <si>
    <t>Vispārējās izglītības iestādes</t>
  </si>
  <si>
    <t>Jūrmalas sākumskola ''Atvase''</t>
  </si>
  <si>
    <t>Jūrmalas sākumskola ''Ābelīte''</t>
  </si>
  <si>
    <t>Jūrmalas sākumskola ''Taurenītis''</t>
  </si>
  <si>
    <t>Jūrmalas Alternatīvā skola</t>
  </si>
  <si>
    <t>R3.2.3. Nr.159 (aktivitātes redakcija tiks precizēta)</t>
  </si>
  <si>
    <t>Ķemeru vidusskola</t>
  </si>
  <si>
    <t>Ķemeru vidusskolas pārbūve/atjaunošana Tukuma ielā 8/10 (tsk. energoefektivitātes paaugstināšana)</t>
  </si>
  <si>
    <t>Jūrmalas pilsētas Ķemeru pamatskolas ēkas pārbūve un energoefektivitātes paaugstināšana</t>
  </si>
  <si>
    <t>Ķemeru pamatskola</t>
  </si>
  <si>
    <t xml:space="preserve">Jūrmalas pilsētas Lielupes vidusskola </t>
  </si>
  <si>
    <t>Jūrmalas pilsētas Lielupes pamatskolas ēku un Jūrmalas Valsts ģimnāzijas telpu pārbūve, sporta zāles būvniecība Aizputes ielā 1A, Jūrmalā</t>
  </si>
  <si>
    <t>JPAP_R.3.2.3._165
JPAP_R.3.3.3_206</t>
  </si>
  <si>
    <t>KR            5250</t>
  </si>
  <si>
    <t>PB            5250</t>
  </si>
  <si>
    <t>KR5240</t>
  </si>
  <si>
    <t>PB5240</t>
  </si>
  <si>
    <t>KR5250</t>
  </si>
  <si>
    <t>Jūrmalas pilsētas Lielupes pamatskola</t>
  </si>
  <si>
    <t xml:space="preserve">Slokas pamatskola </t>
  </si>
  <si>
    <t>Vaivaru pamatskolas atjaunošana</t>
  </si>
  <si>
    <t>Vaivaru pamatskola</t>
  </si>
  <si>
    <t>Jūrmalas Valsts ģimnāzijas un sākumskolas "Atvase" daudzfunkcionālās sporta halles projektēšana un celtniecība</t>
  </si>
  <si>
    <t xml:space="preserve">Jūrmalas Valsts ģimnāzijas ēkas pārbūve un infrastruktūras pilnveide, metodiskā centra izveide </t>
  </si>
  <si>
    <t>Jūrmalas Valsts ģimnāzija</t>
  </si>
  <si>
    <t>Jūrmalas pilsētas Jaundubultu vidusskolas ēkas un autoskolas ēkas energoefektivitātes paaugstināšana Lielupes ielā 21</t>
  </si>
  <si>
    <t>JPAP_R.3.2.3._165
JPAP_R.2.6.2._89</t>
  </si>
  <si>
    <t>Jūrmalas pilsētas Jaundubultu vidusskola</t>
  </si>
  <si>
    <t>Jūrmalas pilsētas Kauguru vidusskolas ēkas atjaunošana un energoefektivitātes paaugstināšana</t>
  </si>
  <si>
    <t xml:space="preserve">Jūrmalas pilsētas Kauguru vsk.sākumskola </t>
  </si>
  <si>
    <t xml:space="preserve">Jūrmalas pilsētas Kauguru vidusskola </t>
  </si>
  <si>
    <t>Majoru vidusskola</t>
  </si>
  <si>
    <t>Jūrmalas pilsētas Mežmalas vidusskola</t>
  </si>
  <si>
    <t>Pumpuru vidusskola</t>
  </si>
  <si>
    <t>Vakara vidusskola</t>
  </si>
  <si>
    <t>Jūrmalas pilsētas internātpamatskola</t>
  </si>
  <si>
    <t xml:space="preserve">Pirmsskolas izglītības pakalpojumu pieejamības uzlabošana Jūrmalas pilsētas austrumu daļā </t>
  </si>
  <si>
    <t>Interešu profesionālās ievirzes izglītības iestāžu būvniecība, atjaunošana un uzlabošana</t>
  </si>
  <si>
    <t xml:space="preserve"> 09.510.</t>
  </si>
  <si>
    <t>Jūrmalas Mūzikas skola</t>
  </si>
  <si>
    <t>Peldbaseina ēkas atjaunošana  Rūpniecības ielā 13, Jūrmalā (tsk. energoefektivitātes paaugstināšana)</t>
  </si>
  <si>
    <t>R3.3.3.</t>
  </si>
  <si>
    <t>Jūrmalas Sporta skolas peldbaseina ēkas pārbūves un energoefektivitātes paaugstināšana</t>
  </si>
  <si>
    <t>Majoru ledus halle</t>
  </si>
  <si>
    <t>Majoru sporta laukums</t>
  </si>
  <si>
    <t>Majoru sporta laukuma attīstība</t>
  </si>
  <si>
    <t>Zem P3.2. vai P3.3. tiks izveidots jauna aktivitāte Rīcības plānā!</t>
  </si>
  <si>
    <t>Sporta nams "Taurenītis"</t>
  </si>
  <si>
    <t>Interešu profesionālās ievirzes izglītības iestādes</t>
  </si>
  <si>
    <t xml:space="preserve">Jūrmalas bērnu un jauniešu interešu centrs </t>
  </si>
  <si>
    <t>Lielupes ledus halles izbūve</t>
  </si>
  <si>
    <t>Zem P.3.2. tiks izveidota jauna aktivitāte Rīcības plānā!</t>
  </si>
  <si>
    <t>Slokas stadiona infrastruktūras pilnveide</t>
  </si>
  <si>
    <t>Zem P.3.2. vai P.3.3. tiks izveidota jauna aktivitāte Rīcības plānā!</t>
  </si>
  <si>
    <t xml:space="preserve">Jūrmalas pludmales centrs </t>
  </si>
  <si>
    <t>Zem R1.6.2. vai R.3.3.3. tiks izveidota jauna aktivitāte Rīcības plānā!</t>
  </si>
  <si>
    <t>Sociālo iestāžu, kurās tiek nodrošināta ilgstoša aprūpe gados veciem cilvēkiem, būvniecība, atjaunošana un uzlabošana</t>
  </si>
  <si>
    <t>Jūrmalas sociālās aprūpes centrs, Strēlnieku prospektā 38, Jūrmalā</t>
  </si>
  <si>
    <t>Sociālo iestāžu būvniecība, atjaunošana un uzlabošana</t>
  </si>
  <si>
    <t>Jūrmalas Dienas centrs bērniem  Nometņu ielā 2a, Jūrmalā</t>
  </si>
  <si>
    <t>R3.5.1.</t>
  </si>
  <si>
    <t>Pārējo sociālo iestāžu būvniecība, atjaunošana un uzlabošana</t>
  </si>
  <si>
    <t>Siltummezgla rekonstrukcija pašvaldības aģentūras ''Jūrmalas sociālās aprūpes centrs'' objektā  Dūņu ceļš 2</t>
  </si>
  <si>
    <t>Jūrmalas pilsētas pašvaldības iestāde ''Sprīdītis''</t>
  </si>
  <si>
    <t>JPAP_R.3.5.1._216</t>
  </si>
  <si>
    <t>Jūrmalas veselības veicināšanas un sociālo pakalpojumu centra infrastruktūras pilnveide un energoefektivitātes paaugstināšana</t>
  </si>
  <si>
    <t>JPAP_R.3.5.1._216
JPAP_R.2.6.2._89</t>
  </si>
  <si>
    <t>Veselības veicināšanas un sociālo pakalpojumu centrs</t>
  </si>
  <si>
    <t>Labklājības pārvalde</t>
  </si>
  <si>
    <t xml:space="preserve">Infrastruktūras izveide bērnu un jauniešu aprūpei ģimeniskā vidē saskaņā ar Quality4Children standartiem </t>
  </si>
  <si>
    <t xml:space="preserve"> R.3.5.1. Nr.182</t>
  </si>
  <si>
    <t>Kopā finansējums pa programmām</t>
  </si>
  <si>
    <t xml:space="preserve">* Informatīvi </t>
  </si>
  <si>
    <t>Rīcības virziens: R.1.4.3. Citu tūrisma pakalpojumu attīstība</t>
  </si>
  <si>
    <t>Aktivitāte: Nr.17 Tūrisma pakalpojumu piedāvajuma dažādošana</t>
  </si>
  <si>
    <t>Rīcības virziens: R.1.6.1. Dabas tūrisma infrastruktūras attīstība</t>
  </si>
  <si>
    <t>Aktivitāte: Nr.21 Daudzfunkcionāla, interaktīva dabas tūrisma objekta izveide Ķemeros</t>
  </si>
  <si>
    <t>Rīcības virziens: R.1.6.2. Peldvietu infrastruktūras attīstība</t>
  </si>
  <si>
    <t>Aktivitāte: Nr.30 Pašvaldības īpašumā esošo glābšanas staciju rekonstrukcija un būvniecība</t>
  </si>
  <si>
    <t>Aktivitāte: Nr.35 Krasta erozijas procesu aizkavēšanas pasākumi</t>
  </si>
  <si>
    <t>Rīcības virziens: R.2.4.2. Kuģošanas infrastruktūras attīstība Lielupē</t>
  </si>
  <si>
    <t>Aktivitāte: Nr.80 Lielupes kuģošanas un ūdenstūrisma infrastruktūras un pakalpojumu attīstība</t>
  </si>
  <si>
    <t>Rīcības virziens: R.2.6.2. Racionālas un videi draudzīgas energoapgādes sistēmas attīstība</t>
  </si>
  <si>
    <t>Aktivitāte: Nr.89 Ilgspējīga atjaunojamo energoresursu izmantošana, energoefektivitātes paaugstināšana un energopārvaldības sistēmas ieviešana un sertificēšana Jūrmalas pašvaldības teritorijā.</t>
  </si>
  <si>
    <t>Aktivitāte: Nr.98 Parku, skvēru un kūrorta mazās infrastruktūras attīstība un uzturēšana</t>
  </si>
  <si>
    <t>Aktivitāte: Nr.103 Pilsētas atpūtas parka un Jauniešu mājas izveide</t>
  </si>
  <si>
    <t>Aktivitāte: Nr.105 Graustu novākšana pilsētā</t>
  </si>
  <si>
    <t>Rīcības virziens: R.2.8.2. Kapsētu un to infrastruktūras labiekārtošana</t>
  </si>
  <si>
    <t>Aktivitāte: Nr.114 Kapsētu paplašināšana un jaunu kapsētu izveide un to apsaimniekošana</t>
  </si>
  <si>
    <t>Rīcības virziens: R.2.9.1. Pašvaldības dzīvojamā fonda attīstība</t>
  </si>
  <si>
    <t>Aktivitāte: Nr.115 Jūrmalas pašvaldības dzīvojamā fonda attīstības plānošana un plānu realizācija</t>
  </si>
  <si>
    <t>Rīcības virziens: R.3.1.2. Pašvaldības pārvaldes kapacitātes celšana</t>
  </si>
  <si>
    <t>Aktivitāte: Nr.131 Kvalitatīvas pašvaldības pārvaldes kapacitātes nodrošināšana</t>
  </si>
  <si>
    <t>Rīcības virziens: R.3.2.2. Pirmskolas izglītības pakalpojumi</t>
  </si>
  <si>
    <t>Aktivitāte: Nr.155 Pirmsskolas izglītības iestāžu mācību vides uzlabošana</t>
  </si>
  <si>
    <t>Rīcības virziens: R.3.2.3. Vispārizglītojošo skolu izglītības pakalpojumi</t>
  </si>
  <si>
    <t>Aktivitāte: Nr.165 Vispārējās izglītības iestāžu mācību vides uzlabošana</t>
  </si>
  <si>
    <t>Rīcības virziens: R.3.2.4. Profesionālās ievirzes un interešu izglītības pakalpojumi</t>
  </si>
  <si>
    <t xml:space="preserve">Aktivitāte: Nr.185 Profesionālās ievirzes un interešu izglītības iestāžu mācību vides uzlabošana </t>
  </si>
  <si>
    <t>Aktivitāte: Nr.192 Jūrmalas kultūras iestāžu remonts un būvniecība, teritoriju labiekārtošana un materiāltehniskais nodrošinājums</t>
  </si>
  <si>
    <t>Aktivitāte: Nr.200 Jūrmalas brīvdabas muzeja attīstība</t>
  </si>
  <si>
    <t>Rīcības virziens: R.3.3.3. Sporta sektora attīstība</t>
  </si>
  <si>
    <t>Aktivitāte: Nr.206 Publiskās sporta infrastruktūras attīstība</t>
  </si>
  <si>
    <t>Rīcības virziens: R.3.5.1. Sociālo pakalpojumu attīstība</t>
  </si>
  <si>
    <t>Aktivitāte: Nr.216 Sociālā atbalsts infrastruktūras attīstība</t>
  </si>
  <si>
    <t>Rīcības virziens: R.3.7.2. Vietējās uzņēmējdarbības atbalsts infrastruktūras attīstība</t>
  </si>
  <si>
    <t>Aktivitāte: Nr.230 Uzņēmējdarbības veicināšana</t>
  </si>
  <si>
    <t>Pilsētplānošanas nodaļa</t>
  </si>
  <si>
    <t>Pilsētas teritorijas labiekārtošanas pasākumi</t>
  </si>
  <si>
    <t>06.200</t>
  </si>
  <si>
    <t xml:space="preserve">Jauns detāl/lokālplānojums un/vai izpētes darbi </t>
  </si>
  <si>
    <t>JPAP_R.3.1.1. _119</t>
  </si>
  <si>
    <t>Bioloģiskās daudzveidības izpēte detālplānojumu izstrādes nodrošināšanai</t>
  </si>
  <si>
    <t>Jūrmalas mūsdienu arhitektūras ceļvedis - karte</t>
  </si>
  <si>
    <t>JPAP_R.1.9.2. _56</t>
  </si>
  <si>
    <t>Pilotprojekts "Ērts ceļš uz jūru"</t>
  </si>
  <si>
    <t>JPAP_R.2.8.1._107</t>
  </si>
  <si>
    <t>Pilsētas svētku noformējums</t>
  </si>
  <si>
    <t>06.600</t>
  </si>
  <si>
    <t>Pilsētas dekoratīvā svētku apgaismojuma uzturēšana un atjaunošana</t>
  </si>
  <si>
    <t>JPAP_ R.2.2.1. _70</t>
  </si>
  <si>
    <t>Ziemassvētku egles (iegāde, uzstādīšana, demontāža)</t>
  </si>
  <si>
    <t>Ziemassvētku, Lieldienu un Līgo svētku noformējuma izveide, montāža un demontāža</t>
  </si>
  <si>
    <t>Valsts svētku noformējuma izveide, montāža un demontāža</t>
  </si>
  <si>
    <t>Ziemassvētku noformējuma konkurss (atzinības raksti, apbalvojumi)</t>
  </si>
  <si>
    <t>Pilsētas kultūrvēsturiskā mantojuma saglabāšana</t>
  </si>
  <si>
    <t>08.290</t>
  </si>
  <si>
    <t xml:space="preserve">Līdzfinansējuma nodrošināšanai sabiedriski pieejamu kultūrvēsturiskā mantojuma saglabāšanai objektos, kuros notiek pilsētas nozīmes pasākumi </t>
  </si>
  <si>
    <t>JPAP_ R.1.2.2. _10</t>
  </si>
  <si>
    <t>Jūrmalas pilsētas attīstības programma 2014. – 2020.gadam (JPAP)</t>
  </si>
  <si>
    <t>Rīcības virziens: R.1.2.2. Kultūrvēsturiskā mantojuma saglabāšana un attīstība</t>
  </si>
  <si>
    <t>Aktivitāte: Nr.10 Kultūrvēsturiski vērtīgās koka arhitektūras vērtību saglabāšanas pasākumi</t>
  </si>
  <si>
    <t>Rīcības virziens: R.1.9.2. Informācijas pieejamības nodrošināšana</t>
  </si>
  <si>
    <t>Aktivitāte: Nr.56 Jūrmalas mūsdienu arhitektūras ceļvedis</t>
  </si>
  <si>
    <t>Rīcības virziens: R.2.2.1. Jūrmalas vizuālās identitātes standarta izstrāde un ieviešana</t>
  </si>
  <si>
    <t>Aktivitāte: Nr.70 Jūrmalas vizuālās identitātes veidošana un uzraudzīšana</t>
  </si>
  <si>
    <t>Aktivitāte: Nr.107 Vides pieejamības nodrošināšana cilvēkiem ar īpašām vajadzībām</t>
  </si>
  <si>
    <t>Rīcības virziens: R.3.1.1. Pilsētas attīstības plānošana</t>
  </si>
  <si>
    <t>Aktivitāte: Nr.119 Pašvaldības attīstības plānošanas dokumentu izstrāde un uzraudzība</t>
  </si>
  <si>
    <t>Jūrmalas Sporta servisa centrs</t>
  </si>
  <si>
    <t>Sporta pasākumi</t>
  </si>
  <si>
    <t>08.100</t>
  </si>
  <si>
    <t>Jūrmalas pilsētas sporta pasākumi</t>
  </si>
  <si>
    <t>Gada balva sportā</t>
  </si>
  <si>
    <t>JPAP_R.1.6.3._41</t>
  </si>
  <si>
    <t>Eiropas Sporta pilsētas statuss 2017.gadam</t>
  </si>
  <si>
    <t>Atklātās sacensības Jūrmalas domes kauss  5. posmos pludmales futbolā</t>
  </si>
  <si>
    <t>Basketbols</t>
  </si>
  <si>
    <t>Jūrmalas basketbola čempionāts</t>
  </si>
  <si>
    <t>Pludmales volejbols</t>
  </si>
  <si>
    <t>Latvijas čempionāts pludmales volejbolā</t>
  </si>
  <si>
    <t>2017. gada Eiropas pludmales volejbola čempionāta finālsacensības</t>
  </si>
  <si>
    <t>2016 CEV Beach Volleyball Championship Jurmala Masters</t>
  </si>
  <si>
    <t>Jūrmalas atklātais jaunatnes čempionāts</t>
  </si>
  <si>
    <t>Starptautiskais Jūrmalas krāsu skrējiens</t>
  </si>
  <si>
    <t>Jūrmalas skriešanas svētki</t>
  </si>
  <si>
    <t>Teniss</t>
  </si>
  <si>
    <t>Latvijas senioru atklātais čempionāts tenisā "Jūrmalas kauss"</t>
  </si>
  <si>
    <t>International Pludmales tenisa turnīrs European Championship + ProAm Jurmala Cup</t>
  </si>
  <si>
    <t>Jūrmalas xTrail sporta pasākums</t>
  </si>
  <si>
    <t>Vislatvijas skolēnu sporta un prāta spēļu ZZ čempionāts fināls un ZZ festivāls bērniem un jauniešiem</t>
  </si>
  <si>
    <t xml:space="preserve">Starptautiskās sporta deju sacensības </t>
  </si>
  <si>
    <t>Pasaules kausa posms ielu vingrošanā</t>
  </si>
  <si>
    <t>Autorallijs "Latvija 2017"</t>
  </si>
  <si>
    <t>Starptautiskajam ielu basketbola turnīrs "Ghetto Basket"</t>
  </si>
  <si>
    <t>Latvijas aprūpes centru sporta spēles Jūrmalā</t>
  </si>
  <si>
    <t>Sporta Senioru Biedrības Jūrmala sporta spēles</t>
  </si>
  <si>
    <t>IPA Winter Cup Jurmala 2017</t>
  </si>
  <si>
    <t>Jūrmalas čempionāts hokejā</t>
  </si>
  <si>
    <t>Riteņbraukšana</t>
  </si>
  <si>
    <t>Jūrmalas riteņbraukšanas maratons</t>
  </si>
  <si>
    <t>Neatkarības dienas velobrauciens</t>
  </si>
  <si>
    <t>Projektu konkurss sporta pasākumiem</t>
  </si>
  <si>
    <t>Sporta veidu attīstība</t>
  </si>
  <si>
    <t>Biedrība "Basketbola klubs Jūrmala"</t>
  </si>
  <si>
    <t>Biedrība Sporta Klubs "Jūrmalas Sports"</t>
  </si>
  <si>
    <t>Futbola klubs "Spartaks"</t>
  </si>
  <si>
    <t>Jūrmala Racing team</t>
  </si>
  <si>
    <t>Sporta Senioru biedrība Jūrmala</t>
  </si>
  <si>
    <t>Biedrība Florbola klubs "Jūrmala"</t>
  </si>
  <si>
    <t>Gatavošanās un dalība starptautiskās sacensībās Guntis Valneris</t>
  </si>
  <si>
    <t>Biedrība Airēšanas federācija, Jūrmalas airētāju atbalstam</t>
  </si>
  <si>
    <t>Gatavošanās un dalība starptautiskās sacensībās Jeļena Prokopčuka</t>
  </si>
  <si>
    <t>Maratonistes J.Prokopčukas dalība sacensībās</t>
  </si>
  <si>
    <t>Burāšanas sporta vienības fonda "Collatis Viribus" atbalstam</t>
  </si>
  <si>
    <t>Dalība starptautiskās sacensībās A. Samoilovs</t>
  </si>
  <si>
    <t>Biedrība Jāņa Roviča boksa klubs</t>
  </si>
  <si>
    <t>Kartingista Šubecka dalība sacensībās</t>
  </si>
  <si>
    <t>Gatavošanās un dalība starptautiskās sacensībās T. L. Graudiņa</t>
  </si>
  <si>
    <t>Līdzfinansējums T.L.Graudiņai</t>
  </si>
  <si>
    <t>Dalība sacensībās džudo klubam Lido</t>
  </si>
  <si>
    <t>Airēšanas klubs "Majori"</t>
  </si>
  <si>
    <t>Regbija klubs Jūrmala</t>
  </si>
  <si>
    <t>Karatistes M.L. Muižnieces atbalstam</t>
  </si>
  <si>
    <t>Skeitbordista M. Liepiņa atbalstam</t>
  </si>
  <si>
    <t>VRR (A. Vecvagara atbalstam)</t>
  </si>
  <si>
    <t>Ūdenspolo sportista J.K. Vasiļonoka atbalstam</t>
  </si>
  <si>
    <t>Hokejista Emīla Ērgļa atbalstam</t>
  </si>
  <si>
    <t>Kalnu slēpotājas Esteres Poles atbalstam</t>
  </si>
  <si>
    <t xml:space="preserve">PAPA'S sacīkšu komanda </t>
  </si>
  <si>
    <t>Gatavošanās un dalība starptautiskās sacensībās M. Samoilovs</t>
  </si>
  <si>
    <t>Dalība pasaules kausa sacensībās pludmales volejbolā (A.Samoilovs)</t>
  </si>
  <si>
    <t>Gatavošanās un dalība starptautiskās sacensībās L. Ikauniece -Admidiņa</t>
  </si>
  <si>
    <t>Ratiņtenisistes Žanetes Vasaraudzes atbalstam</t>
  </si>
  <si>
    <t>Parabobslejista Alvila Branta atbalstam</t>
  </si>
  <si>
    <t>Projektu konkurss sporta veidu attīstībai</t>
  </si>
  <si>
    <t>Pašvaldības atzinības izteikšana par īpašiem sasniegumiem un rezultātiem</t>
  </si>
  <si>
    <t>Sporta attīstības un publicitātes pasākumi</t>
  </si>
  <si>
    <t>Grāmata''Jūrmalas sporta vēsture''</t>
  </si>
  <si>
    <t>Rīcības virziens: R.1.6.3. Sporta pasākumu un pakalpojumu attīstība</t>
  </si>
  <si>
    <t>Aktivitāte: Nr.41 Sporta infrastruktūras un pasākumu un pakalpojumu attīstība</t>
  </si>
  <si>
    <t>Īpašumu pārvaldes Mežsaimniecības nodaļa</t>
  </si>
  <si>
    <t>Pilsētas mežu un publiskās teritorijas esošo koku kopšanas pasākumi</t>
  </si>
  <si>
    <t>04.220.</t>
  </si>
  <si>
    <t xml:space="preserve">Nokaltušo, avārijas, ainaviski mazvērtīgo koku nociršana un apstādījumu sakopšana </t>
  </si>
  <si>
    <t>JPAP_R2.8.1._100</t>
  </si>
  <si>
    <t xml:space="preserve">Atvasāju nopļaušana mežos </t>
  </si>
  <si>
    <t>JPAP_R2.8.1._102</t>
  </si>
  <si>
    <t>Celmu izfrēzēšana apstādījumos</t>
  </si>
  <si>
    <t>Ielu apstādījumu koku vainagu regulārā kopšana</t>
  </si>
  <si>
    <t xml:space="preserve">Zaru nozāģēšana ielu kokiem </t>
  </si>
  <si>
    <t>Papildu pašvaldības mežu dokumentācijas noformēšana</t>
  </si>
  <si>
    <t>Meža stādu iegāde</t>
  </si>
  <si>
    <t>Priežu jaunaudzes sakopšana gar Strēlnieku prospektu</t>
  </si>
  <si>
    <t>Jūrmalas pilsētas attīstības programma 2014. - 2020.gadam (JPAP)</t>
  </si>
  <si>
    <t>Rīcības virziens R2.8.1. Publiskās telpas pilnveide</t>
  </si>
  <si>
    <t>Aktivitāte Nr.100 Nokaltušo, avārijas un ainaviski mazvērtīgo koku nociršana ielu apstādījumos</t>
  </si>
  <si>
    <t>Aktivitāte Nr.101 Ielu apstādījumu koku sakopšana</t>
  </si>
  <si>
    <t xml:space="preserve">Aktivitāte Nr.102 Atvasāju nopļaušana un savākšana mežos </t>
  </si>
  <si>
    <t>Īpašumu pārvaldes Pilsētsaimniecības un labiekārtošanas nodaļa</t>
  </si>
  <si>
    <t>Pašvaldības pārziņā esošo teritoriju apsaimniekošana (kopšana un tīrīšana)</t>
  </si>
  <si>
    <t>05.100</t>
  </si>
  <si>
    <t>Parku, skvēru, atpūtas vietu un apstādījumu kopšana</t>
  </si>
  <si>
    <t>JPAP_R2.8.1._98 JPAS_K4                           JPAS_J4</t>
  </si>
  <si>
    <t>Iekšpagalmu kopšana</t>
  </si>
  <si>
    <t>JPAP_R2.8.1._99</t>
  </si>
  <si>
    <t>Jaunu puķu trauku iegāde un apsaimniekošana</t>
  </si>
  <si>
    <t>Jaunu puķu trauku iegāde</t>
  </si>
  <si>
    <t>Jaunu puķu trauku apsaimniekošana</t>
  </si>
  <si>
    <t>Puķu siena</t>
  </si>
  <si>
    <t>Dzintaru mežaparka apsaimniekošana</t>
  </si>
  <si>
    <t xml:space="preserve">JPAP_R2.8.1._98 </t>
  </si>
  <si>
    <t>Pludmales sakopšana</t>
  </si>
  <si>
    <t>JPAP_R1.6.2._33        JPŪRRP_4.1._9</t>
  </si>
  <si>
    <t>Sadzīves atkritumu konteinieru izvietošana pludmalē un izejās uz jūru un atkritumu izvešana</t>
  </si>
  <si>
    <t>JPAP_R1.6.2._33   JPŪRRP_4.1._9</t>
  </si>
  <si>
    <t>Sabiedrisko tualešu apsaimniekošana</t>
  </si>
  <si>
    <t xml:space="preserve">JPAP_R1.6.2._33 </t>
  </si>
  <si>
    <t>Sadzīves atkritumu savākšana un aizvešana</t>
  </si>
  <si>
    <t>Dzīvnieku uzturēšanas izmaksas patversmē</t>
  </si>
  <si>
    <t>JPAP_R2.8.1._110</t>
  </si>
  <si>
    <t>Bezsaimnieku dzīvnieku (kaķu) sterilizācija</t>
  </si>
  <si>
    <t>Klejojošu dzīvnieku izķeršana, dzīvnieku līķu apglabāšana</t>
  </si>
  <si>
    <t>Jaunas vasara puķu dobes ierīkošana un kopšana Lāčplēša skvērā</t>
  </si>
  <si>
    <t>Pavasara un vasaras puķu iegāde un apsaimniekošana P 128 četros rotācijas apļos</t>
  </si>
  <si>
    <t>Pilsētas teritoriju labiekārtošanas pasākumi</t>
  </si>
  <si>
    <t>Ielu nosaukumu plāksnīšu un to stiprinājuma stabiņu  komplektu apsaimniekošana</t>
  </si>
  <si>
    <t>apsaimniekošana</t>
  </si>
  <si>
    <t>izgatavošana</t>
  </si>
  <si>
    <t xml:space="preserve">Autobusu pieturu remonts </t>
  </si>
  <si>
    <t>Bērnu rotaļu laukumu un sporta laukumu izveide un remonts iekšpagalmos, parkos un pludmalē</t>
  </si>
  <si>
    <t>Bērnu rotaļu laukumu un sporta laukumu remonts iekšpagalmos un pludmalē</t>
  </si>
  <si>
    <t>JPAP_R2.8.1._106</t>
  </si>
  <si>
    <t>Slidotavas ierīkošanai Engures ielas iekšpagalmā</t>
  </si>
  <si>
    <t>Jaunu solu un atkritumu urnu izvietošana parkos un uz ielām</t>
  </si>
  <si>
    <t>Balvu iegāde konkursa "Jūrmalas sakoptākais īpašums" laureātiem</t>
  </si>
  <si>
    <t>JPAP_R2.10.1._117</t>
  </si>
  <si>
    <t>Pārējie izdevumi pilsētas apsaimniekošanā</t>
  </si>
  <si>
    <t>Strūklaku uzturēšana</t>
  </si>
  <si>
    <t xml:space="preserve">Pludmales labiekārtošana, tai skaitā informatīvo norāžu un pārģērbšanās kabīņu remonts, izvietošana, demontāža, atjaunošana   </t>
  </si>
  <si>
    <t>JPAP_R1.6.2._33  JPŪRRP_4.1._10</t>
  </si>
  <si>
    <t>Izeju uz jūru labiekārtošana pludmalēs (laipas, kāpnes, betona plāksnes)</t>
  </si>
  <si>
    <t>JPAP_R1.6.2._33  JPŪRRP_4.1._9</t>
  </si>
  <si>
    <t>Dušu, kāju mazgājamo krānu un sabiedrisko tualešu konteinieru un ūdens sūkņu apkopei un remontam</t>
  </si>
  <si>
    <t>Jaunu pludmales solu izgatavošanai</t>
  </si>
  <si>
    <t>5</t>
  </si>
  <si>
    <t>Peldvietu attīstība pašvaldības teritorijā</t>
  </si>
  <si>
    <t>JPAP_R1.6.2._29          JPAP_R1.6.2._32            JPŪRRP_4.1._9</t>
  </si>
  <si>
    <t>Jūrmalas pilsētas attīstības stratēģija 2010. - 2030.gadam (JPAS)</t>
  </si>
  <si>
    <t xml:space="preserve">K4 Ķemeru kūrortvides veidošana </t>
  </si>
  <si>
    <t xml:space="preserve">J4 Publiskās telpas izcilība </t>
  </si>
  <si>
    <t>Rīcības virziens R1.6.2.: Peldvietu infrastruktūras attīstība</t>
  </si>
  <si>
    <t>Aktivitāte Nr.29 Baltijas jūras Rīgas jūras līča peldvietu un Jūrmalas iekšzemes peldvietas infrastruktūras attīstība saskaņā ar „Zilā karoga” programmas standartu un Jūrmalas iekšzemes peldvietu un atpūtas vietu infrastruktūras attīstība</t>
  </si>
  <si>
    <t>Aktivitāte Nr.32 Peldvietu un atpūtas vietu attīstība Lielupes krastos</t>
  </si>
  <si>
    <t>Aktivitāte Nr.33 Pludmales zonas labiekārtošana un apsaimniekošana</t>
  </si>
  <si>
    <t>Rīcības virziens R2.7.1.: Atkritumu apsaimniekošanas sistēmas pilnveide</t>
  </si>
  <si>
    <t>Aktivitāte Nr.96 Atkritumu apsaimniekošanas sistēmas pilnveide</t>
  </si>
  <si>
    <t>Rīcības virziens R2.8.1.: Publiskās telpas pilnveide</t>
  </si>
  <si>
    <t>Aktivitāte Nr.98 Parku, skvēru un kūrorta mazās infrastruktūras attīstība uzturēšana</t>
  </si>
  <si>
    <t>Aktivitāte Nr.99 Publiskās telpas apsaimniekošana</t>
  </si>
  <si>
    <t>Aktivitāte Nr.106 Jūrmalas pilsētā esošo daudzdzīvokļu namu pagalmu, izglītības iestāžu un piebraucamo ceļu rekonstrukcija</t>
  </si>
  <si>
    <t>Aktivitāte Nr.110 Dzīvnieku labturības pasākumu nodrošināšana</t>
  </si>
  <si>
    <t>Rīcības virziens R2.10.1.: Privātā īpašuma sakopšanas motivēšana</t>
  </si>
  <si>
    <t>Aktivitāte Nr.117 Privātīpašumu sakoptības veicināšana</t>
  </si>
  <si>
    <t>Jūrmalas pilsētas ūdens resursu rīcības plāns 2016.-2020.gadam (JPŪRRP)</t>
  </si>
  <si>
    <t>Mērķis 4: Piekrastes ūdeņu un Lielupes plānotā izmantošana. Rīcības virziens R4.1. Peldvietu infrastruktūras attīstība</t>
  </si>
  <si>
    <t>Aktivitāte Nr.9 Uzlabot publisko ūdeņu piekrastes pieejamību</t>
  </si>
  <si>
    <t xml:space="preserve">Aktivitāte Nr.10 Aktualizēt pludmales aktivitāšu zonējumu un labiekārtojumu
</t>
  </si>
  <si>
    <t>Īpašumu pārvaldes Pašvaldības īpašumu nodaļa</t>
  </si>
  <si>
    <t>Pašvaldības īpašumu pārvaldīšana</t>
  </si>
  <si>
    <t>Vērtēšana (tirgus vērtību noteikšana un aktualizācija; kapitālsabiedrību pamatkapitālā iekļaujamo nekustamo īpašumu vērtēšana; kapitālsabiedrību vērtēšana)</t>
  </si>
  <si>
    <t>Sludinājumi</t>
  </si>
  <si>
    <t>Informatīvie stendi (izgatavošana, uzstādīšana, demontāža)</t>
  </si>
  <si>
    <t>Zemes noma</t>
  </si>
  <si>
    <t>Nekustamā īpašuma nodokļa kompensācija</t>
  </si>
  <si>
    <t>Telpu noma</t>
  </si>
  <si>
    <t>Pašvaldības īpašumā esošo nekustamo īpašumu pārvaldīšana un komunālie pakalpojumi</t>
  </si>
  <si>
    <t>apkure</t>
  </si>
  <si>
    <t>ūdens kanalizācija</t>
  </si>
  <si>
    <t>elektroenerģija</t>
  </si>
  <si>
    <t>remonti</t>
  </si>
  <si>
    <t>uzkopšana, tīrīšana, apsardze, apsaimniekošana</t>
  </si>
  <si>
    <t>Īpašumu apdrošināšana</t>
  </si>
  <si>
    <t>Ēku tehniskā stāvokļa novērtēšana</t>
  </si>
  <si>
    <t>Kadastrālā uzmērīšana zemesgabaliem, kas ierakstāmi zemesgrāmatā uz Jūrmalas pilsētas pašvaldības vārda, zemes ierīcības projekti</t>
  </si>
  <si>
    <t>Inventarizācijas lietu pasūtīšana Valsts zemes dienestam, būvju vai dzīvokļu kadastrālās uzmērīšanas lietu pasūtīšana Valsts zemes dienestam, kuri reģistrējami zemesgrāmatā uz Jūrmalas pilsētas pašvaldības vārda, datu aktualizācija VZD kadastrā, inventarizācijas lietu sagatavošanareģistrēšanai zemesgrāmatā</t>
  </si>
  <si>
    <t>Kancelejas nodevas, valsts nodevas</t>
  </si>
  <si>
    <t>Izdevumi juridiskās palīdzības sniedzējiem - notāra pakalpojumi, juridiskie slēdzieni zemes īpašumu lietās, konsultācijas apdrošināšanas jautājumos</t>
  </si>
  <si>
    <t>Zaudējumu segšana trešajām personām</t>
  </si>
  <si>
    <t>Rīcības virziens R2.2.1.: Jūrmalas vizuālās identitātes standarta izstrāde un ieviešana</t>
  </si>
  <si>
    <t>Aktivitāte Nr.70 Jūrmalas vizuālās identitātes veidošana un uzraudzīšana</t>
  </si>
  <si>
    <t>Rīcības virziens R3.1.2.: Pašvaldības pārvaldes kapacitātes celšana</t>
  </si>
  <si>
    <t>Aktivitāte Nr.131 Kvalitatīva pašvaldības pārvaldes kapacitātes nodrošināšana</t>
  </si>
  <si>
    <t>Īpašumu pārvaldes Dzīvokļu nodaļa</t>
  </si>
  <si>
    <t>Līdzekļi apsaimniekošanas un komunālo pakalpojumu maksas segšanai neizīrētos pašvaldības dzīvokļos</t>
  </si>
  <si>
    <t>Līdzekļi pašvaldības dzīvojamo telpu īrnieku izveidoto parādu segšanai SIA ,,Jūrmalas namsaimnieks" un citiem pārvaldniekiem par dzīvojamo telpu apsaimniekošanas maksu un maksu par komunālajiem pakalpojumiem</t>
  </si>
  <si>
    <t>Rīcības virziens R2.9.1.: Pašvaldības dzīvojamā fonda attīstība</t>
  </si>
  <si>
    <t>Aktivitāte Nr.115 Jūrmalas pašvaldības dzīvojamā fonda attīstības plānošana un plānu realizācija</t>
  </si>
  <si>
    <t>Inženierbūvju un ģeodēzijas nodaļa</t>
  </si>
  <si>
    <t>06.200.</t>
  </si>
  <si>
    <t>Meliorācijas sistēmu tehniskā apsekošana</t>
  </si>
  <si>
    <t>JPAP_R2.5.3._85</t>
  </si>
  <si>
    <t>Ģeodēziskā tīkla pilnveidošana un jaunu punktu izbūve</t>
  </si>
  <si>
    <t>JPAP_R2.8.1._111</t>
  </si>
  <si>
    <t>Rīcības virziens R2.5.3.: Plūdu riska novēršana, lietusūdens savākšanas un meliorācijas sistēmu pilnveide</t>
  </si>
  <si>
    <t>Aktivitāte Nr.85 Pilsētas meliorācijas sistēmu tehniskā apsekošana un reģistrēšana Meliorācijas kadastrā</t>
  </si>
  <si>
    <t>Aktivitāte Nr.111 Vietējā ģeodēziskā tīkla pilnveidošana un jaunu punktu izbūve</t>
  </si>
  <si>
    <t>Izglītības pārvalde</t>
  </si>
  <si>
    <t>Kultūrizglītības un vides izglītības pasākumi</t>
  </si>
  <si>
    <t>09.510</t>
  </si>
  <si>
    <t>Pilsētas mēroga pasākumi</t>
  </si>
  <si>
    <t>Kapteiņa  P. Zolta piemiņas pasākums un NBS diena Jūrmalā  „Augsim Latvijai!”</t>
  </si>
  <si>
    <t>JPAP_R3.2.1._146</t>
  </si>
  <si>
    <t>Pasākumi Latvijas simtgadei "Jaunais Muzeju eksperts"</t>
  </si>
  <si>
    <t>JPAP_R3.2.4._184</t>
  </si>
  <si>
    <t>Vidusskolēnu militārās spēles</t>
  </si>
  <si>
    <t>Literārās jaunrades konkurss "Izlaid vēju caur matiem"</t>
  </si>
  <si>
    <t>JPAP_R3.2.4._174</t>
  </si>
  <si>
    <t>Teātra un literāro uzvedumu skate "Labais!"</t>
  </si>
  <si>
    <t xml:space="preserve">Zēnu koru un 1.- 4. klašu koru skate pilsētā </t>
  </si>
  <si>
    <t>Mazo vokālistu konkurss "Jūrmalas Cālis"</t>
  </si>
  <si>
    <t>JPAP_R3.2.4._171    JPAP_R3.2.4._174</t>
  </si>
  <si>
    <t>Konkurss "Popiela"</t>
  </si>
  <si>
    <t xml:space="preserve">JPAP_R3.2.4._174 </t>
  </si>
  <si>
    <t>Vokālās mūzikas konkurss "Balsis"</t>
  </si>
  <si>
    <t>Tautisko deju kolektīvu skate-koncerts</t>
  </si>
  <si>
    <t>Skatuves runas konkurss "Jūras malā"</t>
  </si>
  <si>
    <t xml:space="preserve">Profesora Valtnera konkurss "Pazīsti savu organismu" </t>
  </si>
  <si>
    <t>Kulturoloģijas konkurss „Jūrmalas kultūras kanons”.</t>
  </si>
  <si>
    <t>Vēstures konkurss 6.-8.kl. „Jaunais vēsturnieks”.</t>
  </si>
  <si>
    <t>Konkurss „Pazīsti savu organismu”10.-12.kl.</t>
  </si>
  <si>
    <t>IT konkurss 7.kl.skolēniem</t>
  </si>
  <si>
    <t>Atklātā ģeogrāfijas olimpiāde</t>
  </si>
  <si>
    <t xml:space="preserve"> Atklātā angļu valodas olimpiāde 7. -12. klasei</t>
  </si>
  <si>
    <t>Atklātā vizuālās mākslas olimpiāde</t>
  </si>
  <si>
    <t>Konkurss "Par tīru ūdeni"</t>
  </si>
  <si>
    <t>Vizuālās un vizuāli plastiskās mākslas konkurss-izstāde</t>
  </si>
  <si>
    <t xml:space="preserve">Starptautiskā skolēnu zinātnisko darbu lasījumu konference "Es dzīvoju pie jūras" </t>
  </si>
  <si>
    <t>JPAP_R3.2.3._161</t>
  </si>
  <si>
    <t>Starpkultūru pasākums "Lieldienu tradīcijas"</t>
  </si>
  <si>
    <t>Jauniešu diena</t>
  </si>
  <si>
    <t>JPAP_R3.1.3._134</t>
  </si>
  <si>
    <t>Mazās Mākslas dienas, sadarbībā ar Jūrmalas mākslinieku namu un Jūrmalas teātri</t>
  </si>
  <si>
    <t>Rudens svētki Kauguros</t>
  </si>
  <si>
    <t>Meistarklases "Mācies" mūžizglītības kontekstā pilsētas interesentiem</t>
  </si>
  <si>
    <t>Ziemassvētku mākslas akcija "Bērnu egle Jaundubultos"</t>
  </si>
  <si>
    <t>Svētki Mellužu estrādē pirmsskolas vecuma bērniem "Satiksimies zaļā pļavā" -organizē Vaivaru pamatskola</t>
  </si>
  <si>
    <t>JPAP_R3.2.5._186</t>
  </si>
  <si>
    <t>Aktivitāšu pasākums "Pepija tūrisma takās " bērniem ar un bez attīstības traucējumiem</t>
  </si>
  <si>
    <t>Aktivitāšu pasākums "Pepija Ziemassvētkos " bērniem ar un bez invaliditātes</t>
  </si>
  <si>
    <t>Baltā spieķa diena</t>
  </si>
  <si>
    <t>Konkurss "Skolēni eksperimentē"</t>
  </si>
  <si>
    <t>Vides izziņas spēļu konkurss</t>
  </si>
  <si>
    <t>Konkurss "Vides erudīts" 5.-6.kl.</t>
  </si>
  <si>
    <t>Vides pētnieku konkursss 8.klasēm</t>
  </si>
  <si>
    <t>Reģiona un valsts mēroga skates, konkursi, sacensības</t>
  </si>
  <si>
    <t>Literāro uzvedumu un skatuves runas novada skate</t>
  </si>
  <si>
    <t>Latvijas izglītības iestāžu profesionālās ievirzes izglītības mākslas un dizaina jomas programmu audzēkņu Valsts konkurss "DIZAINS"; 1.diena - Rīga, 2.diena - Jūrmala</t>
  </si>
  <si>
    <t xml:space="preserve">Vokālās mūzikas novada konkurss "Balsis" </t>
  </si>
  <si>
    <t xml:space="preserve">Tautasdiesmu dziedāšanas sacensības "Lakstīgala" </t>
  </si>
  <si>
    <t>Jaukto koru novada skate</t>
  </si>
  <si>
    <t>Festivāls "Latvju bērni danci veda"</t>
  </si>
  <si>
    <t>III Latvijas Jaukto koru salidojums "Kalniem pāri" Valmierā</t>
  </si>
  <si>
    <t>Vizuālās un vizuāli plastiskās mākslas konkurss "Toņi un pustoņi" Pierīgas novadā</t>
  </si>
  <si>
    <t>Latvijas bērnu un jauniešu teātra festivāls "..Un es iešu un iešu" Valmierā</t>
  </si>
  <si>
    <t>Reģiona konkurss "Latvijas kultūras kanons" Jelgavā</t>
  </si>
  <si>
    <t>JPAP_R3.2.4._175</t>
  </si>
  <si>
    <t>V Latvijas bērnu un jauniešu mākslas un mūzikas festivāls "Latvijas toņi un pustoņi" Bauskā</t>
  </si>
  <si>
    <t>XVI Starptautiskās vizuāli plastiskās mākslas konkurss " Es dzīvoju pie jūras"</t>
  </si>
  <si>
    <t>18.starptautiskais kameransambļu konkurss "JŪRMALA 2017"</t>
  </si>
  <si>
    <t>Latvijas profesionālās ievirzes un profesionālās vidējās mūzikas izglītības iestāžu izglītības programmu (taustiņinstrumentu spēle) konkursa II kārta</t>
  </si>
  <si>
    <t>Koru klases audzēkņu konkursa II kārta</t>
  </si>
  <si>
    <t>Radošas darbnīcas''Pušam taures''sadarbībā ar Ventspils muzikas skolu</t>
  </si>
  <si>
    <t>Koncerts pirmajā adventē</t>
  </si>
  <si>
    <t>Skolēnu olimpiādes sacensības spēlē "Tautas bumba"</t>
  </si>
  <si>
    <t>Skolēnu olimpiādes sacensības dambretē un šahā</t>
  </si>
  <si>
    <t xml:space="preserve">Skolēnu olimpiādes sacensības florbolā </t>
  </si>
  <si>
    <t>Skolēnu olimpiādes sacensības volejbolā</t>
  </si>
  <si>
    <t>Skolēnu olimpiādes sacensības vieglatlētikā "Jūrmalas pavasaris 2017"</t>
  </si>
  <si>
    <t>Sporta svētki pirmsskolas vecuma bērniem "Jautrie starti 2017"</t>
  </si>
  <si>
    <t>Bērnu sporta svētki  "Pirmais solis 2017"</t>
  </si>
  <si>
    <t>Skolēnu olimpiādes sacensības basketbolā</t>
  </si>
  <si>
    <t>Jūrmalas pilsētas bērnu un jauniešu atklātais čempionāts individuālajā programmā mākslas vingrošanā</t>
  </si>
  <si>
    <t>Jūrmalas pilsētas bērnu un jauniešu atklātais turnīrs basketbolā meitenēm</t>
  </si>
  <si>
    <t>Jūrmalas pilsētas bērnu un jauniešu atklātās meistarsacīkstes individuālajā programmā mākslas vingrošanā</t>
  </si>
  <si>
    <t>Jūrmalas meistarsacīkstes vieglatlētikas krosā "Jūrmalas rudens 2017"</t>
  </si>
  <si>
    <t>Jūrmalas pilsētas bērnu un jauniešu atklātais čempionāts daudzcīņā</t>
  </si>
  <si>
    <t>Jūrmalas pilsētas bērnu un jauniešu  atklātais turnīrs hokejā trijās vecuma grupās</t>
  </si>
  <si>
    <t>Skolēnu olimpiādes sacensības stafetēs "Drošie un veiklie"</t>
  </si>
  <si>
    <t>Jūrmalas pilsētas bērnu un jauniešu atklātais turnīrs basketbolā "Pirtnieka kauss"</t>
  </si>
  <si>
    <t>Jūrmalas pilsētas bērnu un jauniešu atklātais daiļslidošanā</t>
  </si>
  <si>
    <t>Jūrmalas pilsētas bērnu un jauniešu atklātais turnīrs pludmales volejbolā</t>
  </si>
  <si>
    <t xml:space="preserve">Jūrmalas pilsētas bērnu un jauniešu Atklātais turnīrs handbolā </t>
  </si>
  <si>
    <t>Jūrmalas pilsētas skolēnu čempionāts futbolā</t>
  </si>
  <si>
    <t>Futbola sacensības "Lieldienu kauss 2017"</t>
  </si>
  <si>
    <t xml:space="preserve">Regbija sacensības "JSS ziemas kauss" </t>
  </si>
  <si>
    <t>Pludmales regbija sacensības "JD kauss"</t>
  </si>
  <si>
    <t xml:space="preserve">Jūrmalas skolēnu peldēšanas čempionāts </t>
  </si>
  <si>
    <t>Starptautiskās peldēšanas sacensības "Medūzas kauss"</t>
  </si>
  <si>
    <t>Peldēšanas sacensības "Jūrmalas domes kauss"</t>
  </si>
  <si>
    <t>Peldēšanas  sacensības "JSS kauss"</t>
  </si>
  <si>
    <t>Peldēšanas sacensības "Ziemassvētku čempionāts"</t>
  </si>
  <si>
    <t>Futbola sacensības  "Zelta rudens"</t>
  </si>
  <si>
    <t>"Olimpiskā diena 2017"</t>
  </si>
  <si>
    <t>Peldēšanas sacensības "Jaunais līderis 2017"</t>
  </si>
  <si>
    <t>Peldēšanas sacensības "Uzlecošā zvaigzne"</t>
  </si>
  <si>
    <t>Peldēšanas sacensības "Pirmais burbulis"</t>
  </si>
  <si>
    <t>Autodaudzcīņa ar kartingiem Jūrmalā</t>
  </si>
  <si>
    <t>JPAP_R3.2.4._174
JPAP_R3.2.4._184</t>
  </si>
  <si>
    <t>Pasākumi kvalitatīvas un daudzveidīgas izglītības attīstībai un atbalstam</t>
  </si>
  <si>
    <t xml:space="preserve">Konference "Bērnu  tiesību aizsardzības stāvoklis Jūrmalā </t>
  </si>
  <si>
    <t>JPAP_R3.2.3._157</t>
  </si>
  <si>
    <t xml:space="preserve">Pilsētas Skolēnu bērnu tiesību aizsardzības komisijas dalībnieku diskusija ar Jūrmalas pilsētas domes deputātiem un pašvaldības institūciju vadītājiem </t>
  </si>
  <si>
    <t xml:space="preserve">Ekskursija skolēnu bērnu tiesību aizsardzības komisijas dalībniekiem </t>
  </si>
  <si>
    <t xml:space="preserve">Starptautiskais konkurss "Rēķini galvā" </t>
  </si>
  <si>
    <t>Reģionālais zinātniski pētniecisko darbu konkurss</t>
  </si>
  <si>
    <t xml:space="preserve">Talantīgo Jūrmalas skolēnu  nometne </t>
  </si>
  <si>
    <t xml:space="preserve">Projekts- Digitālā rokasgrāmata - ceļvedis karjeras izglītībā par Jūrmalas pašvaldības teritorijā esošajiem uzņēmumiem </t>
  </si>
  <si>
    <t>Interaktīva spēle - puzle karjeras izglītībā - "Uzmini profesiju"</t>
  </si>
  <si>
    <t>Jauniešu forums Jūrmalā</t>
  </si>
  <si>
    <t>Konkurss "Gada jaunietis 2017"</t>
  </si>
  <si>
    <t>Skolotāju dienai veltīts pasākums</t>
  </si>
  <si>
    <t>JPAP_R3.2.1._147</t>
  </si>
  <si>
    <t>Mācību priekšmetu olimpiāžu uzvarētāju apbalvošana</t>
  </si>
  <si>
    <t>Labāko pedagogu apbalvošana</t>
  </si>
  <si>
    <t>Labāko izglītojamo apbalvošana</t>
  </si>
  <si>
    <t>Bukleta "Izglītība Jūrmalā" atjaunošana</t>
  </si>
  <si>
    <t>Atvērto durvju dienu pasākums profesionālās un profesionālās ievirzes skolām</t>
  </si>
  <si>
    <t>JPAP_R3.2.4._182</t>
  </si>
  <si>
    <t>Metodiskās reģiona pasākumi (JMVS - zonas skolu centrs). Stīgu instrumentu spēles audzēkņiem un pedagogiem (paralēli ģitārspēle, čells, aktiermeistarība) pasākumi</t>
  </si>
  <si>
    <t>Starptautiskā konference par karjeras izglītību Latvijā un Eiropā</t>
  </si>
  <si>
    <t>Starptautiskā konference - Radošums un estētiskums kā izglītības kvalitāti veicinoši elementi</t>
  </si>
  <si>
    <t>Izglītības darbinieku augusta konference, ietverot izbraukuma semināru izglītības iestāžu vadītājiem, viņu vietniekiem un metodisko apvienību vadītājiem</t>
  </si>
  <si>
    <t>Semināri, konferences un kursi metodiskajām apvienībām, pedagogiem</t>
  </si>
  <si>
    <t>Semināri un kursi pašvaldības iestāžu, t.sk. izglītības iestāžu tehniskajam personālam</t>
  </si>
  <si>
    <t xml:space="preserve">Kursi un praktiskās apmācības mūžizglītības kontekstā </t>
  </si>
  <si>
    <t>E-apmācības sistēma e-apmācības sistēma efektivitātes, kvalitātes un kontroles uzlabošanai</t>
  </si>
  <si>
    <t>JPAP_R3.2.3._163</t>
  </si>
  <si>
    <t>Izglītības iestāžu vadītāju praktiskās darbības semināri</t>
  </si>
  <si>
    <t>Vides interešu izglītības pedagogu metodisko izstrādņu skate</t>
  </si>
  <si>
    <t>JPAP_R3.2.4._169</t>
  </si>
  <si>
    <t xml:space="preserve">Pedagogu radošās darbības konkurss „Radi. Rādi. Redzi.”  </t>
  </si>
  <si>
    <t>JPAP_R3.2.3._156</t>
  </si>
  <si>
    <t>Ziemassvētku pasākums pedagogiem</t>
  </si>
  <si>
    <t>Pedagogu profesionālās darbības kvalitātes novērtēšanas eksperta darba samaksa</t>
  </si>
  <si>
    <t>Pedagoģiski medicīniskās komisijas dalībnieku darba apmaksai</t>
  </si>
  <si>
    <t>Centralizētie pasākumi vispārējās izglītības jomā</t>
  </si>
  <si>
    <t>09.210</t>
  </si>
  <si>
    <t>Atestāti un apliecības</t>
  </si>
  <si>
    <t>Izglītības iestāžu akreditācija</t>
  </si>
  <si>
    <t>Līdzfinansējums privātajām izglītības iestādēm</t>
  </si>
  <si>
    <t>09.100</t>
  </si>
  <si>
    <t>Līdzfinansējums privātajām pirmsskolas izglītības iestādēm</t>
  </si>
  <si>
    <t>Rīcības virziens R3.1.3.: Nevalstiskā sektora attīstības atbalsts</t>
  </si>
  <si>
    <t>Aktivitāte Nr.134 Atbalsts jauniešu sabiedriskajām organizācijām un iniciatīvas grupām</t>
  </si>
  <si>
    <t>Rīcības virziens R3.2.1.: Kopējā sektora attīstība, pārvaldība</t>
  </si>
  <si>
    <t>Aktivitāte Nr.146 Nacionālās un starptautiskās nozīmes izglītības jomas pasākumu organizēšana</t>
  </si>
  <si>
    <t>Aktivitāte Nr.147 Labāko izglītības sektora darbinieku godināšanas tradīciju izveide</t>
  </si>
  <si>
    <t>Rīcības virziens R3.2.3.: Vispārizglītojošo skolu izglītības pakalpojumi</t>
  </si>
  <si>
    <t>Aktivitāte Nr.156 Papildus atbalsts talantīgo skolotāju piesaistei</t>
  </si>
  <si>
    <t>Aktivitāte Nr.157 Pašvaldības atbalsts pedagogu tālākizglītībai</t>
  </si>
  <si>
    <t>Aktivitāte Nr.159 Karjeras konsultāciju attīstība</t>
  </si>
  <si>
    <t>Aktivitāte Nr.161 Starptautiskās sadarbības attīstība</t>
  </si>
  <si>
    <t>Aktivitāte Nr.163 Pašvaldības izglītības iestāžu pedagogu informācijas un komunikāciju tehnoloģiju lietošanas apmācības</t>
  </si>
  <si>
    <t>Rīcības virziens R3.2.4.: Profesionālās ievirzes un interešu izglītības pakalpojumi</t>
  </si>
  <si>
    <t>Aktivitāte Nr.169. Interešu izglītības attīstība dabaszinātņu jomā, materiāltehniskais aprīkojums</t>
  </si>
  <si>
    <t>Aktivitāte Nr.170. Starptautiskās sadarbības attīstība</t>
  </si>
  <si>
    <t>Aktivitāte Nr.171. Profesionālās ievirzes un interešu izglītības attīstība mūzikā, pedagogu piesaiste</t>
  </si>
  <si>
    <t>Aktivitāte Nr.174. Jūrmalas skolu un valsts mēroga sacensību rīkošana izglītojamajiem</t>
  </si>
  <si>
    <t>Aktivitāte Nr.175. Profesionālās ievirzes un interešu izglītības attīstība  mākslas jomā</t>
  </si>
  <si>
    <t>Aktivitāte Nr.182. Jauniešu informācijas pieejamības nodrošināšana saskaņā ar ikviena pilsētas jaunieša vajadzībām</t>
  </si>
  <si>
    <t>Aktivitāte Nr.184. Brīvā laika pavadīšanas iespējas pilsētā, izmantojot esošās un radot jaunas</t>
  </si>
  <si>
    <t>Rīcības virziens R3.2.5.: Iekļaujošās un alternatīvās izglītības pakalpojumi</t>
  </si>
  <si>
    <t>Aktivitāte Nr.186. Iekļaujošās izglītības attīstības centra attīstība</t>
  </si>
  <si>
    <t>Rīcības virziens R3.3.1.: Pilsētas kultūras iestāžu un muzeju darbības pilnveide</t>
  </si>
  <si>
    <t>Aktivitāte Nr.194. Amatiermākslas attīstības veicināšana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</si>
</sst>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
    <numFmt numFmtId="167" formatCode="0.00_ ;[Red]\-0.00\ "/>
    <numFmt numFmtId="168" formatCode="0_ ;[Red]\-0\ "/>
    <numFmt numFmtId="169" formatCode="#,##0_ ;[Red]\-#,##0\ "/>
  </numFmts>
  <fonts count="46"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sz val="12"/>
      <name val="Times New Roman"/>
      <family val="1"/>
      <charset val="186"/>
    </font>
    <font>
      <sz val="8"/>
      <name val="Times New Roman"/>
      <family val="1"/>
      <charset val="186"/>
    </font>
    <font>
      <b/>
      <sz val="8"/>
      <name val="Times New Roman"/>
      <family val="1"/>
      <charset val="186"/>
    </font>
    <font>
      <sz val="10"/>
      <name val="Times New Roman"/>
      <family val="1"/>
      <charset val="186"/>
    </font>
    <font>
      <b/>
      <sz val="10"/>
      <name val="Times New Roman"/>
      <family val="1"/>
      <charset val="186"/>
    </font>
    <font>
      <sz val="11"/>
      <color indexed="8"/>
      <name val="Calibri"/>
      <family val="2"/>
      <charset val="186"/>
    </font>
    <font>
      <i/>
      <sz val="9"/>
      <name val="Times New Roman"/>
      <family val="1"/>
      <charset val="186"/>
    </font>
    <font>
      <sz val="11"/>
      <color theme="1"/>
      <name val="Calibri"/>
      <family val="2"/>
      <charset val="186"/>
      <scheme val="minor"/>
    </font>
    <font>
      <b/>
      <i/>
      <sz val="12"/>
      <name val="Times New Roman"/>
      <family val="1"/>
      <charset val="186"/>
    </font>
    <font>
      <sz val="12"/>
      <name val="Times New Roman"/>
      <family val="1"/>
      <charset val="186"/>
    </font>
    <font>
      <sz val="6"/>
      <name val="Times New Roman"/>
      <family val="1"/>
      <charset val="186"/>
    </font>
    <font>
      <b/>
      <sz val="14"/>
      <name val="Times New Roman"/>
      <family val="1"/>
      <charset val="186"/>
    </font>
    <font>
      <b/>
      <sz val="9"/>
      <color indexed="81"/>
      <name val="Tahoma"/>
      <family val="2"/>
      <charset val="186"/>
    </font>
    <font>
      <sz val="9"/>
      <color indexed="81"/>
      <name val="Tahoma"/>
      <family val="2"/>
      <charset val="186"/>
    </font>
    <font>
      <sz val="9"/>
      <color theme="1"/>
      <name val="Times New Roman"/>
      <family val="2"/>
      <charset val="186"/>
    </font>
    <font>
      <i/>
      <sz val="8"/>
      <name val="Times New Roman"/>
      <family val="1"/>
      <charset val="186"/>
    </font>
    <font>
      <sz val="11"/>
      <color theme="1"/>
      <name val="Calibri"/>
      <family val="2"/>
      <scheme val="minor"/>
    </font>
    <font>
      <b/>
      <i/>
      <sz val="8"/>
      <name val="Times New Roman"/>
      <family val="1"/>
      <charset val="186"/>
    </font>
    <font>
      <b/>
      <sz val="6"/>
      <name val="Times New Roman"/>
      <family val="1"/>
      <charset val="186"/>
    </font>
    <font>
      <sz val="8"/>
      <name val="Arial"/>
      <family val="2"/>
      <charset val="186"/>
    </font>
    <font>
      <b/>
      <sz val="10"/>
      <color theme="1"/>
      <name val="Times New Roman"/>
      <family val="1"/>
      <charset val="186"/>
    </font>
    <font>
      <b/>
      <i/>
      <sz val="10"/>
      <name val="Times New Roman"/>
      <family val="1"/>
      <charset val="186"/>
    </font>
    <font>
      <sz val="9"/>
      <color theme="1"/>
      <name val="Times New Roman"/>
      <family val="1"/>
      <charset val="186"/>
    </font>
    <font>
      <sz val="9"/>
      <color rgb="FFFF0000"/>
      <name val="Times New Roman"/>
      <family val="1"/>
      <charset val="186"/>
    </font>
    <font>
      <b/>
      <sz val="11"/>
      <name val="Times New Roman"/>
      <family val="1"/>
      <charset val="186"/>
    </font>
    <font>
      <sz val="9"/>
      <color rgb="FF000000"/>
      <name val="Times New Roman"/>
      <family val="1"/>
      <charset val="186"/>
    </font>
    <font>
      <sz val="9"/>
      <color rgb="FF0070C0"/>
      <name val="Times New Roman"/>
      <family val="1"/>
      <charset val="186"/>
    </font>
    <font>
      <b/>
      <sz val="9"/>
      <color rgb="FFFF0000"/>
      <name val="Times New Roman"/>
      <family val="1"/>
      <charset val="186"/>
    </font>
    <font>
      <b/>
      <sz val="12"/>
      <color rgb="FFC00000"/>
      <name val="Times New Roman"/>
      <family val="1"/>
      <charset val="186"/>
    </font>
    <font>
      <b/>
      <u/>
      <sz val="14"/>
      <color rgb="FFC00000"/>
      <name val="Times New Roman"/>
      <family val="1"/>
      <charset val="186"/>
    </font>
    <font>
      <sz val="11"/>
      <name val="Times New Roman"/>
      <family val="1"/>
      <charset val="186"/>
    </font>
    <font>
      <i/>
      <sz val="11"/>
      <name val="Times New Roman"/>
      <family val="1"/>
      <charset val="186"/>
    </font>
    <font>
      <sz val="9"/>
      <name val="Calibri"/>
      <family val="2"/>
      <charset val="186"/>
    </font>
    <font>
      <b/>
      <i/>
      <sz val="9"/>
      <name val="Times New Roman"/>
      <family val="1"/>
      <charset val="186"/>
    </font>
    <font>
      <i/>
      <strike/>
      <sz val="9"/>
      <name val="Times New Roman"/>
      <family val="1"/>
      <charset val="186"/>
    </font>
    <font>
      <i/>
      <sz val="7"/>
      <name val="Times New Roman"/>
      <family val="1"/>
      <charset val="186"/>
    </font>
    <font>
      <b/>
      <sz val="8"/>
      <color indexed="81"/>
      <name val="Tahoma"/>
      <family val="2"/>
      <charset val="186"/>
    </font>
    <font>
      <sz val="8"/>
      <color indexed="81"/>
      <name val="Tahoma"/>
      <family val="2"/>
      <charset val="186"/>
    </font>
    <font>
      <u/>
      <sz val="9"/>
      <color indexed="81"/>
      <name val="Tahoma"/>
      <family val="2"/>
      <charset val="186"/>
    </font>
    <font>
      <sz val="9"/>
      <color indexed="10"/>
      <name val="Tahoma"/>
      <family val="2"/>
      <charset val="186"/>
    </font>
    <font>
      <sz val="9"/>
      <name val="Arial"/>
      <family val="2"/>
      <charset val="186"/>
    </font>
    <font>
      <i/>
      <sz val="12"/>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indexed="9"/>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top style="hair">
        <color indexed="64"/>
      </top>
      <bottom/>
      <diagonal/>
    </border>
    <border>
      <left/>
      <right/>
      <top/>
      <bottom style="hair">
        <color indexed="64"/>
      </bottom>
      <diagonal/>
    </border>
    <border>
      <left/>
      <right/>
      <top style="thin">
        <color indexed="64"/>
      </top>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8" fillId="0" borderId="0"/>
    <xf numFmtId="0" fontId="20" fillId="0" borderId="0"/>
    <xf numFmtId="0" fontId="1" fillId="0" borderId="0"/>
    <xf numFmtId="0" fontId="11" fillId="0" borderId="0"/>
    <xf numFmtId="0" fontId="9" fillId="0" borderId="0"/>
  </cellStyleXfs>
  <cellXfs count="1437">
    <xf numFmtId="0" fontId="0" fillId="0" borderId="0" xfId="0"/>
    <xf numFmtId="0" fontId="2" fillId="0" borderId="0" xfId="2" applyFont="1"/>
    <xf numFmtId="0" fontId="2" fillId="0" borderId="0" xfId="2" applyFont="1" applyProtection="1">
      <protection locked="0"/>
    </xf>
    <xf numFmtId="0" fontId="2" fillId="0" borderId="1" xfId="2" applyFont="1" applyBorder="1" applyAlignment="1" applyProtection="1">
      <alignment horizontal="center" vertical="center" wrapText="1"/>
      <protection locked="0"/>
    </xf>
    <xf numFmtId="3" fontId="2" fillId="0" borderId="1" xfId="2" applyNumberFormat="1" applyFont="1" applyBorder="1" applyAlignment="1" applyProtection="1">
      <alignment vertical="center" wrapText="1"/>
      <protection locked="0"/>
    </xf>
    <xf numFmtId="0" fontId="4" fillId="0" borderId="0" xfId="2" applyFont="1" applyAlignment="1">
      <alignment horizontal="center"/>
    </xf>
    <xf numFmtId="0" fontId="2" fillId="0" borderId="1" xfId="2" applyFont="1" applyBorder="1" applyAlignment="1">
      <alignment horizontal="center" vertical="center" wrapText="1"/>
    </xf>
    <xf numFmtId="3" fontId="3" fillId="0" borderId="1" xfId="2" applyNumberFormat="1" applyFont="1" applyBorder="1" applyAlignment="1">
      <alignment vertical="center" wrapText="1"/>
    </xf>
    <xf numFmtId="0" fontId="2" fillId="0" borderId="1" xfId="2" applyFont="1" applyBorder="1" applyAlignment="1" applyProtection="1">
      <alignment vertical="center" wrapText="1"/>
      <protection locked="0"/>
    </xf>
    <xf numFmtId="3" fontId="3" fillId="0" borderId="1" xfId="2" applyNumberFormat="1" applyFont="1" applyBorder="1" applyAlignment="1" applyProtection="1">
      <alignment vertical="center" wrapText="1"/>
      <protection locked="0"/>
    </xf>
    <xf numFmtId="0" fontId="2" fillId="0" borderId="0" xfId="2" applyFont="1" applyBorder="1" applyAlignment="1">
      <alignment vertical="center" wrapText="1"/>
    </xf>
    <xf numFmtId="0" fontId="1" fillId="0" borderId="0" xfId="1" applyBorder="1" applyAlignment="1">
      <alignment wrapText="1"/>
    </xf>
    <xf numFmtId="0" fontId="5" fillId="0" borderId="20" xfId="1" applyFont="1" applyFill="1" applyBorder="1" applyAlignment="1">
      <alignment wrapText="1"/>
    </xf>
    <xf numFmtId="0" fontId="5" fillId="0" borderId="20" xfId="1" applyFont="1" applyFill="1" applyBorder="1" applyAlignment="1">
      <alignment horizontal="right" vertical="justify" wrapText="1"/>
    </xf>
    <xf numFmtId="3" fontId="5" fillId="0" borderId="20" xfId="1" applyNumberFormat="1" applyFont="1" applyBorder="1" applyAlignment="1">
      <alignment wrapText="1"/>
    </xf>
    <xf numFmtId="0" fontId="1" fillId="0" borderId="20" xfId="1" applyBorder="1" applyAlignment="1">
      <alignment wrapText="1"/>
    </xf>
    <xf numFmtId="0" fontId="6" fillId="0" borderId="21" xfId="1" applyFont="1" applyFill="1" applyBorder="1" applyAlignment="1">
      <alignment horizontal="center" vertical="center" wrapText="1"/>
    </xf>
    <xf numFmtId="3" fontId="6" fillId="0" borderId="21" xfId="1" applyNumberFormat="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9" xfId="1" applyFont="1" applyFill="1" applyBorder="1" applyAlignment="1">
      <alignment vertical="center" wrapText="1"/>
    </xf>
    <xf numFmtId="0" fontId="6" fillId="0" borderId="19" xfId="1" applyFont="1" applyFill="1" applyBorder="1" applyAlignment="1">
      <alignment horizontal="center" vertical="center" wrapText="1"/>
    </xf>
    <xf numFmtId="3" fontId="19" fillId="0" borderId="19" xfId="1" applyNumberFormat="1" applyFont="1" applyFill="1" applyBorder="1" applyAlignment="1">
      <alignment wrapText="1"/>
    </xf>
    <xf numFmtId="3" fontId="19" fillId="0" borderId="25" xfId="1" applyNumberFormat="1" applyFont="1" applyFill="1" applyBorder="1" applyAlignment="1">
      <alignment wrapText="1"/>
    </xf>
    <xf numFmtId="0" fontId="6" fillId="0" borderId="16" xfId="1" applyFont="1" applyFill="1" applyBorder="1" applyAlignment="1">
      <alignment vertical="center" wrapText="1"/>
    </xf>
    <xf numFmtId="0" fontId="3" fillId="4" borderId="16" xfId="1" applyFont="1" applyFill="1" applyBorder="1" applyAlignment="1">
      <alignment horizontal="left" vertical="center" wrapText="1"/>
    </xf>
    <xf numFmtId="10" fontId="6" fillId="4" borderId="16" xfId="1" applyNumberFormat="1" applyFont="1" applyFill="1" applyBorder="1" applyAlignment="1">
      <alignment wrapText="1"/>
    </xf>
    <xf numFmtId="10" fontId="6" fillId="4" borderId="13" xfId="1" applyNumberFormat="1" applyFont="1" applyFill="1" applyBorder="1" applyAlignment="1">
      <alignment wrapText="1"/>
    </xf>
    <xf numFmtId="0" fontId="3" fillId="0" borderId="16" xfId="1" applyFont="1" applyFill="1" applyBorder="1" applyAlignment="1">
      <alignment vertical="center" wrapText="1"/>
    </xf>
    <xf numFmtId="3" fontId="19" fillId="0" borderId="16" xfId="1" applyNumberFormat="1" applyFont="1" applyFill="1" applyBorder="1" applyAlignment="1">
      <alignment wrapText="1"/>
    </xf>
    <xf numFmtId="3" fontId="19" fillId="0" borderId="13" xfId="1" applyNumberFormat="1" applyFont="1" applyFill="1" applyBorder="1" applyAlignment="1">
      <alignment wrapText="1"/>
    </xf>
    <xf numFmtId="3" fontId="5" fillId="0" borderId="16" xfId="1" applyNumberFormat="1" applyFont="1" applyBorder="1" applyAlignment="1">
      <alignment wrapText="1"/>
    </xf>
    <xf numFmtId="0" fontId="1" fillId="0" borderId="13" xfId="1" applyBorder="1" applyAlignment="1">
      <alignment wrapText="1"/>
    </xf>
    <xf numFmtId="0" fontId="1" fillId="0" borderId="16" xfId="1" applyBorder="1" applyAlignment="1">
      <alignment wrapText="1"/>
    </xf>
    <xf numFmtId="10" fontId="21" fillId="0" borderId="16" xfId="1" applyNumberFormat="1" applyFont="1" applyFill="1" applyBorder="1" applyAlignment="1">
      <alignment wrapText="1"/>
    </xf>
    <xf numFmtId="10" fontId="21" fillId="0" borderId="13" xfId="1" applyNumberFormat="1" applyFont="1" applyFill="1" applyBorder="1" applyAlignment="1">
      <alignment wrapText="1"/>
    </xf>
    <xf numFmtId="0" fontId="6" fillId="0" borderId="26" xfId="1" applyFont="1" applyFill="1" applyBorder="1" applyAlignment="1">
      <alignment vertical="center" wrapText="1"/>
    </xf>
    <xf numFmtId="0" fontId="3" fillId="0" borderId="26" xfId="1" applyFont="1" applyFill="1" applyBorder="1" applyAlignment="1">
      <alignment horizontal="center" vertical="center" wrapText="1"/>
    </xf>
    <xf numFmtId="3" fontId="19" fillId="4" borderId="26" xfId="1" applyNumberFormat="1" applyFont="1" applyFill="1" applyBorder="1" applyAlignment="1">
      <alignment wrapText="1"/>
    </xf>
    <xf numFmtId="3" fontId="6" fillId="3" borderId="27" xfId="1" applyNumberFormat="1" applyFont="1" applyFill="1" applyBorder="1" applyAlignment="1">
      <alignment horizontal="center" wrapText="1"/>
    </xf>
    <xf numFmtId="0" fontId="6" fillId="5" borderId="27" xfId="1" applyFont="1" applyFill="1" applyBorder="1" applyAlignment="1">
      <alignment horizontal="center" vertical="center" wrapText="1"/>
    </xf>
    <xf numFmtId="0" fontId="8" fillId="5" borderId="27" xfId="1" applyFont="1" applyFill="1" applyBorder="1" applyAlignment="1">
      <alignment horizontal="center" wrapText="1"/>
    </xf>
    <xf numFmtId="3" fontId="6" fillId="5" borderId="27" xfId="1" applyNumberFormat="1" applyFont="1" applyFill="1" applyBorder="1" applyAlignment="1">
      <alignment horizontal="center" vertical="center" wrapText="1"/>
    </xf>
    <xf numFmtId="3" fontId="6" fillId="5" borderId="28" xfId="1" applyNumberFormat="1" applyFont="1" applyFill="1" applyBorder="1" applyAlignment="1">
      <alignment horizontal="center" vertical="center" wrapText="1"/>
    </xf>
    <xf numFmtId="3" fontId="22" fillId="5" borderId="28" xfId="1" applyNumberFormat="1" applyFont="1" applyFill="1" applyBorder="1" applyAlignment="1">
      <alignment horizontal="center" vertical="center" wrapText="1"/>
    </xf>
    <xf numFmtId="3" fontId="22" fillId="5" borderId="27" xfId="1" applyNumberFormat="1" applyFont="1" applyFill="1" applyBorder="1" applyAlignment="1">
      <alignment horizontal="center" vertical="center" wrapText="1"/>
    </xf>
    <xf numFmtId="3" fontId="5" fillId="3" borderId="27" xfId="1" applyNumberFormat="1" applyFont="1" applyFill="1" applyBorder="1" applyAlignment="1">
      <alignment wrapText="1"/>
    </xf>
    <xf numFmtId="0" fontId="1" fillId="3" borderId="28" xfId="1" applyFill="1" applyBorder="1" applyAlignment="1">
      <alignment wrapText="1"/>
    </xf>
    <xf numFmtId="0" fontId="1" fillId="3" borderId="27" xfId="1" applyFill="1" applyBorder="1" applyAlignment="1">
      <alignment wrapText="1"/>
    </xf>
    <xf numFmtId="3" fontId="8" fillId="0" borderId="21" xfId="1"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21" xfId="1" applyFont="1" applyFill="1" applyBorder="1" applyAlignment="1">
      <alignment horizontal="center" wrapText="1"/>
    </xf>
    <xf numFmtId="3" fontId="5" fillId="0" borderId="24" xfId="1" applyNumberFormat="1" applyFont="1" applyFill="1" applyBorder="1" applyAlignment="1">
      <alignment horizontal="right" wrapText="1"/>
    </xf>
    <xf numFmtId="3" fontId="5" fillId="0" borderId="21" xfId="1" applyNumberFormat="1" applyFont="1" applyFill="1" applyBorder="1" applyAlignment="1">
      <alignment horizontal="right" wrapText="1"/>
    </xf>
    <xf numFmtId="0" fontId="23" fillId="0" borderId="21" xfId="1" applyFont="1" applyBorder="1" applyAlignment="1">
      <alignment wrapText="1"/>
    </xf>
    <xf numFmtId="3" fontId="5" fillId="0" borderId="24" xfId="1" applyNumberFormat="1" applyFont="1" applyFill="1" applyBorder="1" applyAlignment="1">
      <alignment horizontal="center" vertical="center" wrapText="1"/>
    </xf>
    <xf numFmtId="3" fontId="5" fillId="0" borderId="21" xfId="1" applyNumberFormat="1" applyFont="1" applyFill="1" applyBorder="1" applyAlignment="1">
      <alignment horizontal="center" vertical="center" wrapText="1"/>
    </xf>
    <xf numFmtId="3" fontId="8" fillId="0" borderId="29" xfId="1" applyNumberFormat="1" applyFont="1" applyFill="1" applyBorder="1" applyAlignment="1">
      <alignment horizontal="center" wrapText="1"/>
    </xf>
    <xf numFmtId="0" fontId="8" fillId="0" borderId="29" xfId="1" applyFont="1" applyFill="1" applyBorder="1" applyAlignment="1">
      <alignment horizontal="center" vertical="center" wrapText="1"/>
    </xf>
    <xf numFmtId="0" fontId="7" fillId="0" borderId="29" xfId="1" applyFont="1" applyFill="1" applyBorder="1" applyAlignment="1">
      <alignment horizontal="center" wrapText="1"/>
    </xf>
    <xf numFmtId="3" fontId="5" fillId="0" borderId="18" xfId="1" applyNumberFormat="1" applyFont="1" applyFill="1" applyBorder="1" applyAlignment="1">
      <alignment horizontal="right" wrapText="1"/>
    </xf>
    <xf numFmtId="3" fontId="5" fillId="0" borderId="29" xfId="1" applyNumberFormat="1" applyFont="1" applyFill="1" applyBorder="1" applyAlignment="1">
      <alignment horizontal="right" wrapText="1"/>
    </xf>
    <xf numFmtId="3" fontId="5" fillId="0" borderId="29" xfId="1" applyNumberFormat="1" applyFont="1" applyFill="1" applyBorder="1" applyAlignment="1">
      <alignment wrapText="1"/>
    </xf>
    <xf numFmtId="3" fontId="5" fillId="0" borderId="18" xfId="1" applyNumberFormat="1" applyFont="1" applyFill="1" applyBorder="1" applyAlignment="1">
      <alignment wrapText="1"/>
    </xf>
    <xf numFmtId="0" fontId="1" fillId="0" borderId="18" xfId="1" applyFont="1" applyFill="1" applyBorder="1" applyAlignment="1">
      <alignment wrapText="1"/>
    </xf>
    <xf numFmtId="0" fontId="1" fillId="0" borderId="30" xfId="1" applyFont="1" applyFill="1" applyBorder="1" applyAlignment="1">
      <alignment wrapText="1"/>
    </xf>
    <xf numFmtId="0" fontId="5" fillId="0" borderId="24" xfId="1" applyFont="1" applyBorder="1" applyAlignment="1">
      <alignment wrapText="1"/>
    </xf>
    <xf numFmtId="0" fontId="5" fillId="0" borderId="21" xfId="1" applyFont="1" applyBorder="1" applyAlignment="1">
      <alignment wrapText="1"/>
    </xf>
    <xf numFmtId="3" fontId="5" fillId="0" borderId="21" xfId="1" applyNumberFormat="1" applyFont="1" applyFill="1" applyBorder="1" applyAlignment="1">
      <alignment wrapText="1"/>
    </xf>
    <xf numFmtId="3" fontId="5" fillId="0" borderId="24" xfId="1" applyNumberFormat="1" applyFont="1" applyFill="1" applyBorder="1" applyAlignment="1">
      <alignment wrapText="1"/>
    </xf>
    <xf numFmtId="0" fontId="1" fillId="0" borderId="24" xfId="1" applyFont="1" applyFill="1" applyBorder="1" applyAlignment="1">
      <alignment wrapText="1"/>
    </xf>
    <xf numFmtId="0" fontId="1" fillId="0" borderId="21" xfId="1" applyFont="1" applyFill="1" applyBorder="1" applyAlignment="1">
      <alignment wrapText="1"/>
    </xf>
    <xf numFmtId="0" fontId="1" fillId="0" borderId="29" xfId="1" applyFont="1" applyFill="1" applyBorder="1" applyAlignment="1">
      <alignment wrapText="1"/>
    </xf>
    <xf numFmtId="3" fontId="8" fillId="0" borderId="21" xfId="1" applyNumberFormat="1" applyFont="1" applyFill="1" applyBorder="1" applyAlignment="1">
      <alignment horizontal="center" wrapText="1"/>
    </xf>
    <xf numFmtId="0" fontId="3" fillId="0" borderId="21" xfId="1" applyFont="1" applyFill="1" applyBorder="1" applyAlignment="1">
      <alignment horizontal="center" wrapText="1"/>
    </xf>
    <xf numFmtId="3" fontId="6" fillId="0" borderId="31" xfId="1" applyNumberFormat="1" applyFont="1" applyFill="1" applyBorder="1" applyAlignment="1">
      <alignment horizontal="center" wrapText="1"/>
    </xf>
    <xf numFmtId="0" fontId="6" fillId="0" borderId="31" xfId="1" applyFont="1" applyFill="1" applyBorder="1" applyAlignment="1">
      <alignment horizontal="center" wrapText="1"/>
    </xf>
    <xf numFmtId="0" fontId="7" fillId="0" borderId="31" xfId="1" applyFont="1" applyFill="1" applyBorder="1" applyAlignment="1">
      <alignment horizontal="center" wrapText="1"/>
    </xf>
    <xf numFmtId="3" fontId="5" fillId="0" borderId="32" xfId="1" applyNumberFormat="1" applyFont="1" applyFill="1" applyBorder="1" applyAlignment="1">
      <alignment wrapText="1"/>
    </xf>
    <xf numFmtId="3" fontId="5" fillId="0" borderId="31" xfId="1" applyNumberFormat="1" applyFont="1" applyFill="1" applyBorder="1" applyAlignment="1">
      <alignment wrapText="1"/>
    </xf>
    <xf numFmtId="3" fontId="8" fillId="0" borderId="24" xfId="1" applyNumberFormat="1" applyFont="1" applyFill="1" applyBorder="1" applyAlignment="1">
      <alignment horizontal="center" wrapText="1"/>
    </xf>
    <xf numFmtId="0" fontId="5" fillId="0" borderId="0" xfId="1" applyFont="1" applyFill="1" applyBorder="1" applyAlignment="1">
      <alignment wrapText="1"/>
    </xf>
    <xf numFmtId="0" fontId="1" fillId="0" borderId="0" xfId="1" applyFill="1" applyBorder="1" applyAlignment="1">
      <alignment wrapText="1"/>
    </xf>
    <xf numFmtId="3" fontId="8" fillId="0" borderId="32" xfId="1" applyNumberFormat="1" applyFont="1" applyFill="1" applyBorder="1" applyAlignment="1">
      <alignment horizontal="center" wrapText="1"/>
    </xf>
    <xf numFmtId="0" fontId="8" fillId="0" borderId="31" xfId="1" applyFont="1" applyFill="1" applyBorder="1" applyAlignment="1">
      <alignment horizontal="center" wrapText="1"/>
    </xf>
    <xf numFmtId="3" fontId="5" fillId="0" borderId="33" xfId="1" applyNumberFormat="1" applyFont="1" applyFill="1" applyBorder="1" applyAlignment="1">
      <alignment wrapText="1"/>
    </xf>
    <xf numFmtId="3" fontId="5" fillId="0" borderId="23" xfId="1" applyNumberFormat="1" applyFont="1" applyFill="1" applyBorder="1" applyAlignment="1">
      <alignment wrapText="1"/>
    </xf>
    <xf numFmtId="3" fontId="8" fillId="0" borderId="31" xfId="1" applyNumberFormat="1" applyFont="1" applyFill="1" applyBorder="1" applyAlignment="1">
      <alignment horizontal="center" wrapText="1"/>
    </xf>
    <xf numFmtId="0" fontId="5" fillId="0" borderId="21" xfId="1" applyFont="1" applyFill="1" applyBorder="1" applyAlignment="1">
      <alignment wrapText="1"/>
    </xf>
    <xf numFmtId="3" fontId="3" fillId="0" borderId="21" xfId="1" applyNumberFormat="1" applyFont="1" applyFill="1" applyBorder="1" applyAlignment="1">
      <alignment horizontal="center" wrapText="1"/>
    </xf>
    <xf numFmtId="0" fontId="6" fillId="0" borderId="21" xfId="1" applyFont="1" applyFill="1" applyBorder="1" applyAlignment="1">
      <alignment horizontal="center" wrapText="1"/>
    </xf>
    <xf numFmtId="0" fontId="1" fillId="0" borderId="21" xfId="1" applyFill="1" applyBorder="1" applyAlignment="1">
      <alignment wrapText="1"/>
    </xf>
    <xf numFmtId="0" fontId="1" fillId="0" borderId="31" xfId="1" applyFill="1" applyBorder="1" applyAlignment="1">
      <alignment wrapText="1"/>
    </xf>
    <xf numFmtId="3" fontId="5" fillId="0" borderId="17" xfId="1" applyNumberFormat="1" applyFont="1" applyFill="1" applyBorder="1" applyAlignment="1">
      <alignment wrapText="1"/>
    </xf>
    <xf numFmtId="3" fontId="6" fillId="3" borderId="30" xfId="1" applyNumberFormat="1" applyFont="1" applyFill="1" applyBorder="1" applyAlignment="1">
      <alignment horizontal="center" wrapText="1"/>
    </xf>
    <xf numFmtId="0" fontId="6" fillId="5" borderId="30" xfId="1" applyFont="1" applyFill="1" applyBorder="1" applyAlignment="1">
      <alignment horizontal="center" vertical="center" wrapText="1"/>
    </xf>
    <xf numFmtId="3" fontId="8" fillId="5" borderId="20" xfId="1" applyNumberFormat="1" applyFont="1" applyFill="1" applyBorder="1" applyAlignment="1">
      <alignment horizontal="center" vertical="center" wrapText="1"/>
    </xf>
    <xf numFmtId="3" fontId="5" fillId="3" borderId="25" xfId="1" applyNumberFormat="1" applyFont="1" applyFill="1" applyBorder="1" applyAlignment="1">
      <alignment wrapText="1"/>
    </xf>
    <xf numFmtId="3" fontId="5" fillId="3" borderId="28" xfId="1" applyNumberFormat="1" applyFont="1" applyFill="1" applyBorder="1" applyAlignment="1">
      <alignment wrapText="1"/>
    </xf>
    <xf numFmtId="3" fontId="5" fillId="3" borderId="34" xfId="1" applyNumberFormat="1" applyFont="1" applyFill="1" applyBorder="1" applyAlignment="1">
      <alignment wrapText="1"/>
    </xf>
    <xf numFmtId="3" fontId="5" fillId="3" borderId="30" xfId="1" applyNumberFormat="1" applyFont="1" applyFill="1" applyBorder="1" applyAlignment="1">
      <alignment wrapText="1"/>
    </xf>
    <xf numFmtId="3" fontId="6" fillId="2" borderId="35" xfId="1" applyNumberFormat="1" applyFont="1" applyFill="1" applyBorder="1" applyAlignment="1">
      <alignment horizontal="center" wrapText="1"/>
    </xf>
    <xf numFmtId="0" fontId="6" fillId="0" borderId="35" xfId="1" applyFont="1" applyFill="1" applyBorder="1" applyAlignment="1">
      <alignment horizontal="center" wrapText="1"/>
    </xf>
    <xf numFmtId="0" fontId="8" fillId="0" borderId="35" xfId="1" applyFont="1" applyFill="1" applyBorder="1" applyAlignment="1">
      <alignment horizontal="center" wrapText="1"/>
    </xf>
    <xf numFmtId="3" fontId="5" fillId="2" borderId="36" xfId="1" applyNumberFormat="1" applyFont="1" applyFill="1" applyBorder="1" applyAlignment="1">
      <alignment wrapText="1"/>
    </xf>
    <xf numFmtId="3" fontId="5" fillId="2" borderId="37" xfId="1" applyNumberFormat="1" applyFont="1" applyFill="1" applyBorder="1" applyAlignment="1">
      <alignment wrapText="1"/>
    </xf>
    <xf numFmtId="3" fontId="5" fillId="2" borderId="38" xfId="1" applyNumberFormat="1" applyFont="1" applyFill="1" applyBorder="1" applyAlignment="1">
      <alignment wrapText="1"/>
    </xf>
    <xf numFmtId="3" fontId="5" fillId="2" borderId="35" xfId="1" applyNumberFormat="1" applyFont="1" applyFill="1" applyBorder="1" applyAlignment="1">
      <alignment wrapText="1"/>
    </xf>
    <xf numFmtId="3" fontId="5" fillId="0" borderId="35" xfId="1" applyNumberFormat="1" applyFont="1" applyBorder="1" applyAlignment="1">
      <alignment wrapText="1"/>
    </xf>
    <xf numFmtId="3" fontId="6" fillId="2" borderId="30" xfId="1" applyNumberFormat="1" applyFont="1" applyFill="1" applyBorder="1" applyAlignment="1">
      <alignment horizontal="center" wrapText="1"/>
    </xf>
    <xf numFmtId="0" fontId="6" fillId="0" borderId="30" xfId="1" applyFont="1" applyFill="1" applyBorder="1" applyAlignment="1">
      <alignment horizontal="center" wrapText="1"/>
    </xf>
    <xf numFmtId="0" fontId="5" fillId="0" borderId="30" xfId="1" applyFont="1" applyFill="1" applyBorder="1" applyAlignment="1">
      <alignment horizontal="center" wrapText="1"/>
    </xf>
    <xf numFmtId="3" fontId="5" fillId="2" borderId="25" xfId="1" applyNumberFormat="1" applyFont="1" applyFill="1" applyBorder="1" applyAlignment="1">
      <alignment wrapText="1"/>
    </xf>
    <xf numFmtId="3" fontId="5" fillId="2" borderId="34" xfId="1" applyNumberFormat="1" applyFont="1" applyFill="1" applyBorder="1" applyAlignment="1">
      <alignment wrapText="1"/>
    </xf>
    <xf numFmtId="3" fontId="5" fillId="2" borderId="30" xfId="1" applyNumberFormat="1" applyFont="1" applyFill="1" applyBorder="1" applyAlignment="1">
      <alignment wrapText="1"/>
    </xf>
    <xf numFmtId="3" fontId="5" fillId="0" borderId="29" xfId="1" applyNumberFormat="1" applyFont="1" applyBorder="1" applyAlignment="1">
      <alignment wrapText="1"/>
    </xf>
    <xf numFmtId="3" fontId="5" fillId="0" borderId="30" xfId="1" applyNumberFormat="1" applyFont="1" applyBorder="1" applyAlignment="1">
      <alignment wrapText="1"/>
    </xf>
    <xf numFmtId="3" fontId="5" fillId="0" borderId="36" xfId="1" applyNumberFormat="1" applyFont="1" applyBorder="1" applyAlignment="1">
      <alignment wrapText="1"/>
    </xf>
    <xf numFmtId="3" fontId="5" fillId="0" borderId="34" xfId="1" applyNumberFormat="1" applyFont="1" applyBorder="1" applyAlignment="1">
      <alignment wrapText="1"/>
    </xf>
    <xf numFmtId="0" fontId="8" fillId="0" borderId="36" xfId="1" applyFont="1" applyFill="1" applyBorder="1" applyAlignment="1">
      <alignment horizontal="center" wrapText="1"/>
    </xf>
    <xf numFmtId="3" fontId="5" fillId="0" borderId="18" xfId="1" applyNumberFormat="1" applyFont="1" applyBorder="1" applyAlignment="1">
      <alignment wrapText="1"/>
    </xf>
    <xf numFmtId="3" fontId="5" fillId="0" borderId="35" xfId="1" applyNumberFormat="1" applyFont="1" applyFill="1" applyBorder="1" applyAlignment="1">
      <alignment wrapText="1"/>
    </xf>
    <xf numFmtId="3" fontId="5" fillId="0" borderId="36" xfId="1" applyNumberFormat="1" applyFont="1" applyFill="1" applyBorder="1" applyAlignment="1">
      <alignment wrapText="1"/>
    </xf>
    <xf numFmtId="3" fontId="5" fillId="0" borderId="30" xfId="1" applyNumberFormat="1" applyFont="1" applyFill="1" applyBorder="1" applyAlignment="1">
      <alignment wrapText="1"/>
    </xf>
    <xf numFmtId="3" fontId="5" fillId="0" borderId="34" xfId="1" applyNumberFormat="1" applyFont="1" applyFill="1" applyBorder="1" applyAlignment="1">
      <alignment wrapText="1"/>
    </xf>
    <xf numFmtId="0" fontId="6" fillId="2" borderId="35" xfId="1" applyFont="1" applyFill="1" applyBorder="1" applyAlignment="1">
      <alignment horizontal="center" wrapText="1"/>
    </xf>
    <xf numFmtId="0" fontId="8" fillId="2" borderId="35" xfId="1" applyFont="1" applyFill="1" applyBorder="1" applyAlignment="1">
      <alignment horizontal="center" wrapText="1"/>
    </xf>
    <xf numFmtId="0" fontId="6" fillId="2" borderId="30" xfId="1" applyFont="1" applyFill="1" applyBorder="1" applyAlignment="1">
      <alignment horizontal="center" vertical="center" wrapText="1"/>
    </xf>
    <xf numFmtId="0" fontId="5" fillId="2" borderId="30" xfId="1" applyFont="1" applyFill="1" applyBorder="1" applyAlignment="1">
      <alignment horizontal="center" wrapText="1"/>
    </xf>
    <xf numFmtId="3" fontId="5" fillId="2" borderId="39" xfId="1" applyNumberFormat="1" applyFont="1" applyFill="1" applyBorder="1" applyAlignment="1">
      <alignment wrapText="1"/>
    </xf>
    <xf numFmtId="3" fontId="5" fillId="2" borderId="40" xfId="1" applyNumberFormat="1" applyFont="1" applyFill="1" applyBorder="1" applyAlignment="1">
      <alignment wrapText="1"/>
    </xf>
    <xf numFmtId="0" fontId="6" fillId="2" borderId="30" xfId="1" applyFont="1" applyFill="1" applyBorder="1" applyAlignment="1">
      <alignment horizontal="center" wrapText="1"/>
    </xf>
    <xf numFmtId="3" fontId="6" fillId="0" borderId="35" xfId="1" applyNumberFormat="1" applyFont="1" applyFill="1" applyBorder="1" applyAlignment="1">
      <alignment horizontal="center" wrapText="1"/>
    </xf>
    <xf numFmtId="3" fontId="6" fillId="0" borderId="30" xfId="1" applyNumberFormat="1" applyFont="1" applyFill="1" applyBorder="1" applyAlignment="1">
      <alignment horizontal="center" wrapText="1"/>
    </xf>
    <xf numFmtId="3" fontId="5" fillId="0" borderId="39" xfId="1" applyNumberFormat="1" applyFont="1" applyFill="1" applyBorder="1" applyAlignment="1">
      <alignment wrapText="1"/>
    </xf>
    <xf numFmtId="3" fontId="5" fillId="0" borderId="40" xfId="1" applyNumberFormat="1" applyFont="1" applyFill="1" applyBorder="1" applyAlignment="1">
      <alignment wrapText="1"/>
    </xf>
    <xf numFmtId="3" fontId="1" fillId="0" borderId="36" xfId="1" applyNumberFormat="1" applyFill="1" applyBorder="1" applyAlignment="1">
      <alignment wrapText="1"/>
    </xf>
    <xf numFmtId="3" fontId="1" fillId="0" borderId="35" xfId="1" applyNumberFormat="1" applyFill="1" applyBorder="1" applyAlignment="1">
      <alignment wrapText="1"/>
    </xf>
    <xf numFmtId="3" fontId="1" fillId="0" borderId="34" xfId="1" applyNumberFormat="1" applyFill="1" applyBorder="1" applyAlignment="1">
      <alignment wrapText="1"/>
    </xf>
    <xf numFmtId="3" fontId="1" fillId="0" borderId="30" xfId="1" applyNumberFormat="1" applyFill="1" applyBorder="1" applyAlignment="1">
      <alignment wrapText="1"/>
    </xf>
    <xf numFmtId="3" fontId="1" fillId="0" borderId="18" xfId="1" applyNumberFormat="1" applyFill="1" applyBorder="1" applyAlignment="1">
      <alignment wrapText="1"/>
    </xf>
    <xf numFmtId="3" fontId="1" fillId="0" borderId="29" xfId="1" applyNumberFormat="1" applyFill="1" applyBorder="1" applyAlignment="1">
      <alignment wrapText="1"/>
    </xf>
    <xf numFmtId="3" fontId="5" fillId="0" borderId="25" xfId="1" applyNumberFormat="1" applyFont="1" applyFill="1" applyBorder="1" applyAlignment="1">
      <alignment wrapText="1"/>
    </xf>
    <xf numFmtId="0" fontId="24" fillId="0" borderId="35" xfId="1" applyFont="1" applyFill="1" applyBorder="1" applyAlignment="1">
      <alignment horizontal="center" vertical="center" wrapText="1"/>
    </xf>
    <xf numFmtId="0" fontId="6" fillId="0" borderId="30" xfId="1" applyFont="1" applyFill="1" applyBorder="1" applyAlignment="1">
      <alignment horizontal="center" vertical="center" wrapText="1"/>
    </xf>
    <xf numFmtId="0" fontId="6" fillId="2" borderId="29" xfId="1" applyFont="1" applyFill="1" applyBorder="1" applyAlignment="1">
      <alignment horizontal="center" wrapText="1"/>
    </xf>
    <xf numFmtId="0" fontId="1" fillId="2" borderId="0" xfId="1" applyFill="1" applyBorder="1" applyAlignment="1">
      <alignment wrapText="1"/>
    </xf>
    <xf numFmtId="3" fontId="6" fillId="0" borderId="41" xfId="1" applyNumberFormat="1" applyFont="1" applyFill="1" applyBorder="1" applyAlignment="1">
      <alignment horizontal="center" wrapText="1"/>
    </xf>
    <xf numFmtId="0" fontId="6" fillId="0" borderId="41" xfId="1" applyFont="1" applyFill="1" applyBorder="1" applyAlignment="1">
      <alignment horizontal="center" wrapText="1"/>
    </xf>
    <xf numFmtId="3" fontId="5" fillId="0" borderId="42" xfId="1" applyNumberFormat="1" applyFont="1" applyFill="1" applyBorder="1" applyAlignment="1">
      <alignment wrapText="1"/>
    </xf>
    <xf numFmtId="3" fontId="5" fillId="2" borderId="29" xfId="1" applyNumberFormat="1" applyFont="1" applyFill="1" applyBorder="1" applyAlignment="1">
      <alignment wrapText="1"/>
    </xf>
    <xf numFmtId="3" fontId="5" fillId="2" borderId="18" xfId="1" applyNumberFormat="1" applyFont="1" applyFill="1" applyBorder="1" applyAlignment="1">
      <alignment wrapText="1"/>
    </xf>
    <xf numFmtId="3" fontId="6" fillId="0" borderId="40" xfId="1" applyNumberFormat="1" applyFont="1" applyFill="1" applyBorder="1" applyAlignment="1">
      <alignment horizontal="center" wrapText="1"/>
    </xf>
    <xf numFmtId="0" fontId="6" fillId="0" borderId="40" xfId="1" applyFont="1" applyFill="1" applyBorder="1" applyAlignment="1">
      <alignment horizontal="center" wrapText="1"/>
    </xf>
    <xf numFmtId="3" fontId="6" fillId="0" borderId="24" xfId="1" applyNumberFormat="1" applyFont="1" applyFill="1" applyBorder="1" applyAlignment="1">
      <alignment horizontal="center" wrapText="1"/>
    </xf>
    <xf numFmtId="0" fontId="8" fillId="0" borderId="43" xfId="1" applyFont="1" applyFill="1" applyBorder="1" applyAlignment="1">
      <alignment horizontal="center" wrapText="1"/>
    </xf>
    <xf numFmtId="0" fontId="1" fillId="0" borderId="22" xfId="1" applyFont="1" applyFill="1" applyBorder="1" applyAlignment="1">
      <alignment wrapText="1"/>
    </xf>
    <xf numFmtId="3" fontId="6" fillId="0" borderId="32" xfId="1" applyNumberFormat="1" applyFont="1" applyFill="1" applyBorder="1" applyAlignment="1">
      <alignment horizontal="center" wrapText="1"/>
    </xf>
    <xf numFmtId="0" fontId="6" fillId="0" borderId="44" xfId="1" applyFont="1" applyFill="1" applyBorder="1" applyAlignment="1">
      <alignment horizontal="center" wrapText="1"/>
    </xf>
    <xf numFmtId="0" fontId="5" fillId="0" borderId="44" xfId="1" applyFont="1" applyFill="1" applyBorder="1" applyAlignment="1">
      <alignment wrapText="1"/>
    </xf>
    <xf numFmtId="0" fontId="6" fillId="2" borderId="41" xfId="1" applyFont="1" applyFill="1" applyBorder="1" applyAlignment="1">
      <alignment horizontal="center" wrapText="1"/>
    </xf>
    <xf numFmtId="0" fontId="8" fillId="2" borderId="41" xfId="1" applyFont="1" applyFill="1" applyBorder="1" applyAlignment="1">
      <alignment horizontal="center" wrapText="1"/>
    </xf>
    <xf numFmtId="3" fontId="5" fillId="2" borderId="42" xfId="1" applyNumberFormat="1" applyFont="1" applyFill="1" applyBorder="1" applyAlignment="1">
      <alignment wrapText="1"/>
    </xf>
    <xf numFmtId="3" fontId="5" fillId="2" borderId="41" xfId="1" applyNumberFormat="1" applyFont="1" applyFill="1" applyBorder="1" applyAlignment="1">
      <alignment wrapText="1"/>
    </xf>
    <xf numFmtId="3" fontId="5" fillId="0" borderId="41" xfId="1" applyNumberFormat="1" applyFont="1" applyBorder="1" applyAlignment="1">
      <alignment wrapText="1"/>
    </xf>
    <xf numFmtId="3" fontId="5" fillId="0" borderId="42" xfId="1" applyNumberFormat="1" applyFont="1" applyBorder="1" applyAlignment="1">
      <alignment wrapText="1"/>
    </xf>
    <xf numFmtId="3" fontId="6" fillId="2" borderId="40" xfId="1" applyNumberFormat="1" applyFont="1" applyFill="1" applyBorder="1" applyAlignment="1">
      <alignment horizontal="center" wrapText="1"/>
    </xf>
    <xf numFmtId="0" fontId="6" fillId="2" borderId="40" xfId="1" applyFont="1" applyFill="1" applyBorder="1" applyAlignment="1">
      <alignment horizontal="center" wrapText="1"/>
    </xf>
    <xf numFmtId="3" fontId="5" fillId="0" borderId="40" xfId="1" applyNumberFormat="1" applyFont="1" applyBorder="1" applyAlignment="1">
      <alignment wrapText="1"/>
    </xf>
    <xf numFmtId="0" fontId="6" fillId="5" borderId="30" xfId="1" applyFont="1" applyFill="1" applyBorder="1" applyAlignment="1">
      <alignment horizontal="center" wrapText="1"/>
    </xf>
    <xf numFmtId="3" fontId="8" fillId="3" borderId="27" xfId="1" applyNumberFormat="1" applyFont="1" applyFill="1" applyBorder="1" applyAlignment="1">
      <alignment horizontal="center" vertical="center" wrapText="1"/>
    </xf>
    <xf numFmtId="3" fontId="5" fillId="3" borderId="24" xfId="1" applyNumberFormat="1" applyFont="1" applyFill="1" applyBorder="1" applyAlignment="1">
      <alignment wrapText="1"/>
    </xf>
    <xf numFmtId="3" fontId="1" fillId="3" borderId="28" xfId="1" applyNumberFormat="1" applyFill="1" applyBorder="1" applyAlignment="1">
      <alignment wrapText="1"/>
    </xf>
    <xf numFmtId="3" fontId="1" fillId="3" borderId="27" xfId="1" applyNumberFormat="1" applyFill="1" applyBorder="1" applyAlignment="1">
      <alignment wrapText="1"/>
    </xf>
    <xf numFmtId="0" fontId="6" fillId="2" borderId="35"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5" fillId="2" borderId="30" xfId="1" applyFont="1" applyFill="1" applyBorder="1" applyAlignment="1">
      <alignment horizontal="center" vertical="center" wrapText="1"/>
    </xf>
    <xf numFmtId="3" fontId="6" fillId="2" borderId="29" xfId="1" applyNumberFormat="1" applyFont="1" applyFill="1" applyBorder="1" applyAlignment="1">
      <alignment horizontal="center" wrapText="1"/>
    </xf>
    <xf numFmtId="0" fontId="6" fillId="2" borderId="29" xfId="1" applyFont="1" applyFill="1" applyBorder="1" applyAlignment="1">
      <alignment horizontal="center" vertical="center" wrapText="1"/>
    </xf>
    <xf numFmtId="0" fontId="5" fillId="2" borderId="29" xfId="1" applyFont="1" applyFill="1" applyBorder="1" applyAlignment="1">
      <alignment horizontal="center" vertical="center" wrapText="1"/>
    </xf>
    <xf numFmtId="3" fontId="6" fillId="2" borderId="27" xfId="1" applyNumberFormat="1" applyFont="1" applyFill="1" applyBorder="1" applyAlignment="1">
      <alignment horizontal="center" wrapText="1"/>
    </xf>
    <xf numFmtId="0" fontId="6" fillId="2" borderId="27" xfId="1" applyFont="1" applyFill="1" applyBorder="1" applyAlignment="1">
      <alignment horizontal="center" wrapText="1"/>
    </xf>
    <xf numFmtId="0" fontId="8" fillId="2" borderId="27" xfId="1" applyFont="1" applyFill="1" applyBorder="1" applyAlignment="1">
      <alignment horizontal="center" wrapText="1"/>
    </xf>
    <xf numFmtId="3" fontId="5" fillId="2" borderId="28" xfId="1" applyNumberFormat="1" applyFont="1" applyFill="1" applyBorder="1" applyAlignment="1">
      <alignment wrapText="1"/>
    </xf>
    <xf numFmtId="3" fontId="5" fillId="2" borderId="27" xfId="1" applyNumberFormat="1" applyFont="1" applyFill="1" applyBorder="1" applyAlignment="1">
      <alignment wrapText="1"/>
    </xf>
    <xf numFmtId="3" fontId="5" fillId="0" borderId="27" xfId="1" applyNumberFormat="1" applyFont="1" applyFill="1" applyBorder="1" applyAlignment="1">
      <alignment wrapText="1"/>
    </xf>
    <xf numFmtId="3" fontId="1" fillId="0" borderId="28" xfId="1" applyNumberFormat="1" applyFill="1" applyBorder="1" applyAlignment="1">
      <alignment wrapText="1"/>
    </xf>
    <xf numFmtId="3" fontId="1" fillId="0" borderId="27" xfId="1" applyNumberFormat="1" applyFill="1" applyBorder="1" applyAlignment="1">
      <alignment wrapText="1"/>
    </xf>
    <xf numFmtId="0" fontId="7" fillId="2" borderId="40" xfId="1" applyFont="1" applyFill="1" applyBorder="1" applyAlignment="1">
      <alignment horizontal="center" wrapText="1"/>
    </xf>
    <xf numFmtId="3" fontId="1" fillId="0" borderId="40" xfId="1" applyNumberFormat="1" applyFill="1" applyBorder="1" applyAlignment="1">
      <alignment wrapText="1"/>
    </xf>
    <xf numFmtId="3" fontId="6" fillId="0" borderId="21" xfId="1" applyNumberFormat="1" applyFont="1" applyFill="1" applyBorder="1" applyAlignment="1">
      <alignment horizontal="center" wrapText="1"/>
    </xf>
    <xf numFmtId="3" fontId="6" fillId="0" borderId="45" xfId="1" applyNumberFormat="1" applyFont="1" applyFill="1" applyBorder="1" applyAlignment="1">
      <alignment horizontal="center" wrapText="1"/>
    </xf>
    <xf numFmtId="0" fontId="8" fillId="0" borderId="35" xfId="1" applyFont="1" applyFill="1" applyBorder="1" applyAlignment="1">
      <alignment horizontal="center" vertical="center" wrapText="1"/>
    </xf>
    <xf numFmtId="0" fontId="1" fillId="0" borderId="35" xfId="1" applyFill="1" applyBorder="1" applyAlignment="1">
      <alignment wrapText="1"/>
    </xf>
    <xf numFmtId="0" fontId="5" fillId="0" borderId="35" xfId="1" applyFont="1" applyFill="1" applyBorder="1" applyAlignment="1">
      <alignment wrapText="1"/>
    </xf>
    <xf numFmtId="3" fontId="6" fillId="2" borderId="31" xfId="1" applyNumberFormat="1" applyFont="1" applyFill="1" applyBorder="1" applyAlignment="1">
      <alignment horizontal="center" wrapText="1"/>
    </xf>
    <xf numFmtId="0" fontId="6" fillId="2" borderId="46" xfId="1" applyFont="1" applyFill="1" applyBorder="1" applyAlignment="1">
      <alignment horizontal="center" wrapText="1"/>
    </xf>
    <xf numFmtId="0" fontId="8" fillId="2" borderId="30" xfId="1" applyFont="1" applyFill="1" applyBorder="1" applyAlignment="1">
      <alignment horizontal="center" wrapText="1"/>
    </xf>
    <xf numFmtId="0" fontId="6" fillId="0" borderId="27" xfId="1" applyFont="1" applyFill="1" applyBorder="1" applyAlignment="1">
      <alignment vertical="center" wrapText="1"/>
    </xf>
    <xf numFmtId="0" fontId="5" fillId="0" borderId="47" xfId="1" applyFont="1" applyFill="1" applyBorder="1" applyAlignment="1">
      <alignment horizontal="center" wrapText="1"/>
    </xf>
    <xf numFmtId="3" fontId="5" fillId="0" borderId="28" xfId="1" applyNumberFormat="1" applyFont="1" applyFill="1" applyBorder="1" applyAlignment="1">
      <alignment wrapText="1"/>
    </xf>
    <xf numFmtId="3" fontId="5" fillId="0" borderId="0" xfId="1" applyNumberFormat="1" applyFont="1" applyFill="1" applyBorder="1" applyAlignment="1">
      <alignment wrapText="1"/>
    </xf>
    <xf numFmtId="3" fontId="5" fillId="0" borderId="0" xfId="1" applyNumberFormat="1" applyFont="1" applyBorder="1" applyAlignment="1">
      <alignment wrapText="1"/>
    </xf>
    <xf numFmtId="3" fontId="25" fillId="2" borderId="0" xfId="1" applyNumberFormat="1" applyFont="1" applyFill="1" applyBorder="1" applyAlignment="1">
      <alignment wrapText="1"/>
    </xf>
    <xf numFmtId="0" fontId="5" fillId="0" borderId="0" xfId="1" applyFont="1" applyFill="1" applyBorder="1" applyAlignment="1">
      <alignment horizontal="right" wrapText="1"/>
    </xf>
    <xf numFmtId="3" fontId="7" fillId="2" borderId="0" xfId="1" applyNumberFormat="1" applyFont="1" applyFill="1" applyBorder="1" applyAlignment="1">
      <alignment wrapText="1"/>
    </xf>
    <xf numFmtId="3" fontId="1" fillId="0" borderId="0" xfId="1" applyNumberFormat="1" applyBorder="1" applyAlignment="1">
      <alignment wrapText="1"/>
    </xf>
    <xf numFmtId="0" fontId="1" fillId="0" borderId="0" xfId="11" applyFont="1"/>
    <xf numFmtId="0" fontId="13" fillId="0" borderId="0" xfId="11" applyFont="1" applyFill="1"/>
    <xf numFmtId="3" fontId="1" fillId="0" borderId="0" xfId="11" applyNumberFormat="1" applyFont="1"/>
    <xf numFmtId="0" fontId="7" fillId="0" borderId="0" xfId="11" applyFont="1"/>
    <xf numFmtId="3" fontId="7" fillId="0" borderId="0" xfId="11" applyNumberFormat="1" applyFont="1"/>
    <xf numFmtId="0" fontId="7" fillId="0" borderId="0" xfId="11" applyFont="1" applyAlignment="1">
      <alignment horizontal="left"/>
    </xf>
    <xf numFmtId="0" fontId="2" fillId="0" borderId="0" xfId="11" applyFont="1" applyAlignment="1">
      <alignment horizontal="left"/>
    </xf>
    <xf numFmtId="0" fontId="2" fillId="0" borderId="0" xfId="11" applyFont="1"/>
    <xf numFmtId="0" fontId="2" fillId="0" borderId="1" xfId="2" applyFont="1" applyFill="1" applyBorder="1" applyAlignment="1">
      <alignment horizontal="center" vertical="center" wrapText="1"/>
    </xf>
    <xf numFmtId="0" fontId="2" fillId="0" borderId="1" xfId="0" applyFont="1" applyFill="1" applyBorder="1" applyAlignment="1" applyProtection="1">
      <alignment horizontal="left" vertical="center"/>
      <protection locked="0"/>
    </xf>
    <xf numFmtId="0" fontId="2" fillId="0" borderId="54" xfId="11" applyFont="1" applyFill="1" applyBorder="1" applyAlignment="1">
      <alignment horizontal="center" vertical="center" wrapText="1"/>
    </xf>
    <xf numFmtId="0" fontId="2" fillId="0" borderId="37" xfId="11" applyFont="1" applyFill="1" applyBorder="1" applyAlignment="1">
      <alignment horizontal="center" vertical="center" wrapText="1"/>
    </xf>
    <xf numFmtId="0" fontId="2" fillId="0" borderId="56" xfId="11" applyFont="1" applyFill="1" applyBorder="1" applyAlignment="1">
      <alignment horizontal="center" vertical="center"/>
    </xf>
    <xf numFmtId="0" fontId="2" fillId="0" borderId="10" xfId="11" applyFont="1" applyFill="1" applyBorder="1" applyAlignment="1">
      <alignment horizontal="center" vertical="center"/>
    </xf>
    <xf numFmtId="0" fontId="2" fillId="0" borderId="12" xfId="11" applyFont="1" applyFill="1" applyBorder="1" applyAlignment="1">
      <alignment horizontal="center" vertical="center"/>
    </xf>
    <xf numFmtId="0" fontId="2" fillId="0" borderId="57" xfId="11" applyFont="1" applyFill="1" applyBorder="1" applyAlignment="1">
      <alignment horizontal="center" vertical="center"/>
    </xf>
    <xf numFmtId="0" fontId="2" fillId="0" borderId="1" xfId="11" applyFont="1" applyFill="1" applyBorder="1" applyAlignment="1">
      <alignment horizontal="left" vertical="center"/>
    </xf>
    <xf numFmtId="0" fontId="3" fillId="0" borderId="1" xfId="11" applyFont="1" applyFill="1" applyBorder="1" applyAlignment="1">
      <alignment horizontal="left" vertical="center"/>
    </xf>
    <xf numFmtId="3" fontId="3" fillId="0" borderId="10" xfId="11" applyNumberFormat="1" applyFont="1" applyFill="1" applyBorder="1" applyAlignment="1">
      <alignment horizontal="right" vertical="center"/>
    </xf>
    <xf numFmtId="3" fontId="3" fillId="0" borderId="56" xfId="11" applyNumberFormat="1" applyFont="1" applyFill="1" applyBorder="1" applyAlignment="1">
      <alignment horizontal="right" vertical="center"/>
    </xf>
    <xf numFmtId="3" fontId="3" fillId="0" borderId="57" xfId="11" applyNumberFormat="1" applyFont="1" applyFill="1" applyBorder="1" applyAlignment="1">
      <alignment horizontal="right" vertical="center"/>
    </xf>
    <xf numFmtId="3" fontId="3" fillId="0" borderId="12" xfId="11" applyNumberFormat="1" applyFont="1" applyFill="1" applyBorder="1" applyAlignment="1">
      <alignment horizontal="right" vertical="center"/>
    </xf>
    <xf numFmtId="0" fontId="2" fillId="0" borderId="1" xfId="11" applyFont="1" applyFill="1" applyBorder="1" applyAlignment="1">
      <alignment horizontal="left" vertical="center" wrapText="1"/>
    </xf>
    <xf numFmtId="0" fontId="2" fillId="0" borderId="10" xfId="11" applyFont="1" applyFill="1" applyBorder="1" applyAlignment="1">
      <alignment horizontal="right" vertical="center"/>
    </xf>
    <xf numFmtId="0" fontId="2" fillId="0" borderId="12" xfId="11" applyFont="1" applyFill="1" applyBorder="1" applyAlignment="1">
      <alignment horizontal="right" vertical="center"/>
    </xf>
    <xf numFmtId="0" fontId="2" fillId="0" borderId="56" xfId="11" applyFont="1" applyFill="1" applyBorder="1" applyAlignment="1">
      <alignment horizontal="right" vertical="center"/>
    </xf>
    <xf numFmtId="0" fontId="2" fillId="0" borderId="57" xfId="11" applyFont="1" applyFill="1" applyBorder="1" applyAlignment="1">
      <alignment horizontal="right" vertical="center"/>
    </xf>
    <xf numFmtId="1" fontId="2" fillId="0" borderId="56" xfId="11" applyNumberFormat="1" applyFont="1" applyFill="1" applyBorder="1" applyAlignment="1">
      <alignment horizontal="right" vertical="center"/>
    </xf>
    <xf numFmtId="1" fontId="2" fillId="0" borderId="57" xfId="11" applyNumberFormat="1" applyFont="1" applyFill="1" applyBorder="1" applyAlignment="1">
      <alignment horizontal="right" vertical="center"/>
    </xf>
    <xf numFmtId="0" fontId="3" fillId="0" borderId="10" xfId="11" applyFont="1" applyFill="1" applyBorder="1" applyAlignment="1">
      <alignment horizontal="center" vertical="center"/>
    </xf>
    <xf numFmtId="0" fontId="3" fillId="0" borderId="12" xfId="11" applyFont="1" applyFill="1" applyBorder="1" applyAlignment="1">
      <alignment horizontal="center" vertical="center"/>
    </xf>
    <xf numFmtId="2" fontId="3" fillId="0" borderId="56" xfId="11" applyNumberFormat="1" applyFont="1" applyFill="1" applyBorder="1" applyAlignment="1">
      <alignment horizontal="right" vertical="center"/>
    </xf>
    <xf numFmtId="2" fontId="3" fillId="0" borderId="57" xfId="11" applyNumberFormat="1" applyFont="1" applyFill="1" applyBorder="1" applyAlignment="1">
      <alignment horizontal="right" vertical="center"/>
    </xf>
    <xf numFmtId="0" fontId="2" fillId="0" borderId="56" xfId="11" applyFont="1" applyFill="1" applyBorder="1" applyAlignment="1">
      <alignment vertical="center"/>
    </xf>
    <xf numFmtId="0" fontId="2" fillId="0" borderId="1" xfId="11" applyFont="1" applyFill="1" applyBorder="1" applyAlignment="1">
      <alignment vertical="center" wrapText="1"/>
    </xf>
    <xf numFmtId="3" fontId="2" fillId="0" borderId="10" xfId="11" applyNumberFormat="1" applyFont="1" applyFill="1" applyBorder="1" applyAlignment="1">
      <alignment horizontal="right" vertical="center"/>
    </xf>
    <xf numFmtId="3" fontId="2" fillId="0" borderId="12" xfId="11" applyNumberFormat="1" applyFont="1" applyFill="1" applyBorder="1" applyAlignment="1">
      <alignment horizontal="right" vertical="center"/>
    </xf>
    <xf numFmtId="3" fontId="2" fillId="0" borderId="56" xfId="11" applyNumberFormat="1" applyFont="1" applyFill="1" applyBorder="1" applyAlignment="1">
      <alignment horizontal="right" vertical="center"/>
    </xf>
    <xf numFmtId="3" fontId="2" fillId="0" borderId="57" xfId="11" applyNumberFormat="1" applyFont="1" applyFill="1" applyBorder="1" applyAlignment="1">
      <alignment horizontal="right" vertical="center"/>
    </xf>
    <xf numFmtId="0" fontId="10" fillId="0" borderId="56" xfId="11" applyFont="1" applyFill="1" applyBorder="1" applyAlignment="1">
      <alignment vertical="center"/>
    </xf>
    <xf numFmtId="0" fontId="3" fillId="0" borderId="1" xfId="11" applyFont="1" applyFill="1" applyBorder="1" applyAlignment="1">
      <alignment vertical="center"/>
    </xf>
    <xf numFmtId="3" fontId="3" fillId="0" borderId="10" xfId="11" applyNumberFormat="1" applyFont="1" applyFill="1" applyBorder="1" applyAlignment="1">
      <alignment vertical="center"/>
    </xf>
    <xf numFmtId="3" fontId="3" fillId="0" borderId="12" xfId="11" applyNumberFormat="1" applyFont="1" applyFill="1" applyBorder="1" applyAlignment="1">
      <alignment vertical="center"/>
    </xf>
    <xf numFmtId="3" fontId="3" fillId="0" borderId="56" xfId="11" applyNumberFormat="1" applyFont="1" applyFill="1" applyBorder="1" applyAlignment="1">
      <alignment vertical="center"/>
    </xf>
    <xf numFmtId="3" fontId="3" fillId="0" borderId="57" xfId="11" applyNumberFormat="1" applyFont="1" applyFill="1" applyBorder="1" applyAlignment="1">
      <alignment vertical="center"/>
    </xf>
    <xf numFmtId="0" fontId="3" fillId="0" borderId="56" xfId="11" applyFont="1" applyFill="1" applyBorder="1" applyAlignment="1">
      <alignment vertical="center"/>
    </xf>
    <xf numFmtId="0" fontId="3" fillId="0" borderId="56" xfId="11" applyFont="1" applyFill="1" applyBorder="1" applyAlignment="1">
      <alignment horizontal="left" vertical="center"/>
    </xf>
    <xf numFmtId="0" fontId="3" fillId="0" borderId="56" xfId="11" applyFont="1" applyFill="1" applyBorder="1" applyAlignment="1">
      <alignment horizontal="right" vertical="center"/>
    </xf>
    <xf numFmtId="0" fontId="2" fillId="0" borderId="1" xfId="11" applyFont="1" applyFill="1" applyBorder="1" applyAlignment="1">
      <alignment vertical="center"/>
    </xf>
    <xf numFmtId="0" fontId="2" fillId="0" borderId="1" xfId="12" applyFont="1" applyFill="1" applyBorder="1" applyAlignment="1">
      <alignment vertical="center" wrapText="1"/>
    </xf>
    <xf numFmtId="0" fontId="3" fillId="0" borderId="1" xfId="11" applyFont="1" applyFill="1" applyBorder="1" applyAlignment="1">
      <alignment vertical="center" wrapText="1"/>
    </xf>
    <xf numFmtId="2" fontId="2" fillId="0" borderId="1" xfId="11" applyNumberFormat="1" applyFont="1" applyFill="1" applyBorder="1" applyAlignment="1">
      <alignment vertical="center" wrapText="1"/>
    </xf>
    <xf numFmtId="3" fontId="2" fillId="0" borderId="56" xfId="11" applyNumberFormat="1" applyFont="1" applyFill="1" applyBorder="1" applyAlignment="1">
      <alignment vertical="center"/>
    </xf>
    <xf numFmtId="3" fontId="2" fillId="0" borderId="57" xfId="11" applyNumberFormat="1" applyFont="1" applyFill="1" applyBorder="1" applyAlignment="1">
      <alignment vertical="center"/>
    </xf>
    <xf numFmtId="0" fontId="2" fillId="0" borderId="1" xfId="11" applyFont="1" applyFill="1" applyBorder="1" applyAlignment="1" applyProtection="1">
      <alignment horizontal="left" vertical="center" wrapText="1"/>
    </xf>
    <xf numFmtId="0" fontId="2" fillId="0" borderId="58" xfId="11" applyFont="1" applyFill="1" applyBorder="1" applyAlignment="1">
      <alignment vertical="center"/>
    </xf>
    <xf numFmtId="0" fontId="2" fillId="0" borderId="59" xfId="11" applyFont="1" applyFill="1" applyBorder="1" applyAlignment="1">
      <alignment vertical="center"/>
    </xf>
    <xf numFmtId="3" fontId="2" fillId="0" borderId="60" xfId="11" applyNumberFormat="1" applyFont="1" applyFill="1" applyBorder="1" applyAlignment="1">
      <alignment horizontal="right" vertical="center"/>
    </xf>
    <xf numFmtId="3" fontId="2" fillId="0" borderId="61" xfId="11" applyNumberFormat="1" applyFont="1" applyFill="1" applyBorder="1" applyAlignment="1">
      <alignment horizontal="right" vertical="center"/>
    </xf>
    <xf numFmtId="3" fontId="2" fillId="0" borderId="58" xfId="11" applyNumberFormat="1" applyFont="1" applyFill="1" applyBorder="1" applyAlignment="1">
      <alignment vertical="center"/>
    </xf>
    <xf numFmtId="3" fontId="2" fillId="0" borderId="62" xfId="11" applyNumberFormat="1" applyFont="1" applyFill="1" applyBorder="1" applyAlignment="1">
      <alignment vertical="center"/>
    </xf>
    <xf numFmtId="0" fontId="14" fillId="0" borderId="56" xfId="11" applyFont="1" applyFill="1" applyBorder="1" applyAlignment="1">
      <alignment horizontal="center" vertical="center"/>
    </xf>
    <xf numFmtId="0" fontId="14" fillId="0" borderId="1" xfId="11" applyFont="1" applyFill="1" applyBorder="1" applyAlignment="1">
      <alignment horizontal="center" vertical="center"/>
    </xf>
    <xf numFmtId="0" fontId="14" fillId="0" borderId="10" xfId="11" applyFont="1" applyFill="1" applyBorder="1" applyAlignment="1">
      <alignment horizontal="center" vertical="center"/>
    </xf>
    <xf numFmtId="0" fontId="14" fillId="0" borderId="12" xfId="11" applyFont="1" applyFill="1" applyBorder="1" applyAlignment="1">
      <alignment horizontal="center" vertical="center"/>
    </xf>
    <xf numFmtId="0" fontId="14" fillId="0" borderId="57" xfId="11" applyFont="1" applyFill="1" applyBorder="1" applyAlignment="1">
      <alignment horizontal="center" vertical="center"/>
    </xf>
    <xf numFmtId="0" fontId="2" fillId="0" borderId="0" xfId="2" applyFont="1" applyAlignment="1">
      <alignment horizontal="left"/>
    </xf>
    <xf numFmtId="0" fontId="4" fillId="0" borderId="0" xfId="2" applyFont="1" applyAlignment="1">
      <alignment horizontal="center"/>
    </xf>
    <xf numFmtId="0" fontId="2" fillId="0" borderId="10" xfId="2" applyFont="1" applyBorder="1" applyAlignment="1">
      <alignment horizontal="center" vertical="center" wrapText="1"/>
    </xf>
    <xf numFmtId="0" fontId="2" fillId="0" borderId="4" xfId="2" applyFont="1" applyBorder="1" applyAlignment="1" applyProtection="1">
      <alignment horizontal="center" vertical="center" wrapText="1"/>
      <protection locked="0"/>
    </xf>
    <xf numFmtId="0" fontId="2" fillId="0" borderId="3" xfId="2" applyFont="1" applyBorder="1" applyAlignment="1" applyProtection="1">
      <alignment horizontal="center" vertical="center" wrapText="1"/>
      <protection locked="0"/>
    </xf>
    <xf numFmtId="0" fontId="2" fillId="0" borderId="0" xfId="2" applyFont="1" applyAlignment="1">
      <alignment horizontal="left"/>
    </xf>
    <xf numFmtId="0" fontId="4" fillId="0" borderId="0" xfId="2" applyFont="1" applyAlignment="1">
      <alignment horizontal="center"/>
    </xf>
    <xf numFmtId="0" fontId="2" fillId="0" borderId="0" xfId="2" applyFont="1" applyAlignment="1">
      <alignment vertical="center"/>
    </xf>
    <xf numFmtId="0" fontId="4" fillId="0" borderId="0" xfId="2" applyFont="1" applyAlignment="1">
      <alignment horizontal="center" vertical="center"/>
    </xf>
    <xf numFmtId="3" fontId="2" fillId="0" borderId="1" xfId="2" applyNumberFormat="1" applyFont="1" applyFill="1" applyBorder="1" applyAlignment="1" applyProtection="1">
      <alignment vertical="center" wrapText="1"/>
      <protection locked="0"/>
    </xf>
    <xf numFmtId="3" fontId="3" fillId="0" borderId="1" xfId="2" applyNumberFormat="1" applyFont="1" applyFill="1" applyBorder="1" applyAlignment="1" applyProtection="1">
      <alignment horizontal="center" vertical="center" wrapText="1"/>
      <protection locked="0"/>
    </xf>
    <xf numFmtId="0" fontId="2" fillId="0" borderId="0" xfId="2" applyFont="1" applyFill="1" applyAlignment="1">
      <alignment vertical="center"/>
    </xf>
    <xf numFmtId="3" fontId="3" fillId="0" borderId="1" xfId="2" applyNumberFormat="1" applyFont="1" applyBorder="1" applyAlignment="1" applyProtection="1">
      <alignment horizontal="center" vertical="center" wrapText="1"/>
      <protection locked="0"/>
    </xf>
    <xf numFmtId="3" fontId="2" fillId="2" borderId="1" xfId="2" applyNumberFormat="1" applyFont="1" applyFill="1" applyBorder="1" applyAlignment="1" applyProtection="1">
      <alignment vertical="center" wrapText="1"/>
      <protection locked="0"/>
    </xf>
    <xf numFmtId="3" fontId="2" fillId="0" borderId="1" xfId="2" applyNumberFormat="1" applyFont="1" applyBorder="1" applyAlignment="1" applyProtection="1">
      <alignment horizontal="right" vertical="center" wrapText="1"/>
      <protection locked="0"/>
    </xf>
    <xf numFmtId="3" fontId="2" fillId="0" borderId="4" xfId="2" applyNumberFormat="1" applyFont="1" applyBorder="1" applyAlignment="1" applyProtection="1">
      <alignment horizontal="left" vertical="center" wrapText="1"/>
      <protection locked="0"/>
    </xf>
    <xf numFmtId="3" fontId="2" fillId="0" borderId="1" xfId="2" applyNumberFormat="1" applyFont="1" applyFill="1" applyBorder="1" applyAlignment="1" applyProtection="1">
      <alignment horizontal="right" vertical="center"/>
      <protection locked="0"/>
    </xf>
    <xf numFmtId="3" fontId="3" fillId="0" borderId="1" xfId="2" applyNumberFormat="1" applyFont="1" applyFill="1" applyBorder="1" applyAlignment="1" applyProtection="1">
      <alignment horizontal="center" vertical="center"/>
      <protection locked="0"/>
    </xf>
    <xf numFmtId="3" fontId="2" fillId="0" borderId="1" xfId="2" applyNumberFormat="1" applyFont="1" applyBorder="1" applyAlignment="1" applyProtection="1">
      <alignment vertical="center"/>
      <protection locked="0"/>
    </xf>
    <xf numFmtId="3" fontId="2" fillId="0" borderId="1" xfId="2" applyNumberFormat="1" applyFont="1" applyFill="1" applyBorder="1" applyAlignment="1" applyProtection="1">
      <alignment horizontal="right" vertical="center" wrapText="1"/>
      <protection locked="0"/>
    </xf>
    <xf numFmtId="0" fontId="2" fillId="0" borderId="1" xfId="2" applyFont="1" applyBorder="1" applyAlignment="1">
      <alignment horizontal="center" vertical="center"/>
    </xf>
    <xf numFmtId="0" fontId="2" fillId="0" borderId="1" xfId="2" applyFont="1" applyBorder="1" applyAlignment="1">
      <alignment vertical="center"/>
    </xf>
    <xf numFmtId="0" fontId="2" fillId="0" borderId="0" xfId="2" applyFont="1" applyBorder="1" applyAlignment="1">
      <alignment vertical="center"/>
    </xf>
    <xf numFmtId="3" fontId="3" fillId="0" borderId="1" xfId="2" applyNumberFormat="1" applyFont="1" applyBorder="1" applyAlignment="1">
      <alignment wrapText="1"/>
    </xf>
    <xf numFmtId="3" fontId="2" fillId="2" borderId="1" xfId="2" applyNumberFormat="1" applyFont="1" applyFill="1" applyBorder="1" applyAlignment="1">
      <alignment horizontal="right" vertical="center"/>
    </xf>
    <xf numFmtId="3" fontId="3" fillId="0" borderId="1" xfId="2" applyNumberFormat="1" applyFont="1" applyFill="1" applyBorder="1" applyAlignment="1">
      <alignment horizontal="center" vertical="center" wrapText="1"/>
    </xf>
    <xf numFmtId="3" fontId="2" fillId="0" borderId="1" xfId="2" applyNumberFormat="1" applyFont="1" applyBorder="1" applyAlignment="1" applyProtection="1">
      <alignment horizontal="center" vertical="center" wrapText="1"/>
      <protection locked="0"/>
    </xf>
    <xf numFmtId="3" fontId="2" fillId="0" borderId="1" xfId="2" applyNumberFormat="1" applyFont="1" applyFill="1" applyBorder="1" applyAlignment="1">
      <alignment horizontal="right" vertical="center"/>
    </xf>
    <xf numFmtId="3" fontId="2" fillId="0" borderId="4" xfId="2" applyNumberFormat="1" applyFont="1" applyBorder="1" applyAlignment="1" applyProtection="1">
      <alignment horizontal="center" vertical="center" wrapText="1"/>
      <protection locked="0"/>
    </xf>
    <xf numFmtId="0" fontId="2" fillId="0" borderId="0" xfId="2" applyFont="1" applyBorder="1" applyAlignment="1">
      <alignment wrapText="1"/>
    </xf>
    <xf numFmtId="3" fontId="2" fillId="0" borderId="64" xfId="2" applyNumberFormat="1" applyFont="1" applyBorder="1" applyAlignment="1" applyProtection="1">
      <alignment vertical="center" wrapText="1"/>
      <protection locked="0"/>
    </xf>
    <xf numFmtId="0" fontId="2" fillId="0" borderId="0" xfId="13" applyFont="1" applyBorder="1" applyAlignment="1"/>
    <xf numFmtId="0" fontId="7" fillId="0" borderId="0" xfId="13" applyFont="1" applyBorder="1" applyAlignment="1"/>
    <xf numFmtId="3" fontId="2" fillId="0" borderId="0" xfId="2" applyNumberFormat="1" applyFont="1" applyBorder="1" applyAlignment="1" applyProtection="1">
      <alignment vertical="center" wrapText="1"/>
      <protection locked="0"/>
    </xf>
    <xf numFmtId="0" fontId="3" fillId="0" borderId="0" xfId="13" applyFont="1" applyBorder="1" applyAlignment="1"/>
    <xf numFmtId="3" fontId="7" fillId="0" borderId="1" xfId="2" applyNumberFormat="1" applyFont="1" applyFill="1" applyBorder="1" applyAlignment="1">
      <alignment horizontal="right" vertical="center" wrapText="1"/>
    </xf>
    <xf numFmtId="3" fontId="2" fillId="0" borderId="0" xfId="2" applyNumberFormat="1" applyFont="1" applyBorder="1" applyAlignment="1">
      <alignment wrapText="1"/>
    </xf>
    <xf numFmtId="3" fontId="2" fillId="0" borderId="4" xfId="2" applyNumberFormat="1" applyFont="1" applyFill="1" applyBorder="1" applyAlignment="1">
      <alignment horizontal="right" vertical="center"/>
    </xf>
    <xf numFmtId="3" fontId="2" fillId="2" borderId="4" xfId="2" applyNumberFormat="1" applyFont="1" applyFill="1" applyBorder="1" applyAlignment="1">
      <alignment horizontal="right" vertical="center"/>
    </xf>
    <xf numFmtId="3" fontId="3" fillId="0" borderId="4" xfId="2" applyNumberFormat="1" applyFont="1" applyFill="1" applyBorder="1" applyAlignment="1">
      <alignment horizontal="center" vertical="center" wrapText="1"/>
    </xf>
    <xf numFmtId="3" fontId="7" fillId="0" borderId="4" xfId="13" applyNumberFormat="1" applyFont="1" applyFill="1" applyBorder="1" applyAlignment="1">
      <alignment horizontal="right" vertical="center" wrapText="1"/>
    </xf>
    <xf numFmtId="3" fontId="7" fillId="0" borderId="1" xfId="13" applyNumberFormat="1" applyFont="1" applyFill="1" applyBorder="1" applyAlignment="1">
      <alignment horizontal="right" vertical="center" wrapText="1"/>
    </xf>
    <xf numFmtId="0" fontId="2" fillId="0" borderId="64" xfId="2" applyFont="1" applyBorder="1"/>
    <xf numFmtId="3" fontId="2" fillId="0" borderId="64" xfId="2" applyNumberFormat="1" applyFont="1" applyBorder="1"/>
    <xf numFmtId="0" fontId="2" fillId="6" borderId="0" xfId="2" applyFont="1" applyFill="1" applyBorder="1" applyAlignment="1" applyProtection="1">
      <alignment vertical="center"/>
    </xf>
    <xf numFmtId="0" fontId="2" fillId="0" borderId="0" xfId="2" applyFont="1" applyBorder="1"/>
    <xf numFmtId="0" fontId="2" fillId="0" borderId="0" xfId="2" applyFont="1" applyFill="1" applyBorder="1" applyAlignment="1" applyProtection="1">
      <alignment vertical="center"/>
      <protection locked="0"/>
    </xf>
    <xf numFmtId="3" fontId="3" fillId="0" borderId="1" xfId="2" applyNumberFormat="1" applyFont="1" applyFill="1" applyBorder="1" applyAlignment="1">
      <alignment horizontal="center" vertical="center"/>
    </xf>
    <xf numFmtId="3" fontId="7" fillId="0" borderId="1" xfId="13" applyNumberFormat="1" applyFont="1" applyFill="1" applyBorder="1" applyAlignment="1">
      <alignment horizontal="center" vertical="center" wrapText="1"/>
    </xf>
    <xf numFmtId="3" fontId="2" fillId="2" borderId="1" xfId="2" applyNumberFormat="1" applyFont="1" applyFill="1" applyBorder="1" applyAlignment="1" applyProtection="1">
      <alignment horizontal="right" vertical="center" wrapText="1"/>
      <protection locked="0"/>
    </xf>
    <xf numFmtId="0" fontId="2" fillId="0" borderId="0" xfId="2" applyFont="1" applyBorder="1" applyAlignment="1" applyProtection="1">
      <alignment wrapText="1"/>
      <protection locked="0"/>
    </xf>
    <xf numFmtId="0" fontId="7" fillId="0" borderId="0" xfId="2" applyFont="1" applyBorder="1" applyAlignment="1">
      <alignment horizontal="left" vertical="center" wrapText="1"/>
    </xf>
    <xf numFmtId="3" fontId="2" fillId="0" borderId="0" xfId="2" applyNumberFormat="1" applyFont="1" applyBorder="1" applyAlignment="1" applyProtection="1">
      <alignment wrapText="1"/>
      <protection locked="0"/>
    </xf>
    <xf numFmtId="0" fontId="2" fillId="0" borderId="0" xfId="13" applyFont="1" applyBorder="1" applyAlignment="1">
      <alignment vertical="center"/>
    </xf>
    <xf numFmtId="0" fontId="7" fillId="0" borderId="0" xfId="13" applyFont="1" applyBorder="1" applyAlignment="1">
      <alignment vertical="center"/>
    </xf>
    <xf numFmtId="0" fontId="2" fillId="0" borderId="1" xfId="2" applyFont="1" applyBorder="1" applyAlignment="1" applyProtection="1">
      <alignment horizontal="center" vertical="center"/>
      <protection locked="0"/>
    </xf>
    <xf numFmtId="0" fontId="2" fillId="0" borderId="64" xfId="2" applyFont="1" applyBorder="1" applyAlignment="1" applyProtection="1">
      <alignment wrapText="1"/>
      <protection locked="0"/>
    </xf>
    <xf numFmtId="3" fontId="2" fillId="0" borderId="64" xfId="2" applyNumberFormat="1" applyFont="1" applyBorder="1" applyAlignment="1" applyProtection="1">
      <alignment horizontal="right" wrapText="1"/>
      <protection locked="0"/>
    </xf>
    <xf numFmtId="3" fontId="2" fillId="0" borderId="64" xfId="2" applyNumberFormat="1" applyFont="1" applyBorder="1" applyAlignment="1" applyProtection="1">
      <alignment wrapText="1"/>
      <protection locked="0"/>
    </xf>
    <xf numFmtId="3" fontId="2" fillId="0" borderId="64" xfId="2" applyNumberFormat="1" applyFont="1" applyBorder="1" applyAlignment="1" applyProtection="1">
      <alignment horizontal="right" vertical="center" wrapText="1"/>
      <protection locked="0"/>
    </xf>
    <xf numFmtId="0" fontId="2" fillId="0" borderId="1" xfId="2" applyFont="1" applyBorder="1" applyAlignment="1" applyProtection="1">
      <alignment horizontal="center" vertical="center" wrapText="1"/>
      <protection locked="0"/>
    </xf>
    <xf numFmtId="0" fontId="2" fillId="0" borderId="0" xfId="2" applyFont="1" applyBorder="1" applyAlignment="1" applyProtection="1">
      <alignment horizontal="center" vertical="center" wrapText="1"/>
      <protection locked="0"/>
    </xf>
    <xf numFmtId="0" fontId="2" fillId="0" borderId="0" xfId="2" applyFont="1" applyBorder="1" applyAlignment="1" applyProtection="1">
      <alignment horizontal="left" wrapText="1"/>
      <protection locked="0"/>
    </xf>
    <xf numFmtId="3" fontId="2" fillId="0" borderId="0" xfId="2" applyNumberFormat="1" applyFont="1" applyBorder="1" applyAlignment="1" applyProtection="1">
      <alignment horizontal="center" vertical="center" wrapText="1"/>
      <protection locked="0"/>
    </xf>
    <xf numFmtId="3" fontId="2" fillId="0" borderId="1" xfId="13" applyNumberFormat="1" applyFont="1" applyFill="1" applyBorder="1" applyAlignment="1">
      <alignment horizontal="right" vertical="center" wrapText="1"/>
    </xf>
    <xf numFmtId="3" fontId="2" fillId="2" borderId="1" xfId="13" applyNumberFormat="1" applyFont="1" applyFill="1" applyBorder="1" applyAlignment="1">
      <alignment horizontal="right" vertical="center" wrapText="1"/>
    </xf>
    <xf numFmtId="3" fontId="3" fillId="0" borderId="1" xfId="13" applyNumberFormat="1" applyFont="1" applyBorder="1" applyAlignment="1">
      <alignment horizontal="center" vertical="center" wrapText="1"/>
    </xf>
    <xf numFmtId="3" fontId="7" fillId="0" borderId="1" xfId="13" applyNumberFormat="1" applyFont="1" applyBorder="1" applyAlignment="1">
      <alignment horizontal="right" vertical="center" wrapText="1"/>
    </xf>
    <xf numFmtId="3" fontId="2" fillId="0" borderId="0" xfId="2" applyNumberFormat="1" applyFont="1"/>
    <xf numFmtId="3" fontId="2" fillId="0" borderId="1" xfId="2" applyNumberFormat="1" applyFont="1" applyBorder="1" applyAlignment="1">
      <alignment horizontal="right" vertical="center" wrapText="1"/>
    </xf>
    <xf numFmtId="3" fontId="2" fillId="0" borderId="1" xfId="13" applyNumberFormat="1" applyFont="1" applyFill="1" applyBorder="1" applyAlignment="1">
      <alignment horizontal="center" vertical="center" wrapText="1"/>
    </xf>
    <xf numFmtId="3" fontId="2" fillId="0" borderId="1" xfId="2" applyNumberFormat="1" applyFont="1" applyFill="1" applyBorder="1" applyAlignment="1">
      <alignment horizontal="right" vertical="center" wrapText="1"/>
    </xf>
    <xf numFmtId="3" fontId="2" fillId="2" borderId="1" xfId="2" applyNumberFormat="1" applyFont="1" applyFill="1" applyBorder="1" applyAlignment="1">
      <alignment horizontal="right" vertical="center" wrapText="1"/>
    </xf>
    <xf numFmtId="3" fontId="2" fillId="0" borderId="1" xfId="4" applyNumberFormat="1" applyFont="1" applyBorder="1" applyAlignment="1">
      <alignment horizontal="right" vertical="center"/>
    </xf>
    <xf numFmtId="3" fontId="2" fillId="2" borderId="1" xfId="4" applyNumberFormat="1" applyFont="1" applyFill="1" applyBorder="1" applyAlignment="1">
      <alignment horizontal="right" vertical="center"/>
    </xf>
    <xf numFmtId="3" fontId="3" fillId="0" borderId="1" xfId="4" applyNumberFormat="1" applyFont="1" applyBorder="1" applyAlignment="1">
      <alignment horizontal="center" vertical="center"/>
    </xf>
    <xf numFmtId="0" fontId="2" fillId="0" borderId="64" xfId="2" applyFont="1" applyBorder="1" applyAlignment="1" applyProtection="1">
      <alignment horizontal="center" vertical="center" wrapText="1"/>
      <protection locked="0"/>
    </xf>
    <xf numFmtId="0" fontId="2" fillId="0" borderId="0" xfId="4" applyFont="1" applyBorder="1" applyAlignment="1">
      <alignment horizontal="left" wrapText="1"/>
    </xf>
    <xf numFmtId="3" fontId="2" fillId="0" borderId="0" xfId="4" applyNumberFormat="1" applyFont="1" applyBorder="1" applyAlignment="1">
      <alignment horizontal="right" vertical="center"/>
    </xf>
    <xf numFmtId="3" fontId="2" fillId="2" borderId="0" xfId="4" applyNumberFormat="1" applyFont="1" applyFill="1" applyBorder="1" applyAlignment="1">
      <alignment horizontal="right" vertical="center"/>
    </xf>
    <xf numFmtId="3" fontId="3" fillId="0" borderId="0" xfId="4" applyNumberFormat="1" applyFont="1" applyBorder="1" applyAlignment="1">
      <alignment horizontal="center" vertical="center"/>
    </xf>
    <xf numFmtId="3" fontId="2" fillId="0" borderId="0" xfId="13" applyNumberFormat="1" applyFont="1" applyFill="1" applyBorder="1" applyAlignment="1">
      <alignment horizontal="right" vertical="center" wrapText="1"/>
    </xf>
    <xf numFmtId="3" fontId="2" fillId="0" borderId="0" xfId="13" applyNumberFormat="1" applyFont="1" applyFill="1" applyBorder="1" applyAlignment="1">
      <alignment horizontal="center" vertical="center" wrapText="1"/>
    </xf>
    <xf numFmtId="0" fontId="12" fillId="0" borderId="0" xfId="13" applyFont="1" applyAlignment="1"/>
    <xf numFmtId="0" fontId="2" fillId="0" borderId="0" xfId="13" applyFont="1" applyAlignment="1"/>
    <xf numFmtId="0" fontId="2" fillId="0" borderId="0" xfId="13" applyFont="1" applyFill="1" applyBorder="1" applyAlignment="1"/>
    <xf numFmtId="0" fontId="2" fillId="2" borderId="0" xfId="13" applyFont="1" applyFill="1" applyBorder="1" applyAlignment="1"/>
    <xf numFmtId="0" fontId="2" fillId="0" borderId="1" xfId="4" applyFont="1" applyBorder="1" applyAlignment="1">
      <alignment horizontal="center" vertical="center" wrapText="1"/>
    </xf>
    <xf numFmtId="3" fontId="3" fillId="0" borderId="1" xfId="2" applyNumberFormat="1" applyFont="1" applyFill="1" applyBorder="1" applyAlignment="1">
      <alignment horizontal="center" wrapText="1"/>
    </xf>
    <xf numFmtId="3" fontId="3" fillId="0" borderId="1" xfId="2" applyNumberFormat="1" applyFont="1" applyBorder="1" applyAlignment="1">
      <alignment horizontal="center" wrapText="1"/>
    </xf>
    <xf numFmtId="3" fontId="3" fillId="2" borderId="1" xfId="2" applyNumberFormat="1" applyFont="1" applyFill="1" applyBorder="1" applyAlignment="1">
      <alignment horizontal="center" vertical="center" wrapText="1"/>
    </xf>
    <xf numFmtId="3" fontId="3" fillId="0" borderId="1" xfId="2" applyNumberFormat="1" applyFont="1" applyBorder="1" applyAlignment="1">
      <alignment horizontal="center" vertical="center" wrapText="1"/>
    </xf>
    <xf numFmtId="0" fontId="2" fillId="0" borderId="0" xfId="2" applyFont="1" applyBorder="1" applyAlignment="1">
      <alignment horizontal="left" vertical="center" wrapText="1"/>
    </xf>
    <xf numFmtId="3" fontId="2" fillId="0" borderId="0" xfId="2" applyNumberFormat="1" applyFont="1" applyFill="1" applyBorder="1" applyAlignment="1">
      <alignment horizontal="right" vertical="center" wrapText="1"/>
    </xf>
    <xf numFmtId="3" fontId="2" fillId="2" borderId="0" xfId="2" applyNumberFormat="1" applyFont="1" applyFill="1" applyBorder="1" applyAlignment="1">
      <alignment horizontal="right" vertical="center" wrapText="1"/>
    </xf>
    <xf numFmtId="3" fontId="3" fillId="0" borderId="0" xfId="2" applyNumberFormat="1" applyFont="1" applyBorder="1" applyAlignment="1">
      <alignment horizontal="center" vertical="center" wrapText="1"/>
    </xf>
    <xf numFmtId="3" fontId="2" fillId="0" borderId="0" xfId="2" applyNumberFormat="1" applyFont="1" applyBorder="1" applyAlignment="1">
      <alignment horizontal="right" vertical="center" wrapText="1"/>
    </xf>
    <xf numFmtId="0" fontId="2" fillId="0" borderId="0" xfId="4" applyFont="1" applyBorder="1" applyAlignment="1">
      <alignment horizontal="center" vertical="center" wrapText="1"/>
    </xf>
    <xf numFmtId="0" fontId="2" fillId="0" borderId="0" xfId="2" quotePrefix="1" applyFont="1" applyFill="1"/>
    <xf numFmtId="0" fontId="2" fillId="0" borderId="0" xfId="4" applyFont="1"/>
    <xf numFmtId="0" fontId="2" fillId="0" borderId="0" xfId="13" applyFont="1"/>
    <xf numFmtId="0" fontId="7" fillId="0" borderId="0" xfId="13" applyFont="1"/>
    <xf numFmtId="3" fontId="3" fillId="0" borderId="1" xfId="2" applyNumberFormat="1" applyFont="1" applyBorder="1" applyAlignment="1">
      <alignment horizontal="right" vertical="center" wrapText="1"/>
    </xf>
    <xf numFmtId="3" fontId="7" fillId="0" borderId="1" xfId="6" applyNumberFormat="1" applyFont="1" applyFill="1" applyBorder="1" applyAlignment="1">
      <alignment horizontal="right" vertical="center"/>
    </xf>
    <xf numFmtId="3" fontId="2" fillId="0" borderId="1" xfId="6" applyNumberFormat="1" applyFont="1" applyBorder="1" applyAlignment="1">
      <alignment horizontal="right" vertical="center"/>
    </xf>
    <xf numFmtId="3" fontId="3" fillId="0" borderId="1" xfId="6" applyNumberFormat="1" applyFont="1" applyFill="1" applyBorder="1" applyAlignment="1">
      <alignment horizontal="center" vertical="center"/>
    </xf>
    <xf numFmtId="0" fontId="2" fillId="0" borderId="1" xfId="6" applyFont="1" applyBorder="1" applyAlignment="1">
      <alignment horizontal="center" vertical="center" wrapText="1"/>
    </xf>
    <xf numFmtId="0" fontId="2" fillId="0" borderId="0" xfId="6" applyFont="1"/>
    <xf numFmtId="0" fontId="3" fillId="0" borderId="0" xfId="6" applyNumberFormat="1" applyFont="1"/>
    <xf numFmtId="3" fontId="2" fillId="0" borderId="1" xfId="6" applyNumberFormat="1" applyFont="1" applyBorder="1" applyAlignment="1" applyProtection="1">
      <alignment horizontal="right" vertical="center" wrapText="1"/>
      <protection locked="0"/>
    </xf>
    <xf numFmtId="3" fontId="2" fillId="2" borderId="1" xfId="6" applyNumberFormat="1" applyFont="1" applyFill="1" applyBorder="1" applyAlignment="1">
      <alignment horizontal="right" vertical="center"/>
    </xf>
    <xf numFmtId="3" fontId="3" fillId="2" borderId="1" xfId="6" applyNumberFormat="1" applyFont="1" applyFill="1" applyBorder="1" applyAlignment="1" applyProtection="1">
      <alignment horizontal="center" vertical="center" wrapText="1"/>
      <protection locked="0"/>
    </xf>
    <xf numFmtId="3" fontId="27" fillId="0" borderId="1" xfId="6" applyNumberFormat="1" applyFont="1" applyBorder="1" applyAlignment="1" applyProtection="1">
      <alignment horizontal="right" vertical="center" wrapText="1"/>
      <protection locked="0"/>
    </xf>
    <xf numFmtId="3" fontId="2" fillId="0" borderId="1" xfId="6" applyNumberFormat="1" applyFont="1" applyFill="1" applyBorder="1" applyAlignment="1">
      <alignment horizontal="right" vertical="center"/>
    </xf>
    <xf numFmtId="0" fontId="2" fillId="2" borderId="1" xfId="6" applyFont="1" applyFill="1" applyBorder="1" applyAlignment="1">
      <alignment horizontal="center" vertical="center" wrapText="1"/>
    </xf>
    <xf numFmtId="3" fontId="3" fillId="0" borderId="1" xfId="6" applyNumberFormat="1" applyFont="1" applyFill="1" applyBorder="1" applyAlignment="1" applyProtection="1">
      <alignment horizontal="center" vertical="center" wrapText="1"/>
      <protection locked="0"/>
    </xf>
    <xf numFmtId="0" fontId="3" fillId="0" borderId="0" xfId="6" applyFont="1"/>
    <xf numFmtId="3" fontId="27" fillId="0" borderId="1" xfId="2" applyNumberFormat="1" applyFont="1" applyBorder="1" applyAlignment="1" applyProtection="1">
      <alignment horizontal="right" vertical="center" wrapText="1"/>
      <protection locked="0"/>
    </xf>
    <xf numFmtId="3" fontId="26" fillId="0" borderId="1" xfId="2" applyNumberFormat="1" applyFont="1" applyBorder="1" applyAlignment="1" applyProtection="1">
      <alignment horizontal="right" vertical="center" wrapText="1"/>
      <protection locked="0"/>
    </xf>
    <xf numFmtId="3" fontId="2" fillId="0" borderId="10" xfId="6" applyNumberFormat="1" applyFont="1" applyBorder="1" applyAlignment="1" applyProtection="1">
      <alignment vertical="center" wrapText="1"/>
      <protection locked="0"/>
    </xf>
    <xf numFmtId="3" fontId="2" fillId="0" borderId="1" xfId="6" applyNumberFormat="1" applyFont="1" applyBorder="1" applyAlignment="1">
      <alignment vertical="center"/>
    </xf>
    <xf numFmtId="0" fontId="2" fillId="0" borderId="1" xfId="6" applyFont="1" applyBorder="1" applyAlignment="1">
      <alignment horizontal="right" vertical="center"/>
    </xf>
    <xf numFmtId="3" fontId="2" fillId="2" borderId="1" xfId="6" applyNumberFormat="1" applyFont="1" applyFill="1" applyBorder="1" applyAlignment="1">
      <alignment vertical="center"/>
    </xf>
    <xf numFmtId="3" fontId="2" fillId="0" borderId="1" xfId="2" applyNumberFormat="1" applyFont="1" applyBorder="1" applyAlignment="1" applyProtection="1">
      <alignment horizontal="right" vertical="center"/>
      <protection locked="0"/>
    </xf>
    <xf numFmtId="3" fontId="2" fillId="2" borderId="1" xfId="6" applyNumberFormat="1" applyFont="1" applyFill="1" applyBorder="1" applyAlignment="1" applyProtection="1">
      <alignment horizontal="right" vertical="center" wrapText="1"/>
      <protection locked="0"/>
    </xf>
    <xf numFmtId="0" fontId="2" fillId="0" borderId="1" xfId="6" applyFont="1" applyFill="1" applyBorder="1" applyAlignment="1">
      <alignment horizontal="center" vertical="center" wrapText="1"/>
    </xf>
    <xf numFmtId="0" fontId="2" fillId="0" borderId="0" xfId="2" applyFont="1" applyAlignment="1"/>
    <xf numFmtId="0" fontId="2" fillId="0" borderId="0" xfId="2" quotePrefix="1" applyFont="1" applyAlignment="1"/>
    <xf numFmtId="0" fontId="4" fillId="0" borderId="0" xfId="2" applyFont="1" applyAlignment="1">
      <alignment horizontal="left"/>
    </xf>
    <xf numFmtId="0" fontId="12" fillId="0" borderId="0" xfId="2" applyFont="1" applyAlignment="1"/>
    <xf numFmtId="3" fontId="3" fillId="0" borderId="1" xfId="2" applyNumberFormat="1" applyFont="1" applyBorder="1" applyAlignment="1">
      <alignment horizontal="left" vertical="center" wrapText="1"/>
    </xf>
    <xf numFmtId="0" fontId="3" fillId="0" borderId="1" xfId="2" applyFont="1" applyBorder="1" applyAlignment="1" applyProtection="1">
      <alignment horizontal="center" vertical="center" wrapText="1"/>
      <protection locked="0"/>
    </xf>
    <xf numFmtId="3" fontId="2" fillId="0" borderId="1" xfId="2" applyNumberFormat="1" applyFont="1" applyBorder="1" applyAlignment="1" applyProtection="1">
      <alignment horizontal="left" vertical="center" wrapText="1"/>
      <protection locked="0"/>
    </xf>
    <xf numFmtId="0" fontId="2" fillId="0" borderId="1" xfId="2" applyFont="1" applyBorder="1" applyAlignment="1" applyProtection="1">
      <alignment horizontal="left" vertical="center" wrapText="1"/>
      <protection locked="0"/>
    </xf>
    <xf numFmtId="0" fontId="2" fillId="0" borderId="1" xfId="2" applyFont="1" applyBorder="1" applyAlignment="1" applyProtection="1">
      <alignment horizontal="right" vertical="center" wrapText="1"/>
      <protection locked="0"/>
    </xf>
    <xf numFmtId="3" fontId="2" fillId="0" borderId="1" xfId="9" applyNumberFormat="1" applyFont="1" applyFill="1" applyBorder="1" applyAlignment="1">
      <alignment vertical="center"/>
    </xf>
    <xf numFmtId="3" fontId="2" fillId="0" borderId="1" xfId="2" applyNumberFormat="1" applyFont="1" applyFill="1" applyBorder="1" applyAlignment="1" applyProtection="1">
      <alignment horizontal="left" vertical="center" wrapText="1"/>
      <protection locked="0"/>
    </xf>
    <xf numFmtId="0" fontId="2" fillId="0" borderId="0" xfId="2" applyFont="1" applyFill="1"/>
    <xf numFmtId="0" fontId="2" fillId="0" borderId="0" xfId="2" applyFont="1" applyAlignment="1" applyProtection="1">
      <alignment horizontal="left"/>
      <protection locked="0"/>
    </xf>
    <xf numFmtId="3" fontId="3" fillId="0" borderId="1" xfId="2" applyNumberFormat="1" applyFont="1" applyBorder="1" applyAlignment="1" applyProtection="1">
      <alignment horizontal="center" vertical="center"/>
      <protection locked="0"/>
    </xf>
    <xf numFmtId="0" fontId="2" fillId="0" borderId="0" xfId="2" applyFont="1" applyBorder="1" applyAlignment="1"/>
    <xf numFmtId="0" fontId="2" fillId="0" borderId="0" xfId="2" applyFont="1" applyBorder="1" applyAlignment="1" applyProtection="1">
      <protection locked="0"/>
    </xf>
    <xf numFmtId="0" fontId="2" fillId="0" borderId="0" xfId="2" applyFont="1" applyBorder="1" applyAlignment="1" applyProtection="1">
      <alignment horizontal="center"/>
      <protection locked="0"/>
    </xf>
    <xf numFmtId="0" fontId="2" fillId="0" borderId="0" xfId="2" quotePrefix="1" applyFont="1" applyBorder="1" applyAlignment="1" applyProtection="1">
      <protection locked="0"/>
    </xf>
    <xf numFmtId="0" fontId="2" fillId="0" borderId="0" xfId="2" applyFont="1" applyBorder="1" applyAlignment="1" applyProtection="1">
      <alignment horizontal="center" wrapText="1"/>
      <protection locked="0"/>
    </xf>
    <xf numFmtId="0" fontId="4" fillId="0" borderId="0" xfId="2" applyFont="1" applyAlignment="1"/>
    <xf numFmtId="0" fontId="4" fillId="0" borderId="0" xfId="2" applyFont="1" applyBorder="1" applyAlignment="1">
      <alignment horizontal="center"/>
    </xf>
    <xf numFmtId="0" fontId="12" fillId="0" borderId="0" xfId="2" applyFont="1" applyBorder="1" applyAlignment="1" applyProtection="1">
      <protection locked="0"/>
    </xf>
    <xf numFmtId="49" fontId="3" fillId="0" borderId="0" xfId="2" applyNumberFormat="1" applyFont="1" applyBorder="1" applyAlignment="1" applyProtection="1">
      <protection locked="0"/>
    </xf>
    <xf numFmtId="49" fontId="2" fillId="0" borderId="0" xfId="2" applyNumberFormat="1" applyFont="1" applyBorder="1" applyAlignment="1" applyProtection="1">
      <alignment horizontal="center"/>
      <protection locked="0"/>
    </xf>
    <xf numFmtId="0" fontId="2" fillId="0" borderId="1" xfId="2" applyFont="1" applyBorder="1" applyAlignment="1">
      <alignment horizontal="center" vertical="center" wrapText="1"/>
    </xf>
    <xf numFmtId="3" fontId="3" fillId="0" borderId="1" xfId="2" applyNumberFormat="1" applyFont="1" applyFill="1" applyBorder="1" applyAlignment="1">
      <alignment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vertical="center" wrapText="1"/>
    </xf>
    <xf numFmtId="0" fontId="2" fillId="0" borderId="1" xfId="2" applyFont="1" applyFill="1" applyBorder="1" applyAlignment="1">
      <alignment vertical="center" wrapText="1"/>
    </xf>
    <xf numFmtId="3" fontId="2" fillId="0" borderId="1" xfId="2" applyNumberFormat="1" applyFont="1" applyFill="1" applyBorder="1" applyAlignment="1">
      <alignment vertical="center" wrapText="1"/>
    </xf>
    <xf numFmtId="1" fontId="2" fillId="0" borderId="1" xfId="2" applyNumberFormat="1" applyFont="1" applyFill="1" applyBorder="1" applyAlignment="1">
      <alignment vertical="center" wrapText="1"/>
    </xf>
    <xf numFmtId="4" fontId="2" fillId="0" borderId="1" xfId="2" applyNumberFormat="1" applyFont="1" applyFill="1" applyBorder="1" applyAlignment="1">
      <alignment vertical="center" wrapText="1"/>
    </xf>
    <xf numFmtId="0" fontId="2" fillId="0" borderId="0" xfId="2" applyFont="1" applyFill="1" applyBorder="1"/>
    <xf numFmtId="3" fontId="2" fillId="0" borderId="1" xfId="2" applyNumberFormat="1" applyFont="1" applyFill="1" applyBorder="1" applyAlignment="1">
      <alignment horizontal="center" vertical="center" wrapText="1"/>
    </xf>
    <xf numFmtId="49"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left" vertical="center"/>
    </xf>
    <xf numFmtId="0" fontId="2" fillId="0" borderId="1" xfId="2" applyFont="1" applyFill="1" applyBorder="1" applyAlignment="1">
      <alignment horizontal="center" vertical="center"/>
    </xf>
    <xf numFmtId="3" fontId="2" fillId="0" borderId="1" xfId="2" applyNumberFormat="1" applyFont="1" applyFill="1" applyBorder="1" applyAlignment="1">
      <alignment vertical="center"/>
    </xf>
    <xf numFmtId="1" fontId="2" fillId="0" borderId="1" xfId="2" applyNumberFormat="1" applyFont="1" applyFill="1" applyBorder="1" applyAlignment="1">
      <alignment vertical="center"/>
    </xf>
    <xf numFmtId="0" fontId="3" fillId="0" borderId="1" xfId="2" applyFont="1" applyFill="1" applyBorder="1" applyAlignment="1">
      <alignment horizontal="center" vertical="center"/>
    </xf>
    <xf numFmtId="3" fontId="2" fillId="0" borderId="0" xfId="2" applyNumberFormat="1" applyFont="1" applyBorder="1" applyAlignment="1">
      <alignment vertical="center"/>
    </xf>
    <xf numFmtId="1" fontId="2" fillId="0" borderId="0" xfId="2" applyNumberFormat="1" applyFont="1" applyFill="1" applyBorder="1" applyAlignment="1">
      <alignment vertical="center"/>
    </xf>
    <xf numFmtId="3" fontId="2" fillId="0" borderId="0" xfId="2" applyNumberFormat="1" applyFont="1" applyFill="1" applyBorder="1" applyAlignment="1">
      <alignment vertical="center"/>
    </xf>
    <xf numFmtId="0" fontId="3" fillId="0" borderId="0" xfId="2" applyFont="1" applyBorder="1" applyAlignment="1">
      <alignment vertical="center"/>
    </xf>
    <xf numFmtId="3" fontId="2" fillId="0" borderId="0" xfId="2" applyNumberFormat="1" applyFont="1" applyBorder="1" applyAlignment="1">
      <alignment vertical="center" wrapText="1"/>
    </xf>
    <xf numFmtId="0" fontId="2" fillId="0" borderId="0" xfId="2" applyFont="1" applyBorder="1" applyAlignment="1">
      <alignment horizontal="left" vertical="center"/>
    </xf>
    <xf numFmtId="0" fontId="26" fillId="0" borderId="0" xfId="2" applyFont="1" applyAlignment="1">
      <alignment horizontal="left"/>
    </xf>
    <xf numFmtId="0" fontId="2" fillId="0" borderId="0" xfId="2" applyFont="1" applyBorder="1" applyAlignment="1">
      <alignment horizontal="center" vertical="center"/>
    </xf>
    <xf numFmtId="0" fontId="2" fillId="0" borderId="0" xfId="2" applyFont="1" applyAlignment="1">
      <alignment wrapText="1"/>
    </xf>
    <xf numFmtId="0" fontId="26" fillId="0" borderId="0" xfId="2" applyFont="1"/>
    <xf numFmtId="3" fontId="28" fillId="0" borderId="0" xfId="2" applyNumberFormat="1" applyFont="1"/>
    <xf numFmtId="3" fontId="2" fillId="0" borderId="1" xfId="2" applyNumberFormat="1" applyFont="1" applyFill="1" applyBorder="1" applyAlignment="1" applyProtection="1">
      <alignment horizontal="center" vertical="center" wrapText="1"/>
      <protection locked="0"/>
    </xf>
    <xf numFmtId="3" fontId="2" fillId="0" borderId="4" xfId="2" applyNumberFormat="1" applyFont="1" applyFill="1" applyBorder="1" applyAlignment="1" applyProtection="1">
      <alignment horizontal="center" vertical="center" wrapText="1"/>
      <protection locked="0"/>
    </xf>
    <xf numFmtId="0" fontId="2" fillId="0" borderId="0" xfId="2" applyFont="1" applyBorder="1" applyAlignment="1">
      <alignment horizontal="left"/>
    </xf>
    <xf numFmtId="0" fontId="2" fillId="0" borderId="0" xfId="2" applyFont="1" applyBorder="1" applyAlignment="1">
      <alignment horizontal="center" vertical="center" wrapText="1"/>
    </xf>
    <xf numFmtId="3" fontId="3" fillId="0" borderId="0" xfId="2" applyNumberFormat="1" applyFont="1" applyBorder="1" applyAlignment="1">
      <alignment wrapText="1"/>
    </xf>
    <xf numFmtId="0" fontId="2" fillId="0" borderId="0" xfId="2" applyFont="1" applyBorder="1" applyProtection="1">
      <protection locked="0"/>
    </xf>
    <xf numFmtId="3" fontId="2" fillId="0" borderId="0" xfId="2" applyNumberFormat="1" applyFont="1" applyBorder="1" applyAlignment="1" applyProtection="1">
      <alignment horizontal="left"/>
      <protection locked="0"/>
    </xf>
    <xf numFmtId="3" fontId="2" fillId="0" borderId="0" xfId="2" applyNumberFormat="1" applyFont="1" applyBorder="1"/>
    <xf numFmtId="3" fontId="3" fillId="0" borderId="0" xfId="2" applyNumberFormat="1" applyFont="1" applyBorder="1"/>
    <xf numFmtId="1" fontId="3" fillId="0" borderId="0" xfId="2" applyNumberFormat="1" applyFont="1" applyBorder="1"/>
    <xf numFmtId="0" fontId="2" fillId="0" borderId="1" xfId="2" applyFont="1" applyBorder="1" applyAlignment="1" applyProtection="1">
      <alignment vertical="center"/>
      <protection locked="0"/>
    </xf>
    <xf numFmtId="3" fontId="2" fillId="0" borderId="1" xfId="2" applyNumberFormat="1" applyFont="1" applyBorder="1" applyAlignment="1" applyProtection="1">
      <alignment horizontal="left" vertical="center"/>
      <protection locked="0"/>
    </xf>
    <xf numFmtId="0" fontId="2" fillId="0" borderId="65" xfId="2" applyFont="1" applyBorder="1" applyAlignment="1">
      <alignment horizontal="left" vertical="center"/>
    </xf>
    <xf numFmtId="3" fontId="2" fillId="0" borderId="0" xfId="2" applyNumberFormat="1" applyFont="1" applyAlignment="1">
      <alignment vertical="center"/>
    </xf>
    <xf numFmtId="0" fontId="2" fillId="0" borderId="0" xfId="2" applyFont="1" applyAlignment="1">
      <alignment horizontal="left" wrapText="1"/>
    </xf>
    <xf numFmtId="0" fontId="2" fillId="0" borderId="1"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protection locked="0"/>
    </xf>
    <xf numFmtId="3" fontId="2" fillId="0" borderId="1" xfId="2" applyNumberFormat="1" applyFont="1" applyFill="1" applyBorder="1" applyAlignment="1" applyProtection="1">
      <alignment vertical="center"/>
      <protection locked="0"/>
    </xf>
    <xf numFmtId="0" fontId="2" fillId="0" borderId="4" xfId="2" applyFont="1" applyFill="1" applyBorder="1" applyAlignment="1" applyProtection="1">
      <alignment horizontal="center" vertical="center"/>
      <protection locked="0"/>
    </xf>
    <xf numFmtId="0" fontId="2" fillId="0" borderId="4" xfId="2" applyFont="1" applyFill="1" applyBorder="1" applyAlignment="1" applyProtection="1">
      <alignment horizontal="center" vertical="center" wrapText="1"/>
      <protection locked="0"/>
    </xf>
    <xf numFmtId="0" fontId="2" fillId="0" borderId="0" xfId="2" applyFont="1" applyAlignment="1">
      <alignment horizontal="center" vertical="center"/>
    </xf>
    <xf numFmtId="0" fontId="2" fillId="0" borderId="0" xfId="2" applyFont="1" applyAlignment="1" applyProtection="1">
      <alignment horizontal="center" vertical="center"/>
      <protection locked="0"/>
    </xf>
    <xf numFmtId="3" fontId="2" fillId="2" borderId="1" xfId="2" applyNumberFormat="1" applyFont="1" applyFill="1" applyBorder="1" applyAlignment="1" applyProtection="1">
      <alignment horizontal="center" vertical="center" wrapText="1"/>
      <protection locked="0"/>
    </xf>
    <xf numFmtId="3" fontId="3" fillId="0" borderId="4" xfId="2" applyNumberFormat="1" applyFont="1" applyFill="1" applyBorder="1" applyAlignment="1" applyProtection="1">
      <alignment horizontal="center" vertical="center" wrapText="1"/>
      <protection locked="0"/>
    </xf>
    <xf numFmtId="0" fontId="3" fillId="0" borderId="0" xfId="2" applyFont="1" applyBorder="1" applyAlignment="1">
      <alignment wrapText="1"/>
    </xf>
    <xf numFmtId="0" fontId="29" fillId="2" borderId="1" xfId="2" applyFont="1" applyFill="1" applyBorder="1" applyAlignment="1">
      <alignment horizontal="left" vertical="center" wrapText="1"/>
    </xf>
    <xf numFmtId="3" fontId="3" fillId="0" borderId="1" xfId="2" applyNumberFormat="1" applyFont="1" applyFill="1" applyBorder="1" applyAlignment="1" applyProtection="1">
      <alignment vertical="center" wrapText="1"/>
      <protection locked="0"/>
    </xf>
    <xf numFmtId="3" fontId="2" fillId="2" borderId="3" xfId="2" applyNumberFormat="1" applyFont="1" applyFill="1" applyBorder="1" applyAlignment="1" applyProtection="1">
      <alignment horizontal="left" vertical="center" wrapText="1"/>
      <protection locked="0"/>
    </xf>
    <xf numFmtId="3" fontId="2" fillId="2" borderId="1" xfId="2" applyNumberFormat="1" applyFont="1" applyFill="1" applyBorder="1" applyAlignment="1" applyProtection="1">
      <alignment horizontal="left" vertical="center" wrapText="1"/>
      <protection locked="0"/>
    </xf>
    <xf numFmtId="3" fontId="3" fillId="0" borderId="1" xfId="2" applyNumberFormat="1" applyFont="1" applyBorder="1" applyAlignment="1" applyProtection="1">
      <alignment horizontal="right" vertical="center"/>
      <protection locked="0"/>
    </xf>
    <xf numFmtId="3" fontId="3" fillId="0" borderId="1" xfId="2" applyNumberFormat="1" applyFont="1" applyBorder="1" applyAlignment="1" applyProtection="1">
      <alignment horizontal="right" vertical="center" wrapText="1"/>
      <protection locked="0"/>
    </xf>
    <xf numFmtId="0" fontId="30" fillId="0" borderId="0" xfId="2" applyFont="1" applyAlignment="1">
      <alignment horizontal="left"/>
    </xf>
    <xf numFmtId="0" fontId="2" fillId="0" borderId="0" xfId="1" applyFont="1" applyBorder="1"/>
    <xf numFmtId="0" fontId="2" fillId="0" borderId="0" xfId="1" applyFont="1" applyBorder="1" applyAlignment="1"/>
    <xf numFmtId="0" fontId="2" fillId="0" borderId="0" xfId="1" applyFont="1"/>
    <xf numFmtId="0" fontId="2" fillId="0" borderId="0" xfId="1" applyFont="1" applyBorder="1" applyAlignment="1" applyProtection="1">
      <protection locked="0"/>
    </xf>
    <xf numFmtId="0" fontId="2" fillId="0" borderId="0" xfId="1" applyFont="1" applyBorder="1" applyAlignment="1" applyProtection="1">
      <alignment horizontal="center"/>
      <protection locked="0"/>
    </xf>
    <xf numFmtId="0" fontId="2" fillId="0" borderId="0" xfId="1" applyFont="1" applyBorder="1" applyAlignment="1" applyProtection="1">
      <alignment wrapText="1"/>
      <protection locked="0"/>
    </xf>
    <xf numFmtId="0" fontId="2" fillId="0" borderId="0" xfId="1" applyFont="1" applyBorder="1" applyAlignment="1" applyProtection="1">
      <alignment horizontal="left" vertical="center" wrapText="1"/>
      <protection locked="0"/>
    </xf>
    <xf numFmtId="0" fontId="2" fillId="0" borderId="0" xfId="1" applyFont="1" applyBorder="1" applyAlignment="1" applyProtection="1">
      <alignment horizontal="center" wrapText="1"/>
      <protection locked="0"/>
    </xf>
    <xf numFmtId="0" fontId="4" fillId="0" borderId="0" xfId="1" applyFont="1" applyBorder="1" applyAlignment="1">
      <alignment vertical="center"/>
    </xf>
    <xf numFmtId="0" fontId="4" fillId="0" borderId="0" xfId="1" applyFont="1" applyBorder="1" applyAlignment="1"/>
    <xf numFmtId="0" fontId="12" fillId="0" borderId="0" xfId="1" applyFont="1" applyBorder="1" applyAlignment="1" applyProtection="1">
      <protection locked="0"/>
    </xf>
    <xf numFmtId="0" fontId="2" fillId="0" borderId="0" xfId="1" quotePrefix="1" applyFont="1" applyBorder="1" applyAlignment="1" applyProtection="1">
      <protection locked="0"/>
    </xf>
    <xf numFmtId="0" fontId="2" fillId="0" borderId="65" xfId="1" applyFont="1" applyBorder="1"/>
    <xf numFmtId="49" fontId="3" fillId="0" borderId="65" xfId="1" applyNumberFormat="1" applyFont="1" applyBorder="1" applyAlignment="1" applyProtection="1">
      <protection locked="0"/>
    </xf>
    <xf numFmtId="49" fontId="2" fillId="0" borderId="0" xfId="1" applyNumberFormat="1" applyFont="1" applyBorder="1" applyAlignment="1" applyProtection="1">
      <alignment horizontal="center"/>
      <protection locked="0"/>
    </xf>
    <xf numFmtId="0" fontId="2" fillId="0" borderId="1" xfId="1" applyFont="1" applyBorder="1" applyAlignment="1">
      <alignment horizontal="center" wrapText="1"/>
    </xf>
    <xf numFmtId="0" fontId="2" fillId="0" borderId="1" xfId="1" applyFont="1" applyFill="1" applyBorder="1" applyAlignment="1">
      <alignment horizontal="center" wrapText="1"/>
    </xf>
    <xf numFmtId="0" fontId="2" fillId="0" borderId="1" xfId="1" applyFont="1" applyBorder="1" applyAlignment="1">
      <alignment horizontal="center" vertical="center" wrapText="1"/>
    </xf>
    <xf numFmtId="0" fontId="3" fillId="0" borderId="1" xfId="1" applyFont="1" applyBorder="1" applyAlignment="1">
      <alignment wrapText="1"/>
    </xf>
    <xf numFmtId="0" fontId="3" fillId="0" borderId="1" xfId="1" applyFont="1" applyFill="1" applyBorder="1" applyAlignment="1">
      <alignment wrapText="1"/>
    </xf>
    <xf numFmtId="3" fontId="3" fillId="0" borderId="1" xfId="1" applyNumberFormat="1" applyFont="1" applyBorder="1" applyAlignment="1">
      <alignment wrapText="1"/>
    </xf>
    <xf numFmtId="0" fontId="3" fillId="0" borderId="1" xfId="1" applyFont="1" applyBorder="1" applyAlignment="1">
      <alignment horizontal="right" vertical="center" wrapText="1"/>
    </xf>
    <xf numFmtId="3" fontId="3" fillId="0" borderId="1" xfId="1" applyNumberFormat="1" applyFont="1" applyBorder="1" applyAlignment="1">
      <alignment horizontal="right" vertical="center" wrapText="1"/>
    </xf>
    <xf numFmtId="0" fontId="2" fillId="0" borderId="1" xfId="1" applyFont="1" applyBorder="1" applyAlignment="1">
      <alignment wrapText="1"/>
    </xf>
    <xf numFmtId="0" fontId="2" fillId="0" borderId="1" xfId="1" applyFont="1" applyFill="1" applyBorder="1" applyAlignment="1">
      <alignment wrapText="1"/>
    </xf>
    <xf numFmtId="3" fontId="2" fillId="0" borderId="1" xfId="1" applyNumberFormat="1" applyFont="1" applyBorder="1" applyAlignment="1">
      <alignment wrapText="1"/>
    </xf>
    <xf numFmtId="0" fontId="3" fillId="0" borderId="1" xfId="1" applyFont="1" applyFill="1" applyBorder="1" applyAlignment="1">
      <alignment horizontal="righ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vertical="center" wrapText="1"/>
    </xf>
    <xf numFmtId="0" fontId="3" fillId="0" borderId="1" xfId="1" applyFont="1" applyFill="1" applyBorder="1" applyAlignment="1">
      <alignment vertical="center" wrapText="1"/>
    </xf>
    <xf numFmtId="3" fontId="3" fillId="0" borderId="1" xfId="1" applyNumberFormat="1" applyFont="1" applyBorder="1" applyAlignment="1">
      <alignment vertical="center" wrapText="1"/>
    </xf>
    <xf numFmtId="3" fontId="2" fillId="0" borderId="1" xfId="1" applyNumberFormat="1" applyFont="1" applyFill="1" applyBorder="1" applyAlignment="1">
      <alignment horizontal="center" vertical="center" wrapText="1"/>
    </xf>
    <xf numFmtId="3" fontId="2" fillId="0" borderId="1" xfId="1" applyNumberFormat="1" applyFont="1" applyBorder="1" applyAlignment="1">
      <alignment horizontal="center" wrapText="1"/>
    </xf>
    <xf numFmtId="3" fontId="3" fillId="0" borderId="1" xfId="1" applyNumberFormat="1" applyFont="1" applyFill="1" applyBorder="1" applyAlignment="1">
      <alignment wrapText="1"/>
    </xf>
    <xf numFmtId="0" fontId="3" fillId="0" borderId="1" xfId="1" applyFont="1" applyBorder="1" applyAlignment="1" applyProtection="1">
      <alignment wrapText="1"/>
      <protection locked="0"/>
    </xf>
    <xf numFmtId="0" fontId="3" fillId="0" borderId="1" xfId="1" applyFont="1" applyFill="1" applyBorder="1" applyAlignment="1" applyProtection="1">
      <alignment wrapText="1"/>
      <protection locked="0"/>
    </xf>
    <xf numFmtId="3" fontId="3" fillId="0" borderId="1" xfId="1" applyNumberFormat="1" applyFont="1" applyBorder="1" applyAlignment="1" applyProtection="1">
      <alignment wrapText="1"/>
      <protection locked="0"/>
    </xf>
    <xf numFmtId="0" fontId="2" fillId="0" borderId="1" xfId="1" applyFont="1" applyBorder="1" applyAlignment="1" applyProtection="1">
      <alignment wrapText="1"/>
      <protection locked="0"/>
    </xf>
    <xf numFmtId="0" fontId="2" fillId="0" borderId="1" xfId="1" applyFont="1" applyFill="1" applyBorder="1" applyAlignment="1" applyProtection="1">
      <alignment wrapText="1"/>
      <protection locked="0"/>
    </xf>
    <xf numFmtId="3" fontId="2" fillId="0" borderId="1" xfId="1" applyNumberFormat="1" applyFont="1" applyBorder="1" applyAlignment="1" applyProtection="1">
      <alignment wrapText="1"/>
      <protection locked="0"/>
    </xf>
    <xf numFmtId="3" fontId="2" fillId="0" borderId="1" xfId="1" applyNumberFormat="1" applyFont="1" applyBorder="1" applyProtection="1">
      <protection locked="0"/>
    </xf>
    <xf numFmtId="3" fontId="2" fillId="0" borderId="1"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3" fillId="0" borderId="1" xfId="1" applyFont="1" applyBorder="1" applyAlignment="1" applyProtection="1">
      <alignment vertical="center" wrapText="1"/>
      <protection locked="0"/>
    </xf>
    <xf numFmtId="0" fontId="3" fillId="0" borderId="1" xfId="1" applyFont="1" applyBorder="1" applyAlignment="1" applyProtection="1">
      <alignment horizontal="right" vertical="center" wrapText="1"/>
      <protection locked="0"/>
    </xf>
    <xf numFmtId="0" fontId="3" fillId="0" borderId="1" xfId="1" applyFont="1" applyFill="1" applyBorder="1" applyAlignment="1" applyProtection="1">
      <alignment horizontal="right" vertical="center" wrapText="1"/>
      <protection locked="0"/>
    </xf>
    <xf numFmtId="3" fontId="3" fillId="0" borderId="1" xfId="1" applyNumberFormat="1" applyFont="1" applyBorder="1" applyAlignment="1" applyProtection="1">
      <alignment horizontal="right" vertical="center" wrapText="1"/>
      <protection locked="0"/>
    </xf>
    <xf numFmtId="0" fontId="2" fillId="0" borderId="1" xfId="1" applyFont="1" applyBorder="1" applyAlignment="1" applyProtection="1">
      <alignment horizontal="right" vertical="center" wrapText="1"/>
      <protection locked="0"/>
    </xf>
    <xf numFmtId="0" fontId="2" fillId="0" borderId="1" xfId="1" applyFont="1" applyFill="1" applyBorder="1" applyAlignment="1" applyProtection="1">
      <alignment horizontal="right" vertical="center" wrapText="1"/>
      <protection locked="0"/>
    </xf>
    <xf numFmtId="3" fontId="2" fillId="0" borderId="1" xfId="1" applyNumberFormat="1" applyFont="1" applyBorder="1" applyAlignment="1" applyProtection="1">
      <alignment horizontal="right" vertical="center" wrapText="1"/>
      <protection locked="0"/>
    </xf>
    <xf numFmtId="3" fontId="2" fillId="0" borderId="1" xfId="1" applyNumberFormat="1" applyFont="1" applyBorder="1" applyAlignment="1" applyProtection="1">
      <alignment horizontal="right" vertical="center"/>
      <protection locked="0"/>
    </xf>
    <xf numFmtId="3" fontId="3" fillId="0" borderId="1" xfId="1" applyNumberFormat="1" applyFont="1" applyFill="1" applyBorder="1" applyAlignment="1" applyProtection="1">
      <alignment horizontal="right" vertical="center" wrapText="1"/>
      <protection locked="0"/>
    </xf>
    <xf numFmtId="3" fontId="3" fillId="0" borderId="1" xfId="1" applyNumberFormat="1" applyFont="1" applyBorder="1" applyProtection="1">
      <protection locked="0"/>
    </xf>
    <xf numFmtId="0" fontId="3" fillId="0" borderId="1" xfId="1" applyFont="1" applyFill="1" applyBorder="1" applyAlignment="1" applyProtection="1">
      <alignment vertical="center" wrapText="1"/>
      <protection locked="0"/>
    </xf>
    <xf numFmtId="3" fontId="3" fillId="0" borderId="1" xfId="1" applyNumberFormat="1" applyFont="1" applyBorder="1" applyAlignment="1" applyProtection="1">
      <alignment vertical="center" wrapText="1"/>
      <protection locked="0"/>
    </xf>
    <xf numFmtId="2" fontId="3" fillId="0" borderId="1" xfId="1" applyNumberFormat="1" applyFont="1" applyFill="1" applyBorder="1" applyAlignment="1" applyProtection="1">
      <alignment wrapText="1"/>
      <protection locked="0"/>
    </xf>
    <xf numFmtId="2" fontId="2" fillId="0" borderId="1" xfId="1" applyNumberFormat="1" applyFont="1" applyFill="1" applyBorder="1" applyAlignment="1" applyProtection="1">
      <alignment wrapText="1"/>
      <protection locked="0"/>
    </xf>
    <xf numFmtId="3" fontId="2" fillId="0" borderId="1" xfId="1" applyNumberFormat="1" applyFont="1" applyBorder="1" applyAlignment="1" applyProtection="1">
      <alignment horizontal="center" vertical="center" wrapText="1"/>
      <protection locked="0"/>
    </xf>
    <xf numFmtId="3" fontId="2" fillId="0" borderId="4" xfId="1" applyNumberFormat="1" applyFont="1" applyBorder="1" applyAlignment="1" applyProtection="1">
      <alignment horizontal="center" vertical="center" wrapText="1"/>
      <protection locked="0"/>
    </xf>
    <xf numFmtId="3" fontId="3" fillId="0" borderId="1" xfId="1" applyNumberFormat="1" applyFont="1" applyFill="1" applyBorder="1" applyAlignment="1" applyProtection="1">
      <alignment wrapText="1"/>
      <protection locked="0"/>
    </xf>
    <xf numFmtId="3" fontId="2" fillId="0" borderId="1" xfId="1" applyNumberFormat="1" applyFont="1" applyFill="1" applyBorder="1" applyAlignment="1" applyProtection="1">
      <alignment wrapText="1"/>
      <protection locked="0"/>
    </xf>
    <xf numFmtId="3" fontId="2" fillId="0" borderId="1" xfId="1" applyNumberFormat="1" applyFont="1" applyBorder="1" applyAlignment="1" applyProtection="1">
      <alignment vertical="center"/>
      <protection locked="0"/>
    </xf>
    <xf numFmtId="0" fontId="2" fillId="0" borderId="1" xfId="1" applyFont="1" applyBorder="1" applyAlignment="1" applyProtection="1">
      <alignment vertical="center" wrapText="1"/>
      <protection locked="0"/>
    </xf>
    <xf numFmtId="0" fontId="2" fillId="0" borderId="1" xfId="1" applyFont="1" applyFill="1" applyBorder="1" applyAlignment="1" applyProtection="1">
      <alignment vertical="center" wrapText="1"/>
      <protection locked="0"/>
    </xf>
    <xf numFmtId="3" fontId="2" fillId="0" borderId="1" xfId="1" applyNumberFormat="1" applyFont="1" applyBorder="1" applyAlignment="1" applyProtection="1">
      <alignment vertical="center" wrapText="1"/>
      <protection locked="0"/>
    </xf>
    <xf numFmtId="0" fontId="2" fillId="0" borderId="1" xfId="1" applyFont="1" applyBorder="1" applyAlignment="1" applyProtection="1">
      <alignment horizontal="center" vertical="center" wrapText="1"/>
      <protection locked="0"/>
    </xf>
    <xf numFmtId="3" fontId="2" fillId="0" borderId="1" xfId="1" applyNumberFormat="1" applyFont="1" applyBorder="1" applyAlignment="1" applyProtection="1">
      <alignment horizontal="center"/>
      <protection locked="0"/>
    </xf>
    <xf numFmtId="0" fontId="2" fillId="0" borderId="0" xfId="1" applyFont="1" applyBorder="1" applyAlignment="1">
      <alignment wrapText="1"/>
    </xf>
    <xf numFmtId="0" fontId="2" fillId="0" borderId="0" xfId="1" applyFont="1" applyFill="1" applyBorder="1" applyAlignment="1">
      <alignment wrapText="1"/>
    </xf>
    <xf numFmtId="0" fontId="2" fillId="0" borderId="0" xfId="1" applyFont="1" applyAlignment="1">
      <alignment horizontal="left"/>
    </xf>
    <xf numFmtId="0" fontId="2" fillId="0" borderId="0" xfId="1" applyFont="1" applyFill="1" applyBorder="1" applyAlignment="1" applyProtection="1">
      <alignment vertical="center" wrapText="1"/>
      <protection locked="0"/>
    </xf>
    <xf numFmtId="0" fontId="2" fillId="0" borderId="0" xfId="1" applyFont="1" applyFill="1" applyBorder="1"/>
    <xf numFmtId="0" fontId="2" fillId="0" borderId="0" xfId="1" applyFont="1" applyFill="1" applyBorder="1" applyAlignment="1" applyProtection="1">
      <alignment vertical="center"/>
      <protection locked="0"/>
    </xf>
    <xf numFmtId="0" fontId="2" fillId="0" borderId="0" xfId="1" applyFont="1" applyFill="1"/>
    <xf numFmtId="0" fontId="2" fillId="0" borderId="0"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wrapText="1"/>
      <protection locked="0"/>
    </xf>
    <xf numFmtId="0" fontId="2" fillId="0" borderId="0" xfId="1" applyFont="1" applyProtection="1">
      <protection locked="0"/>
    </xf>
    <xf numFmtId="0" fontId="2" fillId="0" borderId="0" xfId="1" applyFont="1" applyFill="1" applyProtection="1">
      <protection locked="0"/>
    </xf>
    <xf numFmtId="0" fontId="2" fillId="0" borderId="0" xfId="2" applyFont="1" applyFill="1" applyBorder="1" applyAlignment="1"/>
    <xf numFmtId="0" fontId="2" fillId="0" borderId="0" xfId="2" applyFont="1" applyBorder="1" applyAlignment="1" applyProtection="1">
      <alignment horizontal="left"/>
      <protection locked="0"/>
    </xf>
    <xf numFmtId="0" fontId="2" fillId="0" borderId="0" xfId="2" applyFont="1" applyFill="1" applyBorder="1" applyAlignment="1" applyProtection="1">
      <alignment horizontal="center"/>
      <protection locked="0"/>
    </xf>
    <xf numFmtId="0" fontId="2" fillId="0" borderId="0" xfId="2" quotePrefix="1" applyFont="1" applyBorder="1" applyAlignment="1" applyProtection="1">
      <alignment horizontal="left"/>
      <protection locked="0"/>
    </xf>
    <xf numFmtId="0" fontId="2" fillId="0" borderId="0" xfId="2" applyFont="1" applyFill="1" applyBorder="1" applyAlignment="1" applyProtection="1">
      <alignment horizontal="center" wrapText="1"/>
      <protection locked="0"/>
    </xf>
    <xf numFmtId="0" fontId="3" fillId="0" borderId="0" xfId="2" applyFont="1" applyBorder="1" applyAlignment="1" applyProtection="1">
      <protection locked="0"/>
    </xf>
    <xf numFmtId="0" fontId="2" fillId="0" borderId="65" xfId="2" applyFont="1" applyFill="1" applyBorder="1"/>
    <xf numFmtId="49" fontId="2" fillId="0" borderId="65" xfId="2" applyNumberFormat="1" applyFont="1" applyBorder="1" applyAlignment="1" applyProtection="1">
      <protection locked="0"/>
    </xf>
    <xf numFmtId="49" fontId="3" fillId="0" borderId="65" xfId="2" applyNumberFormat="1" applyFont="1" applyBorder="1" applyAlignment="1" applyProtection="1">
      <protection locked="0"/>
    </xf>
    <xf numFmtId="49" fontId="2" fillId="0" borderId="0" xfId="2" applyNumberFormat="1" applyFont="1" applyFill="1" applyBorder="1" applyAlignment="1" applyProtection="1">
      <alignment horizontal="center"/>
      <protection locked="0"/>
    </xf>
    <xf numFmtId="0" fontId="2" fillId="0" borderId="1" xfId="2" applyFont="1" applyFill="1" applyBorder="1" applyAlignment="1">
      <alignment horizontal="center" wrapText="1"/>
    </xf>
    <xf numFmtId="3" fontId="3" fillId="0" borderId="1" xfId="2" applyNumberFormat="1" applyFont="1" applyFill="1" applyBorder="1" applyAlignment="1">
      <alignment wrapText="1"/>
    </xf>
    <xf numFmtId="0" fontId="3" fillId="0" borderId="1" xfId="2" applyFont="1" applyFill="1" applyBorder="1" applyAlignment="1">
      <alignment wrapText="1"/>
    </xf>
    <xf numFmtId="0" fontId="2" fillId="0" borderId="1" xfId="2" applyFont="1" applyFill="1" applyBorder="1" applyAlignment="1" applyProtection="1">
      <alignment wrapText="1"/>
      <protection locked="0"/>
    </xf>
    <xf numFmtId="0" fontId="3" fillId="0" borderId="1" xfId="2" applyFont="1" applyFill="1" applyBorder="1" applyAlignment="1" applyProtection="1">
      <alignment horizontal="center" wrapText="1"/>
      <protection locked="0"/>
    </xf>
    <xf numFmtId="3" fontId="2" fillId="0" borderId="1" xfId="2" applyNumberFormat="1" applyFont="1" applyFill="1" applyBorder="1" applyAlignment="1" applyProtection="1">
      <alignment wrapText="1"/>
      <protection locked="0"/>
    </xf>
    <xf numFmtId="3" fontId="2" fillId="0" borderId="1" xfId="2" applyNumberFormat="1" applyFont="1" applyFill="1" applyBorder="1" applyProtection="1">
      <protection locked="0"/>
    </xf>
    <xf numFmtId="0" fontId="3" fillId="0" borderId="1" xfId="2" applyFont="1" applyFill="1" applyBorder="1" applyAlignment="1" applyProtection="1">
      <alignment wrapText="1"/>
      <protection locked="0"/>
    </xf>
    <xf numFmtId="3" fontId="3" fillId="0" borderId="1" xfId="2" applyNumberFormat="1" applyFont="1" applyFill="1" applyBorder="1" applyAlignment="1" applyProtection="1">
      <alignment wrapText="1"/>
      <protection locked="0"/>
    </xf>
    <xf numFmtId="0" fontId="2" fillId="0" borderId="1" xfId="2" applyFont="1" applyBorder="1" applyAlignment="1" applyProtection="1">
      <alignment wrapText="1"/>
      <protection locked="0"/>
    </xf>
    <xf numFmtId="3" fontId="2" fillId="0" borderId="1" xfId="2" applyNumberFormat="1" applyFont="1" applyBorder="1" applyAlignment="1" applyProtection="1">
      <alignment wrapText="1"/>
      <protection locked="0"/>
    </xf>
    <xf numFmtId="3" fontId="2" fillId="0" borderId="1" xfId="2" applyNumberFormat="1" applyFont="1" applyBorder="1" applyProtection="1">
      <protection locked="0"/>
    </xf>
    <xf numFmtId="3" fontId="3" fillId="0" borderId="1" xfId="2" applyNumberFormat="1" applyFont="1" applyFill="1" applyBorder="1" applyProtection="1">
      <protection locked="0"/>
    </xf>
    <xf numFmtId="3" fontId="3" fillId="0" borderId="1" xfId="2" applyNumberFormat="1" applyFont="1" applyFill="1" applyBorder="1" applyAlignment="1" applyProtection="1">
      <alignment horizontal="center"/>
      <protection locked="0"/>
    </xf>
    <xf numFmtId="3" fontId="3" fillId="0" borderId="1" xfId="2" applyNumberFormat="1" applyFont="1" applyFill="1" applyBorder="1" applyAlignment="1" applyProtection="1">
      <alignment horizontal="center" wrapText="1"/>
      <protection locked="0"/>
    </xf>
    <xf numFmtId="3" fontId="3" fillId="0" borderId="1" xfId="2" applyNumberFormat="1" applyFont="1" applyFill="1" applyBorder="1" applyAlignment="1" applyProtection="1">
      <protection locked="0"/>
    </xf>
    <xf numFmtId="3" fontId="2" fillId="0" borderId="1" xfId="2" applyNumberFormat="1" applyFont="1" applyBorder="1" applyAlignment="1" applyProtection="1">
      <alignment horizontal="right"/>
      <protection locked="0"/>
    </xf>
    <xf numFmtId="3" fontId="2" fillId="0" borderId="1" xfId="2" applyNumberFormat="1" applyFont="1" applyFill="1" applyBorder="1" applyAlignment="1" applyProtection="1">
      <alignment horizontal="right" wrapText="1"/>
      <protection locked="0"/>
    </xf>
    <xf numFmtId="0" fontId="2" fillId="0" borderId="64" xfId="2" applyFont="1" applyFill="1" applyBorder="1" applyAlignment="1" applyProtection="1">
      <alignment wrapText="1"/>
      <protection locked="0"/>
    </xf>
    <xf numFmtId="0" fontId="2" fillId="0" borderId="64" xfId="2" applyFont="1" applyFill="1" applyBorder="1" applyAlignment="1" applyProtection="1">
      <protection locked="0"/>
    </xf>
    <xf numFmtId="3" fontId="2" fillId="0" borderId="0" xfId="2" applyNumberFormat="1" applyFont="1" applyFill="1" applyBorder="1" applyAlignment="1" applyProtection="1">
      <alignment horizontal="right" wrapText="1"/>
      <protection locked="0"/>
    </xf>
    <xf numFmtId="0" fontId="2" fillId="0" borderId="0" xfId="2" applyFont="1" applyFill="1" applyBorder="1" applyAlignment="1" applyProtection="1">
      <alignment wrapText="1"/>
      <protection locked="0"/>
    </xf>
    <xf numFmtId="3" fontId="2" fillId="0" borderId="0" xfId="2" applyNumberFormat="1" applyFont="1" applyFill="1" applyBorder="1" applyAlignment="1" applyProtection="1">
      <alignment horizontal="right"/>
      <protection locked="0"/>
    </xf>
    <xf numFmtId="3" fontId="2" fillId="0" borderId="0" xfId="2" applyNumberFormat="1" applyFont="1" applyFill="1" applyBorder="1" applyAlignment="1" applyProtection="1">
      <alignment wrapText="1"/>
      <protection locked="0"/>
    </xf>
    <xf numFmtId="3" fontId="2" fillId="0" borderId="0" xfId="2" applyNumberFormat="1" applyFont="1" applyFill="1" applyBorder="1" applyAlignment="1" applyProtection="1">
      <protection locked="0"/>
    </xf>
    <xf numFmtId="0" fontId="3" fillId="0" borderId="0" xfId="2" applyFont="1" applyFill="1" applyBorder="1" applyAlignment="1" applyProtection="1">
      <protection locked="0"/>
    </xf>
    <xf numFmtId="0" fontId="12" fillId="0" borderId="0" xfId="2" applyFont="1" applyFill="1" applyBorder="1" applyAlignment="1" applyProtection="1">
      <protection locked="0"/>
    </xf>
    <xf numFmtId="0" fontId="2" fillId="0" borderId="0" xfId="2" applyFont="1" applyFill="1" applyBorder="1" applyAlignment="1" applyProtection="1">
      <protection locked="0"/>
    </xf>
    <xf numFmtId="49" fontId="2" fillId="0" borderId="65" xfId="2" applyNumberFormat="1" applyFont="1" applyFill="1" applyBorder="1" applyAlignment="1" applyProtection="1">
      <protection locked="0"/>
    </xf>
    <xf numFmtId="49" fontId="3" fillId="0" borderId="65" xfId="2" applyNumberFormat="1" applyFont="1" applyFill="1" applyBorder="1" applyAlignment="1" applyProtection="1">
      <protection locked="0"/>
    </xf>
    <xf numFmtId="3" fontId="2" fillId="0" borderId="1" xfId="2" applyNumberFormat="1" applyFont="1" applyBorder="1" applyAlignment="1" applyProtection="1">
      <alignment horizontal="right" wrapText="1"/>
      <protection locked="0"/>
    </xf>
    <xf numFmtId="3" fontId="2" fillId="0" borderId="1" xfId="2" applyNumberFormat="1" applyFont="1" applyFill="1" applyBorder="1" applyAlignment="1" applyProtection="1">
      <alignment vertical="top" wrapText="1"/>
      <protection locked="0"/>
    </xf>
    <xf numFmtId="3" fontId="2" fillId="0" borderId="1" xfId="2" applyNumberFormat="1" applyFont="1" applyFill="1" applyBorder="1" applyAlignment="1" applyProtection="1">
      <alignment vertical="top"/>
      <protection locked="0"/>
    </xf>
    <xf numFmtId="3" fontId="2" fillId="0" borderId="0" xfId="2" applyNumberFormat="1" applyFont="1" applyFill="1" applyBorder="1" applyProtection="1">
      <protection locked="0"/>
    </xf>
    <xf numFmtId="0" fontId="3" fillId="0" borderId="1" xfId="2" applyFont="1" applyFill="1" applyBorder="1" applyAlignment="1">
      <alignment horizontal="center"/>
    </xf>
    <xf numFmtId="0" fontId="2" fillId="0" borderId="1" xfId="1" applyFont="1" applyFill="1" applyBorder="1" applyAlignment="1" applyProtection="1">
      <alignment horizontal="right" wrapText="1"/>
      <protection locked="0"/>
    </xf>
    <xf numFmtId="0" fontId="2" fillId="0" borderId="0"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left" vertical="center" wrapText="1"/>
      <protection locked="0"/>
    </xf>
    <xf numFmtId="0" fontId="3" fillId="0" borderId="0" xfId="2" applyFont="1" applyFill="1" applyBorder="1" applyAlignment="1" applyProtection="1">
      <alignment horizontal="center" wrapText="1"/>
      <protection locked="0"/>
    </xf>
    <xf numFmtId="3" fontId="2" fillId="0" borderId="0" xfId="2" applyNumberFormat="1" applyFont="1" applyFill="1" applyBorder="1" applyAlignment="1" applyProtection="1">
      <alignment horizontal="center" vertical="center" wrapText="1"/>
      <protection locked="0"/>
    </xf>
    <xf numFmtId="0" fontId="2" fillId="6" borderId="0" xfId="2" applyFont="1" applyFill="1" applyBorder="1" applyAlignment="1" applyProtection="1">
      <alignment vertical="center"/>
      <protection locked="0"/>
    </xf>
    <xf numFmtId="0" fontId="2" fillId="0" borderId="0" xfId="2" applyFont="1" applyFill="1" applyProtection="1">
      <protection locked="0"/>
    </xf>
    <xf numFmtId="0" fontId="4" fillId="0" borderId="0" xfId="1" applyFont="1" applyAlignment="1">
      <alignment horizontal="center"/>
    </xf>
    <xf numFmtId="0" fontId="3" fillId="0" borderId="1" xfId="1" applyFont="1" applyFill="1" applyBorder="1" applyAlignment="1">
      <alignment horizontal="center" vertical="center" wrapText="1"/>
    </xf>
    <xf numFmtId="3" fontId="2" fillId="0" borderId="1" xfId="1" applyNumberFormat="1" applyFont="1" applyFill="1" applyBorder="1" applyAlignment="1" applyProtection="1">
      <alignment horizontal="center" wrapText="1"/>
      <protection locked="0"/>
    </xf>
    <xf numFmtId="0" fontId="3" fillId="0" borderId="0" xfId="1" applyFont="1"/>
    <xf numFmtId="0" fontId="31" fillId="0" borderId="0" xfId="1" applyFont="1"/>
    <xf numFmtId="0" fontId="2" fillId="0" borderId="1" xfId="1" applyFont="1" applyFill="1" applyBorder="1" applyAlignment="1">
      <alignment horizontal="center" vertical="top" wrapText="1"/>
    </xf>
    <xf numFmtId="3" fontId="3" fillId="0" borderId="1" xfId="1" applyNumberFormat="1" applyFont="1" applyFill="1" applyBorder="1" applyAlignment="1" applyProtection="1">
      <alignment horizontal="center" wrapText="1"/>
      <protection locked="0"/>
    </xf>
    <xf numFmtId="0" fontId="2" fillId="0" borderId="1" xfId="1" applyFont="1" applyFill="1" applyBorder="1"/>
    <xf numFmtId="3" fontId="3" fillId="0" borderId="1" xfId="1" applyNumberFormat="1" applyFont="1" applyFill="1" applyBorder="1" applyAlignment="1" applyProtection="1">
      <alignment horizontal="center" vertical="center" wrapText="1"/>
      <protection locked="0"/>
    </xf>
    <xf numFmtId="3" fontId="2" fillId="0" borderId="1" xfId="1" applyNumberFormat="1" applyFont="1" applyFill="1" applyBorder="1" applyAlignment="1" applyProtection="1">
      <alignment horizontal="right" vertical="center" wrapText="1"/>
      <protection locked="0"/>
    </xf>
    <xf numFmtId="3" fontId="2" fillId="0" borderId="1" xfId="1"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right" wrapText="1"/>
      <protection locked="0"/>
    </xf>
    <xf numFmtId="3" fontId="3" fillId="0" borderId="1" xfId="0" applyNumberFormat="1" applyFont="1" applyFill="1" applyBorder="1" applyAlignment="1" applyProtection="1">
      <alignment horizontal="center" wrapText="1"/>
      <protection locked="0"/>
    </xf>
    <xf numFmtId="3" fontId="3" fillId="0" borderId="1" xfId="0" applyNumberFormat="1" applyFont="1" applyFill="1" applyBorder="1" applyAlignment="1" applyProtection="1">
      <alignment horizontal="right" wrapText="1"/>
      <protection locked="0"/>
    </xf>
    <xf numFmtId="0" fontId="2" fillId="0" borderId="0" xfId="0" applyFont="1"/>
    <xf numFmtId="4" fontId="2" fillId="0" borderId="1" xfId="0" applyNumberFormat="1" applyFont="1" applyFill="1" applyBorder="1" applyAlignment="1" applyProtection="1">
      <alignment horizontal="right" wrapText="1"/>
      <protection locked="0"/>
    </xf>
    <xf numFmtId="3" fontId="2" fillId="0" borderId="1" xfId="0" applyNumberFormat="1" applyFont="1" applyFill="1" applyBorder="1" applyAlignment="1" applyProtection="1">
      <alignment horizontal="right" wrapText="1"/>
      <protection locked="0"/>
    </xf>
    <xf numFmtId="4" fontId="3" fillId="0" borderId="1" xfId="0" applyNumberFormat="1" applyFont="1" applyFill="1" applyBorder="1" applyAlignment="1" applyProtection="1">
      <alignment horizontal="center" wrapText="1"/>
      <protection locked="0"/>
    </xf>
    <xf numFmtId="0" fontId="3" fillId="0" borderId="1" xfId="1" applyFont="1" applyFill="1" applyBorder="1" applyAlignment="1">
      <alignment horizontal="center" vertical="center"/>
    </xf>
    <xf numFmtId="3" fontId="3" fillId="0" borderId="1" xfId="1" applyNumberFormat="1" applyFont="1" applyFill="1" applyBorder="1" applyAlignment="1">
      <alignment horizontal="center" wrapText="1"/>
    </xf>
    <xf numFmtId="0" fontId="3" fillId="0" borderId="0" xfId="1" applyFont="1" applyAlignment="1">
      <alignment wrapText="1"/>
    </xf>
    <xf numFmtId="4" fontId="3" fillId="0" borderId="1" xfId="0" applyNumberFormat="1"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right" vertical="center" wrapText="1"/>
      <protection locked="0"/>
    </xf>
    <xf numFmtId="4" fontId="2"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lignment horizontal="center" vertical="center"/>
    </xf>
    <xf numFmtId="4" fontId="3" fillId="0" borderId="1" xfId="0" applyNumberFormat="1" applyFont="1" applyFill="1" applyBorder="1" applyAlignment="1">
      <alignment wrapText="1"/>
    </xf>
    <xf numFmtId="3" fontId="3" fillId="0" borderId="1" xfId="0" applyNumberFormat="1" applyFont="1" applyFill="1" applyBorder="1" applyAlignment="1">
      <alignment horizontal="center" wrapText="1"/>
    </xf>
    <xf numFmtId="3" fontId="3" fillId="0" borderId="1" xfId="0" applyNumberFormat="1" applyFont="1" applyFill="1" applyBorder="1" applyAlignment="1">
      <alignment vertical="center" wrapText="1"/>
    </xf>
    <xf numFmtId="3" fontId="2" fillId="0" borderId="1" xfId="0" applyNumberFormat="1" applyFont="1" applyFill="1" applyBorder="1" applyAlignment="1" applyProtection="1">
      <alignment horizontal="center" wrapText="1"/>
      <protection locked="0"/>
    </xf>
    <xf numFmtId="3" fontId="3" fillId="0" borderId="1" xfId="0" applyNumberFormat="1" applyFont="1" applyFill="1" applyBorder="1" applyAlignment="1">
      <alignment wrapText="1"/>
    </xf>
    <xf numFmtId="4" fontId="2"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2" fontId="2" fillId="0" borderId="0" xfId="0" applyNumberFormat="1" applyFont="1"/>
    <xf numFmtId="0" fontId="2" fillId="0" borderId="0" xfId="0" applyFont="1" applyFill="1"/>
    <xf numFmtId="4" fontId="3" fillId="0" borderId="1" xfId="0" applyNumberFormat="1" applyFont="1" applyFill="1" applyBorder="1" applyAlignment="1" applyProtection="1">
      <alignment wrapText="1"/>
      <protection locked="0"/>
    </xf>
    <xf numFmtId="3" fontId="3" fillId="0" borderId="1" xfId="0" applyNumberFormat="1" applyFont="1" applyFill="1" applyBorder="1" applyAlignment="1" applyProtection="1">
      <alignment wrapText="1"/>
      <protection locked="0"/>
    </xf>
    <xf numFmtId="4" fontId="2" fillId="0" borderId="1" xfId="0" applyNumberFormat="1" applyFont="1" applyFill="1" applyBorder="1" applyAlignment="1" applyProtection="1">
      <alignment wrapText="1"/>
      <protection locked="0"/>
    </xf>
    <xf numFmtId="3" fontId="2"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wrapText="1"/>
    </xf>
    <xf numFmtId="3" fontId="27" fillId="0" borderId="1" xfId="1" applyNumberFormat="1" applyFont="1" applyFill="1" applyBorder="1" applyAlignment="1" applyProtection="1">
      <alignment wrapText="1"/>
      <protection locked="0"/>
    </xf>
    <xf numFmtId="3" fontId="2" fillId="0" borderId="1" xfId="1" applyNumberFormat="1" applyFont="1" applyFill="1" applyBorder="1" applyAlignment="1" applyProtection="1">
      <alignment horizontal="right" wrapText="1"/>
      <protection locked="0"/>
    </xf>
    <xf numFmtId="3" fontId="2" fillId="0" borderId="1" xfId="0" applyNumberFormat="1" applyFont="1" applyFill="1" applyBorder="1" applyAlignment="1" applyProtection="1">
      <alignment vertical="center" wrapText="1"/>
      <protection locked="0"/>
    </xf>
    <xf numFmtId="3" fontId="27" fillId="0" borderId="1" xfId="1"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center"/>
      <protection locked="0"/>
    </xf>
    <xf numFmtId="0" fontId="2" fillId="0" borderId="0" xfId="1" applyFont="1" applyAlignment="1"/>
    <xf numFmtId="0" fontId="5" fillId="0" borderId="0" xfId="8" applyFont="1" applyFill="1" applyAlignment="1">
      <alignment horizontal="center" wrapText="1"/>
    </xf>
    <xf numFmtId="3" fontId="4" fillId="0" borderId="0" xfId="8" applyNumberFormat="1" applyFont="1" applyFill="1" applyAlignment="1">
      <alignment horizontal="left" wrapText="1"/>
    </xf>
    <xf numFmtId="0" fontId="13" fillId="0" borderId="0" xfId="8" applyFont="1" applyFill="1"/>
    <xf numFmtId="0" fontId="32" fillId="0" borderId="0" xfId="8" applyFont="1" applyFill="1"/>
    <xf numFmtId="0" fontId="14" fillId="0" borderId="0" xfId="8" applyFont="1" applyFill="1"/>
    <xf numFmtId="0" fontId="28" fillId="0" borderId="0" xfId="8" applyFont="1" applyFill="1" applyAlignment="1">
      <alignment horizontal="left"/>
    </xf>
    <xf numFmtId="0" fontId="28" fillId="0" borderId="0" xfId="8" applyFont="1" applyFill="1" applyBorder="1" applyAlignment="1">
      <alignment horizontal="left"/>
    </xf>
    <xf numFmtId="49" fontId="28" fillId="0" borderId="0" xfId="8" applyNumberFormat="1" applyFont="1" applyFill="1" applyBorder="1" applyAlignment="1">
      <alignment horizontal="left"/>
    </xf>
    <xf numFmtId="49" fontId="28" fillId="0" borderId="0" xfId="8" applyNumberFormat="1" applyFont="1" applyFill="1" applyAlignment="1">
      <alignment horizontal="left"/>
    </xf>
    <xf numFmtId="0" fontId="34" fillId="0" borderId="0" xfId="8" applyFont="1" applyFill="1" applyBorder="1"/>
    <xf numFmtId="0" fontId="34" fillId="0" borderId="0" xfId="8" applyFont="1" applyFill="1" applyBorder="1" applyAlignment="1"/>
    <xf numFmtId="0" fontId="35" fillId="0" borderId="0" xfId="8" applyFont="1" applyFill="1" applyBorder="1" applyAlignment="1">
      <alignment horizontal="right"/>
    </xf>
    <xf numFmtId="3" fontId="2" fillId="0" borderId="1" xfId="8" applyNumberFormat="1" applyFont="1" applyFill="1" applyBorder="1" applyAlignment="1">
      <alignment horizontal="center" vertical="center" wrapText="1"/>
    </xf>
    <xf numFmtId="0" fontId="2" fillId="0" borderId="0" xfId="8" applyFont="1" applyFill="1"/>
    <xf numFmtId="0" fontId="3" fillId="0" borderId="10" xfId="8" applyFont="1" applyFill="1" applyBorder="1" applyAlignment="1">
      <alignment horizontal="center" vertical="center"/>
    </xf>
    <xf numFmtId="0" fontId="3" fillId="0" borderId="12" xfId="8" applyFont="1" applyFill="1" applyBorder="1" applyAlignment="1">
      <alignment horizontal="center" vertical="center" wrapText="1"/>
    </xf>
    <xf numFmtId="3" fontId="3" fillId="0" borderId="1" xfId="8" applyNumberFormat="1" applyFont="1" applyFill="1" applyBorder="1" applyAlignment="1">
      <alignment horizontal="center" vertical="center" wrapText="1"/>
    </xf>
    <xf numFmtId="0" fontId="2" fillId="0" borderId="12" xfId="8" applyFont="1" applyFill="1" applyBorder="1" applyAlignment="1">
      <alignment horizontal="center" vertical="center" wrapText="1"/>
    </xf>
    <xf numFmtId="49" fontId="2" fillId="0" borderId="12" xfId="8" applyNumberFormat="1" applyFont="1" applyFill="1" applyBorder="1" applyAlignment="1">
      <alignment horizontal="center" vertical="center" wrapText="1"/>
    </xf>
    <xf numFmtId="3" fontId="2" fillId="0" borderId="0" xfId="8" applyNumberFormat="1" applyFont="1" applyFill="1" applyBorder="1" applyAlignment="1">
      <alignment horizontal="center" vertical="center" wrapText="1"/>
    </xf>
    <xf numFmtId="3" fontId="2" fillId="0" borderId="11" xfId="8" applyNumberFormat="1" applyFont="1" applyFill="1" applyBorder="1" applyAlignment="1">
      <alignment horizontal="center" vertical="center" wrapText="1"/>
    </xf>
    <xf numFmtId="0" fontId="2" fillId="0" borderId="1" xfId="8" applyFont="1" applyFill="1" applyBorder="1"/>
    <xf numFmtId="0" fontId="2" fillId="0" borderId="0" xfId="8" applyFont="1" applyFill="1" applyBorder="1" applyAlignment="1">
      <alignment horizontal="center" vertical="center" wrapText="1"/>
    </xf>
    <xf numFmtId="49" fontId="3" fillId="0" borderId="0" xfId="8" applyNumberFormat="1" applyFont="1" applyFill="1" applyBorder="1" applyAlignment="1">
      <alignment horizontal="right" vertical="center" wrapText="1"/>
    </xf>
    <xf numFmtId="3" fontId="3" fillId="0" borderId="1" xfId="8" applyNumberFormat="1" applyFont="1" applyFill="1" applyBorder="1" applyAlignment="1">
      <alignment vertical="center" wrapText="1"/>
    </xf>
    <xf numFmtId="3" fontId="3" fillId="0" borderId="1" xfId="8" applyNumberFormat="1" applyFont="1" applyFill="1" applyBorder="1" applyAlignment="1">
      <alignment horizontal="right" vertical="center" wrapText="1"/>
    </xf>
    <xf numFmtId="0" fontId="3" fillId="0" borderId="1" xfId="8" applyFont="1" applyFill="1" applyBorder="1" applyAlignment="1">
      <alignment horizontal="center" vertical="center"/>
    </xf>
    <xf numFmtId="0" fontId="3" fillId="0" borderId="1" xfId="8" applyFont="1" applyFill="1" applyBorder="1" applyAlignment="1">
      <alignment wrapText="1"/>
    </xf>
    <xf numFmtId="3" fontId="3" fillId="0" borderId="1" xfId="8" applyNumberFormat="1" applyFont="1" applyFill="1" applyBorder="1" applyAlignment="1">
      <alignment horizontal="center"/>
    </xf>
    <xf numFmtId="49" fontId="3" fillId="0" borderId="1" xfId="8" applyNumberFormat="1" applyFont="1" applyFill="1" applyBorder="1" applyAlignment="1">
      <alignment horizontal="center"/>
    </xf>
    <xf numFmtId="3" fontId="3" fillId="0" borderId="1" xfId="8" applyNumberFormat="1" applyFont="1" applyFill="1" applyBorder="1" applyAlignment="1"/>
    <xf numFmtId="3" fontId="3" fillId="0" borderId="1" xfId="8" applyNumberFormat="1" applyFont="1" applyFill="1" applyBorder="1" applyAlignment="1">
      <alignment horizontal="right"/>
    </xf>
    <xf numFmtId="0" fontId="2" fillId="0" borderId="4" xfId="8" applyFont="1" applyFill="1" applyBorder="1" applyAlignment="1">
      <alignment horizontal="center" vertical="center"/>
    </xf>
    <xf numFmtId="0" fontId="2" fillId="0" borderId="4" xfId="8" applyFont="1" applyFill="1" applyBorder="1" applyAlignment="1">
      <alignment horizontal="left" vertical="center" wrapText="1"/>
    </xf>
    <xf numFmtId="3" fontId="2" fillId="0" borderId="4" xfId="8" applyNumberFormat="1" applyFont="1" applyFill="1" applyBorder="1" applyAlignment="1">
      <alignment horizontal="center" vertical="center"/>
    </xf>
    <xf numFmtId="49" fontId="2" fillId="0" borderId="1" xfId="8" applyNumberFormat="1" applyFont="1" applyFill="1" applyBorder="1" applyAlignment="1">
      <alignment horizontal="center" vertical="center"/>
    </xf>
    <xf numFmtId="3" fontId="2" fillId="0" borderId="1" xfId="8" applyNumberFormat="1" applyFont="1" applyFill="1" applyBorder="1" applyAlignment="1">
      <alignment vertical="center"/>
    </xf>
    <xf numFmtId="3" fontId="2" fillId="0" borderId="1" xfId="8" applyNumberFormat="1" applyFont="1" applyFill="1" applyBorder="1" applyAlignment="1">
      <alignment horizontal="center" vertical="center"/>
    </xf>
    <xf numFmtId="3" fontId="2" fillId="0" borderId="1" xfId="8" applyNumberFormat="1" applyFont="1" applyFill="1" applyBorder="1" applyAlignment="1">
      <alignment horizontal="right" vertical="center"/>
    </xf>
    <xf numFmtId="0" fontId="2" fillId="0" borderId="1" xfId="8" applyFont="1" applyFill="1" applyBorder="1" applyAlignment="1">
      <alignment horizontal="left" vertical="center"/>
    </xf>
    <xf numFmtId="0" fontId="2" fillId="0" borderId="1" xfId="8" applyFont="1" applyFill="1" applyBorder="1" applyAlignment="1">
      <alignment horizontal="center" vertical="center"/>
    </xf>
    <xf numFmtId="0" fontId="2" fillId="0" borderId="1" xfId="8" applyFont="1" applyFill="1" applyBorder="1" applyAlignment="1">
      <alignment horizontal="left" vertical="center" wrapText="1"/>
    </xf>
    <xf numFmtId="3" fontId="2" fillId="0" borderId="1" xfId="8" applyNumberFormat="1" applyFont="1" applyFill="1" applyBorder="1" applyAlignment="1">
      <alignment horizontal="center"/>
    </xf>
    <xf numFmtId="49" fontId="2" fillId="0" borderId="1" xfId="8" applyNumberFormat="1" applyFont="1" applyFill="1" applyBorder="1" applyAlignment="1">
      <alignment horizontal="center"/>
    </xf>
    <xf numFmtId="3" fontId="2" fillId="0" borderId="1" xfId="8" applyNumberFormat="1" applyFont="1" applyFill="1" applyBorder="1" applyAlignment="1"/>
    <xf numFmtId="3" fontId="2" fillId="0" borderId="1" xfId="8" applyNumberFormat="1" applyFont="1" applyFill="1" applyBorder="1" applyAlignment="1">
      <alignment horizontal="right"/>
    </xf>
    <xf numFmtId="3" fontId="2" fillId="0" borderId="0" xfId="8" applyNumberFormat="1" applyFont="1" applyFill="1"/>
    <xf numFmtId="0" fontId="2" fillId="0" borderId="1" xfId="8" applyFont="1" applyFill="1" applyBorder="1" applyAlignment="1">
      <alignment wrapText="1"/>
    </xf>
    <xf numFmtId="0" fontId="2" fillId="0" borderId="1" xfId="2" applyFont="1" applyFill="1" applyBorder="1" applyAlignment="1">
      <alignment horizontal="left" vertical="center" wrapText="1"/>
    </xf>
    <xf numFmtId="165" fontId="2" fillId="0" borderId="1" xfId="8" applyNumberFormat="1" applyFont="1" applyFill="1" applyBorder="1" applyAlignment="1">
      <alignment horizontal="center" vertical="center"/>
    </xf>
    <xf numFmtId="2" fontId="2" fillId="0" borderId="1" xfId="8" applyNumberFormat="1" applyFont="1" applyFill="1" applyBorder="1" applyAlignment="1">
      <alignment horizontal="center" vertical="center"/>
    </xf>
    <xf numFmtId="0" fontId="2" fillId="0" borderId="1" xfId="8" applyFont="1" applyFill="1" applyBorder="1" applyAlignment="1">
      <alignment horizontal="left" wrapText="1"/>
    </xf>
    <xf numFmtId="0" fontId="2" fillId="0" borderId="1" xfId="8" applyFont="1" applyFill="1" applyBorder="1" applyAlignment="1">
      <alignment horizontal="center" vertical="center" wrapText="1" shrinkToFit="1"/>
    </xf>
    <xf numFmtId="49" fontId="3" fillId="0" borderId="1" xfId="8" applyNumberFormat="1" applyFont="1" applyFill="1" applyBorder="1" applyAlignment="1">
      <alignment horizontal="center" vertical="center"/>
    </xf>
    <xf numFmtId="0" fontId="2" fillId="0" borderId="10" xfId="0" applyFont="1" applyFill="1" applyBorder="1" applyAlignment="1">
      <alignment vertical="center" wrapText="1"/>
    </xf>
    <xf numFmtId="0" fontId="3" fillId="0" borderId="11" xfId="0" applyFont="1" applyBorder="1" applyAlignment="1">
      <alignment horizontal="center" vertical="center" wrapText="1"/>
    </xf>
    <xf numFmtId="0" fontId="27" fillId="0" borderId="0" xfId="8" applyFont="1" applyFill="1"/>
    <xf numFmtId="0" fontId="2" fillId="0" borderId="1" xfId="0" applyFont="1" applyFill="1" applyBorder="1" applyAlignment="1">
      <alignment vertical="center" wrapText="1"/>
    </xf>
    <xf numFmtId="0" fontId="2" fillId="0" borderId="1" xfId="0" applyFont="1" applyBorder="1" applyAlignment="1">
      <alignment horizontal="center" vertical="center" wrapText="1"/>
    </xf>
    <xf numFmtId="3" fontId="2" fillId="0" borderId="1" xfId="8" applyNumberFormat="1" applyFont="1" applyFill="1" applyBorder="1" applyAlignment="1">
      <alignment vertical="top"/>
    </xf>
    <xf numFmtId="0" fontId="2" fillId="0" borderId="12" xfId="8" applyFont="1" applyFill="1" applyBorder="1" applyAlignment="1">
      <alignment wrapText="1"/>
    </xf>
    <xf numFmtId="3" fontId="2" fillId="0" borderId="0" xfId="8" applyNumberFormat="1" applyFont="1" applyFill="1" applyBorder="1" applyAlignment="1">
      <alignment wrapText="1"/>
    </xf>
    <xf numFmtId="0" fontId="2" fillId="0" borderId="0" xfId="8" applyFont="1" applyFill="1" applyBorder="1" applyAlignment="1">
      <alignment wrapText="1"/>
    </xf>
    <xf numFmtId="0" fontId="2" fillId="0" borderId="11" xfId="8" applyFont="1" applyFill="1" applyBorder="1" applyAlignment="1">
      <alignment wrapText="1"/>
    </xf>
    <xf numFmtId="0" fontId="2" fillId="0" borderId="0" xfId="6" applyFont="1" applyFill="1" applyBorder="1" applyAlignment="1">
      <alignment horizontal="left" wrapText="1"/>
    </xf>
    <xf numFmtId="0" fontId="3" fillId="0" borderId="0" xfId="6" applyFont="1" applyFill="1" applyBorder="1" applyAlignment="1">
      <alignment horizontal="right"/>
    </xf>
    <xf numFmtId="3" fontId="3" fillId="0" borderId="1" xfId="6" applyNumberFormat="1" applyFont="1" applyFill="1" applyBorder="1" applyAlignment="1">
      <alignment vertical="center"/>
    </xf>
    <xf numFmtId="0" fontId="3" fillId="0" borderId="10" xfId="8" applyFont="1" applyFill="1" applyBorder="1" applyAlignment="1"/>
    <xf numFmtId="0" fontId="2" fillId="0" borderId="12" xfId="8" applyFont="1" applyFill="1" applyBorder="1" applyAlignment="1"/>
    <xf numFmtId="0" fontId="13" fillId="0" borderId="0" xfId="8" applyFont="1"/>
    <xf numFmtId="0" fontId="5" fillId="0" borderId="0" xfId="8" applyFont="1"/>
    <xf numFmtId="0" fontId="2" fillId="0" borderId="0" xfId="8" applyFont="1"/>
    <xf numFmtId="49" fontId="2" fillId="0" borderId="0" xfId="8" applyNumberFormat="1" applyFont="1"/>
    <xf numFmtId="49" fontId="2" fillId="0" borderId="0" xfId="8" applyNumberFormat="1" applyFont="1" applyFill="1"/>
    <xf numFmtId="0" fontId="14" fillId="0" borderId="0" xfId="8" applyFont="1"/>
    <xf numFmtId="0" fontId="14" fillId="0" borderId="0" xfId="8" applyFont="1" applyAlignment="1">
      <alignment horizontal="left" vertical="top"/>
    </xf>
    <xf numFmtId="0" fontId="2" fillId="0" borderId="0" xfId="8" applyFont="1" applyAlignment="1">
      <alignment horizontal="left" vertical="top"/>
    </xf>
    <xf numFmtId="0" fontId="13" fillId="0" borderId="0" xfId="8" applyFont="1" applyAlignment="1">
      <alignment horizontal="left" vertical="top"/>
    </xf>
    <xf numFmtId="49" fontId="13" fillId="0" borderId="0" xfId="8" applyNumberFormat="1" applyFont="1"/>
    <xf numFmtId="49" fontId="13" fillId="0" borderId="0" xfId="8" applyNumberFormat="1" applyFont="1" applyFill="1"/>
    <xf numFmtId="0" fontId="27" fillId="0" borderId="1" xfId="2" applyFont="1" applyBorder="1" applyAlignment="1" applyProtection="1">
      <alignment vertical="center" wrapText="1"/>
      <protection locked="0"/>
    </xf>
    <xf numFmtId="0" fontId="4" fillId="0" borderId="0" xfId="2" applyFont="1" applyFill="1" applyAlignment="1">
      <alignment horizontal="center" vertical="center"/>
    </xf>
    <xf numFmtId="0" fontId="2" fillId="0" borderId="0" xfId="2" applyFont="1" applyAlignment="1">
      <alignment horizontal="left" vertical="center"/>
    </xf>
    <xf numFmtId="0" fontId="3" fillId="0" borderId="0" xfId="2" applyFont="1" applyAlignment="1">
      <alignment horizontal="left" vertical="center"/>
    </xf>
    <xf numFmtId="0" fontId="3" fillId="0" borderId="0" xfId="2" applyFont="1" applyFill="1" applyAlignment="1">
      <alignment horizontal="left" vertical="center"/>
    </xf>
    <xf numFmtId="3" fontId="2" fillId="0" borderId="1" xfId="2" applyNumberFormat="1" applyFont="1" applyBorder="1" applyAlignment="1" applyProtection="1">
      <alignment horizontal="center" vertical="center" wrapText="1"/>
      <protection locked="0"/>
    </xf>
    <xf numFmtId="1" fontId="3" fillId="0" borderId="1" xfId="2" applyNumberFormat="1" applyFont="1" applyFill="1" applyBorder="1" applyAlignment="1" applyProtection="1">
      <alignment horizontal="center" vertical="center" wrapText="1"/>
      <protection locked="0"/>
    </xf>
    <xf numFmtId="167" fontId="10" fillId="0" borderId="1" xfId="0" applyNumberFormat="1" applyFont="1" applyFill="1" applyBorder="1" applyAlignment="1">
      <alignment vertical="center"/>
    </xf>
    <xf numFmtId="1" fontId="10" fillId="0" borderId="1" xfId="2" applyNumberFormat="1" applyFont="1" applyFill="1" applyBorder="1" applyAlignment="1" applyProtection="1">
      <alignment horizontal="center" vertical="center" wrapText="1"/>
      <protection locked="0"/>
    </xf>
    <xf numFmtId="3" fontId="10" fillId="0" borderId="1" xfId="2" applyNumberFormat="1" applyFont="1" applyFill="1" applyBorder="1" applyAlignment="1" applyProtection="1">
      <alignment vertical="center" wrapText="1"/>
      <protection locked="0"/>
    </xf>
    <xf numFmtId="167" fontId="10" fillId="0" borderId="1" xfId="0" applyNumberFormat="1" applyFont="1" applyFill="1" applyBorder="1" applyAlignment="1">
      <alignment horizontal="right" vertical="center"/>
    </xf>
    <xf numFmtId="168" fontId="2" fillId="0" borderId="1" xfId="0" applyNumberFormat="1" applyFont="1" applyFill="1" applyBorder="1" applyAlignment="1">
      <alignment horizontal="right" vertical="center"/>
    </xf>
    <xf numFmtId="0" fontId="2" fillId="0" borderId="0" xfId="2" applyFont="1" applyBorder="1" applyAlignment="1" applyProtection="1">
      <alignment horizontal="left" vertical="center" wrapText="1"/>
      <protection locked="0"/>
    </xf>
    <xf numFmtId="0" fontId="2" fillId="0" borderId="0" xfId="2" applyFont="1" applyFill="1" applyBorder="1" applyAlignment="1">
      <alignment vertical="center" wrapText="1"/>
    </xf>
    <xf numFmtId="0" fontId="2" fillId="0" borderId="0" xfId="2" applyFont="1" applyFill="1" applyAlignment="1">
      <alignment horizontal="left" vertical="center"/>
    </xf>
    <xf numFmtId="1" fontId="3" fillId="0" borderId="1" xfId="2" applyNumberFormat="1" applyFont="1" applyFill="1" applyBorder="1" applyAlignment="1" applyProtection="1">
      <alignment vertical="center" wrapText="1"/>
      <protection locked="0"/>
    </xf>
    <xf numFmtId="1" fontId="2" fillId="0" borderId="1" xfId="2" applyNumberFormat="1" applyFont="1" applyFill="1" applyBorder="1" applyAlignment="1" applyProtection="1">
      <alignment horizontal="center" vertical="center" wrapText="1"/>
      <protection locked="0"/>
    </xf>
    <xf numFmtId="3" fontId="2" fillId="0" borderId="1" xfId="0" applyNumberFormat="1"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4" fontId="10" fillId="0" borderId="1" xfId="0" applyNumberFormat="1" applyFont="1" applyFill="1" applyBorder="1" applyAlignment="1" applyProtection="1">
      <alignment vertical="center" wrapText="1"/>
      <protection locked="0"/>
    </xf>
    <xf numFmtId="3" fontId="2" fillId="0" borderId="0" xfId="2" applyNumberFormat="1" applyFont="1" applyFill="1" applyBorder="1" applyAlignment="1" applyProtection="1">
      <alignment vertical="center" wrapText="1"/>
      <protection locked="0"/>
    </xf>
    <xf numFmtId="1" fontId="2" fillId="0" borderId="0" xfId="2" applyNumberFormat="1" applyFont="1" applyBorder="1" applyAlignment="1" applyProtection="1">
      <alignment vertical="center" wrapText="1"/>
      <protection locked="0"/>
    </xf>
    <xf numFmtId="1" fontId="3" fillId="0" borderId="1" xfId="2" applyNumberFormat="1" applyFont="1" applyBorder="1" applyAlignment="1" applyProtection="1">
      <alignment vertical="center" wrapText="1"/>
      <protection locked="0"/>
    </xf>
    <xf numFmtId="1" fontId="3" fillId="0" borderId="1" xfId="2" applyNumberFormat="1" applyFont="1" applyBorder="1" applyAlignment="1" applyProtection="1">
      <alignment horizontal="center" vertical="center" wrapText="1"/>
      <protection locked="0"/>
    </xf>
    <xf numFmtId="0" fontId="2" fillId="0" borderId="64" xfId="2" applyFont="1" applyBorder="1" applyAlignment="1" applyProtection="1">
      <alignment horizontal="left" vertical="center" wrapText="1"/>
      <protection locked="0"/>
    </xf>
    <xf numFmtId="3" fontId="2" fillId="0" borderId="64" xfId="2" applyNumberFormat="1" applyFont="1" applyFill="1" applyBorder="1" applyAlignment="1" applyProtection="1">
      <alignment vertical="center" wrapText="1"/>
      <protection locked="0"/>
    </xf>
    <xf numFmtId="4" fontId="2" fillId="0" borderId="1" xfId="2" applyNumberFormat="1" applyFont="1" applyFill="1" applyBorder="1" applyAlignment="1" applyProtection="1">
      <alignment vertical="center" wrapText="1"/>
      <protection locked="0"/>
    </xf>
    <xf numFmtId="0" fontId="3" fillId="0" borderId="1" xfId="2" applyFont="1" applyBorder="1" applyAlignment="1">
      <alignment horizontal="center" vertical="center"/>
    </xf>
    <xf numFmtId="3" fontId="10" fillId="0" borderId="1" xfId="2" applyNumberFormat="1" applyFont="1" applyFill="1" applyBorder="1" applyAlignment="1">
      <alignment vertical="center"/>
    </xf>
    <xf numFmtId="3" fontId="37" fillId="0" borderId="1" xfId="2" applyNumberFormat="1" applyFont="1" applyFill="1" applyBorder="1" applyAlignment="1" applyProtection="1">
      <alignment horizontal="center" vertical="center" wrapText="1"/>
      <protection locked="0"/>
    </xf>
    <xf numFmtId="0" fontId="2" fillId="0" borderId="1" xfId="2" applyFont="1" applyFill="1" applyBorder="1" applyAlignment="1">
      <alignment vertical="center"/>
    </xf>
    <xf numFmtId="167" fontId="38" fillId="0" borderId="1" xfId="0" applyNumberFormat="1" applyFont="1" applyFill="1" applyBorder="1" applyAlignment="1">
      <alignment horizontal="right" vertical="center"/>
    </xf>
    <xf numFmtId="0" fontId="2" fillId="0" borderId="1" xfId="2" applyFont="1" applyBorder="1" applyAlignment="1" applyProtection="1">
      <alignment horizontal="center" vertical="center"/>
      <protection locked="0"/>
    </xf>
    <xf numFmtId="4" fontId="2" fillId="0" borderId="1" xfId="0" applyNumberFormat="1"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2" fillId="0" borderId="0" xfId="2" applyFont="1" applyAlignment="1">
      <alignment vertical="center" wrapText="1"/>
    </xf>
    <xf numFmtId="1" fontId="3" fillId="0" borderId="1" xfId="0" applyNumberFormat="1" applyFont="1" applyBorder="1" applyAlignment="1" applyProtection="1">
      <alignment horizontal="center" vertical="center" wrapText="1"/>
      <protection locked="0"/>
    </xf>
    <xf numFmtId="3" fontId="39" fillId="0" borderId="1" xfId="2" applyNumberFormat="1" applyFont="1" applyFill="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3" fontId="2" fillId="0" borderId="0" xfId="0" applyNumberFormat="1" applyFont="1" applyBorder="1" applyAlignment="1" applyProtection="1">
      <alignment vertical="center" wrapText="1"/>
      <protection locked="0"/>
    </xf>
    <xf numFmtId="3" fontId="19" fillId="0" borderId="0" xfId="0" applyNumberFormat="1" applyFont="1" applyFill="1" applyBorder="1" applyAlignment="1" applyProtection="1">
      <alignment vertical="center" wrapText="1"/>
      <protection locked="0"/>
    </xf>
    <xf numFmtId="1" fontId="2" fillId="0" borderId="0" xfId="0" applyNumberFormat="1" applyFont="1" applyBorder="1" applyAlignment="1" applyProtection="1">
      <alignment vertical="center" wrapText="1"/>
      <protection locked="0"/>
    </xf>
    <xf numFmtId="3" fontId="2" fillId="0" borderId="0" xfId="0" applyNumberFormat="1" applyFont="1" applyFill="1" applyBorder="1" applyAlignment="1" applyProtection="1">
      <alignment vertical="center" wrapText="1"/>
      <protection locked="0"/>
    </xf>
    <xf numFmtId="0" fontId="2" fillId="0" borderId="0" xfId="2" applyFont="1" applyBorder="1" applyAlignment="1">
      <alignment horizontal="left" vertical="center"/>
    </xf>
    <xf numFmtId="0" fontId="3" fillId="0" borderId="65" xfId="2" applyFont="1" applyBorder="1" applyAlignment="1">
      <alignment horizontal="left" vertical="center"/>
    </xf>
    <xf numFmtId="0" fontId="3" fillId="0" borderId="65" xfId="2" applyFont="1" applyFill="1" applyBorder="1" applyAlignment="1">
      <alignment horizontal="left" vertical="center"/>
    </xf>
    <xf numFmtId="3" fontId="19" fillId="0" borderId="65" xfId="2" applyNumberFormat="1" applyFont="1" applyBorder="1" applyAlignment="1" applyProtection="1">
      <alignment vertical="center" wrapText="1"/>
      <protection locked="0"/>
    </xf>
    <xf numFmtId="3" fontId="19" fillId="0" borderId="65" xfId="2" applyNumberFormat="1" applyFont="1" applyFill="1" applyBorder="1" applyAlignment="1" applyProtection="1">
      <alignment vertical="center" wrapText="1"/>
      <protection locked="0"/>
    </xf>
    <xf numFmtId="4" fontId="10" fillId="0" borderId="1" xfId="2" applyNumberFormat="1" applyFont="1" applyFill="1" applyBorder="1" applyAlignment="1" applyProtection="1">
      <alignment vertical="center" wrapText="1"/>
      <protection locked="0"/>
    </xf>
    <xf numFmtId="3" fontId="26" fillId="0" borderId="1" xfId="2" applyNumberFormat="1" applyFont="1" applyFill="1" applyBorder="1" applyAlignment="1" applyProtection="1">
      <alignment horizontal="center" vertical="center" wrapText="1"/>
      <protection locked="0"/>
    </xf>
    <xf numFmtId="0" fontId="2" fillId="0" borderId="64" xfId="2" applyFont="1" applyBorder="1" applyAlignment="1">
      <alignment horizontal="center" vertical="center" wrapText="1"/>
    </xf>
    <xf numFmtId="0" fontId="2" fillId="0" borderId="64" xfId="2" applyFont="1" applyBorder="1" applyAlignment="1">
      <alignment vertical="center" wrapText="1"/>
    </xf>
    <xf numFmtId="0" fontId="2" fillId="0" borderId="64" xfId="2" applyFont="1" applyFill="1" applyBorder="1" applyAlignment="1">
      <alignment vertical="center" wrapText="1"/>
    </xf>
    <xf numFmtId="3" fontId="2" fillId="0" borderId="64" xfId="2" applyNumberFormat="1" applyFont="1" applyBorder="1" applyAlignment="1">
      <alignment vertical="center" wrapText="1"/>
    </xf>
    <xf numFmtId="3" fontId="2" fillId="0" borderId="64" xfId="2" applyNumberFormat="1" applyFont="1" applyFill="1" applyBorder="1" applyAlignment="1">
      <alignment horizontal="center" vertical="center" wrapText="1"/>
    </xf>
    <xf numFmtId="0" fontId="2" fillId="0" borderId="0" xfId="2" applyFont="1" applyFill="1" applyBorder="1" applyAlignment="1">
      <alignment horizontal="left" vertical="center"/>
    </xf>
    <xf numFmtId="0" fontId="2" fillId="0" borderId="64" xfId="0" applyFont="1" applyBorder="1" applyAlignment="1" applyProtection="1">
      <alignment horizontal="center" vertical="center" wrapText="1"/>
      <protection locked="0"/>
    </xf>
    <xf numFmtId="0" fontId="2" fillId="0" borderId="64" xfId="0" applyFont="1" applyBorder="1" applyAlignment="1" applyProtection="1">
      <alignment horizontal="left" vertical="center" wrapText="1"/>
      <protection locked="0"/>
    </xf>
    <xf numFmtId="3" fontId="2" fillId="0" borderId="64" xfId="0" applyNumberFormat="1" applyFont="1" applyBorder="1" applyAlignment="1" applyProtection="1">
      <alignment vertical="center" wrapText="1"/>
      <protection locked="0"/>
    </xf>
    <xf numFmtId="3" fontId="19" fillId="0" borderId="64" xfId="0" applyNumberFormat="1" applyFont="1" applyFill="1" applyBorder="1" applyAlignment="1" applyProtection="1">
      <alignment vertical="center" wrapText="1"/>
      <protection locked="0"/>
    </xf>
    <xf numFmtId="1" fontId="2" fillId="0" borderId="64" xfId="0" applyNumberFormat="1" applyFont="1" applyBorder="1" applyAlignment="1" applyProtection="1">
      <alignment vertical="center" wrapText="1"/>
      <protection locked="0"/>
    </xf>
    <xf numFmtId="3" fontId="2" fillId="0" borderId="64" xfId="0" applyNumberFormat="1" applyFont="1" applyFill="1" applyBorder="1" applyAlignment="1" applyProtection="1">
      <alignment vertical="center" wrapText="1"/>
      <protection locked="0"/>
    </xf>
    <xf numFmtId="1" fontId="2" fillId="0" borderId="0" xfId="2" applyNumberFormat="1" applyFont="1" applyFill="1" applyBorder="1" applyAlignment="1" applyProtection="1">
      <alignment vertical="center" wrapText="1"/>
      <protection locked="0"/>
    </xf>
    <xf numFmtId="3" fontId="2" fillId="0" borderId="1" xfId="2" applyNumberFormat="1" applyFont="1" applyBorder="1" applyAlignment="1">
      <alignment vertical="center" wrapText="1"/>
    </xf>
    <xf numFmtId="0" fontId="2" fillId="0" borderId="0" xfId="2" applyFont="1" applyFill="1" applyAlignment="1">
      <alignment horizontal="center" vertical="center"/>
    </xf>
    <xf numFmtId="3" fontId="2" fillId="0" borderId="4" xfId="2" applyNumberFormat="1" applyFont="1" applyFill="1" applyBorder="1" applyAlignment="1" applyProtection="1">
      <alignment vertical="center" wrapText="1"/>
      <protection locked="0"/>
    </xf>
    <xf numFmtId="4" fontId="10" fillId="0" borderId="4" xfId="0" applyNumberFormat="1" applyFont="1" applyFill="1" applyBorder="1" applyAlignment="1" applyProtection="1">
      <alignment vertical="center" wrapText="1"/>
      <protection locked="0"/>
    </xf>
    <xf numFmtId="1" fontId="3" fillId="0" borderId="4" xfId="2" applyNumberFormat="1" applyFont="1" applyFill="1" applyBorder="1" applyAlignment="1" applyProtection="1">
      <alignment horizontal="center" vertical="center" wrapText="1"/>
      <protection locked="0"/>
    </xf>
    <xf numFmtId="3" fontId="3" fillId="0" borderId="4" xfId="2" applyNumberFormat="1" applyFont="1" applyBorder="1" applyAlignment="1">
      <alignment vertical="center" wrapText="1"/>
    </xf>
    <xf numFmtId="3" fontId="2" fillId="0" borderId="3" xfId="0" applyNumberFormat="1" applyFont="1" applyBorder="1" applyAlignment="1" applyProtection="1">
      <alignment vertical="center" wrapText="1"/>
      <protection locked="0"/>
    </xf>
    <xf numFmtId="3" fontId="2" fillId="0" borderId="3" xfId="0" applyNumberFormat="1" applyFont="1" applyFill="1" applyBorder="1" applyAlignment="1" applyProtection="1">
      <alignment vertical="center" wrapText="1"/>
      <protection locked="0"/>
    </xf>
    <xf numFmtId="1" fontId="3" fillId="0" borderId="3" xfId="0" applyNumberFormat="1" applyFont="1" applyBorder="1" applyAlignment="1" applyProtection="1">
      <alignment horizontal="center" vertical="center" wrapText="1"/>
      <protection locked="0"/>
    </xf>
    <xf numFmtId="3" fontId="19" fillId="0" borderId="64" xfId="2" applyNumberFormat="1" applyFont="1" applyFill="1" applyBorder="1" applyAlignment="1" applyProtection="1">
      <alignment vertical="center" wrapText="1"/>
      <protection locked="0"/>
    </xf>
    <xf numFmtId="1" fontId="2" fillId="0" borderId="64" xfId="2" applyNumberFormat="1" applyFont="1" applyBorder="1" applyAlignment="1" applyProtection="1">
      <alignment vertical="center" wrapText="1"/>
      <protection locked="0"/>
    </xf>
    <xf numFmtId="0" fontId="2" fillId="0" borderId="64" xfId="2" applyFont="1" applyFill="1" applyBorder="1" applyAlignment="1">
      <alignment vertical="center"/>
    </xf>
    <xf numFmtId="3" fontId="2" fillId="0" borderId="1" xfId="2" applyNumberFormat="1" applyFont="1" applyBorder="1" applyAlignment="1">
      <alignment vertical="center"/>
    </xf>
    <xf numFmtId="0" fontId="39" fillId="0" borderId="0" xfId="2" applyFont="1" applyFill="1" applyBorder="1" applyAlignment="1" applyProtection="1">
      <alignment horizontal="left" vertical="center" wrapText="1"/>
      <protection locked="0"/>
    </xf>
    <xf numFmtId="4" fontId="10" fillId="0" borderId="1" xfId="2" applyNumberFormat="1" applyFont="1" applyFill="1" applyBorder="1" applyAlignment="1">
      <alignment vertical="center"/>
    </xf>
    <xf numFmtId="3" fontId="2" fillId="0" borderId="1" xfId="2" applyNumberFormat="1" applyFont="1" applyFill="1" applyBorder="1" applyAlignment="1" applyProtection="1">
      <alignment horizontal="left" vertical="center"/>
      <protection locked="0"/>
    </xf>
    <xf numFmtId="4" fontId="10" fillId="0" borderId="1" xfId="2" applyNumberFormat="1" applyFont="1" applyFill="1" applyBorder="1" applyAlignment="1" applyProtection="1">
      <alignment horizontal="center" vertical="center" wrapText="1"/>
      <protection locked="0"/>
    </xf>
    <xf numFmtId="0" fontId="2" fillId="0" borderId="1" xfId="2" applyFont="1" applyFill="1" applyBorder="1" applyAlignment="1" applyProtection="1">
      <alignment horizontal="left" vertical="center" wrapText="1"/>
      <protection locked="0"/>
    </xf>
    <xf numFmtId="0" fontId="3" fillId="0" borderId="1" xfId="2" applyFont="1" applyFill="1" applyBorder="1" applyAlignment="1" applyProtection="1">
      <alignment horizontal="center" vertical="center" wrapText="1"/>
      <protection locked="0"/>
    </xf>
    <xf numFmtId="4" fontId="2" fillId="0" borderId="1" xfId="2" applyNumberFormat="1" applyFont="1" applyFill="1" applyBorder="1" applyAlignment="1">
      <alignment vertical="center"/>
    </xf>
    <xf numFmtId="2" fontId="2" fillId="0" borderId="0" xfId="2" applyNumberFormat="1" applyFont="1" applyAlignment="1">
      <alignment vertical="center"/>
    </xf>
    <xf numFmtId="0" fontId="3" fillId="0" borderId="1" xfId="2" applyFont="1" applyBorder="1" applyAlignment="1">
      <alignment vertical="center"/>
    </xf>
    <xf numFmtId="0" fontId="2" fillId="0" borderId="64" xfId="2" applyFont="1" applyFill="1" applyBorder="1" applyAlignment="1" applyProtection="1">
      <alignment horizontal="center" vertical="center" wrapText="1"/>
      <protection locked="0"/>
    </xf>
    <xf numFmtId="0" fontId="2" fillId="0" borderId="64" xfId="2" applyFont="1" applyFill="1" applyBorder="1" applyAlignment="1" applyProtection="1">
      <alignment horizontal="left" vertical="center" wrapText="1"/>
      <protection locked="0"/>
    </xf>
    <xf numFmtId="3" fontId="2" fillId="0" borderId="0" xfId="2" applyNumberFormat="1" applyFont="1" applyFill="1" applyBorder="1" applyAlignment="1">
      <alignment vertical="center" wrapText="1"/>
    </xf>
    <xf numFmtId="0" fontId="3" fillId="0" borderId="0" xfId="2" applyFont="1" applyBorder="1" applyAlignment="1">
      <alignment horizontal="left" vertical="center"/>
    </xf>
    <xf numFmtId="0" fontId="3" fillId="0" borderId="0" xfId="2" applyFont="1" applyFill="1" applyBorder="1" applyAlignment="1">
      <alignment horizontal="left" vertical="center"/>
    </xf>
    <xf numFmtId="1" fontId="2" fillId="0" borderId="64" xfId="2" applyNumberFormat="1" applyFont="1" applyFill="1" applyBorder="1" applyAlignment="1" applyProtection="1">
      <alignment vertical="center" wrapText="1"/>
      <protection locked="0"/>
    </xf>
    <xf numFmtId="0" fontId="2" fillId="0" borderId="64" xfId="2" applyFont="1" applyFill="1" applyBorder="1" applyAlignment="1">
      <alignment horizontal="center" vertical="center" wrapText="1"/>
    </xf>
    <xf numFmtId="3" fontId="2" fillId="0" borderId="64" xfId="2" applyNumberFormat="1" applyFont="1" applyFill="1" applyBorder="1" applyAlignment="1">
      <alignment vertical="center" wrapText="1"/>
    </xf>
    <xf numFmtId="1" fontId="10" fillId="0" borderId="1" xfId="2" applyNumberFormat="1" applyFont="1" applyFill="1" applyBorder="1" applyAlignment="1" applyProtection="1">
      <alignment vertical="center" wrapText="1"/>
      <protection locked="0"/>
    </xf>
    <xf numFmtId="1" fontId="10" fillId="0" borderId="1" xfId="0" applyNumberFormat="1" applyFont="1" applyFill="1" applyBorder="1" applyAlignment="1">
      <alignment vertical="center"/>
    </xf>
    <xf numFmtId="1" fontId="10" fillId="0" borderId="1" xfId="0" applyNumberFormat="1" applyFont="1" applyFill="1" applyBorder="1" applyAlignment="1">
      <alignment horizontal="right" vertical="center"/>
    </xf>
    <xf numFmtId="3" fontId="3" fillId="0" borderId="26" xfId="2" applyNumberFormat="1" applyFont="1" applyBorder="1" applyAlignment="1">
      <alignment vertical="center"/>
    </xf>
    <xf numFmtId="3" fontId="3" fillId="0" borderId="26" xfId="2" applyNumberFormat="1" applyFont="1" applyFill="1" applyBorder="1" applyAlignment="1">
      <alignment vertical="center"/>
    </xf>
    <xf numFmtId="1" fontId="3" fillId="0" borderId="26" xfId="2" applyNumberFormat="1" applyFont="1" applyFill="1" applyBorder="1" applyAlignment="1">
      <alignment vertical="center"/>
    </xf>
    <xf numFmtId="0" fontId="2" fillId="0" borderId="64" xfId="2" applyFont="1" applyBorder="1" applyAlignment="1">
      <alignment horizontal="center" vertical="center"/>
    </xf>
    <xf numFmtId="0" fontId="2" fillId="0" borderId="64" xfId="2" applyFont="1" applyBorder="1" applyAlignment="1">
      <alignment vertical="center"/>
    </xf>
    <xf numFmtId="0" fontId="2" fillId="0" borderId="0" xfId="2" applyFont="1" applyFill="1" applyBorder="1" applyAlignment="1">
      <alignment vertical="center"/>
    </xf>
    <xf numFmtId="0" fontId="2" fillId="0" borderId="1" xfId="2" applyFont="1" applyBorder="1" applyAlignment="1">
      <alignment horizontal="right" vertical="center"/>
    </xf>
    <xf numFmtId="3" fontId="3" fillId="0" borderId="1" xfId="2" applyNumberFormat="1" applyFont="1" applyFill="1" applyBorder="1" applyAlignment="1" applyProtection="1">
      <alignment horizontal="right" vertical="center" wrapText="1"/>
      <protection locked="0"/>
    </xf>
    <xf numFmtId="3" fontId="3" fillId="0" borderId="1" xfId="2" applyNumberFormat="1" applyFont="1" applyFill="1" applyBorder="1" applyAlignment="1" applyProtection="1">
      <alignment horizontal="right" vertical="center"/>
      <protection locked="0"/>
    </xf>
    <xf numFmtId="0" fontId="44" fillId="0" borderId="0" xfId="2" applyFont="1" applyAlignment="1">
      <alignment vertical="center"/>
    </xf>
    <xf numFmtId="0" fontId="2" fillId="0" borderId="0" xfId="2" applyFont="1" applyAlignment="1" applyProtection="1">
      <alignment vertical="center"/>
      <protection locked="0"/>
    </xf>
    <xf numFmtId="0" fontId="4" fillId="0" borderId="0" xfId="1" applyFont="1" applyFill="1" applyAlignment="1">
      <alignment horizontal="center"/>
    </xf>
    <xf numFmtId="3" fontId="3" fillId="0" borderId="1" xfId="1" applyNumberFormat="1" applyFont="1" applyBorder="1" applyAlignment="1">
      <alignment horizontal="center" wrapText="1"/>
    </xf>
    <xf numFmtId="0" fontId="3" fillId="0" borderId="10" xfId="1" applyFont="1" applyBorder="1" applyAlignment="1">
      <alignment horizontal="center" wrapText="1"/>
    </xf>
    <xf numFmtId="3" fontId="2" fillId="0" borderId="3" xfId="1" applyNumberFormat="1" applyFont="1" applyBorder="1" applyAlignment="1" applyProtection="1">
      <alignment horizontal="right" vertical="center" wrapText="1"/>
      <protection locked="0"/>
    </xf>
    <xf numFmtId="3" fontId="3" fillId="0" borderId="1" xfId="1" applyNumberFormat="1" applyFont="1" applyBorder="1" applyAlignment="1">
      <alignment horizontal="center" vertical="center" wrapText="1"/>
    </xf>
    <xf numFmtId="3" fontId="2" fillId="0" borderId="1" xfId="1" applyNumberFormat="1" applyFont="1" applyFill="1" applyBorder="1" applyAlignment="1" applyProtection="1">
      <alignment vertical="center" wrapText="1"/>
      <protection locked="0"/>
    </xf>
    <xf numFmtId="0" fontId="2" fillId="0" borderId="3" xfId="1" applyFont="1" applyBorder="1" applyAlignment="1" applyProtection="1">
      <alignment horizontal="center" vertical="center" wrapText="1"/>
      <protection locked="0"/>
    </xf>
    <xf numFmtId="3" fontId="2" fillId="0" borderId="3" xfId="1" applyNumberFormat="1" applyFont="1" applyBorder="1" applyAlignment="1" applyProtection="1">
      <alignment horizontal="right" wrapText="1"/>
      <protection locked="0"/>
    </xf>
    <xf numFmtId="3" fontId="2" fillId="0" borderId="1" xfId="1" applyNumberFormat="1" applyFont="1" applyBorder="1" applyAlignment="1" applyProtection="1">
      <alignment horizontal="right" wrapText="1"/>
      <protection locked="0"/>
    </xf>
    <xf numFmtId="0" fontId="2" fillId="0" borderId="4" xfId="1" applyFont="1" applyBorder="1" applyAlignment="1" applyProtection="1">
      <alignment horizontal="center" vertical="center" wrapText="1"/>
      <protection locked="0"/>
    </xf>
    <xf numFmtId="3" fontId="2" fillId="0" borderId="3" xfId="1" applyNumberFormat="1" applyFont="1" applyBorder="1" applyAlignment="1" applyProtection="1">
      <alignment vertical="center" wrapText="1"/>
      <protection locked="0"/>
    </xf>
    <xf numFmtId="0" fontId="3" fillId="0" borderId="1" xfId="1" applyFont="1" applyBorder="1" applyAlignment="1" applyProtection="1">
      <alignment horizontal="center" wrapText="1"/>
      <protection locked="0"/>
    </xf>
    <xf numFmtId="3" fontId="2" fillId="0" borderId="3" xfId="1" applyNumberFormat="1" applyFont="1" applyBorder="1" applyAlignment="1" applyProtection="1">
      <alignment horizontal="center" vertical="center" wrapText="1"/>
      <protection locked="0"/>
    </xf>
    <xf numFmtId="3" fontId="3" fillId="0" borderId="1" xfId="1" applyNumberFormat="1" applyFont="1" applyBorder="1" applyAlignment="1" applyProtection="1">
      <alignment horizontal="center" wrapText="1"/>
      <protection locked="0"/>
    </xf>
    <xf numFmtId="3" fontId="3"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protection locked="0"/>
    </xf>
    <xf numFmtId="3" fontId="3" fillId="0" borderId="1" xfId="1" applyNumberFormat="1" applyFont="1" applyBorder="1" applyAlignment="1" applyProtection="1">
      <alignment horizontal="center" vertical="center"/>
      <protection locked="0"/>
    </xf>
    <xf numFmtId="0" fontId="3" fillId="0" borderId="1" xfId="1" applyFont="1" applyBorder="1" applyAlignment="1" applyProtection="1">
      <alignment horizontal="center"/>
      <protection locked="0"/>
    </xf>
    <xf numFmtId="3" fontId="2" fillId="0" borderId="1" xfId="1" applyNumberFormat="1" applyFont="1" applyBorder="1" applyAlignment="1" applyProtection="1">
      <alignment horizontal="right"/>
      <protection locked="0"/>
    </xf>
    <xf numFmtId="3" fontId="3" fillId="0" borderId="1" xfId="1" applyNumberFormat="1" applyFont="1" applyBorder="1" applyAlignment="1" applyProtection="1">
      <alignment horizontal="center"/>
      <protection locked="0"/>
    </xf>
    <xf numFmtId="3" fontId="2" fillId="0" borderId="1" xfId="1" applyNumberFormat="1" applyFont="1" applyBorder="1" applyAlignment="1" applyProtection="1">
      <alignment horizontal="center" wrapText="1"/>
      <protection locked="0"/>
    </xf>
    <xf numFmtId="0" fontId="2" fillId="0" borderId="1" xfId="1" applyFont="1" applyBorder="1" applyAlignment="1" applyProtection="1">
      <alignment horizontal="center"/>
      <protection locked="0"/>
    </xf>
    <xf numFmtId="165" fontId="2" fillId="0" borderId="1" xfId="1" applyNumberFormat="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3" fontId="2" fillId="0" borderId="1" xfId="1" applyNumberFormat="1" applyFont="1" applyFill="1" applyBorder="1" applyAlignment="1" applyProtection="1">
      <alignment horizontal="right" vertical="center"/>
      <protection locked="0"/>
    </xf>
    <xf numFmtId="3" fontId="3" fillId="0" borderId="1" xfId="1" applyNumberFormat="1" applyFont="1" applyFill="1" applyBorder="1" applyAlignment="1" applyProtection="1">
      <alignment horizontal="center" vertical="center"/>
      <protection locked="0"/>
    </xf>
    <xf numFmtId="3" fontId="2" fillId="0" borderId="64" xfId="1" applyNumberFormat="1" applyFont="1" applyBorder="1" applyAlignment="1" applyProtection="1">
      <alignment wrapText="1"/>
      <protection locked="0"/>
    </xf>
    <xf numFmtId="0" fontId="2" fillId="0" borderId="0" xfId="1" applyFont="1" applyBorder="1" applyAlignment="1">
      <alignment horizontal="center" wrapText="1"/>
    </xf>
    <xf numFmtId="0" fontId="2" fillId="0" borderId="0" xfId="1" applyFont="1" applyFill="1" applyAlignment="1">
      <alignment horizontal="left"/>
    </xf>
    <xf numFmtId="0" fontId="2" fillId="0" borderId="0" xfId="1" applyFont="1" applyAlignment="1">
      <alignment horizontal="center"/>
    </xf>
    <xf numFmtId="49" fontId="3" fillId="0" borderId="0" xfId="1" applyNumberFormat="1" applyFont="1" applyAlignment="1">
      <alignment horizontal="left"/>
    </xf>
    <xf numFmtId="0" fontId="2" fillId="0" borderId="1" xfId="1" applyFont="1" applyFill="1" applyBorder="1" applyAlignment="1" applyProtection="1">
      <alignment horizontal="center" vertical="center" wrapText="1"/>
      <protection locked="0"/>
    </xf>
    <xf numFmtId="0" fontId="2" fillId="0" borderId="0" xfId="1" applyFont="1" applyBorder="1" applyProtection="1">
      <protection locked="0"/>
    </xf>
    <xf numFmtId="0" fontId="2" fillId="0" borderId="0" xfId="1" applyFont="1" applyBorder="1" applyAlignment="1" applyProtection="1">
      <alignment horizontal="left" wrapText="1"/>
      <protection locked="0"/>
    </xf>
    <xf numFmtId="3" fontId="2" fillId="0" borderId="0" xfId="1" applyNumberFormat="1" applyFont="1" applyBorder="1" applyAlignment="1" applyProtection="1">
      <alignment wrapText="1"/>
      <protection locked="0"/>
    </xf>
    <xf numFmtId="3" fontId="3" fillId="0" borderId="0" xfId="1" applyNumberFormat="1" applyFont="1" applyBorder="1" applyAlignment="1">
      <alignment horizontal="center" wrapText="1"/>
    </xf>
    <xf numFmtId="3" fontId="2" fillId="0" borderId="0" xfId="1" applyNumberFormat="1" applyFont="1" applyFill="1" applyBorder="1" applyAlignment="1" applyProtection="1">
      <alignment wrapText="1"/>
      <protection locked="0"/>
    </xf>
    <xf numFmtId="0" fontId="2" fillId="0" borderId="0" xfId="1" applyFont="1" applyBorder="1" applyAlignment="1" applyProtection="1">
      <alignment horizontal="left"/>
      <protection locked="0"/>
    </xf>
    <xf numFmtId="0" fontId="2" fillId="0" borderId="0" xfId="6" applyFont="1" applyFill="1" applyBorder="1" applyAlignment="1">
      <alignment horizontal="left"/>
    </xf>
    <xf numFmtId="0" fontId="3" fillId="0" borderId="0" xfId="6" applyFont="1" applyFill="1" applyBorder="1" applyAlignment="1">
      <alignment horizontal="left"/>
    </xf>
    <xf numFmtId="3" fontId="3" fillId="0" borderId="0" xfId="1" applyNumberFormat="1" applyFont="1" applyFill="1" applyBorder="1" applyAlignment="1" applyProtection="1">
      <alignment wrapText="1"/>
      <protection locked="0"/>
    </xf>
    <xf numFmtId="0" fontId="2" fillId="0" borderId="65" xfId="6" applyFont="1" applyFill="1" applyBorder="1" applyAlignment="1">
      <alignment horizontal="left"/>
    </xf>
    <xf numFmtId="164" fontId="3" fillId="0" borderId="0" xfId="6" applyNumberFormat="1" applyFont="1" applyFill="1" applyBorder="1" applyAlignment="1">
      <alignment horizontal="left"/>
    </xf>
    <xf numFmtId="164" fontId="3" fillId="0" borderId="0" xfId="6" quotePrefix="1" applyNumberFormat="1" applyFont="1" applyFill="1" applyBorder="1" applyAlignment="1">
      <alignment horizontal="left"/>
    </xf>
    <xf numFmtId="3" fontId="3" fillId="0" borderId="65" xfId="1" applyNumberFormat="1" applyFont="1" applyFill="1" applyBorder="1" applyAlignment="1" applyProtection="1">
      <alignment wrapText="1"/>
      <protection locked="0"/>
    </xf>
    <xf numFmtId="3" fontId="2" fillId="0" borderId="0" xfId="1" applyNumberFormat="1" applyFont="1"/>
    <xf numFmtId="3" fontId="2" fillId="0" borderId="0" xfId="1" applyNumberFormat="1" applyFont="1" applyFill="1"/>
    <xf numFmtId="1" fontId="3" fillId="0" borderId="0" xfId="1" applyNumberFormat="1" applyFont="1" applyBorder="1"/>
    <xf numFmtId="0" fontId="2" fillId="0" borderId="0" xfId="6" applyFont="1" applyProtection="1">
      <protection locked="0"/>
    </xf>
    <xf numFmtId="3" fontId="2" fillId="0" borderId="0" xfId="1" applyNumberFormat="1" applyFont="1" applyBorder="1" applyAlignment="1" applyProtection="1">
      <alignment vertical="center" wrapText="1"/>
      <protection locked="0"/>
    </xf>
    <xf numFmtId="16" fontId="2" fillId="0" borderId="1" xfId="2" applyNumberFormat="1" applyFont="1" applyBorder="1" applyAlignment="1" applyProtection="1">
      <alignment horizontal="center" vertical="center" wrapText="1"/>
      <protection locked="0"/>
    </xf>
    <xf numFmtId="49" fontId="2" fillId="0" borderId="1" xfId="2" applyNumberFormat="1" applyFont="1" applyBorder="1" applyAlignment="1" applyProtection="1">
      <alignment horizontal="center" vertical="center" wrapText="1"/>
      <protection locked="0"/>
    </xf>
    <xf numFmtId="0" fontId="2" fillId="0" borderId="0" xfId="2" applyFont="1" applyBorder="1" applyAlignment="1" applyProtection="1">
      <alignment vertical="center" wrapText="1"/>
      <protection locked="0"/>
    </xf>
    <xf numFmtId="3" fontId="2" fillId="0" borderId="0" xfId="2" applyNumberFormat="1" applyFont="1" applyBorder="1" applyAlignment="1" applyProtection="1">
      <alignment horizontal="right" vertical="center" wrapText="1"/>
      <protection locked="0"/>
    </xf>
    <xf numFmtId="0" fontId="11" fillId="0" borderId="0" xfId="7"/>
    <xf numFmtId="0" fontId="4" fillId="0" borderId="0" xfId="7" applyFont="1" applyAlignment="1">
      <alignment horizontal="center"/>
    </xf>
    <xf numFmtId="0" fontId="2" fillId="0" borderId="1" xfId="7" applyFont="1" applyBorder="1" applyAlignment="1">
      <alignment horizontal="center" vertical="center" wrapText="1"/>
    </xf>
    <xf numFmtId="3" fontId="3" fillId="0" borderId="1" xfId="7" applyNumberFormat="1" applyFont="1" applyBorder="1" applyAlignment="1">
      <alignment vertical="center" wrapText="1"/>
    </xf>
    <xf numFmtId="0" fontId="2" fillId="0" borderId="1" xfId="7" applyFont="1" applyBorder="1" applyAlignment="1" applyProtection="1">
      <alignment horizontal="center" vertical="center" wrapText="1"/>
      <protection locked="0"/>
    </xf>
    <xf numFmtId="3" fontId="2" fillId="0" borderId="1" xfId="7" applyNumberFormat="1" applyFont="1" applyBorder="1" applyAlignment="1" applyProtection="1">
      <alignment horizontal="right" vertical="center" wrapText="1"/>
      <protection locked="0"/>
    </xf>
    <xf numFmtId="3" fontId="3" fillId="0" borderId="1" xfId="7" applyNumberFormat="1" applyFont="1" applyBorder="1" applyAlignment="1" applyProtection="1">
      <alignment horizontal="right" vertical="center" wrapText="1"/>
      <protection locked="0"/>
    </xf>
    <xf numFmtId="3" fontId="2" fillId="0" borderId="1" xfId="7" applyNumberFormat="1" applyFont="1" applyFill="1" applyBorder="1" applyAlignment="1" applyProtection="1">
      <alignment horizontal="right" vertical="center" wrapText="1"/>
      <protection locked="0"/>
    </xf>
    <xf numFmtId="3" fontId="3" fillId="0" borderId="1" xfId="7" applyNumberFormat="1" applyFont="1" applyFill="1" applyBorder="1" applyAlignment="1" applyProtection="1">
      <alignment horizontal="right" vertical="center" wrapText="1"/>
      <protection locked="0"/>
    </xf>
    <xf numFmtId="3" fontId="2" fillId="0" borderId="4" xfId="7" applyNumberFormat="1" applyFont="1" applyFill="1" applyBorder="1" applyAlignment="1" applyProtection="1">
      <alignment horizontal="right" vertical="center" wrapText="1"/>
      <protection locked="0"/>
    </xf>
    <xf numFmtId="0" fontId="2" fillId="0" borderId="4" xfId="7" applyFont="1" applyBorder="1" applyAlignment="1" applyProtection="1">
      <alignment horizontal="center" vertical="center" wrapText="1"/>
      <protection locked="0"/>
    </xf>
    <xf numFmtId="3" fontId="2" fillId="0" borderId="4" xfId="7" applyNumberFormat="1" applyFont="1" applyBorder="1" applyAlignment="1" applyProtection="1">
      <alignment horizontal="right" vertical="center" wrapText="1"/>
      <protection locked="0"/>
    </xf>
    <xf numFmtId="3" fontId="2" fillId="0" borderId="4" xfId="7" applyNumberFormat="1" applyFont="1" applyBorder="1" applyAlignment="1" applyProtection="1">
      <alignment horizontal="center" vertical="center" wrapText="1"/>
      <protection locked="0"/>
    </xf>
    <xf numFmtId="3" fontId="27" fillId="0" borderId="4" xfId="7" applyNumberFormat="1" applyFont="1" applyBorder="1" applyAlignment="1" applyProtection="1">
      <alignment horizontal="center" vertical="center" wrapText="1"/>
      <protection locked="0"/>
    </xf>
    <xf numFmtId="3" fontId="3" fillId="0" borderId="4" xfId="7" applyNumberFormat="1" applyFont="1" applyFill="1" applyBorder="1" applyAlignment="1" applyProtection="1">
      <alignment horizontal="right" vertical="center" wrapText="1"/>
      <protection locked="0"/>
    </xf>
    <xf numFmtId="3" fontId="2" fillId="0" borderId="4" xfId="7" applyNumberFormat="1" applyFont="1" applyFill="1" applyBorder="1" applyAlignment="1" applyProtection="1">
      <alignment horizontal="center" vertical="center" wrapText="1"/>
      <protection locked="0"/>
    </xf>
    <xf numFmtId="3" fontId="3" fillId="0" borderId="4" xfId="7" applyNumberFormat="1" applyFont="1" applyBorder="1" applyAlignment="1" applyProtection="1">
      <alignment vertical="center" wrapText="1"/>
      <protection locked="0"/>
    </xf>
    <xf numFmtId="3" fontId="2" fillId="0" borderId="4" xfId="7" applyNumberFormat="1" applyFont="1" applyBorder="1" applyAlignment="1" applyProtection="1">
      <alignment vertical="center" wrapText="1"/>
      <protection locked="0"/>
    </xf>
    <xf numFmtId="3" fontId="2" fillId="0" borderId="1" xfId="7" applyNumberFormat="1" applyFont="1" applyFill="1" applyBorder="1" applyAlignment="1" applyProtection="1">
      <alignment vertical="center" wrapText="1"/>
      <protection locked="0"/>
    </xf>
    <xf numFmtId="3" fontId="3" fillId="0" borderId="1" xfId="7" applyNumberFormat="1" applyFont="1" applyBorder="1" applyAlignment="1" applyProtection="1">
      <alignment vertical="center" wrapText="1"/>
      <protection locked="0"/>
    </xf>
    <xf numFmtId="3" fontId="2" fillId="0" borderId="1" xfId="7" applyNumberFormat="1" applyFont="1" applyBorder="1" applyAlignment="1" applyProtection="1">
      <alignment vertical="center" wrapText="1"/>
      <protection locked="0"/>
    </xf>
    <xf numFmtId="3" fontId="2" fillId="0" borderId="1" xfId="7" applyNumberFormat="1" applyFont="1" applyBorder="1" applyAlignment="1" applyProtection="1">
      <alignment horizontal="right" vertical="center"/>
      <protection locked="0"/>
    </xf>
    <xf numFmtId="3" fontId="2" fillId="0" borderId="1" xfId="7" applyNumberFormat="1" applyFont="1" applyFill="1" applyBorder="1" applyAlignment="1" applyProtection="1">
      <alignment horizontal="right" vertical="center"/>
      <protection locked="0"/>
    </xf>
    <xf numFmtId="3" fontId="3" fillId="0" borderId="1" xfId="7" applyNumberFormat="1" applyFont="1" applyBorder="1" applyAlignment="1" applyProtection="1">
      <alignment horizontal="right" vertical="center"/>
      <protection locked="0"/>
    </xf>
    <xf numFmtId="0" fontId="2" fillId="0" borderId="1" xfId="7" applyFont="1" applyFill="1" applyBorder="1" applyAlignment="1" applyProtection="1">
      <alignment horizontal="center" vertical="center" wrapText="1"/>
      <protection locked="0"/>
    </xf>
    <xf numFmtId="0" fontId="11" fillId="0" borderId="0" xfId="7" applyFill="1"/>
    <xf numFmtId="3" fontId="2" fillId="0" borderId="1" xfId="7" applyNumberFormat="1" applyFont="1" applyBorder="1" applyAlignment="1" applyProtection="1">
      <alignment horizontal="center" vertical="center" wrapText="1"/>
      <protection locked="0"/>
    </xf>
    <xf numFmtId="3" fontId="2" fillId="0" borderId="1" xfId="7" applyNumberFormat="1" applyFont="1" applyFill="1" applyBorder="1" applyAlignment="1" applyProtection="1">
      <alignment horizontal="center" vertical="center" wrapText="1"/>
      <protection locked="0"/>
    </xf>
    <xf numFmtId="0" fontId="2" fillId="0" borderId="0" xfId="7" applyFont="1" applyBorder="1" applyAlignment="1" applyProtection="1">
      <alignment wrapText="1"/>
      <protection locked="0"/>
    </xf>
    <xf numFmtId="0" fontId="2" fillId="0" borderId="0" xfId="7" applyFont="1" applyBorder="1" applyAlignment="1" applyProtection="1">
      <alignment horizontal="left" wrapText="1"/>
      <protection locked="0"/>
    </xf>
    <xf numFmtId="3" fontId="2" fillId="0" borderId="0" xfId="7" applyNumberFormat="1" applyFont="1" applyBorder="1" applyAlignment="1" applyProtection="1">
      <alignment horizontal="right" vertical="center" wrapText="1"/>
      <protection locked="0"/>
    </xf>
    <xf numFmtId="3" fontId="2" fillId="0" borderId="0" xfId="7" applyNumberFormat="1" applyFont="1" applyBorder="1" applyAlignment="1" applyProtection="1">
      <alignment horizontal="left" vertical="center" wrapText="1"/>
      <protection locked="0"/>
    </xf>
    <xf numFmtId="0" fontId="2" fillId="0" borderId="0" xfId="7" applyFont="1"/>
    <xf numFmtId="0" fontId="2" fillId="0" borderId="0" xfId="7" applyFont="1" applyAlignment="1">
      <alignment horizontal="left" vertical="center"/>
    </xf>
    <xf numFmtId="0" fontId="26" fillId="0" borderId="0" xfId="7" applyFont="1"/>
    <xf numFmtId="0" fontId="27" fillId="0" borderId="0" xfId="2" applyFont="1"/>
    <xf numFmtId="0" fontId="13" fillId="0" borderId="0" xfId="2" applyFont="1"/>
    <xf numFmtId="0" fontId="3" fillId="0" borderId="10" xfId="1" applyFont="1" applyFill="1" applyBorder="1" applyAlignment="1">
      <alignment horizontal="right" wrapText="1"/>
    </xf>
    <xf numFmtId="3" fontId="2" fillId="0" borderId="1" xfId="1" applyNumberFormat="1" applyFont="1" applyFill="1" applyBorder="1" applyAlignment="1">
      <alignment wrapText="1"/>
    </xf>
    <xf numFmtId="0" fontId="2" fillId="0" borderId="10" xfId="1" applyFont="1" applyBorder="1" applyAlignment="1" applyProtection="1">
      <alignment horizontal="right" wrapText="1"/>
      <protection locked="0"/>
    </xf>
    <xf numFmtId="0" fontId="2" fillId="0" borderId="11" xfId="1" applyFont="1" applyBorder="1" applyAlignment="1" applyProtection="1">
      <alignment horizontal="right" wrapText="1"/>
      <protection locked="0"/>
    </xf>
    <xf numFmtId="0" fontId="2" fillId="0" borderId="1" xfId="1" applyFont="1" applyFill="1" applyBorder="1" applyProtection="1">
      <protection locked="0"/>
    </xf>
    <xf numFmtId="3" fontId="2" fillId="0" borderId="6" xfId="1" applyNumberFormat="1" applyFont="1" applyBorder="1" applyAlignment="1" applyProtection="1">
      <alignment wrapText="1"/>
      <protection locked="0"/>
    </xf>
    <xf numFmtId="3" fontId="2" fillId="0" borderId="5" xfId="1" applyNumberFormat="1" applyFont="1" applyBorder="1" applyAlignment="1" applyProtection="1">
      <alignment wrapText="1"/>
      <protection locked="0"/>
    </xf>
    <xf numFmtId="3" fontId="2" fillId="0" borderId="3" xfId="1" applyNumberFormat="1" applyFont="1" applyBorder="1" applyAlignment="1" applyProtection="1">
      <alignment wrapText="1"/>
      <protection locked="0"/>
    </xf>
    <xf numFmtId="3" fontId="2" fillId="0" borderId="6" xfId="1" applyNumberFormat="1" applyFont="1" applyFill="1" applyBorder="1" applyAlignment="1" applyProtection="1">
      <alignment wrapText="1"/>
      <protection locked="0"/>
    </xf>
    <xf numFmtId="3" fontId="2" fillId="0" borderId="3" xfId="1" applyNumberFormat="1" applyFont="1" applyFill="1" applyBorder="1" applyAlignment="1" applyProtection="1">
      <alignment wrapText="1"/>
      <protection locked="0"/>
    </xf>
    <xf numFmtId="3" fontId="2" fillId="0" borderId="5" xfId="1" applyNumberFormat="1" applyFont="1" applyFill="1" applyBorder="1" applyAlignment="1" applyProtection="1">
      <alignment wrapText="1"/>
      <protection locked="0"/>
    </xf>
    <xf numFmtId="0" fontId="2" fillId="0" borderId="10" xfId="1" applyFont="1" applyBorder="1" applyAlignment="1">
      <alignment wrapText="1"/>
    </xf>
    <xf numFmtId="0" fontId="2" fillId="0" borderId="11" xfId="1" applyFont="1" applyBorder="1" applyAlignment="1">
      <alignment wrapText="1"/>
    </xf>
    <xf numFmtId="0" fontId="2" fillId="0" borderId="12" xfId="1" applyFont="1" applyBorder="1" applyAlignment="1">
      <alignment wrapText="1"/>
    </xf>
    <xf numFmtId="3" fontId="3" fillId="0" borderId="0" xfId="1" applyNumberFormat="1" applyFont="1" applyAlignment="1">
      <alignment horizontal="center" wrapText="1"/>
    </xf>
    <xf numFmtId="3" fontId="2" fillId="0" borderId="65" xfId="1" applyNumberFormat="1" applyFont="1" applyBorder="1" applyAlignment="1" applyProtection="1">
      <alignment wrapText="1"/>
      <protection locked="0"/>
    </xf>
    <xf numFmtId="0" fontId="2" fillId="0" borderId="1" xfId="1" applyFont="1" applyBorder="1" applyAlignment="1">
      <alignment vertical="center"/>
    </xf>
    <xf numFmtId="3" fontId="3" fillId="0" borderId="1" xfId="1" applyNumberFormat="1" applyFont="1" applyFill="1" applyBorder="1" applyAlignment="1">
      <alignment horizontal="center" vertical="center" wrapText="1"/>
    </xf>
    <xf numFmtId="0" fontId="2" fillId="0" borderId="1" xfId="1" applyFont="1" applyFill="1" applyBorder="1" applyAlignment="1">
      <alignment vertical="center"/>
    </xf>
    <xf numFmtId="0" fontId="2" fillId="0" borderId="1" xfId="1" applyFont="1" applyBorder="1"/>
    <xf numFmtId="3" fontId="2" fillId="0" borderId="1" xfId="1" applyNumberFormat="1" applyFont="1" applyBorder="1" applyAlignment="1">
      <alignment vertical="center" wrapText="1"/>
    </xf>
    <xf numFmtId="3" fontId="2" fillId="0" borderId="11" xfId="1" applyNumberFormat="1" applyFont="1" applyBorder="1" applyAlignment="1">
      <alignment wrapText="1"/>
    </xf>
    <xf numFmtId="3" fontId="2" fillId="0" borderId="1" xfId="1" applyNumberFormat="1" applyFont="1" applyFill="1" applyBorder="1" applyAlignment="1">
      <alignment vertical="center" wrapText="1"/>
    </xf>
    <xf numFmtId="3" fontId="2" fillId="2" borderId="1" xfId="1" applyNumberFormat="1" applyFont="1" applyFill="1" applyBorder="1" applyAlignment="1">
      <alignment horizontal="center" vertical="center" wrapText="1"/>
    </xf>
    <xf numFmtId="0" fontId="3" fillId="0" borderId="0" xfId="1" applyFont="1" applyAlignment="1">
      <alignment horizontal="center" vertical="center" wrapText="1"/>
    </xf>
    <xf numFmtId="3" fontId="3" fillId="0" borderId="0" xfId="1" applyNumberFormat="1" applyFont="1" applyBorder="1" applyAlignment="1" applyProtection="1">
      <alignment wrapText="1"/>
      <protection locked="0"/>
    </xf>
    <xf numFmtId="0" fontId="3" fillId="0" borderId="0" xfId="1" applyFont="1" applyAlignment="1">
      <alignment horizontal="left"/>
    </xf>
    <xf numFmtId="49" fontId="3" fillId="0" borderId="0" xfId="1" applyNumberFormat="1" applyFont="1"/>
    <xf numFmtId="0" fontId="2" fillId="0" borderId="1" xfId="1" applyFont="1" applyBorder="1" applyAlignment="1" applyProtection="1">
      <alignment horizontal="center" wrapText="1"/>
      <protection locked="0"/>
    </xf>
    <xf numFmtId="0" fontId="2" fillId="0" borderId="64" xfId="1" applyFont="1" applyBorder="1"/>
    <xf numFmtId="169" fontId="2" fillId="0" borderId="64" xfId="10" applyNumberFormat="1" applyFont="1" applyFill="1" applyBorder="1" applyAlignment="1">
      <alignment vertical="center" wrapText="1"/>
    </xf>
    <xf numFmtId="169" fontId="2" fillId="0" borderId="7" xfId="10" applyNumberFormat="1" applyFont="1" applyFill="1" applyBorder="1" applyAlignment="1">
      <alignment vertical="center" wrapText="1"/>
    </xf>
    <xf numFmtId="169" fontId="2" fillId="0" borderId="0" xfId="10" applyNumberFormat="1" applyFont="1" applyFill="1" applyBorder="1" applyAlignment="1">
      <alignment vertical="center" wrapText="1"/>
    </xf>
    <xf numFmtId="169" fontId="2" fillId="0" borderId="0" xfId="10" applyNumberFormat="1" applyFont="1" applyFill="1" applyBorder="1" applyAlignment="1">
      <alignment vertical="center"/>
    </xf>
    <xf numFmtId="169" fontId="2" fillId="0" borderId="2" xfId="10" applyNumberFormat="1" applyFont="1" applyFill="1" applyBorder="1" applyAlignment="1">
      <alignment vertical="center" wrapText="1"/>
    </xf>
    <xf numFmtId="3" fontId="2" fillId="0" borderId="1" xfId="0" applyNumberFormat="1" applyFont="1" applyFill="1" applyBorder="1" applyAlignment="1" applyProtection="1">
      <alignment horizontal="center" vertical="center" wrapText="1"/>
      <protection locked="0"/>
    </xf>
    <xf numFmtId="0" fontId="4" fillId="0" borderId="0" xfId="1" applyFont="1" applyAlignment="1">
      <alignment horizontal="center"/>
    </xf>
    <xf numFmtId="0" fontId="2" fillId="0" borderId="0" xfId="1" applyFont="1" applyFill="1" applyBorder="1" applyAlignment="1" applyProtection="1">
      <alignment horizontal="left" vertical="center" wrapText="1"/>
      <protection locked="0"/>
    </xf>
    <xf numFmtId="0" fontId="2" fillId="0" borderId="1" xfId="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0" xfId="8" applyFont="1" applyAlignment="1">
      <alignment horizontal="left" vertical="center" wrapText="1"/>
    </xf>
    <xf numFmtId="3" fontId="2" fillId="0" borderId="1" xfId="8" applyNumberFormat="1" applyFont="1" applyFill="1" applyBorder="1" applyAlignment="1">
      <alignment horizontal="center" vertical="center" wrapText="1"/>
    </xf>
    <xf numFmtId="0" fontId="2" fillId="0" borderId="1" xfId="2" applyFont="1" applyBorder="1" applyAlignment="1">
      <alignment horizontal="center" vertical="center" wrapText="1"/>
    </xf>
    <xf numFmtId="0" fontId="3" fillId="0" borderId="12" xfId="8" applyFont="1" applyFill="1" applyBorder="1" applyAlignment="1">
      <alignment horizontal="right" vertical="center" wrapText="1"/>
    </xf>
    <xf numFmtId="0" fontId="3" fillId="0" borderId="11" xfId="8" applyFont="1" applyFill="1" applyBorder="1" applyAlignment="1">
      <alignment horizontal="right" vertical="center" wrapText="1"/>
    </xf>
    <xf numFmtId="0" fontId="2" fillId="0" borderId="10" xfId="8" applyFont="1" applyFill="1" applyBorder="1" applyAlignment="1">
      <alignment horizontal="left" vertical="center" wrapText="1"/>
    </xf>
    <xf numFmtId="0" fontId="2" fillId="0" borderId="12" xfId="8" applyFont="1" applyFill="1" applyBorder="1" applyAlignment="1">
      <alignment horizontal="left" vertical="center" wrapText="1"/>
    </xf>
    <xf numFmtId="0" fontId="2" fillId="0" borderId="7" xfId="8" applyFont="1" applyFill="1" applyBorder="1" applyAlignment="1">
      <alignment horizontal="left" vertical="center" wrapText="1"/>
    </xf>
    <xf numFmtId="0" fontId="2" fillId="0" borderId="0" xfId="8" applyFont="1" applyFill="1" applyBorder="1" applyAlignment="1">
      <alignment horizontal="left" vertical="center" wrapText="1"/>
    </xf>
    <xf numFmtId="0" fontId="2" fillId="0" borderId="1" xfId="8" applyFont="1" applyFill="1" applyBorder="1" applyAlignment="1">
      <alignment horizontal="center" vertical="center"/>
    </xf>
    <xf numFmtId="0" fontId="2" fillId="0" borderId="1" xfId="8" applyFont="1" applyFill="1" applyBorder="1" applyAlignment="1">
      <alignment horizontal="left" vertical="center" wrapText="1"/>
    </xf>
    <xf numFmtId="3" fontId="2" fillId="0" borderId="4" xfId="8" applyNumberFormat="1" applyFont="1" applyFill="1" applyBorder="1" applyAlignment="1">
      <alignment horizontal="center" vertical="center"/>
    </xf>
    <xf numFmtId="3" fontId="2" fillId="0" borderId="2" xfId="8" applyNumberFormat="1" applyFont="1" applyFill="1" applyBorder="1" applyAlignment="1">
      <alignment horizontal="center" vertical="center"/>
    </xf>
    <xf numFmtId="3" fontId="2" fillId="0" borderId="3" xfId="8" applyNumberFormat="1" applyFont="1" applyFill="1" applyBorder="1" applyAlignment="1">
      <alignment horizontal="center" vertical="center"/>
    </xf>
    <xf numFmtId="0" fontId="2" fillId="0" borderId="4" xfId="8" applyFont="1" applyFill="1" applyBorder="1" applyAlignment="1">
      <alignment horizontal="left" vertical="center"/>
    </xf>
    <xf numFmtId="0" fontId="2" fillId="0" borderId="2" xfId="8" applyFont="1" applyFill="1" applyBorder="1" applyAlignment="1">
      <alignment horizontal="left" vertical="center"/>
    </xf>
    <xf numFmtId="0" fontId="2" fillId="0" borderId="3" xfId="8" applyFont="1" applyFill="1" applyBorder="1" applyAlignment="1">
      <alignment horizontal="left" vertical="center"/>
    </xf>
    <xf numFmtId="0" fontId="2" fillId="0" borderId="10" xfId="8" applyFont="1" applyFill="1" applyBorder="1" applyAlignment="1">
      <alignment horizontal="left" wrapText="1"/>
    </xf>
    <xf numFmtId="0" fontId="2" fillId="0" borderId="12" xfId="8" applyFont="1" applyFill="1" applyBorder="1" applyAlignment="1">
      <alignment horizontal="left" wrapText="1"/>
    </xf>
    <xf numFmtId="0" fontId="2" fillId="0" borderId="7" xfId="6" applyFont="1" applyFill="1" applyBorder="1" applyAlignment="1">
      <alignment horizontal="left" wrapText="1"/>
    </xf>
    <xf numFmtId="0" fontId="2" fillId="0" borderId="0" xfId="6" applyFont="1" applyFill="1" applyBorder="1" applyAlignment="1">
      <alignment horizontal="left" wrapText="1"/>
    </xf>
    <xf numFmtId="0" fontId="2" fillId="0" borderId="0" xfId="8" applyFont="1" applyAlignment="1">
      <alignment horizontal="left" vertical="top" wrapText="1"/>
    </xf>
    <xf numFmtId="0" fontId="2" fillId="0" borderId="0" xfId="8" applyFont="1" applyAlignment="1">
      <alignment horizontal="left" vertical="top"/>
    </xf>
    <xf numFmtId="0" fontId="15" fillId="0" borderId="0" xfId="8" applyFont="1" applyFill="1" applyAlignment="1">
      <alignment horizontal="center" wrapText="1"/>
    </xf>
    <xf numFmtId="0" fontId="3" fillId="0" borderId="1" xfId="8" applyFont="1" applyFill="1" applyBorder="1" applyAlignment="1">
      <alignment horizontal="center" vertical="center"/>
    </xf>
    <xf numFmtId="0" fontId="3" fillId="0" borderId="1" xfId="8" applyFont="1" applyFill="1" applyBorder="1" applyAlignment="1">
      <alignment horizontal="center" vertical="center" wrapText="1"/>
    </xf>
    <xf numFmtId="0" fontId="2" fillId="0" borderId="1" xfId="8" applyFont="1" applyFill="1" applyBorder="1" applyAlignment="1">
      <alignment horizontal="center" vertical="center" wrapText="1"/>
    </xf>
    <xf numFmtId="49" fontId="2" fillId="0" borderId="1" xfId="8" applyNumberFormat="1" applyFont="1" applyFill="1" applyBorder="1" applyAlignment="1">
      <alignment horizontal="center" vertical="center" wrapText="1"/>
    </xf>
    <xf numFmtId="49" fontId="2" fillId="0" borderId="1" xfId="8" applyNumberFormat="1" applyFont="1" applyFill="1" applyBorder="1" applyAlignment="1">
      <alignment horizontal="center" wrapText="1"/>
    </xf>
    <xf numFmtId="0" fontId="2" fillId="0" borderId="0" xfId="2" applyFont="1" applyAlignment="1">
      <alignment horizontal="left"/>
    </xf>
    <xf numFmtId="0" fontId="12" fillId="0" borderId="0" xfId="2" applyFont="1" applyAlignment="1">
      <alignment horizontal="left"/>
    </xf>
    <xf numFmtId="0" fontId="4" fillId="0" borderId="0" xfId="2" applyFont="1" applyAlignment="1">
      <alignment horizontal="center"/>
    </xf>
    <xf numFmtId="0" fontId="3" fillId="0" borderId="0" xfId="2" applyFont="1" applyAlignment="1">
      <alignment horizontal="left"/>
    </xf>
    <xf numFmtId="0" fontId="2" fillId="0" borderId="10" xfId="2" applyFont="1" applyBorder="1" applyAlignment="1">
      <alignment horizontal="center" vertical="center" wrapText="1"/>
    </xf>
    <xf numFmtId="0" fontId="2" fillId="0" borderId="11" xfId="2" applyFont="1" applyBorder="1" applyAlignment="1">
      <alignment horizontal="center" vertical="center" wrapText="1"/>
    </xf>
    <xf numFmtId="0" fontId="3" fillId="0" borderId="10" xfId="2" applyFont="1" applyBorder="1" applyAlignment="1">
      <alignment horizontal="right" vertical="center" wrapText="1"/>
    </xf>
    <xf numFmtId="0" fontId="3" fillId="0" borderId="12" xfId="2" applyFont="1" applyBorder="1" applyAlignment="1">
      <alignment horizontal="right" vertical="center" wrapText="1"/>
    </xf>
    <xf numFmtId="0" fontId="3" fillId="0" borderId="11" xfId="2" applyFont="1" applyBorder="1" applyAlignment="1">
      <alignment horizontal="right" vertical="center" wrapText="1"/>
    </xf>
    <xf numFmtId="0" fontId="2" fillId="0" borderId="1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3" fontId="2" fillId="0" borderId="4" xfId="2" applyNumberFormat="1" applyFont="1" applyFill="1" applyBorder="1" applyAlignment="1" applyProtection="1">
      <alignment horizontal="left" vertical="center" wrapText="1"/>
      <protection locked="0"/>
    </xf>
    <xf numFmtId="3" fontId="2" fillId="0" borderId="2" xfId="2" applyNumberFormat="1" applyFont="1" applyFill="1" applyBorder="1" applyAlignment="1" applyProtection="1">
      <alignment horizontal="left" vertical="center" wrapText="1"/>
      <protection locked="0"/>
    </xf>
    <xf numFmtId="3" fontId="2" fillId="0" borderId="3" xfId="2" applyNumberFormat="1" applyFont="1" applyFill="1" applyBorder="1" applyAlignment="1" applyProtection="1">
      <alignment horizontal="left" vertical="center" wrapText="1"/>
      <protection locked="0"/>
    </xf>
    <xf numFmtId="0" fontId="2" fillId="0" borderId="4" xfId="2" applyFont="1" applyBorder="1" applyAlignment="1" applyProtection="1">
      <alignment horizontal="center" vertical="center" wrapText="1"/>
      <protection locked="0"/>
    </xf>
    <xf numFmtId="0" fontId="2" fillId="0" borderId="3" xfId="2" applyFont="1" applyBorder="1" applyAlignment="1" applyProtection="1">
      <alignment horizontal="center" vertical="center" wrapText="1"/>
      <protection locked="0"/>
    </xf>
    <xf numFmtId="0" fontId="2" fillId="0" borderId="9" xfId="2" applyFont="1" applyBorder="1" applyAlignment="1" applyProtection="1">
      <alignment horizontal="left" vertical="center" wrapText="1"/>
      <protection locked="0"/>
    </xf>
    <xf numFmtId="0" fontId="2" fillId="0" borderId="8" xfId="2" applyFont="1" applyBorder="1" applyAlignment="1" applyProtection="1">
      <alignment horizontal="left" vertical="center" wrapText="1"/>
      <protection locked="0"/>
    </xf>
    <xf numFmtId="0" fontId="2" fillId="0" borderId="6" xfId="2" applyFont="1" applyBorder="1" applyAlignment="1" applyProtection="1">
      <alignment horizontal="left" vertical="center" wrapText="1"/>
      <protection locked="0"/>
    </xf>
    <xf numFmtId="0" fontId="2" fillId="0" borderId="5" xfId="2" applyFont="1" applyBorder="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3" xfId="2" applyFont="1" applyBorder="1" applyAlignment="1" applyProtection="1">
      <alignment horizontal="left" vertical="center" wrapText="1"/>
      <protection locked="0"/>
    </xf>
    <xf numFmtId="3" fontId="2" fillId="0" borderId="4" xfId="2" applyNumberFormat="1" applyFont="1" applyBorder="1" applyAlignment="1" applyProtection="1">
      <alignment horizontal="left" vertical="center" wrapText="1"/>
      <protection locked="0"/>
    </xf>
    <xf numFmtId="3" fontId="2" fillId="0" borderId="3" xfId="2" applyNumberFormat="1" applyFont="1" applyBorder="1" applyAlignment="1" applyProtection="1">
      <alignment horizontal="left" vertical="center" wrapText="1"/>
      <protection locked="0"/>
    </xf>
    <xf numFmtId="0" fontId="3" fillId="0" borderId="1" xfId="2" applyFont="1" applyBorder="1" applyAlignment="1">
      <alignment horizontal="right" vertical="center" wrapText="1"/>
    </xf>
    <xf numFmtId="0" fontId="2" fillId="0" borderId="1" xfId="2" applyFont="1" applyBorder="1" applyAlignment="1" applyProtection="1">
      <alignment horizontal="center" vertical="center" wrapText="1"/>
      <protection locked="0"/>
    </xf>
    <xf numFmtId="0" fontId="2" fillId="0" borderId="1" xfId="2" applyFont="1" applyBorder="1" applyAlignment="1" applyProtection="1">
      <alignment horizontal="left" vertical="center" wrapText="1"/>
      <protection locked="0"/>
    </xf>
    <xf numFmtId="3" fontId="2" fillId="0" borderId="1" xfId="2" applyNumberFormat="1" applyFont="1" applyBorder="1" applyAlignment="1" applyProtection="1">
      <alignment horizontal="left" vertical="center" wrapText="1"/>
      <protection locked="0"/>
    </xf>
    <xf numFmtId="3" fontId="2" fillId="0" borderId="4" xfId="2" applyNumberFormat="1" applyFont="1" applyFill="1" applyBorder="1" applyAlignment="1">
      <alignment horizontal="center" vertical="center" wrapText="1"/>
    </xf>
    <xf numFmtId="3" fontId="2" fillId="0" borderId="2" xfId="2" applyNumberFormat="1" applyFont="1" applyFill="1" applyBorder="1" applyAlignment="1">
      <alignment horizontal="center" vertical="center" wrapText="1"/>
    </xf>
    <xf numFmtId="3" fontId="2" fillId="0" borderId="3" xfId="2" applyNumberFormat="1" applyFont="1" applyFill="1" applyBorder="1" applyAlignment="1">
      <alignment horizontal="center" vertical="center" wrapText="1"/>
    </xf>
    <xf numFmtId="0" fontId="2" fillId="0" borderId="0" xfId="2" applyFont="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4"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left" vertical="center" wrapText="1"/>
    </xf>
    <xf numFmtId="0" fontId="2" fillId="0" borderId="3" xfId="2" applyFont="1" applyFill="1" applyBorder="1" applyAlignment="1">
      <alignment horizontal="left" vertical="center" wrapText="1"/>
    </xf>
    <xf numFmtId="0" fontId="4" fillId="0" borderId="0" xfId="2" applyFont="1" applyBorder="1" applyAlignment="1">
      <alignment horizontal="center"/>
    </xf>
    <xf numFmtId="0" fontId="2" fillId="0" borderId="0" xfId="2" applyFont="1" applyBorder="1" applyAlignment="1">
      <alignment horizontal="left"/>
    </xf>
    <xf numFmtId="0" fontId="2" fillId="0" borderId="0" xfId="2" applyFont="1" applyBorder="1" applyAlignment="1" applyProtection="1">
      <alignment horizontal="left" wrapText="1"/>
      <protection locked="0"/>
    </xf>
    <xf numFmtId="0" fontId="3" fillId="0" borderId="0" xfId="2" applyFont="1" applyBorder="1" applyAlignment="1">
      <alignment horizontal="right"/>
    </xf>
    <xf numFmtId="0" fontId="3" fillId="0" borderId="0" xfId="2" applyFont="1" applyBorder="1" applyAlignment="1">
      <alignment horizontal="right" wrapText="1"/>
    </xf>
    <xf numFmtId="0" fontId="3" fillId="0" borderId="17" xfId="2" applyFont="1" applyBorder="1" applyAlignment="1">
      <alignment horizontal="right" vertical="center"/>
    </xf>
    <xf numFmtId="0" fontId="3" fillId="0" borderId="66" xfId="2" applyFont="1" applyBorder="1" applyAlignment="1">
      <alignment horizontal="right" vertical="center"/>
    </xf>
    <xf numFmtId="0" fontId="3" fillId="0" borderId="51" xfId="2" applyFont="1" applyBorder="1" applyAlignment="1">
      <alignment horizontal="right" vertical="center"/>
    </xf>
    <xf numFmtId="0" fontId="2" fillId="0" borderId="0" xfId="2" applyFont="1" applyBorder="1" applyAlignment="1">
      <alignment horizontal="left" vertical="center" wrapText="1"/>
    </xf>
    <xf numFmtId="0" fontId="2" fillId="0" borderId="0" xfId="2" applyFont="1" applyAlignment="1">
      <alignment horizontal="left" vertical="top" wrapText="1"/>
    </xf>
    <xf numFmtId="0" fontId="2" fillId="0" borderId="2" xfId="2" applyFont="1" applyBorder="1" applyAlignment="1" applyProtection="1">
      <alignment horizontal="center" vertical="center" wrapText="1"/>
      <protection locked="0"/>
    </xf>
    <xf numFmtId="0" fontId="2" fillId="0" borderId="7" xfId="2" applyFont="1" applyBorder="1" applyAlignment="1" applyProtection="1">
      <alignment horizontal="left" vertical="center" wrapText="1"/>
      <protection locked="0"/>
    </xf>
    <xf numFmtId="0" fontId="2" fillId="0" borderId="63" xfId="2" applyFont="1" applyBorder="1" applyAlignment="1" applyProtection="1">
      <alignment horizontal="left" vertical="center" wrapText="1"/>
      <protection locked="0"/>
    </xf>
    <xf numFmtId="3" fontId="2" fillId="0" borderId="4" xfId="2" applyNumberFormat="1" applyFont="1" applyFill="1" applyBorder="1" applyAlignment="1" applyProtection="1">
      <alignment horizontal="center" vertical="center" wrapText="1"/>
      <protection locked="0"/>
    </xf>
    <xf numFmtId="3" fontId="2" fillId="0" borderId="2" xfId="2"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3" xfId="2" applyNumberFormat="1" applyFont="1" applyFill="1" applyBorder="1" applyAlignment="1" applyProtection="1">
      <alignment horizontal="center" vertical="center" wrapText="1"/>
      <protection locked="0"/>
    </xf>
    <xf numFmtId="0" fontId="2" fillId="0" borderId="0" xfId="2" applyFont="1" applyBorder="1" applyAlignment="1">
      <alignment horizontal="left" vertical="center"/>
    </xf>
    <xf numFmtId="0" fontId="2" fillId="0" borderId="65" xfId="2" applyFont="1" applyBorder="1" applyAlignment="1">
      <alignment horizontal="left" vertical="center"/>
    </xf>
    <xf numFmtId="3" fontId="2" fillId="0" borderId="1" xfId="2" applyNumberFormat="1" applyFont="1" applyFill="1" applyBorder="1" applyAlignment="1" applyProtection="1">
      <alignment horizontal="center" vertical="center" wrapText="1"/>
      <protection locked="0"/>
    </xf>
    <xf numFmtId="0" fontId="2" fillId="0" borderId="1" xfId="2" applyFont="1" applyBorder="1" applyAlignment="1" applyProtection="1">
      <alignment horizontal="center" vertical="center"/>
      <protection locked="0"/>
    </xf>
    <xf numFmtId="0" fontId="2" fillId="0" borderId="1" xfId="2" applyFont="1" applyFill="1" applyBorder="1" applyAlignment="1" applyProtection="1">
      <alignment horizontal="left" vertical="center" wrapText="1"/>
      <protection locked="0"/>
    </xf>
    <xf numFmtId="0" fontId="2" fillId="0" borderId="0" xfId="2" applyFont="1" applyAlignment="1">
      <alignment horizontal="left" vertical="center"/>
    </xf>
    <xf numFmtId="3" fontId="2" fillId="0" borderId="1" xfId="2" applyNumberFormat="1" applyFont="1" applyFill="1" applyBorder="1" applyAlignment="1">
      <alignment horizontal="center" vertical="center" wrapText="1"/>
    </xf>
    <xf numFmtId="3" fontId="2" fillId="0" borderId="4" xfId="2" applyNumberFormat="1" applyFont="1" applyFill="1" applyBorder="1" applyAlignment="1" applyProtection="1">
      <alignment vertical="center" wrapText="1"/>
      <protection locked="0"/>
    </xf>
    <xf numFmtId="3" fontId="2" fillId="0" borderId="2" xfId="2" applyNumberFormat="1" applyFont="1" applyFill="1" applyBorder="1" applyAlignment="1" applyProtection="1">
      <alignment vertical="center" wrapText="1"/>
      <protection locked="0"/>
    </xf>
    <xf numFmtId="3" fontId="2" fillId="0" borderId="3" xfId="2" applyNumberFormat="1" applyFont="1" applyFill="1" applyBorder="1" applyAlignment="1" applyProtection="1">
      <alignment vertical="center" wrapText="1"/>
      <protection locked="0"/>
    </xf>
    <xf numFmtId="0" fontId="2" fillId="0" borderId="4" xfId="2" applyFont="1" applyBorder="1" applyAlignment="1">
      <alignment horizontal="center" vertical="center" wrapText="1"/>
    </xf>
    <xf numFmtId="3" fontId="2" fillId="0" borderId="4" xfId="2" applyNumberFormat="1" applyFont="1" applyBorder="1" applyAlignment="1" applyProtection="1">
      <alignment horizontal="right" vertical="center" wrapText="1"/>
      <protection locked="0"/>
    </xf>
    <xf numFmtId="3" fontId="2" fillId="0" borderId="3" xfId="2" applyNumberFormat="1" applyFont="1" applyBorder="1" applyAlignment="1" applyProtection="1">
      <alignment horizontal="right" vertical="center" wrapText="1"/>
      <protection locked="0"/>
    </xf>
    <xf numFmtId="0" fontId="2" fillId="0" borderId="1" xfId="2" applyFont="1" applyFill="1" applyBorder="1" applyAlignment="1" applyProtection="1">
      <alignment horizontal="center" vertical="center"/>
      <protection locked="0"/>
    </xf>
    <xf numFmtId="0" fontId="2" fillId="0" borderId="1" xfId="2" applyFont="1" applyFill="1" applyBorder="1" applyAlignment="1" applyProtection="1">
      <alignment horizontal="center" vertical="center" wrapText="1"/>
      <protection locked="0"/>
    </xf>
    <xf numFmtId="3" fontId="26" fillId="0" borderId="1" xfId="2"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0" xfId="2" applyFont="1" applyFill="1" applyBorder="1" applyAlignment="1" applyProtection="1">
      <alignment horizontal="left" vertical="center" wrapText="1"/>
      <protection locked="0"/>
    </xf>
    <xf numFmtId="0" fontId="2" fillId="0" borderId="11" xfId="2" applyFont="1" applyFill="1" applyBorder="1" applyAlignment="1" applyProtection="1">
      <alignment horizontal="left" vertical="center" wrapText="1"/>
      <protection locked="0"/>
    </xf>
    <xf numFmtId="3" fontId="2" fillId="0" borderId="4" xfId="2" applyNumberFormat="1" applyFont="1" applyFill="1" applyBorder="1" applyAlignment="1" applyProtection="1">
      <alignment horizontal="right" vertical="center" wrapText="1"/>
      <protection locked="0"/>
    </xf>
    <xf numFmtId="3" fontId="2" fillId="0" borderId="2" xfId="2" applyNumberFormat="1" applyFont="1" applyFill="1" applyBorder="1" applyAlignment="1" applyProtection="1">
      <alignment horizontal="right" vertical="center" wrapText="1"/>
      <protection locked="0"/>
    </xf>
    <xf numFmtId="3" fontId="2" fillId="0" borderId="3" xfId="2" applyNumberFormat="1" applyFont="1" applyFill="1" applyBorder="1" applyAlignment="1" applyProtection="1">
      <alignment horizontal="right" vertical="center" wrapText="1"/>
      <protection locked="0"/>
    </xf>
    <xf numFmtId="0" fontId="3" fillId="0" borderId="0" xfId="2" applyFont="1" applyAlignment="1">
      <alignment horizontal="left" vertical="center"/>
    </xf>
    <xf numFmtId="0" fontId="4" fillId="0" borderId="0" xfId="2" applyFont="1" applyAlignment="1">
      <alignment horizontal="center" vertical="center"/>
    </xf>
    <xf numFmtId="0" fontId="12" fillId="0" borderId="0" xfId="2" applyFont="1" applyAlignment="1">
      <alignment horizontal="left" vertical="center"/>
    </xf>
    <xf numFmtId="3" fontId="2" fillId="0" borderId="1" xfId="2" applyNumberFormat="1" applyFont="1" applyBorder="1" applyAlignment="1" applyProtection="1">
      <alignment horizontal="center" vertical="center" wrapText="1"/>
      <protection locked="0"/>
    </xf>
    <xf numFmtId="0" fontId="2" fillId="0" borderId="9" xfId="2" applyFont="1" applyBorder="1" applyAlignment="1" applyProtection="1">
      <alignment horizontal="justify" vertical="center" wrapText="1"/>
      <protection locked="0"/>
    </xf>
    <xf numFmtId="0" fontId="2" fillId="0" borderId="8" xfId="2" applyFont="1" applyBorder="1" applyAlignment="1" applyProtection="1">
      <alignment horizontal="justify" vertical="center" wrapText="1"/>
      <protection locked="0"/>
    </xf>
    <xf numFmtId="0" fontId="2" fillId="0" borderId="6" xfId="2" applyFont="1" applyBorder="1" applyAlignment="1" applyProtection="1">
      <alignment horizontal="justify" vertical="center" wrapText="1"/>
      <protection locked="0"/>
    </xf>
    <xf numFmtId="0" fontId="2" fillId="0" borderId="5" xfId="2" applyFont="1" applyBorder="1" applyAlignment="1" applyProtection="1">
      <alignment horizontal="justify" vertical="center" wrapText="1"/>
      <protection locked="0"/>
    </xf>
    <xf numFmtId="0" fontId="2" fillId="0" borderId="10" xfId="2" applyFont="1" applyBorder="1" applyAlignment="1" applyProtection="1">
      <alignment horizontal="justify" vertical="center" wrapText="1"/>
      <protection locked="0"/>
    </xf>
    <xf numFmtId="0" fontId="2" fillId="0" borderId="11" xfId="2" applyFont="1" applyBorder="1" applyAlignment="1" applyProtection="1">
      <alignment horizontal="justify" vertical="center" wrapText="1"/>
      <protection locked="0"/>
    </xf>
    <xf numFmtId="0" fontId="2" fillId="0" borderId="0" xfId="2" applyFont="1" applyAlignment="1">
      <alignment horizontal="left" wrapText="1"/>
    </xf>
    <xf numFmtId="3" fontId="2" fillId="0" borderId="4" xfId="2" applyNumberFormat="1" applyFont="1" applyBorder="1" applyAlignment="1" applyProtection="1">
      <alignment horizontal="center" vertical="center" wrapText="1"/>
      <protection locked="0"/>
    </xf>
    <xf numFmtId="3" fontId="2" fillId="0" borderId="2" xfId="2" applyNumberFormat="1" applyFont="1" applyBorder="1" applyAlignment="1" applyProtection="1">
      <alignment horizontal="center" vertical="center" wrapText="1"/>
      <protection locked="0"/>
    </xf>
    <xf numFmtId="3" fontId="2" fillId="0" borderId="3" xfId="2" applyNumberFormat="1" applyFont="1" applyBorder="1" applyAlignment="1" applyProtection="1">
      <alignment horizontal="center" vertical="center" wrapText="1"/>
      <protection locked="0"/>
    </xf>
    <xf numFmtId="0" fontId="1" fillId="0" borderId="11" xfId="2" applyBorder="1" applyAlignment="1">
      <alignment horizontal="left" vertical="center" wrapText="1"/>
    </xf>
    <xf numFmtId="0" fontId="2" fillId="0" borderId="0" xfId="2" applyFont="1" applyAlignment="1" applyProtection="1">
      <alignment horizontal="left" wrapText="1"/>
      <protection locked="0"/>
    </xf>
    <xf numFmtId="0" fontId="1" fillId="0" borderId="2" xfId="2" applyFill="1" applyBorder="1" applyAlignment="1">
      <alignment horizontal="center" vertical="center" wrapText="1"/>
    </xf>
    <xf numFmtId="0" fontId="1" fillId="0" borderId="3" xfId="2" applyFill="1" applyBorder="1" applyAlignment="1">
      <alignment horizontal="center" vertical="center" wrapText="1"/>
    </xf>
    <xf numFmtId="0" fontId="2" fillId="0" borderId="9" xfId="2" applyFont="1" applyFill="1" applyBorder="1" applyAlignment="1" applyProtection="1">
      <alignment horizontal="left" vertical="center" wrapText="1"/>
      <protection locked="0"/>
    </xf>
    <xf numFmtId="0" fontId="2" fillId="0" borderId="8" xfId="2" applyFont="1" applyFill="1" applyBorder="1" applyAlignment="1" applyProtection="1">
      <alignment horizontal="left" vertical="center" wrapText="1"/>
      <protection locked="0"/>
    </xf>
    <xf numFmtId="164" fontId="3" fillId="0" borderId="0" xfId="2" applyNumberFormat="1" applyFont="1" applyAlignment="1">
      <alignment horizontal="left" vertical="center"/>
    </xf>
    <xf numFmtId="0" fontId="1" fillId="0" borderId="11" xfId="2" applyFill="1" applyBorder="1" applyAlignment="1">
      <alignment horizontal="left" vertical="center" wrapText="1"/>
    </xf>
    <xf numFmtId="0" fontId="2" fillId="0" borderId="4" xfId="2" applyFont="1" applyFill="1" applyBorder="1" applyAlignment="1" applyProtection="1">
      <alignment horizontal="center" vertical="center" wrapText="1"/>
      <protection locked="0"/>
    </xf>
    <xf numFmtId="0" fontId="1" fillId="0" borderId="7" xfId="2" applyFill="1" applyBorder="1" applyAlignment="1">
      <alignment horizontal="left" vertical="center" wrapText="1"/>
    </xf>
    <xf numFmtId="0" fontId="1" fillId="0" borderId="63" xfId="2" applyFill="1" applyBorder="1" applyAlignment="1">
      <alignment horizontal="left" vertical="center" wrapText="1"/>
    </xf>
    <xf numFmtId="0" fontId="1" fillId="0" borderId="6" xfId="2" applyFill="1" applyBorder="1" applyAlignment="1">
      <alignment horizontal="left" vertical="center" wrapText="1"/>
    </xf>
    <xf numFmtId="0" fontId="1" fillId="0" borderId="5" xfId="2" applyFill="1" applyBorder="1" applyAlignment="1">
      <alignment horizontal="left" vertical="center" wrapText="1"/>
    </xf>
    <xf numFmtId="164" fontId="3" fillId="0" borderId="0" xfId="2" applyNumberFormat="1" applyFont="1" applyAlignment="1">
      <alignment horizontal="left"/>
    </xf>
    <xf numFmtId="0" fontId="2" fillId="0" borderId="9"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7" xfId="2" applyFont="1" applyFill="1" applyBorder="1" applyAlignment="1">
      <alignment horizontal="left" vertical="center" wrapText="1"/>
    </xf>
    <xf numFmtId="0" fontId="2" fillId="0" borderId="63" xfId="2" applyFont="1" applyFill="1" applyBorder="1" applyAlignment="1">
      <alignment horizontal="left" vertical="center" wrapText="1"/>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0" fontId="2" fillId="0" borderId="7" xfId="2" applyFont="1" applyBorder="1" applyAlignment="1">
      <alignment horizontal="center" vertical="center" wrapText="1"/>
    </xf>
    <xf numFmtId="0" fontId="2" fillId="0" borderId="63" xfId="2" applyFont="1" applyBorder="1" applyAlignment="1">
      <alignment horizontal="center" vertical="center" wrapText="1"/>
    </xf>
    <xf numFmtId="0" fontId="2" fillId="0" borderId="6" xfId="2" applyFont="1" applyBorder="1" applyAlignment="1">
      <alignment horizontal="center" vertical="center" wrapText="1"/>
    </xf>
    <xf numFmtId="0" fontId="2" fillId="0" borderId="5" xfId="2" applyFont="1" applyBorder="1" applyAlignment="1">
      <alignment horizontal="center" vertical="center" wrapText="1"/>
    </xf>
    <xf numFmtId="3" fontId="2" fillId="2" borderId="4" xfId="2" applyNumberFormat="1" applyFont="1" applyFill="1" applyBorder="1" applyAlignment="1" applyProtection="1">
      <alignment horizontal="left" vertical="center" wrapText="1"/>
      <protection locked="0"/>
    </xf>
    <xf numFmtId="3" fontId="2" fillId="2" borderId="3" xfId="2" applyNumberFormat="1" applyFont="1" applyFill="1" applyBorder="1" applyAlignment="1" applyProtection="1">
      <alignment horizontal="left" vertical="center" wrapText="1"/>
      <protection locked="0"/>
    </xf>
    <xf numFmtId="3" fontId="2" fillId="2" borderId="2" xfId="2" applyNumberFormat="1" applyFont="1" applyFill="1" applyBorder="1" applyAlignment="1" applyProtection="1">
      <alignment horizontal="left" vertical="center" wrapText="1"/>
      <protection locked="0"/>
    </xf>
    <xf numFmtId="0" fontId="2" fillId="0" borderId="0" xfId="2" applyFont="1" applyFill="1" applyAlignment="1">
      <alignment horizontal="left"/>
    </xf>
    <xf numFmtId="3" fontId="2" fillId="2" borderId="4" xfId="2" applyNumberFormat="1" applyFont="1" applyFill="1" applyBorder="1" applyAlignment="1" applyProtection="1">
      <alignment horizontal="center" vertical="center" wrapText="1"/>
      <protection locked="0"/>
    </xf>
    <xf numFmtId="3" fontId="2" fillId="2" borderId="3" xfId="2" applyNumberFormat="1" applyFont="1" applyFill="1" applyBorder="1" applyAlignment="1" applyProtection="1">
      <alignment horizontal="center" vertical="center" wrapText="1"/>
      <protection locked="0"/>
    </xf>
    <xf numFmtId="0" fontId="2" fillId="2" borderId="10" xfId="2" applyFont="1" applyFill="1" applyBorder="1" applyAlignment="1" applyProtection="1">
      <alignment horizontal="left" vertical="center" wrapText="1"/>
      <protection locked="0"/>
    </xf>
    <xf numFmtId="0" fontId="2" fillId="2" borderId="11" xfId="2" applyFont="1" applyFill="1" applyBorder="1" applyAlignment="1" applyProtection="1">
      <alignment horizontal="left" vertical="center" wrapText="1"/>
      <protection locked="0"/>
    </xf>
    <xf numFmtId="0" fontId="12" fillId="2" borderId="0" xfId="2" applyFont="1" applyFill="1" applyAlignment="1">
      <alignment horizontal="left"/>
    </xf>
    <xf numFmtId="3" fontId="3" fillId="0" borderId="0" xfId="2" applyNumberFormat="1" applyFont="1" applyAlignment="1">
      <alignment horizontal="left" vertical="center"/>
    </xf>
    <xf numFmtId="0" fontId="2" fillId="0" borderId="10" xfId="2" applyFont="1" applyBorder="1" applyAlignment="1" applyProtection="1">
      <alignment horizontal="left" vertical="center"/>
      <protection locked="0"/>
    </xf>
    <xf numFmtId="0" fontId="2" fillId="0" borderId="11" xfId="2" applyFont="1" applyBorder="1" applyAlignment="1" applyProtection="1">
      <alignment horizontal="left" vertical="center"/>
      <protection locked="0"/>
    </xf>
    <xf numFmtId="49" fontId="3" fillId="0" borderId="0" xfId="2" applyNumberFormat="1" applyFont="1" applyAlignment="1">
      <alignment horizontal="left" vertical="center"/>
    </xf>
    <xf numFmtId="3" fontId="2" fillId="0" borderId="2" xfId="2" applyNumberFormat="1" applyFont="1" applyBorder="1" applyAlignment="1" applyProtection="1">
      <alignment horizontal="left" vertical="center" wrapText="1"/>
      <protection locked="0"/>
    </xf>
    <xf numFmtId="0" fontId="2" fillId="0" borderId="0" xfId="7" applyFont="1" applyAlignment="1">
      <alignment horizontal="left"/>
    </xf>
    <xf numFmtId="0" fontId="12" fillId="0" borderId="0" xfId="7" applyFont="1" applyAlignment="1">
      <alignment horizontal="left"/>
    </xf>
    <xf numFmtId="0" fontId="4" fillId="0" borderId="0" xfId="7" applyFont="1" applyAlignment="1">
      <alignment horizontal="center"/>
    </xf>
    <xf numFmtId="0" fontId="2" fillId="0" borderId="4" xfId="7" applyFont="1" applyFill="1" applyBorder="1" applyAlignment="1" applyProtection="1">
      <alignment horizontal="center" vertical="center" wrapText="1"/>
      <protection locked="0"/>
    </xf>
    <xf numFmtId="0" fontId="2" fillId="0" borderId="2"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0" fontId="2" fillId="0" borderId="9" xfId="7" applyFont="1" applyFill="1" applyBorder="1" applyAlignment="1" applyProtection="1">
      <alignment horizontal="left" vertical="center" wrapText="1"/>
      <protection locked="0"/>
    </xf>
    <xf numFmtId="0" fontId="2" fillId="0" borderId="8" xfId="7" applyFont="1" applyFill="1" applyBorder="1" applyAlignment="1" applyProtection="1">
      <alignment horizontal="left" vertical="center" wrapText="1"/>
      <protection locked="0"/>
    </xf>
    <xf numFmtId="0" fontId="2" fillId="0" borderId="7" xfId="7" applyFont="1" applyFill="1" applyBorder="1" applyAlignment="1" applyProtection="1">
      <alignment horizontal="left" vertical="center" wrapText="1"/>
      <protection locked="0"/>
    </xf>
    <xf numFmtId="0" fontId="2" fillId="0" borderId="63" xfId="7" applyFont="1" applyFill="1" applyBorder="1" applyAlignment="1" applyProtection="1">
      <alignment horizontal="left" vertical="center" wrapText="1"/>
      <protection locked="0"/>
    </xf>
    <xf numFmtId="0" fontId="2" fillId="0" borderId="6" xfId="7" applyFont="1" applyFill="1" applyBorder="1" applyAlignment="1" applyProtection="1">
      <alignment horizontal="left" vertical="center" wrapText="1"/>
      <protection locked="0"/>
    </xf>
    <xf numFmtId="0" fontId="2" fillId="0" borderId="5" xfId="7" applyFont="1" applyFill="1" applyBorder="1" applyAlignment="1" applyProtection="1">
      <alignment horizontal="left" vertical="center" wrapText="1"/>
      <protection locked="0"/>
    </xf>
    <xf numFmtId="0" fontId="3" fillId="0" borderId="65" xfId="7" applyFont="1" applyBorder="1" applyAlignment="1">
      <alignment horizontal="left"/>
    </xf>
    <xf numFmtId="0" fontId="2" fillId="0" borderId="9" xfId="7" applyFont="1" applyBorder="1" applyAlignment="1">
      <alignment horizontal="center" vertical="center" wrapText="1"/>
    </xf>
    <xf numFmtId="0" fontId="2" fillId="0" borderId="6" xfId="7" applyFont="1" applyBorder="1" applyAlignment="1">
      <alignment horizontal="center" vertical="center" wrapText="1"/>
    </xf>
    <xf numFmtId="0" fontId="2" fillId="0" borderId="64" xfId="7" applyFont="1" applyBorder="1" applyAlignment="1">
      <alignment horizontal="center" vertical="center" wrapText="1"/>
    </xf>
    <xf numFmtId="0" fontId="2" fillId="0" borderId="8" xfId="7" applyFont="1" applyBorder="1" applyAlignment="1">
      <alignment horizontal="center" vertical="center" wrapText="1"/>
    </xf>
    <xf numFmtId="0" fontId="2" fillId="0" borderId="65" xfId="7" applyFont="1" applyBorder="1" applyAlignment="1">
      <alignment horizontal="center" vertical="center" wrapText="1"/>
    </xf>
    <xf numFmtId="0" fontId="2" fillId="0" borderId="5" xfId="7" applyFont="1" applyBorder="1" applyAlignment="1">
      <alignment horizontal="center" vertical="center" wrapText="1"/>
    </xf>
    <xf numFmtId="0" fontId="2" fillId="0" borderId="10" xfId="7" applyFont="1" applyBorder="1" applyAlignment="1">
      <alignment horizontal="center" vertical="center" wrapText="1"/>
    </xf>
    <xf numFmtId="0" fontId="2" fillId="0" borderId="11" xfId="7" applyFont="1" applyBorder="1" applyAlignment="1">
      <alignment horizontal="center" vertical="center" wrapText="1"/>
    </xf>
    <xf numFmtId="0" fontId="2" fillId="0" borderId="4" xfId="7" applyFont="1" applyBorder="1" applyAlignment="1">
      <alignment horizontal="center" vertical="center" wrapText="1"/>
    </xf>
    <xf numFmtId="0" fontId="2" fillId="0" borderId="3" xfId="7" applyFont="1" applyBorder="1" applyAlignment="1">
      <alignment horizontal="center" vertical="center" wrapText="1"/>
    </xf>
    <xf numFmtId="0" fontId="3" fillId="0" borderId="10" xfId="7" applyFont="1" applyBorder="1" applyAlignment="1">
      <alignment horizontal="right" vertical="center" wrapText="1"/>
    </xf>
    <xf numFmtId="0" fontId="3" fillId="0" borderId="12" xfId="7" applyFont="1" applyBorder="1" applyAlignment="1">
      <alignment horizontal="right" vertical="center" wrapText="1"/>
    </xf>
    <xf numFmtId="0" fontId="3" fillId="0" borderId="11" xfId="7" applyFont="1" applyBorder="1" applyAlignment="1">
      <alignment horizontal="right" vertical="center" wrapText="1"/>
    </xf>
    <xf numFmtId="0" fontId="2" fillId="0" borderId="10" xfId="7" applyFont="1" applyBorder="1" applyAlignment="1" applyProtection="1">
      <alignment horizontal="left" vertical="center" wrapText="1"/>
      <protection locked="0"/>
    </xf>
    <xf numFmtId="0" fontId="2" fillId="0" borderId="11" xfId="7" applyFont="1" applyBorder="1" applyAlignment="1" applyProtection="1">
      <alignment horizontal="left" vertical="center" wrapText="1"/>
      <protection locked="0"/>
    </xf>
    <xf numFmtId="0" fontId="2" fillId="0" borderId="9" xfId="7" applyFont="1" applyBorder="1" applyAlignment="1" applyProtection="1">
      <alignment horizontal="left" vertical="center" wrapText="1"/>
      <protection locked="0"/>
    </xf>
    <xf numFmtId="0" fontId="2" fillId="0" borderId="8" xfId="7" applyFont="1" applyBorder="1" applyAlignment="1" applyProtection="1">
      <alignment horizontal="left" vertical="center" wrapText="1"/>
      <protection locked="0"/>
    </xf>
    <xf numFmtId="0" fontId="2" fillId="0" borderId="4" xfId="7" applyFont="1" applyBorder="1" applyAlignment="1" applyProtection="1">
      <alignment horizontal="center" vertical="center" wrapText="1"/>
      <protection locked="0"/>
    </xf>
    <xf numFmtId="0" fontId="2" fillId="0" borderId="2" xfId="7" applyFont="1" applyBorder="1" applyAlignment="1" applyProtection="1">
      <alignment horizontal="center" vertical="center" wrapText="1"/>
      <protection locked="0"/>
    </xf>
    <xf numFmtId="0" fontId="2" fillId="0" borderId="3" xfId="7" applyFont="1" applyBorder="1" applyAlignment="1" applyProtection="1">
      <alignment horizontal="center" vertical="center" wrapText="1"/>
      <protection locked="0"/>
    </xf>
    <xf numFmtId="0" fontId="2" fillId="0" borderId="10" xfId="7" applyFont="1" applyFill="1" applyBorder="1" applyAlignment="1" applyProtection="1">
      <alignment horizontal="left" vertical="center" wrapText="1"/>
      <protection locked="0"/>
    </xf>
    <xf numFmtId="0" fontId="2" fillId="0" borderId="11" xfId="7" applyFont="1" applyFill="1" applyBorder="1" applyAlignment="1" applyProtection="1">
      <alignment horizontal="left" vertical="center" wrapText="1"/>
      <protection locked="0"/>
    </xf>
    <xf numFmtId="0" fontId="45" fillId="0" borderId="0" xfId="2" applyFont="1" applyAlignment="1">
      <alignment horizontal="left"/>
    </xf>
    <xf numFmtId="0" fontId="2" fillId="0" borderId="10" xfId="2" applyFont="1" applyBorder="1" applyAlignment="1" applyProtection="1">
      <alignment vertical="center" wrapText="1"/>
      <protection locked="0"/>
    </xf>
    <xf numFmtId="0" fontId="2" fillId="0" borderId="11" xfId="2" applyFont="1" applyBorder="1" applyAlignment="1" applyProtection="1">
      <alignment vertical="center" wrapText="1"/>
      <protection locked="0"/>
    </xf>
    <xf numFmtId="49" fontId="3" fillId="0" borderId="0" xfId="2" applyNumberFormat="1" applyFont="1" applyAlignment="1">
      <alignment horizontal="left"/>
    </xf>
    <xf numFmtId="0" fontId="2" fillId="0" borderId="4" xfId="2" applyFont="1" applyBorder="1" applyAlignment="1" applyProtection="1">
      <alignment horizontal="center" vertical="center"/>
      <protection locked="0"/>
    </xf>
    <xf numFmtId="0" fontId="2" fillId="0" borderId="2" xfId="2" applyFont="1" applyBorder="1" applyAlignment="1" applyProtection="1">
      <alignment horizontal="center" vertical="center"/>
      <protection locked="0"/>
    </xf>
    <xf numFmtId="0" fontId="2" fillId="0" borderId="3" xfId="2" applyFont="1" applyBorder="1" applyAlignment="1" applyProtection="1">
      <alignment horizontal="center" vertical="center"/>
      <protection locked="0"/>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3" fillId="0" borderId="10" xfId="1" applyFont="1" applyBorder="1" applyAlignment="1">
      <alignment horizontal="right" wrapText="1"/>
    </xf>
    <xf numFmtId="0" fontId="3" fillId="0" borderId="12" xfId="1" applyFont="1" applyBorder="1" applyAlignment="1">
      <alignment horizontal="right" wrapText="1"/>
    </xf>
    <xf numFmtId="0" fontId="3" fillId="0" borderId="11" xfId="1" applyFont="1" applyBorder="1" applyAlignment="1">
      <alignment horizontal="right" wrapText="1"/>
    </xf>
    <xf numFmtId="0" fontId="2" fillId="0" borderId="10" xfId="1" applyFont="1" applyBorder="1" applyAlignment="1" applyProtection="1">
      <alignment horizontal="left" vertical="center" wrapText="1"/>
      <protection locked="0"/>
    </xf>
    <xf numFmtId="0" fontId="2" fillId="0" borderId="11" xfId="1" applyFont="1" applyBorder="1" applyAlignment="1" applyProtection="1">
      <alignment horizontal="left" vertical="center" wrapText="1"/>
      <protection locked="0"/>
    </xf>
    <xf numFmtId="0" fontId="2" fillId="0" borderId="0" xfId="6" applyFont="1" applyAlignment="1" applyProtection="1">
      <alignment horizontal="left" vertical="center" wrapText="1"/>
      <protection locked="0"/>
    </xf>
    <xf numFmtId="0" fontId="2" fillId="0" borderId="10" xfId="1" applyFont="1" applyBorder="1" applyAlignment="1" applyProtection="1">
      <alignment vertical="center" wrapText="1"/>
      <protection locked="0"/>
    </xf>
    <xf numFmtId="0" fontId="2" fillId="0" borderId="11" xfId="1" applyFont="1" applyBorder="1" applyAlignment="1" applyProtection="1">
      <alignment vertical="center" wrapText="1"/>
      <protection locked="0"/>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Fill="1" applyBorder="1" applyAlignment="1" applyProtection="1">
      <alignment horizontal="left" vertical="center" wrapText="1"/>
      <protection locked="0"/>
    </xf>
    <xf numFmtId="0" fontId="2" fillId="0" borderId="11" xfId="1" applyFont="1" applyFill="1" applyBorder="1" applyAlignment="1" applyProtection="1">
      <alignment horizontal="left" vertical="center" wrapText="1"/>
      <protection locked="0"/>
    </xf>
    <xf numFmtId="0" fontId="2" fillId="0" borderId="10" xfId="1" applyFont="1" applyFill="1" applyBorder="1" applyAlignment="1" applyProtection="1">
      <alignment vertical="center" wrapText="1"/>
      <protection locked="0"/>
    </xf>
    <xf numFmtId="0" fontId="2" fillId="0" borderId="11" xfId="1" applyFont="1" applyFill="1" applyBorder="1" applyAlignment="1" applyProtection="1">
      <alignment vertical="center" wrapText="1"/>
      <protection locked="0"/>
    </xf>
    <xf numFmtId="0" fontId="2" fillId="0" borderId="10" xfId="1" applyFont="1" applyBorder="1" applyAlignment="1" applyProtection="1">
      <alignment horizontal="center" vertical="center" wrapText="1"/>
      <protection locked="0"/>
    </xf>
    <xf numFmtId="0" fontId="2" fillId="0" borderId="11" xfId="1" applyFont="1" applyBorder="1" applyAlignment="1" applyProtection="1">
      <alignment horizontal="center" vertical="center" wrapText="1"/>
      <protection locked="0"/>
    </xf>
    <xf numFmtId="0" fontId="2" fillId="0" borderId="9" xfId="1" applyFont="1" applyBorder="1" applyAlignment="1" applyProtection="1">
      <alignment horizontal="left" vertical="center" wrapText="1"/>
      <protection locked="0"/>
    </xf>
    <xf numFmtId="0" fontId="2" fillId="0" borderId="8" xfId="1" applyFont="1" applyBorder="1" applyAlignment="1" applyProtection="1">
      <alignment horizontal="left" vertical="center" wrapText="1"/>
      <protection locked="0"/>
    </xf>
    <xf numFmtId="0" fontId="3" fillId="0" borderId="10"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2" fillId="0" borderId="0" xfId="1" applyFont="1" applyAlignment="1">
      <alignment horizontal="left"/>
    </xf>
    <xf numFmtId="0" fontId="2" fillId="0" borderId="7" xfId="1" applyFont="1" applyBorder="1" applyAlignment="1" applyProtection="1">
      <alignment horizontal="left" vertical="center" wrapText="1"/>
      <protection locked="0"/>
    </xf>
    <xf numFmtId="0" fontId="2" fillId="0" borderId="63" xfId="1" applyFont="1" applyBorder="1" applyAlignment="1" applyProtection="1">
      <alignment horizontal="left" vertical="center" wrapText="1"/>
      <protection locked="0"/>
    </xf>
    <xf numFmtId="0" fontId="3" fillId="0" borderId="10" xfId="1" applyFont="1" applyBorder="1" applyAlignment="1" applyProtection="1">
      <alignment horizontal="left" vertical="center"/>
      <protection locked="0"/>
    </xf>
    <xf numFmtId="0" fontId="3" fillId="0" borderId="11" xfId="1" applyFont="1" applyBorder="1" applyAlignment="1" applyProtection="1">
      <alignment horizontal="left" vertical="center"/>
      <protection locked="0"/>
    </xf>
    <xf numFmtId="0" fontId="2" fillId="0" borderId="10"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49" fontId="3" fillId="0" borderId="0" xfId="1" applyNumberFormat="1" applyFont="1" applyAlignment="1">
      <alignment horizontal="left"/>
    </xf>
    <xf numFmtId="0" fontId="3" fillId="0" borderId="12" xfId="1" applyFont="1" applyBorder="1" applyAlignment="1">
      <alignment horizontal="left" wrapText="1"/>
    </xf>
    <xf numFmtId="0" fontId="3" fillId="0" borderId="11" xfId="1" applyFont="1" applyBorder="1" applyAlignment="1">
      <alignment horizontal="left" wrapText="1"/>
    </xf>
    <xf numFmtId="0" fontId="2" fillId="0" borderId="4"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6"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3" fontId="2" fillId="0" borderId="4" xfId="1" applyNumberFormat="1" applyFont="1" applyBorder="1" applyAlignment="1" applyProtection="1">
      <alignment horizontal="center" vertical="center" wrapText="1"/>
      <protection locked="0"/>
    </xf>
    <xf numFmtId="3" fontId="2" fillId="0" borderId="3" xfId="1" applyNumberFormat="1" applyFont="1" applyBorder="1" applyAlignment="1" applyProtection="1">
      <alignment horizontal="center" vertical="center" wrapText="1"/>
      <protection locked="0"/>
    </xf>
    <xf numFmtId="0" fontId="12" fillId="0" borderId="0" xfId="1" applyFont="1" applyAlignment="1">
      <alignment horizontal="left"/>
    </xf>
    <xf numFmtId="0" fontId="7" fillId="0" borderId="0" xfId="1" applyFont="1" applyAlignment="1">
      <alignment horizontal="left"/>
    </xf>
    <xf numFmtId="0" fontId="4" fillId="0" borderId="0" xfId="1" applyFont="1" applyAlignment="1">
      <alignment horizontal="center"/>
    </xf>
    <xf numFmtId="0" fontId="2" fillId="0" borderId="10" xfId="2" applyFont="1" applyBorder="1" applyAlignment="1">
      <alignment horizontal="left" vertical="center"/>
    </xf>
    <xf numFmtId="0" fontId="2" fillId="0" borderId="11" xfId="2" applyFont="1" applyBorder="1" applyAlignment="1">
      <alignment horizontal="left" vertical="center"/>
    </xf>
    <xf numFmtId="3" fontId="2" fillId="0" borderId="2" xfId="2" applyNumberFormat="1" applyFont="1" applyBorder="1" applyAlignment="1" applyProtection="1">
      <alignment horizontal="right" vertical="center" wrapText="1"/>
      <protection locked="0"/>
    </xf>
    <xf numFmtId="0" fontId="2" fillId="0" borderId="2" xfId="1" applyFont="1" applyBorder="1" applyAlignment="1" applyProtection="1">
      <alignment horizontal="center" vertical="center" wrapText="1"/>
      <protection locked="0"/>
    </xf>
    <xf numFmtId="3" fontId="2" fillId="0" borderId="4"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0" fontId="3" fillId="0" borderId="12" xfId="1" applyFont="1" applyFill="1" applyBorder="1" applyAlignment="1">
      <alignment horizontal="center" wrapText="1"/>
    </xf>
    <xf numFmtId="0" fontId="3" fillId="0" borderId="11" xfId="1" applyFont="1" applyFill="1" applyBorder="1" applyAlignment="1">
      <alignment horizontal="center" wrapText="1"/>
    </xf>
    <xf numFmtId="3" fontId="2" fillId="0" borderId="4"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3" xfId="1" applyNumberFormat="1" applyFont="1" applyFill="1" applyBorder="1" applyAlignment="1">
      <alignment horizontal="center" vertical="center" wrapText="1"/>
    </xf>
    <xf numFmtId="0" fontId="2" fillId="0" borderId="4"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9" xfId="1" applyFont="1" applyBorder="1" applyAlignment="1" applyProtection="1">
      <alignment vertical="center" wrapText="1"/>
      <protection locked="0"/>
    </xf>
    <xf numFmtId="0" fontId="2" fillId="0" borderId="8" xfId="1" applyFont="1" applyBorder="1" applyAlignment="1" applyProtection="1">
      <alignment vertical="center" wrapText="1"/>
      <protection locked="0"/>
    </xf>
    <xf numFmtId="0" fontId="2" fillId="0" borderId="7" xfId="1" applyFont="1" applyBorder="1" applyAlignment="1" applyProtection="1">
      <alignment vertical="center" wrapText="1"/>
      <protection locked="0"/>
    </xf>
    <xf numFmtId="0" fontId="2" fillId="0" borderId="63" xfId="1" applyFont="1" applyBorder="1" applyAlignment="1" applyProtection="1">
      <alignment vertical="center" wrapText="1"/>
      <protection locked="0"/>
    </xf>
    <xf numFmtId="0" fontId="2" fillId="0" borderId="6" xfId="1" applyFont="1" applyBorder="1" applyAlignment="1" applyProtection="1">
      <alignment vertical="center" wrapText="1"/>
      <protection locked="0"/>
    </xf>
    <xf numFmtId="0" fontId="2" fillId="0" borderId="5" xfId="1" applyFont="1" applyBorder="1" applyAlignment="1" applyProtection="1">
      <alignment vertical="center" wrapText="1"/>
      <protection locked="0"/>
    </xf>
    <xf numFmtId="0" fontId="3" fillId="0" borderId="10" xfId="1" applyFont="1" applyFill="1" applyBorder="1" applyAlignment="1" applyProtection="1">
      <alignment horizontal="center" vertical="center" wrapText="1"/>
      <protection locked="0"/>
    </xf>
    <xf numFmtId="0" fontId="3" fillId="0" borderId="11" xfId="1" applyFont="1" applyFill="1" applyBorder="1" applyAlignment="1" applyProtection="1">
      <alignment horizontal="center" vertical="center" wrapText="1"/>
      <protection locked="0"/>
    </xf>
    <xf numFmtId="0" fontId="2" fillId="0" borderId="2" xfId="1" applyFont="1" applyBorder="1" applyAlignment="1" applyProtection="1">
      <alignment horizontal="center" vertical="center"/>
      <protection locked="0"/>
    </xf>
    <xf numFmtId="3" fontId="2" fillId="0" borderId="2" xfId="1" applyNumberFormat="1" applyFont="1" applyBorder="1" applyAlignment="1" applyProtection="1">
      <alignment horizontal="center" vertical="center" wrapText="1"/>
      <protection locked="0"/>
    </xf>
    <xf numFmtId="0" fontId="2" fillId="0" borderId="6"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2" fillId="0" borderId="9" xfId="1" applyFont="1" applyFill="1" applyBorder="1" applyAlignment="1" applyProtection="1">
      <alignment horizontal="left" vertical="center" wrapText="1"/>
      <protection locked="0"/>
    </xf>
    <xf numFmtId="0" fontId="2" fillId="0" borderId="64" xfId="1"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2" fillId="0" borderId="65" xfId="1" applyFont="1" applyFill="1" applyBorder="1" applyAlignment="1" applyProtection="1">
      <alignment horizontal="left" vertical="center" wrapText="1"/>
      <protection locked="0"/>
    </xf>
    <xf numFmtId="3" fontId="2" fillId="0" borderId="4" xfId="1" applyNumberFormat="1" applyFont="1" applyFill="1" applyBorder="1" applyAlignment="1" applyProtection="1">
      <alignment horizontal="center" vertical="center" wrapText="1"/>
      <protection locked="0"/>
    </xf>
    <xf numFmtId="3" fontId="2" fillId="0" borderId="2" xfId="1" applyNumberFormat="1" applyFont="1" applyFill="1" applyBorder="1" applyAlignment="1" applyProtection="1">
      <alignment horizontal="center" vertical="center" wrapText="1"/>
      <protection locked="0"/>
    </xf>
    <xf numFmtId="3" fontId="2" fillId="0" borderId="3" xfId="1" applyNumberFormat="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left" vertical="center" wrapText="1"/>
      <protection locked="0"/>
    </xf>
    <xf numFmtId="0" fontId="2" fillId="0" borderId="63" xfId="1" applyFont="1" applyFill="1" applyBorder="1" applyAlignment="1" applyProtection="1">
      <alignment horizontal="left" vertical="center" wrapText="1"/>
      <protection locked="0"/>
    </xf>
    <xf numFmtId="0" fontId="2" fillId="0" borderId="5" xfId="1" applyFont="1" applyFill="1" applyBorder="1" applyAlignment="1" applyProtection="1">
      <alignment horizontal="left" vertical="center" wrapText="1"/>
      <protection locked="0"/>
    </xf>
    <xf numFmtId="0" fontId="2" fillId="0" borderId="1" xfId="1" applyFont="1" applyBorder="1" applyAlignment="1" applyProtection="1">
      <alignment horizontal="center" vertical="center" wrapText="1"/>
      <protection locked="0"/>
    </xf>
    <xf numFmtId="0" fontId="2" fillId="0" borderId="1" xfId="1" applyFont="1" applyBorder="1" applyAlignment="1" applyProtection="1">
      <alignment horizontal="left" vertical="center" wrapText="1"/>
      <protection locked="0"/>
    </xf>
    <xf numFmtId="3" fontId="2" fillId="0" borderId="1" xfId="1" applyNumberFormat="1" applyFont="1" applyBorder="1" applyAlignment="1">
      <alignment horizontal="center" vertical="center" wrapText="1"/>
    </xf>
    <xf numFmtId="0" fontId="2" fillId="0" borderId="1" xfId="1" applyFont="1" applyFill="1" applyBorder="1" applyAlignment="1" applyProtection="1">
      <alignment horizontal="left" vertical="center" wrapText="1"/>
      <protection locked="0"/>
    </xf>
    <xf numFmtId="0" fontId="2" fillId="0" borderId="9" xfId="1" applyFont="1" applyBorder="1" applyAlignment="1" applyProtection="1">
      <alignment horizontal="left" vertical="center"/>
      <protection locked="0"/>
    </xf>
    <xf numFmtId="0" fontId="2" fillId="0" borderId="8" xfId="1" applyFont="1" applyBorder="1" applyAlignment="1" applyProtection="1">
      <alignment horizontal="left" vertical="center"/>
      <protection locked="0"/>
    </xf>
    <xf numFmtId="0" fontId="2" fillId="0" borderId="10" xfId="1" applyFont="1" applyBorder="1" applyAlignment="1" applyProtection="1">
      <alignment horizontal="left" wrapText="1"/>
      <protection locked="0"/>
    </xf>
    <xf numFmtId="0" fontId="2" fillId="0" borderId="11" xfId="1" applyFont="1" applyBorder="1" applyAlignment="1" applyProtection="1">
      <alignment horizontal="left" wrapText="1"/>
      <protection locked="0"/>
    </xf>
    <xf numFmtId="0" fontId="2" fillId="0" borderId="1" xfId="1" applyFont="1" applyBorder="1" applyAlignment="1" applyProtection="1">
      <alignment horizontal="center" vertical="center"/>
      <protection locked="0"/>
    </xf>
    <xf numFmtId="0" fontId="2" fillId="0" borderId="1" xfId="2" applyFont="1" applyBorder="1" applyAlignment="1">
      <alignment horizontal="left" vertical="center" wrapText="1"/>
    </xf>
    <xf numFmtId="0" fontId="2" fillId="0" borderId="10" xfId="2" applyFont="1" applyFill="1" applyBorder="1" applyAlignment="1">
      <alignment horizontal="left" vertical="center" wrapText="1"/>
    </xf>
    <xf numFmtId="0" fontId="2" fillId="0" borderId="11" xfId="2" applyFont="1" applyFill="1" applyBorder="1" applyAlignment="1">
      <alignment horizontal="left" vertical="center" wrapText="1"/>
    </xf>
    <xf numFmtId="0" fontId="3" fillId="0" borderId="10" xfId="2" applyFont="1" applyBorder="1" applyAlignment="1">
      <alignment horizontal="right" wrapText="1"/>
    </xf>
    <xf numFmtId="0" fontId="3" fillId="0" borderId="12" xfId="2" applyFont="1" applyBorder="1" applyAlignment="1">
      <alignment horizontal="right" wrapText="1"/>
    </xf>
    <xf numFmtId="0" fontId="3" fillId="0" borderId="11" xfId="2" applyFont="1" applyBorder="1" applyAlignment="1">
      <alignment horizontal="right" wrapText="1"/>
    </xf>
    <xf numFmtId="0" fontId="2" fillId="0" borderId="6" xfId="2" applyFont="1" applyBorder="1" applyAlignment="1">
      <alignment horizontal="left" vertical="center" wrapText="1"/>
    </xf>
    <xf numFmtId="0" fontId="2" fillId="0" borderId="5" xfId="2" applyFont="1" applyBorder="1" applyAlignment="1">
      <alignment horizontal="left" vertical="center" wrapText="1"/>
    </xf>
    <xf numFmtId="0" fontId="2" fillId="0" borderId="7" xfId="2" applyFont="1" applyBorder="1" applyAlignment="1">
      <alignment horizontal="left" vertical="center" wrapText="1"/>
    </xf>
    <xf numFmtId="0" fontId="2" fillId="0" borderId="63" xfId="2" applyFont="1" applyBorder="1" applyAlignment="1">
      <alignment horizontal="left" vertical="center" wrapText="1"/>
    </xf>
    <xf numFmtId="0" fontId="2" fillId="0" borderId="1" xfId="13" applyFont="1" applyBorder="1" applyAlignment="1">
      <alignment horizontal="left" wrapText="1"/>
    </xf>
    <xf numFmtId="0" fontId="2" fillId="0" borderId="0" xfId="2" applyFont="1" applyFill="1" applyBorder="1" applyAlignment="1" applyProtection="1">
      <alignment horizontal="left" vertical="center" wrapText="1"/>
      <protection locked="0"/>
    </xf>
    <xf numFmtId="0" fontId="3" fillId="0" borderId="1" xfId="2" applyFont="1" applyBorder="1" applyAlignment="1">
      <alignment horizontal="right" wrapText="1"/>
    </xf>
    <xf numFmtId="0" fontId="2" fillId="0" borderId="64" xfId="2" applyFont="1" applyBorder="1" applyAlignment="1" applyProtection="1">
      <alignment horizontal="left" wrapText="1"/>
      <protection locked="0"/>
    </xf>
    <xf numFmtId="0" fontId="2" fillId="0" borderId="10" xfId="2" applyFont="1" applyBorder="1" applyAlignment="1">
      <alignment horizontal="left" vertical="center" wrapText="1"/>
    </xf>
    <xf numFmtId="0" fontId="2" fillId="0" borderId="11" xfId="2" applyFont="1" applyBorder="1" applyAlignment="1">
      <alignment horizontal="left" vertical="center" wrapText="1"/>
    </xf>
    <xf numFmtId="0" fontId="2" fillId="0" borderId="9" xfId="2" applyFont="1" applyBorder="1" applyAlignment="1">
      <alignment horizontal="left" vertical="center" wrapText="1"/>
    </xf>
    <xf numFmtId="0" fontId="2" fillId="0" borderId="8" xfId="2" applyFont="1" applyBorder="1" applyAlignment="1">
      <alignment horizontal="left" vertical="center" wrapText="1"/>
    </xf>
    <xf numFmtId="0" fontId="2" fillId="0" borderId="6"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1" xfId="4" applyFont="1" applyBorder="1" applyAlignment="1">
      <alignment horizontal="left" wrapText="1"/>
    </xf>
    <xf numFmtId="0" fontId="2" fillId="0" borderId="10" xfId="2" applyFont="1" applyBorder="1" applyAlignment="1">
      <alignment vertical="center" wrapText="1"/>
    </xf>
    <xf numFmtId="0" fontId="2" fillId="0" borderId="11" xfId="2" applyFont="1" applyBorder="1" applyAlignment="1">
      <alignment vertical="center" wrapText="1"/>
    </xf>
    <xf numFmtId="0" fontId="2" fillId="0" borderId="3" xfId="2" applyFont="1" applyBorder="1" applyAlignment="1">
      <alignment horizontal="center" vertical="center" wrapText="1"/>
    </xf>
    <xf numFmtId="0" fontId="2" fillId="0" borderId="1" xfId="2" applyFont="1" applyFill="1" applyBorder="1" applyAlignment="1">
      <alignment horizontal="left" vertical="center"/>
    </xf>
    <xf numFmtId="0" fontId="2" fillId="0" borderId="4"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0" borderId="4" xfId="4" applyFont="1" applyBorder="1" applyAlignment="1">
      <alignment horizontal="center" vertical="center" wrapText="1"/>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0" fontId="2" fillId="0" borderId="9" xfId="6" applyFont="1" applyBorder="1" applyAlignment="1" applyProtection="1">
      <alignment horizontal="left" vertical="center" wrapText="1"/>
      <protection locked="0"/>
    </xf>
    <xf numFmtId="0" fontId="2" fillId="0" borderId="8" xfId="6" applyFont="1" applyBorder="1" applyAlignment="1" applyProtection="1">
      <alignment horizontal="left" vertical="center" wrapText="1"/>
      <protection locked="0"/>
    </xf>
    <xf numFmtId="0" fontId="2" fillId="0" borderId="7" xfId="6" applyFont="1" applyBorder="1" applyAlignment="1" applyProtection="1">
      <alignment horizontal="left" vertical="center" wrapText="1"/>
      <protection locked="0"/>
    </xf>
    <xf numFmtId="0" fontId="2" fillId="0" borderId="63" xfId="6" applyFont="1" applyBorder="1" applyAlignment="1" applyProtection="1">
      <alignment horizontal="left" vertical="center" wrapText="1"/>
      <protection locked="0"/>
    </xf>
    <xf numFmtId="0" fontId="2" fillId="0" borderId="6" xfId="6" applyFont="1" applyBorder="1" applyAlignment="1" applyProtection="1">
      <alignment horizontal="left" vertical="center" wrapText="1"/>
      <protection locked="0"/>
    </xf>
    <xf numFmtId="0" fontId="2" fillId="0" borderId="5" xfId="6" applyFont="1" applyBorder="1" applyAlignment="1" applyProtection="1">
      <alignment horizontal="left" vertical="center" wrapText="1"/>
      <protection locked="0"/>
    </xf>
    <xf numFmtId="0" fontId="2" fillId="0" borderId="4" xfId="6" applyFont="1" applyBorder="1" applyAlignment="1">
      <alignment horizontal="center" vertical="center" wrapText="1"/>
    </xf>
    <xf numFmtId="0" fontId="2" fillId="0" borderId="2" xfId="6" applyFont="1" applyBorder="1" applyAlignment="1">
      <alignment horizontal="center" vertical="center" wrapText="1"/>
    </xf>
    <xf numFmtId="0" fontId="2" fillId="0" borderId="3" xfId="6" applyFont="1" applyBorder="1" applyAlignment="1">
      <alignment horizontal="center" vertical="center" wrapText="1"/>
    </xf>
    <xf numFmtId="0" fontId="2" fillId="0" borderId="9" xfId="6" applyFont="1" applyBorder="1" applyAlignment="1" applyProtection="1">
      <alignment horizontal="left" vertical="center"/>
      <protection locked="0"/>
    </xf>
    <xf numFmtId="0" fontId="2" fillId="0" borderId="8" xfId="6" applyFont="1" applyBorder="1" applyAlignment="1" applyProtection="1">
      <alignment horizontal="left" vertical="center"/>
      <protection locked="0"/>
    </xf>
    <xf numFmtId="0" fontId="2" fillId="0" borderId="6" xfId="6" applyFont="1" applyBorder="1" applyAlignment="1" applyProtection="1">
      <alignment horizontal="left" vertical="center"/>
      <protection locked="0"/>
    </xf>
    <xf numFmtId="0" fontId="2" fillId="0" borderId="5" xfId="6" applyFont="1" applyBorder="1" applyAlignment="1" applyProtection="1">
      <alignment horizontal="left" vertical="center"/>
      <protection locked="0"/>
    </xf>
    <xf numFmtId="0" fontId="2" fillId="0" borderId="1" xfId="6" applyFont="1" applyBorder="1" applyAlignment="1" applyProtection="1">
      <alignment horizontal="left" vertical="center" wrapText="1"/>
      <protection locked="0"/>
    </xf>
    <xf numFmtId="0" fontId="2" fillId="0" borderId="10" xfId="2" applyFont="1" applyBorder="1" applyAlignment="1" applyProtection="1">
      <alignment horizontal="left" wrapText="1"/>
      <protection locked="0"/>
    </xf>
    <xf numFmtId="0" fontId="2" fillId="0" borderId="11" xfId="2" applyFont="1" applyBorder="1" applyAlignment="1" applyProtection="1">
      <alignment horizontal="left" wrapText="1"/>
      <protection locked="0"/>
    </xf>
    <xf numFmtId="0" fontId="2" fillId="0" borderId="10" xfId="6" applyFont="1" applyBorder="1" applyAlignment="1" applyProtection="1">
      <alignment horizontal="left" vertical="center" wrapText="1"/>
      <protection locked="0"/>
    </xf>
    <xf numFmtId="0" fontId="2" fillId="0" borderId="11" xfId="6" applyFont="1" applyBorder="1" applyAlignment="1" applyProtection="1">
      <alignment horizontal="left" vertical="center" wrapText="1"/>
      <protection locked="0"/>
    </xf>
    <xf numFmtId="0" fontId="2" fillId="2" borderId="4" xfId="6" applyFont="1" applyFill="1" applyBorder="1" applyAlignment="1">
      <alignment horizontal="center" vertical="center" wrapText="1"/>
    </xf>
    <xf numFmtId="0" fontId="2" fillId="2" borderId="2" xfId="6" applyFont="1" applyFill="1" applyBorder="1" applyAlignment="1">
      <alignment horizontal="center" vertical="center" wrapText="1"/>
    </xf>
    <xf numFmtId="0" fontId="2" fillId="2" borderId="3" xfId="6" applyFont="1" applyFill="1" applyBorder="1" applyAlignment="1">
      <alignment horizontal="center" vertical="center" wrapText="1"/>
    </xf>
    <xf numFmtId="0" fontId="2" fillId="0" borderId="9" xfId="6" quotePrefix="1" applyFont="1" applyBorder="1" applyAlignment="1" applyProtection="1">
      <alignment horizontal="left" vertical="center" wrapText="1"/>
      <protection locked="0"/>
    </xf>
    <xf numFmtId="0" fontId="2" fillId="0" borderId="8" xfId="6" quotePrefix="1" applyFont="1" applyBorder="1" applyAlignment="1" applyProtection="1">
      <alignment horizontal="left" vertical="center" wrapText="1"/>
      <protection locked="0"/>
    </xf>
    <xf numFmtId="0" fontId="2" fillId="0" borderId="6" xfId="6" quotePrefix="1" applyFont="1" applyBorder="1" applyAlignment="1" applyProtection="1">
      <alignment horizontal="left" vertical="center" wrapText="1"/>
      <protection locked="0"/>
    </xf>
    <xf numFmtId="0" fontId="2" fillId="0" borderId="5" xfId="6" quotePrefix="1" applyFont="1" applyBorder="1" applyAlignment="1" applyProtection="1">
      <alignment horizontal="left" vertical="center" wrapText="1"/>
      <protection locked="0"/>
    </xf>
    <xf numFmtId="0" fontId="2" fillId="0" borderId="10" xfId="6" applyFont="1" applyFill="1" applyBorder="1" applyAlignment="1">
      <alignment horizontal="left" vertical="center" wrapText="1"/>
    </xf>
    <xf numFmtId="0" fontId="2" fillId="0" borderId="11" xfId="6" applyFont="1" applyFill="1" applyBorder="1" applyAlignment="1">
      <alignment horizontal="left" vertical="center" wrapText="1"/>
    </xf>
    <xf numFmtId="3" fontId="2" fillId="0" borderId="1" xfId="1" applyNumberFormat="1" applyFont="1" applyBorder="1" applyAlignment="1" applyProtection="1">
      <alignment horizontal="center" vertical="center"/>
      <protection locked="0"/>
    </xf>
    <xf numFmtId="3" fontId="2" fillId="0" borderId="1" xfId="1" applyNumberFormat="1" applyFont="1" applyBorder="1" applyAlignment="1" applyProtection="1">
      <alignment horizontal="center" vertical="center" wrapText="1"/>
      <protection locked="0"/>
    </xf>
    <xf numFmtId="17"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vertical="center" wrapText="1"/>
      <protection locked="0"/>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Fill="1" applyBorder="1" applyAlignment="1">
      <alignment horizontal="left" vertical="center" wrapText="1"/>
    </xf>
    <xf numFmtId="3" fontId="2" fillId="0" borderId="1" xfId="1" applyNumberFormat="1" applyFont="1" applyFill="1" applyBorder="1" applyAlignment="1">
      <alignment horizontal="center" vertical="center" wrapText="1"/>
    </xf>
    <xf numFmtId="0" fontId="3" fillId="0" borderId="1" xfId="1" applyFont="1" applyBorder="1" applyAlignment="1">
      <alignment horizontal="right" wrapText="1"/>
    </xf>
    <xf numFmtId="0" fontId="3" fillId="0" borderId="1" xfId="1" applyFont="1" applyBorder="1" applyAlignment="1">
      <alignment horizontal="center" vertical="center" wrapText="1"/>
    </xf>
    <xf numFmtId="0" fontId="3" fillId="0" borderId="1" xfId="1" applyFont="1" applyFill="1" applyBorder="1" applyAlignment="1">
      <alignment horizontal="left" vertical="center" wrapText="1"/>
    </xf>
    <xf numFmtId="0" fontId="4" fillId="0" borderId="0" xfId="1" applyFont="1" applyBorder="1" applyAlignment="1">
      <alignment horizontal="center" vertical="center"/>
    </xf>
    <xf numFmtId="0" fontId="2" fillId="0" borderId="0" xfId="1" applyFont="1" applyBorder="1" applyAlignment="1">
      <alignment horizontal="left"/>
    </xf>
    <xf numFmtId="0" fontId="2" fillId="0" borderId="2"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4" xfId="2" applyFont="1" applyFill="1" applyBorder="1" applyAlignment="1" applyProtection="1">
      <alignment horizontal="left" vertical="center" wrapText="1"/>
      <protection locked="0"/>
    </xf>
    <xf numFmtId="0" fontId="2" fillId="0" borderId="2" xfId="2" applyFont="1" applyFill="1" applyBorder="1" applyAlignment="1" applyProtection="1">
      <alignment horizontal="left" vertical="center" wrapText="1"/>
      <protection locked="0"/>
    </xf>
    <xf numFmtId="0" fontId="2" fillId="0" borderId="3" xfId="2" applyFont="1" applyFill="1" applyBorder="1" applyAlignment="1" applyProtection="1">
      <alignment horizontal="left" vertical="center" wrapText="1"/>
      <protection locked="0"/>
    </xf>
    <xf numFmtId="0" fontId="2" fillId="0" borderId="4"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3" fillId="0" borderId="1" xfId="2" applyFont="1" applyFill="1" applyBorder="1" applyAlignment="1">
      <alignment horizontal="right" wrapText="1"/>
    </xf>
    <xf numFmtId="0" fontId="2" fillId="0" borderId="0" xfId="2" applyFont="1" applyFill="1" applyBorder="1" applyAlignment="1">
      <alignment horizontal="left"/>
    </xf>
    <xf numFmtId="0" fontId="29" fillId="0" borderId="4" xfId="1" applyFont="1" applyFill="1" applyBorder="1" applyAlignment="1" applyProtection="1">
      <alignment horizontal="left" vertical="center" wrapText="1"/>
      <protection locked="0"/>
    </xf>
    <xf numFmtId="0" fontId="29" fillId="0" borderId="2" xfId="1" applyFont="1" applyFill="1" applyBorder="1" applyAlignment="1" applyProtection="1">
      <alignment horizontal="left" vertical="center" wrapText="1"/>
      <protection locked="0"/>
    </xf>
    <xf numFmtId="0" fontId="29" fillId="0" borderId="3" xfId="1" applyFont="1" applyFill="1" applyBorder="1" applyAlignment="1" applyProtection="1">
      <alignment horizontal="left" vertical="center" wrapText="1"/>
      <protection locked="0"/>
    </xf>
    <xf numFmtId="0" fontId="2" fillId="0" borderId="4" xfId="2" applyFont="1" applyFill="1" applyBorder="1" applyAlignment="1" applyProtection="1">
      <alignment horizontal="left" vertical="center"/>
      <protection locked="0"/>
    </xf>
    <xf numFmtId="0" fontId="2" fillId="0" borderId="2" xfId="2" applyFont="1" applyFill="1" applyBorder="1" applyAlignment="1" applyProtection="1">
      <alignment horizontal="left" vertical="center"/>
      <protection locked="0"/>
    </xf>
    <xf numFmtId="0" fontId="2" fillId="0" borderId="3" xfId="2" applyFont="1" applyFill="1" applyBorder="1" applyAlignment="1" applyProtection="1">
      <alignment horizontal="left" vertical="center"/>
      <protection locked="0"/>
    </xf>
    <xf numFmtId="3" fontId="3" fillId="0" borderId="4" xfId="1" applyNumberFormat="1" applyFont="1" applyFill="1" applyBorder="1" applyAlignment="1" applyProtection="1">
      <alignment horizontal="center" vertical="center" wrapText="1"/>
      <protection locked="0"/>
    </xf>
    <xf numFmtId="3" fontId="3" fillId="0" borderId="2" xfId="1" applyNumberFormat="1" applyFont="1" applyFill="1" applyBorder="1" applyAlignment="1" applyProtection="1">
      <alignment horizontal="center" vertical="center" wrapText="1"/>
      <protection locked="0"/>
    </xf>
    <xf numFmtId="3" fontId="3" fillId="0" borderId="3" xfId="1" applyNumberFormat="1" applyFont="1" applyFill="1" applyBorder="1" applyAlignment="1" applyProtection="1">
      <alignment horizontal="center" vertical="center" wrapText="1"/>
      <protection locked="0"/>
    </xf>
    <xf numFmtId="0" fontId="3" fillId="0" borderId="1" xfId="1" applyFont="1" applyFill="1" applyBorder="1" applyAlignment="1" applyProtection="1">
      <alignment horizontal="left" vertical="center" wrapText="1"/>
      <protection locked="0"/>
    </xf>
    <xf numFmtId="0" fontId="2" fillId="0" borderId="9"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63"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5" xfId="1" applyFont="1" applyFill="1" applyBorder="1" applyAlignment="1">
      <alignment horizontal="left" vertical="center" wrapText="1"/>
    </xf>
    <xf numFmtId="49" fontId="2" fillId="0" borderId="4"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4" fontId="2" fillId="0" borderId="1" xfId="0" quotePrefix="1"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 fontId="2" fillId="0" borderId="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pplyProtection="1">
      <alignment horizontal="center" vertical="center" wrapText="1"/>
      <protection locked="0"/>
    </xf>
    <xf numFmtId="4" fontId="2" fillId="0" borderId="2" xfId="0" applyNumberFormat="1" applyFont="1" applyFill="1" applyBorder="1" applyAlignment="1" applyProtection="1">
      <alignment horizontal="center" vertical="center" wrapText="1"/>
      <protection locked="0"/>
    </xf>
    <xf numFmtId="4" fontId="2"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3" fontId="2" fillId="0" borderId="4"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center" wrapText="1"/>
    </xf>
    <xf numFmtId="3" fontId="2" fillId="0" borderId="2" xfId="0" applyNumberFormat="1" applyFont="1" applyFill="1" applyBorder="1" applyAlignment="1" applyProtection="1">
      <alignment horizontal="center" vertical="center" wrapText="1"/>
      <protection locked="0"/>
    </xf>
    <xf numFmtId="166" fontId="2" fillId="0" borderId="1" xfId="1" applyNumberFormat="1" applyFont="1" applyFill="1" applyBorder="1" applyAlignment="1" applyProtection="1">
      <alignment horizontal="center" vertical="center" wrapText="1"/>
      <protection locked="0"/>
    </xf>
    <xf numFmtId="165" fontId="2" fillId="0" borderId="1" xfId="0" applyNumberFormat="1" applyFont="1" applyFill="1" applyBorder="1" applyAlignment="1" applyProtection="1">
      <alignment horizontal="center" vertical="center"/>
      <protection locked="0"/>
    </xf>
    <xf numFmtId="2" fontId="2" fillId="0" borderId="4" xfId="1" applyNumberFormat="1" applyFont="1" applyFill="1" applyBorder="1" applyAlignment="1" applyProtection="1">
      <alignment horizontal="center" vertical="center" wrapText="1"/>
      <protection locked="0"/>
    </xf>
    <xf numFmtId="2" fontId="2" fillId="0" borderId="2" xfId="1" applyNumberFormat="1" applyFont="1" applyFill="1" applyBorder="1" applyAlignment="1" applyProtection="1">
      <alignment horizontal="center" vertical="center" wrapText="1"/>
      <protection locked="0"/>
    </xf>
    <xf numFmtId="2" fontId="2" fillId="0" borderId="3" xfId="1" applyNumberFormat="1" applyFont="1" applyFill="1" applyBorder="1" applyAlignment="1" applyProtection="1">
      <alignment horizontal="center" vertical="center" wrapText="1"/>
      <protection locked="0"/>
    </xf>
    <xf numFmtId="165" fontId="2" fillId="0" borderId="4" xfId="1" applyNumberFormat="1" applyFont="1" applyFill="1" applyBorder="1" applyAlignment="1" applyProtection="1">
      <alignment horizontal="center" vertical="center" wrapText="1"/>
      <protection locked="0"/>
    </xf>
    <xf numFmtId="165" fontId="2" fillId="0" borderId="2" xfId="1" applyNumberFormat="1" applyFont="1" applyFill="1" applyBorder="1" applyAlignment="1" applyProtection="1">
      <alignment horizontal="center" vertical="center" wrapText="1"/>
      <protection locked="0"/>
    </xf>
    <xf numFmtId="165" fontId="2" fillId="0" borderId="3" xfId="1" applyNumberFormat="1" applyFont="1" applyFill="1" applyBorder="1" applyAlignment="1" applyProtection="1">
      <alignment horizontal="center" vertical="center" wrapText="1"/>
      <protection locked="0"/>
    </xf>
    <xf numFmtId="0" fontId="2" fillId="0" borderId="1" xfId="1" applyFont="1" applyFill="1" applyBorder="1" applyAlignment="1">
      <alignment horizontal="left" vertical="top" wrapText="1"/>
    </xf>
    <xf numFmtId="0" fontId="2" fillId="0" borderId="1" xfId="1" applyFont="1" applyFill="1" applyBorder="1" applyAlignment="1">
      <alignment horizontal="center" vertical="center" wrapText="1"/>
    </xf>
    <xf numFmtId="1" fontId="4" fillId="0" borderId="0" xfId="11" applyNumberFormat="1" applyFont="1" applyFill="1" applyAlignment="1">
      <alignment horizontal="center"/>
    </xf>
    <xf numFmtId="0" fontId="2" fillId="0" borderId="48" xfId="11" applyFont="1" applyFill="1" applyBorder="1" applyAlignment="1">
      <alignment horizontal="center" vertical="center" wrapText="1"/>
    </xf>
    <xf numFmtId="0" fontId="2" fillId="0" borderId="52" xfId="11" applyFont="1" applyFill="1" applyBorder="1" applyAlignment="1">
      <alignment horizontal="center" vertical="center" wrapText="1"/>
    </xf>
    <xf numFmtId="0" fontId="2" fillId="0" borderId="55" xfId="11" applyFont="1" applyFill="1" applyBorder="1" applyAlignment="1">
      <alignment horizontal="center" vertical="center" wrapText="1"/>
    </xf>
    <xf numFmtId="0" fontId="2" fillId="0" borderId="49" xfId="11" applyFont="1" applyFill="1" applyBorder="1" applyAlignment="1">
      <alignment horizontal="center" vertical="center"/>
    </xf>
    <xf numFmtId="0" fontId="2" fillId="0" borderId="2" xfId="11" applyFont="1" applyFill="1" applyBorder="1" applyAlignment="1">
      <alignment horizontal="center" vertical="center"/>
    </xf>
    <xf numFmtId="0" fontId="2" fillId="0" borderId="3" xfId="11" applyFont="1" applyFill="1" applyBorder="1" applyAlignment="1">
      <alignment horizontal="center" vertical="center"/>
    </xf>
    <xf numFmtId="0" fontId="3" fillId="0" borderId="50" xfId="11" applyFont="1" applyFill="1" applyBorder="1" applyAlignment="1">
      <alignment horizontal="center" vertical="center" wrapText="1"/>
    </xf>
    <xf numFmtId="0" fontId="3" fillId="0" borderId="7" xfId="11" applyFont="1" applyFill="1" applyBorder="1" applyAlignment="1">
      <alignment horizontal="center" vertical="center" wrapText="1"/>
    </xf>
    <xf numFmtId="0" fontId="3" fillId="0" borderId="6" xfId="11" applyFont="1" applyFill="1" applyBorder="1" applyAlignment="1">
      <alignment horizontal="center" vertical="center" wrapText="1"/>
    </xf>
    <xf numFmtId="0" fontId="3" fillId="0" borderId="51" xfId="11" applyFont="1" applyFill="1" applyBorder="1" applyAlignment="1">
      <alignment horizontal="center" vertical="center" wrapText="1"/>
    </xf>
    <xf numFmtId="0" fontId="3" fillId="0" borderId="53" xfId="11" applyFont="1" applyFill="1" applyBorder="1" applyAlignment="1">
      <alignment horizontal="center" vertical="center" wrapText="1"/>
    </xf>
    <xf numFmtId="0" fontId="3" fillId="0" borderId="13" xfId="11" applyFont="1" applyFill="1" applyBorder="1" applyAlignment="1">
      <alignment horizontal="center" vertical="center"/>
    </xf>
    <xf numFmtId="0" fontId="3" fillId="0" borderId="14" xfId="11" applyFont="1" applyFill="1" applyBorder="1" applyAlignment="1">
      <alignment horizontal="center" vertical="center"/>
    </xf>
    <xf numFmtId="0" fontId="3" fillId="0" borderId="15" xfId="11" applyFont="1" applyFill="1" applyBorder="1" applyAlignment="1">
      <alignment horizontal="center" vertical="center"/>
    </xf>
    <xf numFmtId="0" fontId="2" fillId="0" borderId="17" xfId="11" applyFont="1" applyFill="1" applyBorder="1" applyAlignment="1">
      <alignment horizontal="center" vertical="center" wrapText="1"/>
    </xf>
    <xf numFmtId="0" fontId="2" fillId="0" borderId="51" xfId="11" applyFont="1" applyFill="1" applyBorder="1" applyAlignment="1">
      <alignment horizontal="center" vertical="center" wrapText="1"/>
    </xf>
    <xf numFmtId="0" fontId="2" fillId="0" borderId="37" xfId="11" applyFont="1" applyFill="1" applyBorder="1" applyAlignment="1">
      <alignment horizontal="center" vertical="center" wrapText="1"/>
    </xf>
    <xf numFmtId="0" fontId="2" fillId="0" borderId="54" xfId="11" applyFont="1" applyFill="1" applyBorder="1" applyAlignment="1">
      <alignment horizontal="center" vertical="center" wrapText="1"/>
    </xf>
    <xf numFmtId="0" fontId="15" fillId="0" borderId="0" xfId="1" applyFont="1" applyBorder="1" applyAlignment="1">
      <alignment horizontal="center" wrapText="1"/>
    </xf>
    <xf numFmtId="0" fontId="4" fillId="0" borderId="0" xfId="1" applyFont="1" applyBorder="1" applyAlignment="1">
      <alignment horizontal="center" wrapText="1"/>
    </xf>
    <xf numFmtId="0" fontId="3" fillId="0" borderId="16" xfId="1" applyFont="1" applyFill="1" applyBorder="1" applyAlignment="1">
      <alignment horizontal="left" vertical="center"/>
    </xf>
    <xf numFmtId="0" fontId="3" fillId="0" borderId="16" xfId="1" applyFont="1" applyFill="1" applyBorder="1" applyAlignment="1">
      <alignment horizontal="left" vertical="center" wrapText="1"/>
    </xf>
    <xf numFmtId="0" fontId="3" fillId="0" borderId="10" xfId="2" applyFont="1" applyFill="1" applyBorder="1" applyAlignment="1">
      <alignment horizontal="right" wrapText="1"/>
    </xf>
    <xf numFmtId="0" fontId="3" fillId="0" borderId="12" xfId="2" applyFont="1" applyFill="1" applyBorder="1" applyAlignment="1">
      <alignment horizontal="right" wrapText="1"/>
    </xf>
    <xf numFmtId="0" fontId="3" fillId="0" borderId="11" xfId="2" applyFont="1" applyFill="1" applyBorder="1" applyAlignment="1">
      <alignment horizontal="right" wrapText="1"/>
    </xf>
    <xf numFmtId="3" fontId="3" fillId="0" borderId="1" xfId="1" applyNumberFormat="1" applyFont="1" applyFill="1" applyBorder="1" applyAlignment="1">
      <alignment horizontal="right" vertical="center" wrapText="1"/>
    </xf>
  </cellXfs>
  <cellStyles count="14">
    <cellStyle name="Normal" xfId="0" builtinId="0"/>
    <cellStyle name="Normal 11" xfId="1"/>
    <cellStyle name="Normal 2" xfId="2"/>
    <cellStyle name="Normal 2 2" xfId="5"/>
    <cellStyle name="Normal 2 3" xfId="10"/>
    <cellStyle name="Normal 2 3 2" xfId="6"/>
    <cellStyle name="Normal 3 2" xfId="7"/>
    <cellStyle name="Normal 3 2 2 2" xfId="3"/>
    <cellStyle name="Normal 3 2 2 2 2" xfId="8"/>
    <cellStyle name="Normal 3 3" xfId="9"/>
    <cellStyle name="Normal 5" xfId="11"/>
    <cellStyle name="Normal 6" xfId="4"/>
    <cellStyle name="Normal 7" xfId="12"/>
    <cellStyle name="Normal_budžeta nod.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9</xdr:col>
      <xdr:colOff>0</xdr:colOff>
      <xdr:row>111</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110</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110</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7753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148</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148</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456</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166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51"/>
  <sheetViews>
    <sheetView view="pageLayout" zoomScaleNormal="100" zoomScaleSheetLayoutView="100" workbookViewId="0">
      <selection activeCell="T1" sqref="T1"/>
    </sheetView>
  </sheetViews>
  <sheetFormatPr defaultRowHeight="15.75" x14ac:dyDescent="0.25"/>
  <cols>
    <col min="1" max="1" width="3.7109375" style="740" customWidth="1"/>
    <col min="2" max="2" width="26" style="735" customWidth="1"/>
    <col min="3" max="3" width="9.140625" style="735" customWidth="1"/>
    <col min="4" max="4" width="6.140625" style="735" bestFit="1" customWidth="1"/>
    <col min="5" max="5" width="6.28515625" style="744" bestFit="1" customWidth="1"/>
    <col min="6" max="6" width="8.28515625" style="744" hidden="1" customWidth="1"/>
    <col min="7" max="7" width="8.28515625" style="745" hidden="1" customWidth="1"/>
    <col min="8" max="8" width="7.85546875" style="745" customWidth="1"/>
    <col min="9" max="9" width="8.28515625" style="745" hidden="1" customWidth="1"/>
    <col min="10" max="10" width="8.140625" style="745" hidden="1" customWidth="1"/>
    <col min="11" max="11" width="10.28515625" style="745" customWidth="1"/>
    <col min="12" max="12" width="8.140625" style="745" hidden="1" customWidth="1"/>
    <col min="13" max="13" width="8" style="745" hidden="1" customWidth="1"/>
    <col min="14" max="14" width="10.42578125" style="668" customWidth="1"/>
    <col min="15" max="15" width="7.7109375" style="668" customWidth="1"/>
    <col min="16" max="16" width="7" style="735" customWidth="1"/>
    <col min="17" max="17" width="7.7109375" style="735" customWidth="1"/>
    <col min="18" max="18" width="6.85546875" style="735" customWidth="1"/>
    <col min="19" max="19" width="8.42578125" style="735" customWidth="1"/>
    <col min="20" max="20" width="14.42578125" style="735" customWidth="1"/>
    <col min="21" max="21" width="9.140625" style="735"/>
    <col min="22" max="25" width="0" style="735" hidden="1" customWidth="1"/>
    <col min="26" max="16384" width="9.140625" style="735"/>
  </cols>
  <sheetData>
    <row r="1" spans="1:27" s="668" customFormat="1" ht="15.75" customHeight="1" x14ac:dyDescent="0.3">
      <c r="A1" s="666"/>
      <c r="B1" s="667"/>
      <c r="C1" s="1010" t="s">
        <v>878</v>
      </c>
      <c r="D1" s="1010"/>
      <c r="E1" s="1010"/>
      <c r="F1" s="1010"/>
      <c r="G1" s="1010"/>
      <c r="H1" s="1010"/>
      <c r="I1" s="1010"/>
      <c r="J1" s="1010"/>
      <c r="K1" s="1010"/>
      <c r="L1" s="1010"/>
      <c r="M1" s="1010"/>
      <c r="N1" s="1010"/>
      <c r="O1" s="1010"/>
      <c r="P1" s="1010"/>
      <c r="Q1" s="1010"/>
      <c r="R1" s="1010"/>
      <c r="V1" s="669" t="s">
        <v>879</v>
      </c>
      <c r="W1" s="669"/>
      <c r="X1" s="669"/>
      <c r="Y1" s="669"/>
      <c r="Z1" s="669"/>
      <c r="AA1" s="669"/>
    </row>
    <row r="2" spans="1:27" s="668" customFormat="1" ht="14.25" customHeight="1" x14ac:dyDescent="0.25">
      <c r="A2" s="670"/>
      <c r="B2" s="671"/>
      <c r="C2" s="672"/>
      <c r="D2" s="672"/>
      <c r="E2" s="673"/>
      <c r="F2" s="673"/>
      <c r="G2" s="673"/>
      <c r="H2" s="673"/>
      <c r="I2" s="673"/>
      <c r="J2" s="673"/>
      <c r="K2" s="674"/>
      <c r="L2" s="674"/>
      <c r="M2" s="674"/>
      <c r="N2" s="671"/>
      <c r="O2" s="675"/>
      <c r="P2" s="676"/>
      <c r="Q2" s="676"/>
      <c r="R2" s="676"/>
      <c r="T2" s="677"/>
    </row>
    <row r="3" spans="1:27" s="679" customFormat="1" ht="48" customHeight="1" x14ac:dyDescent="0.2">
      <c r="A3" s="1011" t="s">
        <v>4</v>
      </c>
      <c r="B3" s="1012" t="s">
        <v>880</v>
      </c>
      <c r="C3" s="1013" t="s">
        <v>881</v>
      </c>
      <c r="D3" s="1014" t="s">
        <v>882</v>
      </c>
      <c r="E3" s="1014" t="s">
        <v>22</v>
      </c>
      <c r="F3" s="1014" t="s">
        <v>883</v>
      </c>
      <c r="G3" s="1014"/>
      <c r="H3" s="1014"/>
      <c r="I3" s="1015" t="s">
        <v>884</v>
      </c>
      <c r="J3" s="1015"/>
      <c r="K3" s="1015"/>
      <c r="L3" s="1014" t="s">
        <v>885</v>
      </c>
      <c r="M3" s="1014"/>
      <c r="N3" s="1014"/>
      <c r="O3" s="678" t="s">
        <v>886</v>
      </c>
      <c r="P3" s="988" t="s">
        <v>887</v>
      </c>
      <c r="Q3" s="988"/>
      <c r="R3" s="988" t="s">
        <v>888</v>
      </c>
      <c r="S3" s="988"/>
      <c r="T3" s="989" t="s">
        <v>889</v>
      </c>
    </row>
    <row r="4" spans="1:27" s="679" customFormat="1" ht="41.25" customHeight="1" x14ac:dyDescent="0.2">
      <c r="A4" s="1011"/>
      <c r="B4" s="1012"/>
      <c r="C4" s="1013"/>
      <c r="D4" s="1014"/>
      <c r="E4" s="1014"/>
      <c r="F4" s="678" t="s">
        <v>12</v>
      </c>
      <c r="G4" s="678" t="s">
        <v>890</v>
      </c>
      <c r="H4" s="678" t="s">
        <v>891</v>
      </c>
      <c r="I4" s="678" t="s">
        <v>11</v>
      </c>
      <c r="J4" s="678" t="s">
        <v>12</v>
      </c>
      <c r="K4" s="678" t="s">
        <v>891</v>
      </c>
      <c r="L4" s="678" t="s">
        <v>11</v>
      </c>
      <c r="M4" s="678" t="s">
        <v>12</v>
      </c>
      <c r="N4" s="678" t="s">
        <v>891</v>
      </c>
      <c r="O4" s="678" t="s">
        <v>891</v>
      </c>
      <c r="P4" s="678" t="s">
        <v>881</v>
      </c>
      <c r="Q4" s="678" t="s">
        <v>892</v>
      </c>
      <c r="R4" s="678" t="s">
        <v>881</v>
      </c>
      <c r="S4" s="678" t="s">
        <v>893</v>
      </c>
      <c r="T4" s="989"/>
    </row>
    <row r="5" spans="1:27" s="679" customFormat="1" ht="15" customHeight="1" x14ac:dyDescent="0.2">
      <c r="A5" s="680"/>
      <c r="B5" s="681"/>
      <c r="C5" s="990" t="s">
        <v>894</v>
      </c>
      <c r="D5" s="990"/>
      <c r="E5" s="991"/>
      <c r="F5" s="682">
        <f t="shared" ref="F5:O5" si="0">SUM(F7,F37,F41)</f>
        <v>4897320</v>
      </c>
      <c r="G5" s="682">
        <f t="shared" si="0"/>
        <v>8113812</v>
      </c>
      <c r="H5" s="682">
        <f t="shared" si="0"/>
        <v>4327961</v>
      </c>
      <c r="I5" s="682">
        <f t="shared" si="0"/>
        <v>2052658</v>
      </c>
      <c r="J5" s="682">
        <f t="shared" si="0"/>
        <v>1446422</v>
      </c>
      <c r="K5" s="682">
        <f t="shared" si="0"/>
        <v>2184011</v>
      </c>
      <c r="L5" s="682">
        <f t="shared" si="0"/>
        <v>3647196</v>
      </c>
      <c r="M5" s="682">
        <f t="shared" si="0"/>
        <v>3450898</v>
      </c>
      <c r="N5" s="682">
        <f t="shared" si="0"/>
        <v>2143950</v>
      </c>
      <c r="O5" s="682">
        <f t="shared" si="0"/>
        <v>0</v>
      </c>
      <c r="P5" s="682"/>
      <c r="Q5" s="682">
        <f>SUM(Q7,Q37,Q41)</f>
        <v>9183894</v>
      </c>
      <c r="R5" s="682"/>
      <c r="S5" s="682">
        <f>SUM(S7,S37,S41)</f>
        <v>11236794</v>
      </c>
      <c r="T5" s="300"/>
    </row>
    <row r="6" spans="1:27" s="679" customFormat="1" ht="23.25" customHeight="1" x14ac:dyDescent="0.2">
      <c r="A6" s="992" t="s">
        <v>895</v>
      </c>
      <c r="B6" s="993"/>
      <c r="C6" s="683"/>
      <c r="D6" s="683"/>
      <c r="E6" s="684"/>
      <c r="F6" s="685"/>
      <c r="G6" s="685"/>
      <c r="H6" s="685"/>
      <c r="I6" s="685"/>
      <c r="J6" s="685"/>
      <c r="K6" s="685"/>
      <c r="L6" s="685"/>
      <c r="M6" s="685"/>
      <c r="N6" s="685"/>
      <c r="O6" s="685"/>
      <c r="P6" s="685"/>
      <c r="Q6" s="685"/>
      <c r="R6" s="685"/>
      <c r="S6" s="686"/>
      <c r="T6" s="687"/>
    </row>
    <row r="7" spans="1:27" s="679" customFormat="1" ht="12" x14ac:dyDescent="0.2">
      <c r="A7" s="994"/>
      <c r="B7" s="995"/>
      <c r="C7" s="688"/>
      <c r="D7" s="688"/>
      <c r="E7" s="689" t="s">
        <v>896</v>
      </c>
      <c r="F7" s="690">
        <f t="shared" ref="F7:M7" si="1">SUM(F8,F21,F26,F33)</f>
        <v>3191826</v>
      </c>
      <c r="G7" s="690">
        <f t="shared" si="1"/>
        <v>5775440</v>
      </c>
      <c r="H7" s="690">
        <f t="shared" si="1"/>
        <v>1989589</v>
      </c>
      <c r="I7" s="690">
        <f t="shared" si="1"/>
        <v>1344181</v>
      </c>
      <c r="J7" s="690">
        <f t="shared" si="1"/>
        <v>737945</v>
      </c>
      <c r="K7" s="690">
        <f t="shared" si="1"/>
        <v>748000</v>
      </c>
      <c r="L7" s="690">
        <f t="shared" si="1"/>
        <v>2650179</v>
      </c>
      <c r="M7" s="690">
        <f t="shared" si="1"/>
        <v>2453881</v>
      </c>
      <c r="N7" s="690">
        <f>SUM(,N8,N21,N26,N33)</f>
        <v>1241589</v>
      </c>
      <c r="O7" s="690">
        <f>SUM(O8,O21,O26,O33)</f>
        <v>0</v>
      </c>
      <c r="P7" s="682"/>
      <c r="Q7" s="682">
        <f>SUM(Q8,Q21,Q26,Q33)</f>
        <v>7678400</v>
      </c>
      <c r="R7" s="682"/>
      <c r="S7" s="691">
        <f>SUM(S8,S21,S26,S33)</f>
        <v>9731600</v>
      </c>
      <c r="T7" s="687"/>
    </row>
    <row r="8" spans="1:27" s="679" customFormat="1" ht="12" x14ac:dyDescent="0.2">
      <c r="A8" s="692">
        <v>2</v>
      </c>
      <c r="B8" s="693" t="s">
        <v>897</v>
      </c>
      <c r="C8" s="694"/>
      <c r="D8" s="694"/>
      <c r="E8" s="695"/>
      <c r="F8" s="696">
        <f t="shared" ref="F8:O8" si="2">SUM(F9:F20)</f>
        <v>2774664</v>
      </c>
      <c r="G8" s="696">
        <f t="shared" si="2"/>
        <v>5196120</v>
      </c>
      <c r="H8" s="696">
        <f t="shared" si="2"/>
        <v>1452989</v>
      </c>
      <c r="I8" s="696">
        <f t="shared" si="2"/>
        <v>1089924</v>
      </c>
      <c r="J8" s="696">
        <f t="shared" si="2"/>
        <v>483783</v>
      </c>
      <c r="K8" s="696">
        <f t="shared" si="2"/>
        <v>231400</v>
      </c>
      <c r="L8" s="696">
        <f t="shared" si="2"/>
        <v>2487179</v>
      </c>
      <c r="M8" s="696">
        <f t="shared" si="2"/>
        <v>2290881</v>
      </c>
      <c r="N8" s="696">
        <f t="shared" si="2"/>
        <v>1221589</v>
      </c>
      <c r="O8" s="696">
        <f t="shared" si="2"/>
        <v>0</v>
      </c>
      <c r="P8" s="697"/>
      <c r="Q8" s="697">
        <f>SUM(Q9:Q20)</f>
        <v>7036400</v>
      </c>
      <c r="R8" s="697"/>
      <c r="S8" s="697">
        <f>SUM(S9:S20)</f>
        <v>9231600</v>
      </c>
      <c r="T8" s="687"/>
    </row>
    <row r="9" spans="1:27" s="679" customFormat="1" ht="24" x14ac:dyDescent="0.2">
      <c r="A9" s="698">
        <v>2.1</v>
      </c>
      <c r="B9" s="699" t="s">
        <v>898</v>
      </c>
      <c r="C9" s="700" t="s">
        <v>899</v>
      </c>
      <c r="D9" s="700" t="s">
        <v>593</v>
      </c>
      <c r="E9" s="701" t="s">
        <v>900</v>
      </c>
      <c r="F9" s="702">
        <f t="shared" ref="F9:F19" si="3">SUM(J9+M9)</f>
        <v>2200442</v>
      </c>
      <c r="G9" s="702"/>
      <c r="H9" s="702">
        <f t="shared" ref="H9:H19" si="4">SUM(K9+N9+O9)</f>
        <v>9063</v>
      </c>
      <c r="I9" s="702"/>
      <c r="J9" s="702"/>
      <c r="K9" s="702"/>
      <c r="L9" s="702">
        <v>2217940</v>
      </c>
      <c r="M9" s="702">
        <v>2200442</v>
      </c>
      <c r="N9" s="702">
        <v>9063</v>
      </c>
      <c r="O9" s="702"/>
      <c r="P9" s="703"/>
      <c r="Q9" s="704"/>
      <c r="R9" s="703"/>
      <c r="S9" s="704"/>
      <c r="T9" s="705" t="s">
        <v>901</v>
      </c>
    </row>
    <row r="10" spans="1:27" s="679" customFormat="1" ht="15" customHeight="1" x14ac:dyDescent="0.2">
      <c r="A10" s="706">
        <v>2.2000000000000002</v>
      </c>
      <c r="B10" s="707" t="s">
        <v>902</v>
      </c>
      <c r="C10" s="708" t="s">
        <v>903</v>
      </c>
      <c r="D10" s="703" t="s">
        <v>593</v>
      </c>
      <c r="E10" s="709" t="s">
        <v>900</v>
      </c>
      <c r="F10" s="710">
        <f t="shared" si="3"/>
        <v>0</v>
      </c>
      <c r="G10" s="710">
        <v>3364885</v>
      </c>
      <c r="H10" s="710">
        <f t="shared" si="4"/>
        <v>800000</v>
      </c>
      <c r="I10" s="710"/>
      <c r="J10" s="710"/>
      <c r="K10" s="710"/>
      <c r="L10" s="710"/>
      <c r="M10" s="710"/>
      <c r="N10" s="710">
        <f>600000+200000</f>
        <v>800000</v>
      </c>
      <c r="O10" s="710"/>
      <c r="P10" s="708" t="s">
        <v>904</v>
      </c>
      <c r="Q10" s="711">
        <v>4293000</v>
      </c>
      <c r="R10" s="708" t="s">
        <v>905</v>
      </c>
      <c r="S10" s="711">
        <v>4975000</v>
      </c>
      <c r="T10" s="705" t="s">
        <v>901</v>
      </c>
      <c r="V10" s="679" t="s">
        <v>906</v>
      </c>
      <c r="W10" s="712">
        <f>SUM(N10,N19)-Y10</f>
        <v>750000</v>
      </c>
      <c r="X10" s="679" t="s">
        <v>907</v>
      </c>
      <c r="Y10" s="679">
        <f>200000+92700</f>
        <v>292700</v>
      </c>
    </row>
    <row r="11" spans="1:27" s="679" customFormat="1" ht="24" x14ac:dyDescent="0.2">
      <c r="A11" s="706">
        <v>2.2999999999999998</v>
      </c>
      <c r="B11" s="713" t="s">
        <v>908</v>
      </c>
      <c r="C11" s="708" t="s">
        <v>909</v>
      </c>
      <c r="D11" s="703" t="s">
        <v>593</v>
      </c>
      <c r="E11" s="701" t="s">
        <v>900</v>
      </c>
      <c r="F11" s="702">
        <f t="shared" si="3"/>
        <v>331592</v>
      </c>
      <c r="G11" s="702">
        <v>596737</v>
      </c>
      <c r="H11" s="702">
        <f t="shared" si="4"/>
        <v>55470</v>
      </c>
      <c r="I11" s="702">
        <v>548981</v>
      </c>
      <c r="J11" s="702">
        <v>243210</v>
      </c>
      <c r="K11" s="702">
        <v>50000</v>
      </c>
      <c r="L11" s="702">
        <v>202962</v>
      </c>
      <c r="M11" s="702">
        <v>88382</v>
      </c>
      <c r="N11" s="702">
        <v>5470</v>
      </c>
      <c r="O11" s="702"/>
      <c r="P11" s="703" t="s">
        <v>910</v>
      </c>
      <c r="Q11" s="704">
        <v>746000</v>
      </c>
      <c r="R11" s="703" t="s">
        <v>911</v>
      </c>
      <c r="S11" s="704">
        <v>743000</v>
      </c>
      <c r="T11" s="705" t="s">
        <v>901</v>
      </c>
    </row>
    <row r="12" spans="1:27" s="679" customFormat="1" ht="12" x14ac:dyDescent="0.2">
      <c r="A12" s="706">
        <v>2.4</v>
      </c>
      <c r="B12" s="713" t="s">
        <v>912</v>
      </c>
      <c r="C12" s="708" t="s">
        <v>913</v>
      </c>
      <c r="D12" s="703" t="s">
        <v>593</v>
      </c>
      <c r="E12" s="709" t="s">
        <v>914</v>
      </c>
      <c r="F12" s="710">
        <f t="shared" si="3"/>
        <v>0</v>
      </c>
      <c r="G12" s="710">
        <v>31000</v>
      </c>
      <c r="H12" s="710">
        <f t="shared" si="4"/>
        <v>0</v>
      </c>
      <c r="I12" s="710"/>
      <c r="J12" s="710"/>
      <c r="K12" s="710"/>
      <c r="L12" s="710"/>
      <c r="M12" s="710"/>
      <c r="N12" s="710"/>
      <c r="O12" s="710"/>
      <c r="P12" s="708" t="s">
        <v>913</v>
      </c>
      <c r="Q12" s="711">
        <v>31000</v>
      </c>
      <c r="R12" s="708" t="s">
        <v>915</v>
      </c>
      <c r="S12" s="711">
        <v>190000</v>
      </c>
      <c r="T12" s="705" t="s">
        <v>901</v>
      </c>
    </row>
    <row r="13" spans="1:27" s="679" customFormat="1" ht="12" x14ac:dyDescent="0.2">
      <c r="A13" s="706" t="s">
        <v>916</v>
      </c>
      <c r="B13" s="714" t="s">
        <v>917</v>
      </c>
      <c r="C13" s="703"/>
      <c r="D13" s="703" t="s">
        <v>593</v>
      </c>
      <c r="E13" s="701" t="s">
        <v>900</v>
      </c>
      <c r="F13" s="702">
        <f t="shared" si="3"/>
        <v>0</v>
      </c>
      <c r="G13" s="702">
        <v>25000</v>
      </c>
      <c r="H13" s="702">
        <f t="shared" si="4"/>
        <v>0</v>
      </c>
      <c r="I13" s="702"/>
      <c r="J13" s="702"/>
      <c r="K13" s="702"/>
      <c r="L13" s="702"/>
      <c r="M13" s="702"/>
      <c r="N13" s="702"/>
      <c r="O13" s="702"/>
      <c r="P13" s="703" t="s">
        <v>918</v>
      </c>
      <c r="Q13" s="704">
        <v>335000</v>
      </c>
      <c r="R13" s="703" t="s">
        <v>919</v>
      </c>
      <c r="S13" s="704">
        <v>281000</v>
      </c>
      <c r="T13" s="705" t="s">
        <v>901</v>
      </c>
    </row>
    <row r="14" spans="1:27" s="679" customFormat="1" ht="36" x14ac:dyDescent="0.2">
      <c r="A14" s="706">
        <v>2.6</v>
      </c>
      <c r="B14" s="714" t="s">
        <v>920</v>
      </c>
      <c r="C14" s="703" t="s">
        <v>921</v>
      </c>
      <c r="D14" s="703" t="s">
        <v>593</v>
      </c>
      <c r="E14" s="701" t="s">
        <v>900</v>
      </c>
      <c r="F14" s="702">
        <f t="shared" si="3"/>
        <v>0</v>
      </c>
      <c r="G14" s="702">
        <v>10000</v>
      </c>
      <c r="H14" s="702">
        <f t="shared" si="4"/>
        <v>10000</v>
      </c>
      <c r="I14" s="702"/>
      <c r="J14" s="702"/>
      <c r="K14" s="702"/>
      <c r="L14" s="702"/>
      <c r="M14" s="702"/>
      <c r="N14" s="702">
        <v>10000</v>
      </c>
      <c r="O14" s="702"/>
      <c r="P14" s="703" t="s">
        <v>922</v>
      </c>
      <c r="Q14" s="704">
        <v>200000</v>
      </c>
      <c r="R14" s="703" t="s">
        <v>922</v>
      </c>
      <c r="S14" s="704">
        <v>200000</v>
      </c>
      <c r="T14" s="705" t="s">
        <v>901</v>
      </c>
    </row>
    <row r="15" spans="1:27" s="679" customFormat="1" ht="25.5" customHeight="1" x14ac:dyDescent="0.2">
      <c r="A15" s="706">
        <v>2.7</v>
      </c>
      <c r="B15" s="714" t="s">
        <v>923</v>
      </c>
      <c r="C15" s="703"/>
      <c r="D15" s="703" t="s">
        <v>593</v>
      </c>
      <c r="E15" s="701" t="s">
        <v>900</v>
      </c>
      <c r="F15" s="702">
        <f t="shared" si="3"/>
        <v>0</v>
      </c>
      <c r="G15" s="702">
        <v>300000</v>
      </c>
      <c r="H15" s="702">
        <f t="shared" si="4"/>
        <v>150000</v>
      </c>
      <c r="I15" s="702"/>
      <c r="J15" s="702"/>
      <c r="K15" s="702"/>
      <c r="L15" s="702"/>
      <c r="M15" s="702"/>
      <c r="N15" s="702">
        <v>150000</v>
      </c>
      <c r="O15" s="702"/>
      <c r="P15" s="703"/>
      <c r="Q15" s="704"/>
      <c r="R15" s="703"/>
      <c r="S15" s="704"/>
      <c r="T15" s="705" t="s">
        <v>924</v>
      </c>
    </row>
    <row r="16" spans="1:27" s="679" customFormat="1" ht="12" x14ac:dyDescent="0.2">
      <c r="A16" s="706">
        <v>2.8</v>
      </c>
      <c r="B16" s="714" t="s">
        <v>925</v>
      </c>
      <c r="C16" s="703" t="s">
        <v>926</v>
      </c>
      <c r="D16" s="703" t="s">
        <v>593</v>
      </c>
      <c r="E16" s="701" t="s">
        <v>914</v>
      </c>
      <c r="F16" s="702">
        <f t="shared" si="3"/>
        <v>75622</v>
      </c>
      <c r="G16" s="702">
        <v>136126</v>
      </c>
      <c r="H16" s="702">
        <f t="shared" si="4"/>
        <v>0</v>
      </c>
      <c r="I16" s="702">
        <v>140943</v>
      </c>
      <c r="J16" s="702">
        <v>73565</v>
      </c>
      <c r="K16" s="702"/>
      <c r="L16" s="702">
        <v>2057</v>
      </c>
      <c r="M16" s="702">
        <v>2057</v>
      </c>
      <c r="N16" s="702"/>
      <c r="O16" s="702"/>
      <c r="P16" s="703"/>
      <c r="Q16" s="704"/>
      <c r="R16" s="703" t="s">
        <v>927</v>
      </c>
      <c r="S16" s="704">
        <v>349300</v>
      </c>
      <c r="T16" s="705" t="s">
        <v>901</v>
      </c>
    </row>
    <row r="17" spans="1:25" s="679" customFormat="1" ht="15" customHeight="1" x14ac:dyDescent="0.2">
      <c r="A17" s="715">
        <v>2.9</v>
      </c>
      <c r="B17" s="714" t="s">
        <v>928</v>
      </c>
      <c r="C17" s="703" t="s">
        <v>929</v>
      </c>
      <c r="D17" s="703" t="s">
        <v>593</v>
      </c>
      <c r="E17" s="701" t="s">
        <v>900</v>
      </c>
      <c r="F17" s="702">
        <f t="shared" si="3"/>
        <v>167008</v>
      </c>
      <c r="G17" s="702">
        <v>532372</v>
      </c>
      <c r="H17" s="702">
        <f t="shared" si="4"/>
        <v>171756</v>
      </c>
      <c r="I17" s="702">
        <v>400000</v>
      </c>
      <c r="J17" s="702">
        <v>167008</v>
      </c>
      <c r="K17" s="702">
        <v>167400</v>
      </c>
      <c r="L17" s="702">
        <v>64220</v>
      </c>
      <c r="M17" s="702"/>
      <c r="N17" s="702">
        <v>4356</v>
      </c>
      <c r="O17" s="702"/>
      <c r="P17" s="703" t="s">
        <v>930</v>
      </c>
      <c r="Q17" s="704">
        <v>747000</v>
      </c>
      <c r="R17" s="703" t="s">
        <v>931</v>
      </c>
      <c r="S17" s="704">
        <v>1002000</v>
      </c>
      <c r="T17" s="705" t="s">
        <v>901</v>
      </c>
    </row>
    <row r="18" spans="1:25" s="679" customFormat="1" ht="24" x14ac:dyDescent="0.2">
      <c r="A18" s="716">
        <v>2.1</v>
      </c>
      <c r="B18" s="714" t="s">
        <v>932</v>
      </c>
      <c r="C18" s="703"/>
      <c r="D18" s="703" t="s">
        <v>593</v>
      </c>
      <c r="E18" s="701" t="s">
        <v>900</v>
      </c>
      <c r="F18" s="702">
        <f t="shared" si="3"/>
        <v>0</v>
      </c>
      <c r="G18" s="702"/>
      <c r="H18" s="702">
        <f t="shared" si="4"/>
        <v>14000</v>
      </c>
      <c r="I18" s="702"/>
      <c r="J18" s="702"/>
      <c r="K18" s="702">
        <v>14000</v>
      </c>
      <c r="L18" s="702"/>
      <c r="M18" s="702"/>
      <c r="N18" s="702"/>
      <c r="O18" s="702"/>
      <c r="P18" s="703"/>
      <c r="Q18" s="704">
        <v>684400</v>
      </c>
      <c r="R18" s="703"/>
      <c r="S18" s="704">
        <v>1491300</v>
      </c>
      <c r="T18" s="705" t="s">
        <v>901</v>
      </c>
    </row>
    <row r="19" spans="1:25" s="679" customFormat="1" ht="24" x14ac:dyDescent="0.2">
      <c r="A19" s="716">
        <v>2.11</v>
      </c>
      <c r="B19" s="714" t="s">
        <v>933</v>
      </c>
      <c r="C19" s="703"/>
      <c r="D19" s="703" t="s">
        <v>593</v>
      </c>
      <c r="E19" s="701" t="s">
        <v>900</v>
      </c>
      <c r="F19" s="702">
        <f t="shared" si="3"/>
        <v>0</v>
      </c>
      <c r="G19" s="702">
        <v>200000</v>
      </c>
      <c r="H19" s="702">
        <f t="shared" si="4"/>
        <v>242700</v>
      </c>
      <c r="I19" s="702"/>
      <c r="J19" s="702"/>
      <c r="K19" s="702"/>
      <c r="L19" s="702"/>
      <c r="M19" s="702"/>
      <c r="N19" s="702">
        <f>150000+92700</f>
        <v>242700</v>
      </c>
      <c r="O19" s="702"/>
      <c r="P19" s="703"/>
      <c r="Q19" s="704"/>
      <c r="R19" s="703"/>
      <c r="S19" s="704"/>
      <c r="T19" s="705" t="s">
        <v>901</v>
      </c>
      <c r="Y19" s="712"/>
    </row>
    <row r="20" spans="1:25" s="679" customFormat="1" ht="12" x14ac:dyDescent="0.2">
      <c r="A20" s="706"/>
      <c r="B20" s="713"/>
      <c r="C20" s="708"/>
      <c r="D20" s="708"/>
      <c r="E20" s="709"/>
      <c r="F20" s="710"/>
      <c r="G20" s="710"/>
      <c r="H20" s="710"/>
      <c r="I20" s="710"/>
      <c r="J20" s="710"/>
      <c r="K20" s="710"/>
      <c r="L20" s="710"/>
      <c r="M20" s="710"/>
      <c r="N20" s="710"/>
      <c r="O20" s="710"/>
      <c r="P20" s="711"/>
      <c r="Q20" s="711"/>
      <c r="R20" s="711"/>
      <c r="S20" s="711"/>
      <c r="T20" s="687"/>
    </row>
    <row r="21" spans="1:25" s="679" customFormat="1" ht="12" x14ac:dyDescent="0.2">
      <c r="A21" s="692">
        <v>3</v>
      </c>
      <c r="B21" s="693" t="s">
        <v>934</v>
      </c>
      <c r="C21" s="694"/>
      <c r="D21" s="694"/>
      <c r="E21" s="695"/>
      <c r="F21" s="696">
        <f t="shared" ref="F21:O21" si="5">SUM(F22:F25)</f>
        <v>316000</v>
      </c>
      <c r="G21" s="696">
        <f t="shared" si="5"/>
        <v>306000</v>
      </c>
      <c r="H21" s="696">
        <f t="shared" si="5"/>
        <v>306000</v>
      </c>
      <c r="I21" s="696">
        <f t="shared" si="5"/>
        <v>153000</v>
      </c>
      <c r="J21" s="696">
        <f t="shared" si="5"/>
        <v>153000</v>
      </c>
      <c r="K21" s="696">
        <f t="shared" si="5"/>
        <v>286000</v>
      </c>
      <c r="L21" s="696">
        <f t="shared" si="5"/>
        <v>163000</v>
      </c>
      <c r="M21" s="696">
        <f t="shared" si="5"/>
        <v>163000</v>
      </c>
      <c r="N21" s="696">
        <f t="shared" si="5"/>
        <v>20000</v>
      </c>
      <c r="O21" s="696">
        <f t="shared" si="5"/>
        <v>0</v>
      </c>
      <c r="P21" s="697"/>
      <c r="Q21" s="697">
        <f>SUM(Q22:Q25)</f>
        <v>0</v>
      </c>
      <c r="R21" s="697"/>
      <c r="S21" s="697">
        <f>SUM(S22:S25)</f>
        <v>0</v>
      </c>
      <c r="T21" s="687"/>
    </row>
    <row r="22" spans="1:25" s="679" customFormat="1" ht="12" x14ac:dyDescent="0.2">
      <c r="A22" s="706">
        <v>3.1</v>
      </c>
      <c r="B22" s="717" t="s">
        <v>935</v>
      </c>
      <c r="C22" s="708" t="s">
        <v>936</v>
      </c>
      <c r="D22" s="703" t="s">
        <v>593</v>
      </c>
      <c r="E22" s="709" t="s">
        <v>937</v>
      </c>
      <c r="F22" s="710">
        <f>SUM(J22+M22)</f>
        <v>143000</v>
      </c>
      <c r="G22" s="710">
        <v>143000</v>
      </c>
      <c r="H22" s="710">
        <f>SUM(K22+N22+O22)</f>
        <v>143000</v>
      </c>
      <c r="I22" s="710">
        <v>143000</v>
      </c>
      <c r="J22" s="710">
        <v>143000</v>
      </c>
      <c r="K22" s="710">
        <v>143000</v>
      </c>
      <c r="L22" s="710"/>
      <c r="M22" s="710"/>
      <c r="N22" s="710"/>
      <c r="O22" s="710"/>
      <c r="P22" s="708"/>
      <c r="Q22" s="711"/>
      <c r="R22" s="708"/>
      <c r="S22" s="711"/>
      <c r="T22" s="705" t="s">
        <v>901</v>
      </c>
    </row>
    <row r="23" spans="1:25" s="679" customFormat="1" ht="24" x14ac:dyDescent="0.2">
      <c r="A23" s="706">
        <v>3.2</v>
      </c>
      <c r="B23" s="717" t="s">
        <v>938</v>
      </c>
      <c r="C23" s="703" t="s">
        <v>939</v>
      </c>
      <c r="D23" s="703" t="s">
        <v>593</v>
      </c>
      <c r="E23" s="709" t="s">
        <v>937</v>
      </c>
      <c r="F23" s="702">
        <f>SUM(J23+M23)</f>
        <v>153000</v>
      </c>
      <c r="G23" s="702">
        <v>143000</v>
      </c>
      <c r="H23" s="702">
        <f>SUM(K23+N23+O23)</f>
        <v>143000</v>
      </c>
      <c r="I23" s="702">
        <v>10000</v>
      </c>
      <c r="J23" s="702">
        <v>10000</v>
      </c>
      <c r="K23" s="702">
        <v>143000</v>
      </c>
      <c r="L23" s="702">
        <v>143000</v>
      </c>
      <c r="M23" s="702">
        <v>143000</v>
      </c>
      <c r="N23" s="702"/>
      <c r="O23" s="702"/>
      <c r="P23" s="703"/>
      <c r="Q23" s="704"/>
      <c r="R23" s="703"/>
      <c r="S23" s="704"/>
      <c r="T23" s="705" t="s">
        <v>901</v>
      </c>
    </row>
    <row r="24" spans="1:25" s="679" customFormat="1" ht="24" x14ac:dyDescent="0.2">
      <c r="A24" s="706">
        <v>3.3</v>
      </c>
      <c r="B24" s="713" t="s">
        <v>940</v>
      </c>
      <c r="C24" s="703" t="s">
        <v>941</v>
      </c>
      <c r="D24" s="703" t="s">
        <v>593</v>
      </c>
      <c r="E24" s="709" t="s">
        <v>937</v>
      </c>
      <c r="F24" s="702">
        <f>SUM(J24+M24)</f>
        <v>20000</v>
      </c>
      <c r="G24" s="702">
        <v>20000</v>
      </c>
      <c r="H24" s="702">
        <f>SUM(K24+N24+O24)</f>
        <v>20000</v>
      </c>
      <c r="I24" s="702"/>
      <c r="J24" s="702"/>
      <c r="K24" s="702"/>
      <c r="L24" s="702">
        <v>20000</v>
      </c>
      <c r="M24" s="702">
        <v>20000</v>
      </c>
      <c r="N24" s="702">
        <v>20000</v>
      </c>
      <c r="O24" s="702"/>
      <c r="P24" s="703"/>
      <c r="Q24" s="704"/>
      <c r="R24" s="703"/>
      <c r="S24" s="704"/>
      <c r="T24" s="705" t="s">
        <v>901</v>
      </c>
    </row>
    <row r="25" spans="1:25" s="679" customFormat="1" ht="12" x14ac:dyDescent="0.2">
      <c r="A25" s="706"/>
      <c r="B25" s="713"/>
      <c r="C25" s="708"/>
      <c r="D25" s="708"/>
      <c r="E25" s="709"/>
      <c r="F25" s="710"/>
      <c r="G25" s="710"/>
      <c r="H25" s="710"/>
      <c r="I25" s="710"/>
      <c r="J25" s="710"/>
      <c r="K25" s="710"/>
      <c r="L25" s="710"/>
      <c r="M25" s="710"/>
      <c r="N25" s="710"/>
      <c r="O25" s="710"/>
      <c r="P25" s="711"/>
      <c r="Q25" s="711"/>
      <c r="R25" s="711"/>
      <c r="S25" s="711"/>
      <c r="T25" s="687"/>
    </row>
    <row r="26" spans="1:25" s="679" customFormat="1" ht="12" x14ac:dyDescent="0.2">
      <c r="A26" s="692">
        <v>4</v>
      </c>
      <c r="B26" s="693" t="s">
        <v>942</v>
      </c>
      <c r="C26" s="694"/>
      <c r="D26" s="694"/>
      <c r="E26" s="695"/>
      <c r="F26" s="696">
        <f t="shared" ref="F26:O26" si="6">SUM(F27:F32)</f>
        <v>101162</v>
      </c>
      <c r="G26" s="696">
        <f t="shared" si="6"/>
        <v>151200</v>
      </c>
      <c r="H26" s="696">
        <f t="shared" si="6"/>
        <v>151200</v>
      </c>
      <c r="I26" s="696">
        <f t="shared" si="6"/>
        <v>101257</v>
      </c>
      <c r="J26" s="696">
        <f t="shared" si="6"/>
        <v>101162</v>
      </c>
      <c r="K26" s="696">
        <f t="shared" si="6"/>
        <v>151200</v>
      </c>
      <c r="L26" s="696">
        <f t="shared" si="6"/>
        <v>0</v>
      </c>
      <c r="M26" s="696">
        <f t="shared" si="6"/>
        <v>0</v>
      </c>
      <c r="N26" s="696">
        <f t="shared" si="6"/>
        <v>0</v>
      </c>
      <c r="O26" s="696">
        <f t="shared" si="6"/>
        <v>0</v>
      </c>
      <c r="P26" s="697"/>
      <c r="Q26" s="697">
        <f>SUM(Q27:Q32)</f>
        <v>0</v>
      </c>
      <c r="R26" s="697"/>
      <c r="S26" s="697">
        <f>SUM(S27:S32)</f>
        <v>0</v>
      </c>
      <c r="T26" s="687"/>
    </row>
    <row r="27" spans="1:25" s="679" customFormat="1" ht="24" x14ac:dyDescent="0.2">
      <c r="A27" s="706">
        <v>4.0999999999999996</v>
      </c>
      <c r="B27" s="713" t="s">
        <v>943</v>
      </c>
      <c r="C27" s="718" t="s">
        <v>944</v>
      </c>
      <c r="D27" s="703" t="s">
        <v>593</v>
      </c>
      <c r="E27" s="709" t="s">
        <v>937</v>
      </c>
      <c r="F27" s="702">
        <f t="shared" ref="F27:F32" si="7">SUM(J27+M27)</f>
        <v>54905</v>
      </c>
      <c r="G27" s="702">
        <v>55000</v>
      </c>
      <c r="H27" s="702">
        <f t="shared" ref="H27:H32" si="8">SUM(K27+N27+O27)</f>
        <v>55000</v>
      </c>
      <c r="I27" s="702">
        <v>55000</v>
      </c>
      <c r="J27" s="702">
        <v>54905</v>
      </c>
      <c r="K27" s="702">
        <v>55000</v>
      </c>
      <c r="L27" s="702"/>
      <c r="M27" s="702"/>
      <c r="N27" s="702"/>
      <c r="O27" s="702"/>
      <c r="P27" s="718"/>
      <c r="Q27" s="704"/>
      <c r="R27" s="718"/>
      <c r="S27" s="704"/>
      <c r="T27" s="705" t="s">
        <v>901</v>
      </c>
    </row>
    <row r="28" spans="1:25" s="679" customFormat="1" ht="12" x14ac:dyDescent="0.2">
      <c r="A28" s="706">
        <v>4.2</v>
      </c>
      <c r="B28" s="707" t="s">
        <v>945</v>
      </c>
      <c r="C28" s="703" t="s">
        <v>946</v>
      </c>
      <c r="D28" s="703" t="s">
        <v>593</v>
      </c>
      <c r="E28" s="709" t="s">
        <v>937</v>
      </c>
      <c r="F28" s="710">
        <f t="shared" si="7"/>
        <v>1200</v>
      </c>
      <c r="G28" s="710">
        <v>1200</v>
      </c>
      <c r="H28" s="710">
        <f t="shared" si="8"/>
        <v>1200</v>
      </c>
      <c r="I28" s="710">
        <v>1200</v>
      </c>
      <c r="J28" s="710">
        <v>1200</v>
      </c>
      <c r="K28" s="710">
        <v>1200</v>
      </c>
      <c r="L28" s="710"/>
      <c r="M28" s="710"/>
      <c r="N28" s="710"/>
      <c r="O28" s="710"/>
      <c r="P28" s="708"/>
      <c r="Q28" s="711"/>
      <c r="R28" s="708"/>
      <c r="S28" s="711"/>
      <c r="T28" s="705" t="s">
        <v>901</v>
      </c>
    </row>
    <row r="29" spans="1:25" s="679" customFormat="1" ht="36" x14ac:dyDescent="0.2">
      <c r="A29" s="706">
        <v>4.3</v>
      </c>
      <c r="B29" s="707" t="s">
        <v>947</v>
      </c>
      <c r="C29" s="678" t="s">
        <v>948</v>
      </c>
      <c r="D29" s="703" t="s">
        <v>593</v>
      </c>
      <c r="E29" s="709" t="s">
        <v>937</v>
      </c>
      <c r="F29" s="710">
        <f t="shared" si="7"/>
        <v>0</v>
      </c>
      <c r="G29" s="710">
        <v>45000</v>
      </c>
      <c r="H29" s="710">
        <f t="shared" si="8"/>
        <v>45000</v>
      </c>
      <c r="I29" s="710"/>
      <c r="J29" s="710"/>
      <c r="K29" s="710">
        <v>45000</v>
      </c>
      <c r="L29" s="710"/>
      <c r="M29" s="710"/>
      <c r="N29" s="710"/>
      <c r="O29" s="710"/>
      <c r="P29" s="708"/>
      <c r="Q29" s="711"/>
      <c r="R29" s="708"/>
      <c r="S29" s="711"/>
      <c r="T29" s="705" t="s">
        <v>901</v>
      </c>
    </row>
    <row r="30" spans="1:25" s="679" customFormat="1" ht="12" x14ac:dyDescent="0.2">
      <c r="A30" s="996">
        <v>4.4000000000000004</v>
      </c>
      <c r="B30" s="997" t="s">
        <v>949</v>
      </c>
      <c r="C30" s="998" t="s">
        <v>950</v>
      </c>
      <c r="D30" s="703" t="s">
        <v>593</v>
      </c>
      <c r="E30" s="709" t="s">
        <v>937</v>
      </c>
      <c r="F30" s="710">
        <f t="shared" si="7"/>
        <v>20000</v>
      </c>
      <c r="G30" s="710">
        <v>20000</v>
      </c>
      <c r="H30" s="710">
        <f t="shared" si="8"/>
        <v>20000</v>
      </c>
      <c r="I30" s="710">
        <v>20000</v>
      </c>
      <c r="J30" s="710">
        <v>20000</v>
      </c>
      <c r="K30" s="710">
        <v>20000</v>
      </c>
      <c r="L30" s="710"/>
      <c r="M30" s="710"/>
      <c r="N30" s="710"/>
      <c r="O30" s="710"/>
      <c r="P30" s="708"/>
      <c r="Q30" s="711"/>
      <c r="R30" s="708"/>
      <c r="S30" s="711"/>
      <c r="T30" s="1001" t="s">
        <v>901</v>
      </c>
    </row>
    <row r="31" spans="1:25" s="679" customFormat="1" ht="15" customHeight="1" x14ac:dyDescent="0.2">
      <c r="A31" s="996"/>
      <c r="B31" s="997"/>
      <c r="C31" s="999"/>
      <c r="D31" s="703" t="s">
        <v>593</v>
      </c>
      <c r="E31" s="709" t="s">
        <v>951</v>
      </c>
      <c r="F31" s="710">
        <f t="shared" si="7"/>
        <v>25057</v>
      </c>
      <c r="G31" s="710">
        <v>25000</v>
      </c>
      <c r="H31" s="710">
        <f t="shared" si="8"/>
        <v>25000</v>
      </c>
      <c r="I31" s="710">
        <v>25057</v>
      </c>
      <c r="J31" s="710">
        <v>25057</v>
      </c>
      <c r="K31" s="710">
        <v>25000</v>
      </c>
      <c r="L31" s="710"/>
      <c r="M31" s="710"/>
      <c r="N31" s="710"/>
      <c r="O31" s="710"/>
      <c r="P31" s="708"/>
      <c r="Q31" s="711"/>
      <c r="R31" s="708"/>
      <c r="S31" s="711"/>
      <c r="T31" s="1002"/>
    </row>
    <row r="32" spans="1:25" s="679" customFormat="1" ht="15" customHeight="1" x14ac:dyDescent="0.2">
      <c r="A32" s="996"/>
      <c r="B32" s="997"/>
      <c r="C32" s="1000"/>
      <c r="D32" s="703" t="s">
        <v>593</v>
      </c>
      <c r="E32" s="709" t="s">
        <v>952</v>
      </c>
      <c r="F32" s="710">
        <f t="shared" si="7"/>
        <v>0</v>
      </c>
      <c r="G32" s="710">
        <v>5000</v>
      </c>
      <c r="H32" s="710">
        <f t="shared" si="8"/>
        <v>5000</v>
      </c>
      <c r="I32" s="710">
        <v>0</v>
      </c>
      <c r="J32" s="710"/>
      <c r="K32" s="710">
        <v>5000</v>
      </c>
      <c r="L32" s="710"/>
      <c r="M32" s="710"/>
      <c r="N32" s="710"/>
      <c r="O32" s="710"/>
      <c r="P32" s="708"/>
      <c r="Q32" s="711"/>
      <c r="R32" s="708"/>
      <c r="S32" s="711"/>
      <c r="T32" s="1003"/>
    </row>
    <row r="33" spans="1:21" s="679" customFormat="1" ht="12" x14ac:dyDescent="0.2">
      <c r="A33" s="692">
        <v>5</v>
      </c>
      <c r="B33" s="693" t="s">
        <v>953</v>
      </c>
      <c r="C33" s="692"/>
      <c r="D33" s="692"/>
      <c r="E33" s="719"/>
      <c r="F33" s="696">
        <f t="shared" ref="F33:O33" si="9">SUM(F34:F35)</f>
        <v>0</v>
      </c>
      <c r="G33" s="696">
        <f t="shared" si="9"/>
        <v>122120</v>
      </c>
      <c r="H33" s="696">
        <f t="shared" si="9"/>
        <v>79400</v>
      </c>
      <c r="I33" s="696">
        <f t="shared" si="9"/>
        <v>0</v>
      </c>
      <c r="J33" s="696">
        <f t="shared" si="9"/>
        <v>0</v>
      </c>
      <c r="K33" s="696">
        <f t="shared" si="9"/>
        <v>79400</v>
      </c>
      <c r="L33" s="696">
        <f t="shared" si="9"/>
        <v>0</v>
      </c>
      <c r="M33" s="696">
        <f t="shared" si="9"/>
        <v>0</v>
      </c>
      <c r="N33" s="696">
        <f t="shared" si="9"/>
        <v>0</v>
      </c>
      <c r="O33" s="696">
        <f t="shared" si="9"/>
        <v>0</v>
      </c>
      <c r="P33" s="696"/>
      <c r="Q33" s="696">
        <f>SUM(Q34:Q35)</f>
        <v>642000</v>
      </c>
      <c r="R33" s="696"/>
      <c r="S33" s="696">
        <f>SUM(S34:S35)</f>
        <v>500000</v>
      </c>
      <c r="T33" s="687"/>
    </row>
    <row r="34" spans="1:21" s="679" customFormat="1" ht="37.5" customHeight="1" x14ac:dyDescent="0.2">
      <c r="A34" s="706">
        <v>5.0999999999999996</v>
      </c>
      <c r="B34" s="720" t="s">
        <v>954</v>
      </c>
      <c r="C34" s="721"/>
      <c r="D34" s="706" t="s">
        <v>593</v>
      </c>
      <c r="E34" s="701" t="s">
        <v>900</v>
      </c>
      <c r="F34" s="702">
        <f>SUM(J34+M34)</f>
        <v>0</v>
      </c>
      <c r="G34" s="702">
        <v>90120</v>
      </c>
      <c r="H34" s="702">
        <f>SUM(K34+N34+O34)</f>
        <v>79400</v>
      </c>
      <c r="I34" s="702"/>
      <c r="J34" s="702"/>
      <c r="K34" s="702">
        <v>79400</v>
      </c>
      <c r="L34" s="702"/>
      <c r="M34" s="702"/>
      <c r="N34" s="702"/>
      <c r="O34" s="702"/>
      <c r="P34" s="704"/>
      <c r="Q34" s="704"/>
      <c r="R34" s="704"/>
      <c r="S34" s="704"/>
      <c r="T34" s="705" t="s">
        <v>901</v>
      </c>
      <c r="U34" s="722"/>
    </row>
    <row r="35" spans="1:21" s="679" customFormat="1" ht="24.75" customHeight="1" x14ac:dyDescent="0.2">
      <c r="A35" s="706">
        <v>5.2</v>
      </c>
      <c r="B35" s="723" t="s">
        <v>955</v>
      </c>
      <c r="C35" s="724" t="s">
        <v>956</v>
      </c>
      <c r="D35" s="703" t="s">
        <v>593</v>
      </c>
      <c r="E35" s="701" t="s">
        <v>914</v>
      </c>
      <c r="F35" s="702">
        <f>SUM(J35+M35)</f>
        <v>0</v>
      </c>
      <c r="G35" s="725">
        <v>32000</v>
      </c>
      <c r="H35" s="702">
        <f>SUM(K35+N35+O35)</f>
        <v>0</v>
      </c>
      <c r="I35" s="702"/>
      <c r="J35" s="702"/>
      <c r="K35" s="710"/>
      <c r="L35" s="710"/>
      <c r="M35" s="710"/>
      <c r="N35" s="702"/>
      <c r="O35" s="702"/>
      <c r="P35" s="703"/>
      <c r="Q35" s="704">
        <v>642000</v>
      </c>
      <c r="R35" s="703"/>
      <c r="S35" s="704">
        <v>500000</v>
      </c>
      <c r="T35" s="705" t="s">
        <v>957</v>
      </c>
    </row>
    <row r="36" spans="1:21" s="679" customFormat="1" ht="23.25" customHeight="1" x14ac:dyDescent="0.2">
      <c r="A36" s="1004" t="s">
        <v>958</v>
      </c>
      <c r="B36" s="1005"/>
      <c r="C36" s="726"/>
      <c r="D36" s="726"/>
      <c r="E36" s="726"/>
      <c r="F36" s="727"/>
      <c r="G36" s="728"/>
      <c r="H36" s="727"/>
      <c r="I36" s="728"/>
      <c r="J36" s="728"/>
      <c r="K36" s="728"/>
      <c r="L36" s="728"/>
      <c r="M36" s="728"/>
      <c r="N36" s="728"/>
      <c r="O36" s="728"/>
      <c r="P36" s="728"/>
      <c r="Q36" s="728"/>
      <c r="R36" s="728"/>
      <c r="S36" s="729"/>
      <c r="T36" s="687"/>
    </row>
    <row r="37" spans="1:21" s="679" customFormat="1" ht="12" x14ac:dyDescent="0.2">
      <c r="A37" s="1006"/>
      <c r="B37" s="1007"/>
      <c r="C37" s="1007"/>
      <c r="D37" s="730"/>
      <c r="E37" s="731" t="s">
        <v>896</v>
      </c>
      <c r="F37" s="732">
        <f t="shared" ref="F37:S37" si="10">SUM(F38)</f>
        <v>1705494</v>
      </c>
      <c r="G37" s="732">
        <f t="shared" si="10"/>
        <v>1505494</v>
      </c>
      <c r="H37" s="732">
        <f t="shared" si="10"/>
        <v>1505494</v>
      </c>
      <c r="I37" s="732">
        <f t="shared" si="10"/>
        <v>708477</v>
      </c>
      <c r="J37" s="732">
        <f t="shared" si="10"/>
        <v>708477</v>
      </c>
      <c r="K37" s="732">
        <f t="shared" si="10"/>
        <v>625382</v>
      </c>
      <c r="L37" s="732">
        <f t="shared" si="10"/>
        <v>997017</v>
      </c>
      <c r="M37" s="732">
        <f t="shared" si="10"/>
        <v>997017</v>
      </c>
      <c r="N37" s="732">
        <f t="shared" si="10"/>
        <v>880112</v>
      </c>
      <c r="O37" s="732">
        <f t="shared" si="10"/>
        <v>0</v>
      </c>
      <c r="P37" s="379">
        <f t="shared" si="10"/>
        <v>0</v>
      </c>
      <c r="Q37" s="379">
        <f t="shared" si="10"/>
        <v>1505494</v>
      </c>
      <c r="R37" s="379">
        <f t="shared" si="10"/>
        <v>0</v>
      </c>
      <c r="S37" s="379">
        <f t="shared" si="10"/>
        <v>1505194</v>
      </c>
      <c r="T37" s="687"/>
    </row>
    <row r="38" spans="1:21" s="679" customFormat="1" ht="12" x14ac:dyDescent="0.2">
      <c r="A38" s="692">
        <v>1</v>
      </c>
      <c r="B38" s="693" t="s">
        <v>959</v>
      </c>
      <c r="C38" s="694"/>
      <c r="D38" s="694"/>
      <c r="E38" s="695"/>
      <c r="F38" s="696">
        <f t="shared" ref="F38:O38" si="11">SUM(F39:F39)</f>
        <v>1705494</v>
      </c>
      <c r="G38" s="696">
        <f t="shared" si="11"/>
        <v>1505494</v>
      </c>
      <c r="H38" s="696">
        <f t="shared" si="11"/>
        <v>1505494</v>
      </c>
      <c r="I38" s="696">
        <f t="shared" si="11"/>
        <v>708477</v>
      </c>
      <c r="J38" s="696">
        <f t="shared" si="11"/>
        <v>708477</v>
      </c>
      <c r="K38" s="696">
        <f t="shared" si="11"/>
        <v>625382</v>
      </c>
      <c r="L38" s="696">
        <f t="shared" si="11"/>
        <v>997017</v>
      </c>
      <c r="M38" s="696">
        <f t="shared" si="11"/>
        <v>997017</v>
      </c>
      <c r="N38" s="696">
        <f t="shared" si="11"/>
        <v>880112</v>
      </c>
      <c r="O38" s="696">
        <f t="shared" si="11"/>
        <v>0</v>
      </c>
      <c r="P38" s="697"/>
      <c r="Q38" s="697">
        <f>SUM(Q39:Q39)</f>
        <v>1505494</v>
      </c>
      <c r="R38" s="697"/>
      <c r="S38" s="697">
        <f>SUM(S39:S39)</f>
        <v>1505194</v>
      </c>
      <c r="T38" s="687"/>
    </row>
    <row r="39" spans="1:21" s="679" customFormat="1" ht="36" x14ac:dyDescent="0.2">
      <c r="A39" s="706">
        <v>1.1000000000000001</v>
      </c>
      <c r="B39" s="713" t="s">
        <v>960</v>
      </c>
      <c r="C39" s="706" t="s">
        <v>961</v>
      </c>
      <c r="D39" s="706" t="s">
        <v>962</v>
      </c>
      <c r="E39" s="701" t="s">
        <v>963</v>
      </c>
      <c r="F39" s="702">
        <f>SUM(J39+M39)</f>
        <v>1705494</v>
      </c>
      <c r="G39" s="702">
        <v>1505494</v>
      </c>
      <c r="H39" s="702">
        <f>SUM(K39+N39+O39)</f>
        <v>1505494</v>
      </c>
      <c r="I39" s="702">
        <v>708477</v>
      </c>
      <c r="J39" s="702">
        <v>708477</v>
      </c>
      <c r="K39" s="702">
        <v>625382</v>
      </c>
      <c r="L39" s="702">
        <v>997017</v>
      </c>
      <c r="M39" s="702">
        <v>997017</v>
      </c>
      <c r="N39" s="702">
        <v>880112</v>
      </c>
      <c r="O39" s="710"/>
      <c r="P39" s="706" t="s">
        <v>961</v>
      </c>
      <c r="Q39" s="704">
        <v>1505494</v>
      </c>
      <c r="R39" s="706" t="s">
        <v>961</v>
      </c>
      <c r="S39" s="704">
        <v>1505194</v>
      </c>
      <c r="T39" s="705" t="s">
        <v>901</v>
      </c>
    </row>
    <row r="40" spans="1:21" x14ac:dyDescent="0.25">
      <c r="A40" s="733" t="s">
        <v>964</v>
      </c>
      <c r="B40" s="734"/>
      <c r="C40" s="726"/>
      <c r="D40" s="726"/>
      <c r="E40" s="726"/>
      <c r="F40" s="727"/>
      <c r="G40" s="728"/>
      <c r="H40" s="727"/>
      <c r="I40" s="728"/>
      <c r="J40" s="728"/>
      <c r="K40" s="728"/>
      <c r="L40" s="728"/>
      <c r="M40" s="728"/>
      <c r="N40" s="728"/>
      <c r="O40" s="728"/>
      <c r="P40" s="728"/>
      <c r="Q40" s="728"/>
      <c r="R40" s="728"/>
      <c r="S40" s="729"/>
      <c r="T40" s="687"/>
    </row>
    <row r="41" spans="1:21" x14ac:dyDescent="0.25">
      <c r="A41" s="1006"/>
      <c r="B41" s="1007"/>
      <c r="C41" s="1007"/>
      <c r="D41" s="730"/>
      <c r="E41" s="731" t="s">
        <v>896</v>
      </c>
      <c r="F41" s="732">
        <f t="shared" ref="F41:S41" si="12">SUM(F42:F43)</f>
        <v>0</v>
      </c>
      <c r="G41" s="732">
        <f t="shared" si="12"/>
        <v>832878</v>
      </c>
      <c r="H41" s="732">
        <f t="shared" si="12"/>
        <v>832878</v>
      </c>
      <c r="I41" s="732">
        <f t="shared" si="12"/>
        <v>0</v>
      </c>
      <c r="J41" s="732">
        <f t="shared" si="12"/>
        <v>0</v>
      </c>
      <c r="K41" s="732">
        <f t="shared" si="12"/>
        <v>810629</v>
      </c>
      <c r="L41" s="732">
        <f t="shared" si="12"/>
        <v>0</v>
      </c>
      <c r="M41" s="732">
        <f t="shared" si="12"/>
        <v>0</v>
      </c>
      <c r="N41" s="732">
        <f t="shared" si="12"/>
        <v>22249</v>
      </c>
      <c r="O41" s="732">
        <f t="shared" si="12"/>
        <v>0</v>
      </c>
      <c r="P41" s="732">
        <f t="shared" si="12"/>
        <v>0</v>
      </c>
      <c r="Q41" s="732">
        <f t="shared" si="12"/>
        <v>0</v>
      </c>
      <c r="R41" s="732">
        <f t="shared" si="12"/>
        <v>0</v>
      </c>
      <c r="S41" s="732">
        <f t="shared" si="12"/>
        <v>0</v>
      </c>
      <c r="T41" s="687"/>
    </row>
    <row r="42" spans="1:21" ht="24.75" x14ac:dyDescent="0.25">
      <c r="A42" s="706">
        <v>1</v>
      </c>
      <c r="B42" s="713" t="s">
        <v>965</v>
      </c>
      <c r="C42" s="694"/>
      <c r="D42" s="694"/>
      <c r="E42" s="695"/>
      <c r="F42" s="702">
        <f>SUM(J42+M42)</f>
        <v>0</v>
      </c>
      <c r="G42" s="710">
        <v>576761</v>
      </c>
      <c r="H42" s="702">
        <f>SUM(K42+N42+O42)</f>
        <v>576761</v>
      </c>
      <c r="I42" s="710"/>
      <c r="J42" s="710"/>
      <c r="K42" s="702">
        <v>576761</v>
      </c>
      <c r="L42" s="702"/>
      <c r="M42" s="702"/>
      <c r="N42" s="702"/>
      <c r="O42" s="702"/>
      <c r="P42" s="704"/>
      <c r="Q42" s="704"/>
      <c r="R42" s="704"/>
      <c r="S42" s="704"/>
      <c r="T42" s="705" t="s">
        <v>901</v>
      </c>
    </row>
    <row r="43" spans="1:21" ht="36.75" x14ac:dyDescent="0.25">
      <c r="A43" s="706">
        <v>2</v>
      </c>
      <c r="B43" s="713" t="s">
        <v>966</v>
      </c>
      <c r="C43" s="706"/>
      <c r="D43" s="706"/>
      <c r="E43" s="701"/>
      <c r="F43" s="702">
        <f>SUM(J43+M43)</f>
        <v>0</v>
      </c>
      <c r="G43" s="702">
        <f>233868+22249</f>
        <v>256117</v>
      </c>
      <c r="H43" s="702">
        <f>SUM(K43+N43+O43)</f>
        <v>256117</v>
      </c>
      <c r="I43" s="702"/>
      <c r="J43" s="702"/>
      <c r="K43" s="702">
        <v>233868</v>
      </c>
      <c r="L43" s="702"/>
      <c r="M43" s="702"/>
      <c r="N43" s="702">
        <v>22249</v>
      </c>
      <c r="O43" s="710"/>
      <c r="P43" s="706"/>
      <c r="Q43" s="704"/>
      <c r="R43" s="706"/>
      <c r="S43" s="704"/>
      <c r="T43" s="705" t="s">
        <v>901</v>
      </c>
    </row>
    <row r="44" spans="1:21" x14ac:dyDescent="0.25">
      <c r="A44" s="736"/>
      <c r="B44" s="737" t="s">
        <v>967</v>
      </c>
      <c r="C44" s="737"/>
      <c r="D44" s="737"/>
      <c r="E44" s="738"/>
      <c r="F44" s="738"/>
      <c r="G44" s="739"/>
      <c r="H44" s="739"/>
      <c r="I44" s="739"/>
      <c r="J44" s="739"/>
      <c r="K44" s="739"/>
      <c r="L44" s="739"/>
      <c r="M44" s="739"/>
      <c r="N44" s="679"/>
      <c r="O44" s="679"/>
      <c r="P44" s="737"/>
      <c r="Q44" s="737"/>
      <c r="R44" s="737"/>
      <c r="S44" s="737"/>
      <c r="T44" s="737"/>
    </row>
    <row r="45" spans="1:21" x14ac:dyDescent="0.25">
      <c r="A45" s="736"/>
      <c r="B45" s="737" t="s">
        <v>765</v>
      </c>
      <c r="C45" s="737"/>
      <c r="D45" s="737"/>
      <c r="E45" s="738"/>
      <c r="F45" s="738"/>
      <c r="G45" s="739"/>
      <c r="H45" s="739"/>
      <c r="I45" s="739"/>
      <c r="J45" s="739"/>
      <c r="K45" s="739"/>
      <c r="L45" s="739"/>
      <c r="M45" s="739"/>
      <c r="N45" s="679"/>
      <c r="O45" s="679"/>
      <c r="P45" s="737"/>
      <c r="Q45" s="737"/>
      <c r="R45" s="737"/>
      <c r="S45" s="737"/>
      <c r="T45" s="737"/>
    </row>
    <row r="46" spans="1:21" x14ac:dyDescent="0.25">
      <c r="B46" s="737"/>
      <c r="C46" s="737" t="s">
        <v>968</v>
      </c>
      <c r="D46" s="737"/>
      <c r="E46" s="738"/>
      <c r="F46" s="738"/>
      <c r="G46" s="739"/>
      <c r="H46" s="739"/>
      <c r="I46" s="739"/>
      <c r="J46" s="739"/>
      <c r="K46" s="739"/>
      <c r="L46" s="739"/>
      <c r="M46" s="739"/>
      <c r="N46" s="679"/>
      <c r="O46" s="679"/>
      <c r="P46" s="737"/>
      <c r="Q46" s="737"/>
      <c r="R46" s="737"/>
      <c r="S46" s="737"/>
      <c r="T46" s="737"/>
    </row>
    <row r="47" spans="1:21" s="743" customFormat="1" x14ac:dyDescent="0.25">
      <c r="A47" s="741"/>
      <c r="B47" s="742"/>
      <c r="C47" s="742"/>
      <c r="D47" s="1008" t="s">
        <v>969</v>
      </c>
      <c r="E47" s="1008"/>
      <c r="F47" s="1008"/>
      <c r="G47" s="1008"/>
      <c r="H47" s="1008"/>
      <c r="I47" s="1008"/>
      <c r="J47" s="1008"/>
      <c r="K47" s="1008"/>
      <c r="L47" s="1008"/>
      <c r="M47" s="1008"/>
      <c r="N47" s="1008"/>
      <c r="O47" s="1008"/>
      <c r="P47" s="742"/>
      <c r="Q47" s="742"/>
      <c r="R47" s="742"/>
      <c r="S47" s="742"/>
      <c r="T47" s="742"/>
    </row>
    <row r="48" spans="1:21" x14ac:dyDescent="0.25">
      <c r="B48" s="737"/>
      <c r="C48" s="737" t="s">
        <v>970</v>
      </c>
      <c r="D48" s="737"/>
      <c r="E48" s="738"/>
      <c r="F48" s="738"/>
      <c r="G48" s="739"/>
      <c r="H48" s="739"/>
      <c r="I48" s="739"/>
      <c r="J48" s="739"/>
      <c r="K48" s="739"/>
      <c r="L48" s="739"/>
      <c r="M48" s="739"/>
      <c r="N48" s="679"/>
      <c r="O48" s="679"/>
      <c r="P48" s="737"/>
      <c r="Q48" s="737"/>
      <c r="R48" s="737"/>
      <c r="S48" s="737"/>
      <c r="T48" s="737"/>
    </row>
    <row r="49" spans="2:20" x14ac:dyDescent="0.25">
      <c r="B49" s="737"/>
      <c r="C49" s="737"/>
      <c r="D49" s="1008" t="s">
        <v>971</v>
      </c>
      <c r="E49" s="1009"/>
      <c r="F49" s="1009"/>
      <c r="G49" s="1009"/>
      <c r="H49" s="1009"/>
      <c r="I49" s="1009"/>
      <c r="J49" s="1009"/>
      <c r="K49" s="1009"/>
      <c r="L49" s="1009"/>
      <c r="M49" s="1009"/>
      <c r="N49" s="1009"/>
      <c r="O49" s="679"/>
      <c r="P49" s="737"/>
      <c r="Q49" s="737"/>
      <c r="R49" s="737"/>
      <c r="S49" s="737"/>
      <c r="T49" s="737"/>
    </row>
    <row r="50" spans="2:20" x14ac:dyDescent="0.25">
      <c r="B50" s="737"/>
      <c r="C50" s="737" t="s">
        <v>972</v>
      </c>
      <c r="D50" s="737"/>
      <c r="E50" s="738"/>
      <c r="F50" s="738"/>
      <c r="G50" s="739"/>
      <c r="H50" s="739"/>
      <c r="I50" s="739"/>
      <c r="J50" s="739"/>
      <c r="K50" s="739"/>
      <c r="L50" s="739"/>
      <c r="M50" s="739"/>
      <c r="N50" s="679"/>
      <c r="O50" s="679"/>
      <c r="P50" s="737"/>
      <c r="Q50" s="737"/>
      <c r="R50" s="737"/>
      <c r="S50" s="737"/>
      <c r="T50" s="737"/>
    </row>
    <row r="51" spans="2:20" x14ac:dyDescent="0.25">
      <c r="B51" s="737"/>
      <c r="C51" s="737"/>
      <c r="D51" s="987" t="s">
        <v>973</v>
      </c>
      <c r="E51" s="987"/>
      <c r="F51" s="987"/>
      <c r="G51" s="987"/>
      <c r="H51" s="987"/>
      <c r="I51" s="987"/>
      <c r="J51" s="987"/>
      <c r="K51" s="987"/>
      <c r="L51" s="987"/>
      <c r="M51" s="987"/>
      <c r="N51" s="987"/>
      <c r="O51" s="987"/>
      <c r="P51" s="987"/>
      <c r="Q51" s="987"/>
      <c r="R51" s="987"/>
      <c r="S51" s="987"/>
      <c r="T51" s="987"/>
    </row>
  </sheetData>
  <sheetProtection algorithmName="SHA-512" hashValue="It5fC3rCblUHCfGIK0wKY9r1krl2ucUBzTr6+1t0vo2PkPmf73hkSI/0mt+LgoHi5he8KOnrbF4lYMQ/pmMWMg==" saltValue="rKUxomq70IL0MM2eSZSOTw==" spinCount="100000" sheet="1" objects="1" scenarios="1"/>
  <mergeCells count="25">
    <mergeCell ref="C1:R1"/>
    <mergeCell ref="A3:A4"/>
    <mergeCell ref="B3:B4"/>
    <mergeCell ref="C3:C4"/>
    <mergeCell ref="D3:D4"/>
    <mergeCell ref="E3:E4"/>
    <mergeCell ref="F3:H3"/>
    <mergeCell ref="I3:K3"/>
    <mergeCell ref="L3:N3"/>
    <mergeCell ref="P3:Q3"/>
    <mergeCell ref="D51:T51"/>
    <mergeCell ref="R3:S3"/>
    <mergeCell ref="T3:T4"/>
    <mergeCell ref="C5:E5"/>
    <mergeCell ref="A6:B6"/>
    <mergeCell ref="A7:B7"/>
    <mergeCell ref="A30:A32"/>
    <mergeCell ref="B30:B32"/>
    <mergeCell ref="C30:C32"/>
    <mergeCell ref="T30:T32"/>
    <mergeCell ref="A36:B36"/>
    <mergeCell ref="A37:C37"/>
    <mergeCell ref="A41:C41"/>
    <mergeCell ref="D47:O47"/>
    <mergeCell ref="D49:N49"/>
  </mergeCells>
  <pageMargins left="0.78740157480314965" right="0.39370078740157483" top="0.91374999999999995" bottom="0.39370078740157483" header="0.23622047244094491" footer="0.23622047244094491"/>
  <pageSetup paperSize="9" scale="68"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3.pielikums Jūrmalas pilsētas domes
2016.gada 16.decembra saistošajiem noteikumiem Nr.47
(protokols Nr.19, 19.punkts)</first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85"/>
  <sheetViews>
    <sheetView view="pageLayout" zoomScaleNormal="100" workbookViewId="0">
      <selection activeCell="J14" sqref="J14"/>
    </sheetView>
  </sheetViews>
  <sheetFormatPr defaultRowHeight="12" x14ac:dyDescent="0.2"/>
  <cols>
    <col min="1" max="1" width="6.140625" style="1" customWidth="1"/>
    <col min="2" max="2" width="17.28515625" style="1" customWidth="1"/>
    <col min="3" max="3" width="23.28515625" style="1" customWidth="1"/>
    <col min="4" max="4" width="11.85546875" style="1" hidden="1" customWidth="1"/>
    <col min="5" max="5" width="11.140625" style="1" hidden="1" customWidth="1"/>
    <col min="6" max="6" width="4" style="1" hidden="1" customWidth="1"/>
    <col min="7" max="7" width="10.5703125" style="1" customWidth="1"/>
    <col min="8" max="8" width="9.7109375" style="1" customWidth="1"/>
    <col min="9" max="9" width="20.85546875" style="1" customWidth="1"/>
    <col min="10" max="16384" width="9.140625" style="1"/>
  </cols>
  <sheetData>
    <row r="1" spans="1:9" x14ac:dyDescent="0.2">
      <c r="A1" s="1016" t="s">
        <v>8</v>
      </c>
      <c r="B1" s="1016"/>
      <c r="C1" s="1016" t="s">
        <v>15</v>
      </c>
      <c r="D1" s="1016"/>
      <c r="E1" s="1016"/>
      <c r="F1" s="1016"/>
      <c r="G1" s="1016"/>
      <c r="H1" s="1016"/>
      <c r="I1" s="1016"/>
    </row>
    <row r="2" spans="1:9" x14ac:dyDescent="0.2">
      <c r="A2" s="1016" t="s">
        <v>7</v>
      </c>
      <c r="B2" s="1016"/>
      <c r="C2" s="1016">
        <v>90000056357</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403" t="s">
        <v>568</v>
      </c>
      <c r="D5" s="403"/>
      <c r="E5" s="403"/>
      <c r="F5" s="403"/>
      <c r="G5" s="403"/>
      <c r="H5" s="403"/>
      <c r="I5" s="403"/>
    </row>
    <row r="6" spans="1:9" x14ac:dyDescent="0.2">
      <c r="A6" s="1016" t="s">
        <v>6</v>
      </c>
      <c r="B6" s="1016"/>
      <c r="C6" s="1016" t="s">
        <v>532</v>
      </c>
      <c r="D6" s="1016"/>
      <c r="E6" s="1016"/>
      <c r="F6" s="1016"/>
      <c r="G6" s="1016"/>
      <c r="H6" s="1016"/>
      <c r="I6" s="1016"/>
    </row>
    <row r="7" spans="1:9" x14ac:dyDescent="0.2">
      <c r="A7" s="1016" t="s">
        <v>5</v>
      </c>
      <c r="B7" s="1016"/>
      <c r="C7" s="1123" t="s">
        <v>416</v>
      </c>
      <c r="D7" s="1123"/>
      <c r="E7" s="1123"/>
      <c r="F7" s="1123"/>
      <c r="G7" s="1123"/>
      <c r="H7" s="1123"/>
      <c r="I7" s="1123"/>
    </row>
    <row r="8" spans="1:9" ht="50.25" customHeight="1" x14ac:dyDescent="0.2">
      <c r="A8" s="6" t="s">
        <v>4</v>
      </c>
      <c r="B8" s="1020" t="s">
        <v>3</v>
      </c>
      <c r="C8" s="1021"/>
      <c r="D8" s="6" t="s">
        <v>11</v>
      </c>
      <c r="E8" s="6" t="s">
        <v>12</v>
      </c>
      <c r="F8" s="6" t="s">
        <v>13</v>
      </c>
      <c r="G8" s="6" t="s">
        <v>2</v>
      </c>
      <c r="H8" s="6" t="s">
        <v>180</v>
      </c>
      <c r="I8" s="6" t="s">
        <v>1</v>
      </c>
    </row>
    <row r="9" spans="1:9" ht="12.75" customHeight="1" x14ac:dyDescent="0.2">
      <c r="A9" s="1022" t="s">
        <v>14</v>
      </c>
      <c r="B9" s="1023"/>
      <c r="C9" s="1024"/>
      <c r="D9" s="7">
        <f>SUM(D10:D32)</f>
        <v>169348</v>
      </c>
      <c r="E9" s="7">
        <f>SUM(E10:E32)</f>
        <v>139883.24999999997</v>
      </c>
      <c r="F9" s="7">
        <f>SUM(F10:F32)</f>
        <v>595160</v>
      </c>
      <c r="G9" s="7"/>
      <c r="H9" s="7">
        <f>SUM(H10:H32)</f>
        <v>516195</v>
      </c>
      <c r="I9" s="7"/>
    </row>
    <row r="10" spans="1:9" x14ac:dyDescent="0.2">
      <c r="A10" s="1118">
        <v>1</v>
      </c>
      <c r="B10" s="1124" t="s">
        <v>569</v>
      </c>
      <c r="C10" s="1125"/>
      <c r="D10" s="283">
        <v>19000</v>
      </c>
      <c r="E10" s="283">
        <v>7852.32</v>
      </c>
      <c r="F10" s="283">
        <v>40000</v>
      </c>
      <c r="G10" s="284">
        <v>5110</v>
      </c>
      <c r="H10" s="283">
        <f>8000-2995</f>
        <v>5005</v>
      </c>
      <c r="I10" s="451" t="s">
        <v>570</v>
      </c>
    </row>
    <row r="11" spans="1:9" x14ac:dyDescent="0.2">
      <c r="A11" s="1112"/>
      <c r="B11" s="1126"/>
      <c r="C11" s="1127"/>
      <c r="D11" s="283">
        <v>0</v>
      </c>
      <c r="E11" s="283">
        <v>0</v>
      </c>
      <c r="F11" s="283">
        <v>2995</v>
      </c>
      <c r="G11" s="284">
        <v>2232</v>
      </c>
      <c r="H11" s="283">
        <v>2995</v>
      </c>
      <c r="I11" s="451" t="s">
        <v>570</v>
      </c>
    </row>
    <row r="12" spans="1:9" x14ac:dyDescent="0.2">
      <c r="A12" s="1118">
        <v>2</v>
      </c>
      <c r="B12" s="1114" t="s">
        <v>571</v>
      </c>
      <c r="C12" s="1115"/>
      <c r="D12" s="283">
        <v>6650</v>
      </c>
      <c r="E12" s="283">
        <v>6637.99</v>
      </c>
      <c r="F12" s="283">
        <v>5000</v>
      </c>
      <c r="G12" s="284">
        <v>2239</v>
      </c>
      <c r="H12" s="283">
        <v>5000</v>
      </c>
      <c r="I12" s="451" t="s">
        <v>395</v>
      </c>
    </row>
    <row r="13" spans="1:9" x14ac:dyDescent="0.2">
      <c r="A13" s="1112"/>
      <c r="B13" s="1119"/>
      <c r="C13" s="1120"/>
      <c r="D13" s="283">
        <v>13080</v>
      </c>
      <c r="E13" s="283">
        <v>13080</v>
      </c>
      <c r="F13" s="283">
        <v>27740</v>
      </c>
      <c r="G13" s="284">
        <v>3262</v>
      </c>
      <c r="H13" s="283">
        <v>13870</v>
      </c>
      <c r="I13" s="451" t="s">
        <v>572</v>
      </c>
    </row>
    <row r="14" spans="1:9" ht="24" x14ac:dyDescent="0.2">
      <c r="A14" s="1113"/>
      <c r="B14" s="1121"/>
      <c r="C14" s="1122"/>
      <c r="D14" s="283">
        <v>0</v>
      </c>
      <c r="E14" s="283">
        <v>0</v>
      </c>
      <c r="F14" s="283">
        <v>12000</v>
      </c>
      <c r="G14" s="284">
        <v>2279</v>
      </c>
      <c r="H14" s="283">
        <v>6000</v>
      </c>
      <c r="I14" s="451" t="s">
        <v>573</v>
      </c>
    </row>
    <row r="15" spans="1:9" ht="28.5" customHeight="1" x14ac:dyDescent="0.2">
      <c r="A15" s="466">
        <v>3</v>
      </c>
      <c r="B15" s="1091" t="s">
        <v>574</v>
      </c>
      <c r="C15" s="1092"/>
      <c r="D15" s="283">
        <v>4200</v>
      </c>
      <c r="E15" s="283">
        <v>3811.5</v>
      </c>
      <c r="F15" s="283">
        <v>5000</v>
      </c>
      <c r="G15" s="284">
        <v>2239</v>
      </c>
      <c r="H15" s="283">
        <v>3900</v>
      </c>
      <c r="I15" s="451" t="s">
        <v>575</v>
      </c>
    </row>
    <row r="16" spans="1:9" x14ac:dyDescent="0.2">
      <c r="A16" s="467">
        <v>4</v>
      </c>
      <c r="B16" s="1091" t="s">
        <v>576</v>
      </c>
      <c r="C16" s="1092"/>
      <c r="D16" s="468">
        <v>75000</v>
      </c>
      <c r="E16" s="468">
        <v>74989.2</v>
      </c>
      <c r="F16" s="468">
        <v>75000</v>
      </c>
      <c r="G16" s="291">
        <v>2279</v>
      </c>
      <c r="H16" s="283">
        <v>75000</v>
      </c>
      <c r="I16" s="451" t="s">
        <v>577</v>
      </c>
    </row>
    <row r="17" spans="1:9" x14ac:dyDescent="0.2">
      <c r="A17" s="469">
        <v>5</v>
      </c>
      <c r="B17" s="1114" t="s">
        <v>578</v>
      </c>
      <c r="C17" s="1115"/>
      <c r="D17" s="468">
        <v>1500</v>
      </c>
      <c r="E17" s="468">
        <v>1361.3</v>
      </c>
      <c r="F17" s="468">
        <v>12000</v>
      </c>
      <c r="G17" s="291">
        <v>2279</v>
      </c>
      <c r="H17" s="283">
        <v>6000</v>
      </c>
      <c r="I17" s="452" t="s">
        <v>575</v>
      </c>
    </row>
    <row r="18" spans="1:9" ht="12.75" x14ac:dyDescent="0.2">
      <c r="A18" s="466">
        <v>6</v>
      </c>
      <c r="B18" s="1091" t="s">
        <v>579</v>
      </c>
      <c r="C18" s="1117"/>
      <c r="D18" s="283">
        <v>5000</v>
      </c>
      <c r="E18" s="283">
        <v>4537.5</v>
      </c>
      <c r="F18" s="283">
        <v>20000</v>
      </c>
      <c r="G18" s="284">
        <v>2279</v>
      </c>
      <c r="H18" s="283">
        <v>15000</v>
      </c>
      <c r="I18" s="451" t="s">
        <v>575</v>
      </c>
    </row>
    <row r="19" spans="1:9" ht="36" x14ac:dyDescent="0.2">
      <c r="A19" s="466">
        <v>7</v>
      </c>
      <c r="B19" s="1091" t="s">
        <v>580</v>
      </c>
      <c r="C19" s="1092"/>
      <c r="D19" s="283"/>
      <c r="E19" s="283"/>
      <c r="F19" s="283">
        <v>200000</v>
      </c>
      <c r="G19" s="284">
        <v>2279</v>
      </c>
      <c r="H19" s="283">
        <v>200000</v>
      </c>
      <c r="I19" s="451" t="s">
        <v>581</v>
      </c>
    </row>
    <row r="20" spans="1:9" ht="24" customHeight="1" x14ac:dyDescent="0.2">
      <c r="A20" s="466">
        <v>8</v>
      </c>
      <c r="B20" s="1091" t="s">
        <v>582</v>
      </c>
      <c r="C20" s="1092"/>
      <c r="D20" s="283">
        <v>6175</v>
      </c>
      <c r="E20" s="283">
        <v>6175</v>
      </c>
      <c r="F20" s="283">
        <v>1425</v>
      </c>
      <c r="G20" s="284">
        <v>2279</v>
      </c>
      <c r="H20" s="283">
        <v>1425</v>
      </c>
      <c r="I20" s="451" t="s">
        <v>572</v>
      </c>
    </row>
    <row r="21" spans="1:9" x14ac:dyDescent="0.2">
      <c r="A21" s="1118">
        <v>9</v>
      </c>
      <c r="B21" s="1114" t="s">
        <v>583</v>
      </c>
      <c r="C21" s="1115"/>
      <c r="D21" s="283">
        <v>300</v>
      </c>
      <c r="E21" s="283">
        <v>299.43</v>
      </c>
      <c r="F21" s="283">
        <v>1500</v>
      </c>
      <c r="G21" s="284">
        <v>2231</v>
      </c>
      <c r="H21" s="283">
        <v>600</v>
      </c>
      <c r="I21" s="1068" t="s">
        <v>572</v>
      </c>
    </row>
    <row r="22" spans="1:9" x14ac:dyDescent="0.2">
      <c r="A22" s="1112"/>
      <c r="B22" s="1119"/>
      <c r="C22" s="1120"/>
      <c r="D22" s="283">
        <v>3670</v>
      </c>
      <c r="E22" s="283">
        <v>3590</v>
      </c>
      <c r="F22" s="283">
        <v>6000</v>
      </c>
      <c r="G22" s="284">
        <v>2264</v>
      </c>
      <c r="H22" s="283">
        <v>4000</v>
      </c>
      <c r="I22" s="1112"/>
    </row>
    <row r="23" spans="1:9" x14ac:dyDescent="0.2">
      <c r="A23" s="1112"/>
      <c r="B23" s="1119"/>
      <c r="C23" s="1120"/>
      <c r="D23" s="283">
        <v>1790</v>
      </c>
      <c r="E23" s="283">
        <v>1766.7</v>
      </c>
      <c r="F23" s="283">
        <v>5000</v>
      </c>
      <c r="G23" s="284">
        <v>2314</v>
      </c>
      <c r="H23" s="283">
        <v>2500</v>
      </c>
      <c r="I23" s="1112"/>
    </row>
    <row r="24" spans="1:9" x14ac:dyDescent="0.2">
      <c r="A24" s="1112"/>
      <c r="B24" s="1119"/>
      <c r="C24" s="1120"/>
      <c r="D24" s="283">
        <v>983</v>
      </c>
      <c r="E24" s="283">
        <v>909.09</v>
      </c>
      <c r="F24" s="283">
        <v>1200</v>
      </c>
      <c r="G24" s="284">
        <v>1150</v>
      </c>
      <c r="H24" s="283">
        <v>1200</v>
      </c>
      <c r="I24" s="1112"/>
    </row>
    <row r="25" spans="1:9" x14ac:dyDescent="0.2">
      <c r="A25" s="1112"/>
      <c r="B25" s="1119"/>
      <c r="C25" s="1120"/>
      <c r="D25" s="283">
        <v>0</v>
      </c>
      <c r="E25" s="283">
        <v>0</v>
      </c>
      <c r="F25" s="283">
        <v>5000</v>
      </c>
      <c r="G25" s="284">
        <v>2239</v>
      </c>
      <c r="H25" s="283">
        <v>2000</v>
      </c>
      <c r="I25" s="1112"/>
    </row>
    <row r="26" spans="1:9" x14ac:dyDescent="0.2">
      <c r="A26" s="1113"/>
      <c r="B26" s="1121"/>
      <c r="C26" s="1122"/>
      <c r="D26" s="283">
        <v>0</v>
      </c>
      <c r="E26" s="283">
        <v>0</v>
      </c>
      <c r="F26" s="283">
        <v>1300</v>
      </c>
      <c r="G26" s="284">
        <v>2279</v>
      </c>
      <c r="H26" s="283">
        <v>700</v>
      </c>
      <c r="I26" s="1113"/>
    </row>
    <row r="27" spans="1:9" ht="24.75" customHeight="1" x14ac:dyDescent="0.2">
      <c r="A27" s="466">
        <v>10</v>
      </c>
      <c r="B27" s="1091" t="s">
        <v>584</v>
      </c>
      <c r="C27" s="1092"/>
      <c r="D27" s="283">
        <v>20000</v>
      </c>
      <c r="E27" s="283">
        <v>13778.5</v>
      </c>
      <c r="F27" s="283">
        <v>0</v>
      </c>
      <c r="G27" s="284">
        <v>5240</v>
      </c>
      <c r="H27" s="283">
        <v>1912</v>
      </c>
      <c r="I27" s="451" t="s">
        <v>585</v>
      </c>
    </row>
    <row r="28" spans="1:9" x14ac:dyDescent="0.2">
      <c r="A28" s="470">
        <v>11</v>
      </c>
      <c r="B28" s="1114" t="s">
        <v>586</v>
      </c>
      <c r="C28" s="1115"/>
      <c r="D28" s="283">
        <v>0</v>
      </c>
      <c r="E28" s="283">
        <v>0</v>
      </c>
      <c r="F28" s="283">
        <v>70000</v>
      </c>
      <c r="G28" s="284">
        <v>5240</v>
      </c>
      <c r="H28" s="283">
        <v>68088</v>
      </c>
      <c r="I28" s="451" t="s">
        <v>585</v>
      </c>
    </row>
    <row r="29" spans="1:9" ht="27.75" customHeight="1" x14ac:dyDescent="0.2">
      <c r="A29" s="466">
        <v>12</v>
      </c>
      <c r="B29" s="1091" t="s">
        <v>30</v>
      </c>
      <c r="C29" s="1092"/>
      <c r="D29" s="283"/>
      <c r="E29" s="283"/>
      <c r="F29" s="283">
        <v>80000</v>
      </c>
      <c r="G29" s="284">
        <v>5250</v>
      </c>
      <c r="H29" s="283">
        <v>80000</v>
      </c>
      <c r="I29" s="451" t="s">
        <v>587</v>
      </c>
    </row>
    <row r="30" spans="1:9" ht="26.25" customHeight="1" x14ac:dyDescent="0.2">
      <c r="A30" s="466">
        <v>13</v>
      </c>
      <c r="B30" s="1091" t="s">
        <v>588</v>
      </c>
      <c r="C30" s="1092"/>
      <c r="D30" s="283"/>
      <c r="E30" s="283"/>
      <c r="F30" s="283">
        <v>10000</v>
      </c>
      <c r="G30" s="284">
        <v>5250</v>
      </c>
      <c r="H30" s="283">
        <v>10000</v>
      </c>
      <c r="I30" s="451" t="s">
        <v>589</v>
      </c>
    </row>
    <row r="31" spans="1:9" x14ac:dyDescent="0.2">
      <c r="A31" s="466">
        <v>14</v>
      </c>
      <c r="B31" s="1091" t="s">
        <v>590</v>
      </c>
      <c r="C31" s="1092"/>
      <c r="D31" s="283">
        <v>10000</v>
      </c>
      <c r="E31" s="283">
        <v>0</v>
      </c>
      <c r="F31" s="283">
        <v>10000</v>
      </c>
      <c r="G31" s="284">
        <v>5110</v>
      </c>
      <c r="H31" s="283">
        <v>7000</v>
      </c>
      <c r="I31" s="451" t="s">
        <v>572</v>
      </c>
    </row>
    <row r="32" spans="1:9" x14ac:dyDescent="0.2">
      <c r="A32" s="466">
        <v>15</v>
      </c>
      <c r="B32" s="1091" t="s">
        <v>591</v>
      </c>
      <c r="C32" s="1092"/>
      <c r="D32" s="283">
        <v>2000</v>
      </c>
      <c r="E32" s="283">
        <v>1094.72</v>
      </c>
      <c r="F32" s="283">
        <v>4000</v>
      </c>
      <c r="G32" s="284">
        <v>2261</v>
      </c>
      <c r="H32" s="283">
        <v>4000</v>
      </c>
      <c r="I32" s="451" t="s">
        <v>572</v>
      </c>
    </row>
    <row r="33" spans="1:10" s="448" customFormat="1" x14ac:dyDescent="0.2">
      <c r="A33" s="10"/>
      <c r="B33" s="10"/>
      <c r="C33" s="10"/>
      <c r="D33" s="10"/>
      <c r="E33" s="10"/>
      <c r="F33" s="10"/>
      <c r="G33" s="10"/>
      <c r="H33" s="10"/>
      <c r="I33" s="10"/>
      <c r="J33" s="1"/>
    </row>
    <row r="34" spans="1:10" s="448" customFormat="1" x14ac:dyDescent="0.2">
      <c r="A34" s="1079" t="s">
        <v>6</v>
      </c>
      <c r="B34" s="1079"/>
      <c r="C34" s="1079" t="s">
        <v>592</v>
      </c>
      <c r="D34" s="1079"/>
      <c r="E34" s="1079"/>
      <c r="F34" s="1079"/>
      <c r="G34" s="1079"/>
      <c r="H34" s="1079"/>
      <c r="I34" s="1079"/>
      <c r="J34" s="1"/>
    </row>
    <row r="35" spans="1:10" s="448" customFormat="1" x14ac:dyDescent="0.2">
      <c r="A35" s="1079" t="s">
        <v>5</v>
      </c>
      <c r="B35" s="1079"/>
      <c r="C35" s="1116" t="s">
        <v>593</v>
      </c>
      <c r="D35" s="1116"/>
      <c r="E35" s="1116"/>
      <c r="F35" s="1116"/>
      <c r="G35" s="1116"/>
      <c r="H35" s="1116"/>
      <c r="I35" s="1116"/>
      <c r="J35" s="1"/>
    </row>
    <row r="36" spans="1:10" s="448" customFormat="1" ht="48" customHeight="1" x14ac:dyDescent="0.2">
      <c r="A36" s="6" t="s">
        <v>4</v>
      </c>
      <c r="B36" s="1020" t="s">
        <v>3</v>
      </c>
      <c r="C36" s="1021"/>
      <c r="D36" s="6" t="s">
        <v>11</v>
      </c>
      <c r="E36" s="6" t="s">
        <v>12</v>
      </c>
      <c r="F36" s="6" t="s">
        <v>13</v>
      </c>
      <c r="G36" s="6" t="s">
        <v>2</v>
      </c>
      <c r="H36" s="6" t="s">
        <v>180</v>
      </c>
      <c r="I36" s="6" t="s">
        <v>1</v>
      </c>
      <c r="J36" s="1"/>
    </row>
    <row r="37" spans="1:10" s="448" customFormat="1" x14ac:dyDescent="0.2">
      <c r="A37" s="1022" t="s">
        <v>14</v>
      </c>
      <c r="B37" s="1023"/>
      <c r="C37" s="1024"/>
      <c r="D37" s="7">
        <f>SUM(D38:D48)</f>
        <v>1695095</v>
      </c>
      <c r="E37" s="7">
        <f>SUM(E38:E48)</f>
        <v>1536712.8</v>
      </c>
      <c r="F37" s="7">
        <f>SUM(F38:F48)</f>
        <v>1711797</v>
      </c>
      <c r="G37" s="7"/>
      <c r="H37" s="7">
        <f>SUM(H38:H48)</f>
        <v>1766398</v>
      </c>
      <c r="I37" s="7"/>
      <c r="J37" s="1"/>
    </row>
    <row r="38" spans="1:10" s="448" customFormat="1" x14ac:dyDescent="0.2">
      <c r="A38" s="3">
        <v>1</v>
      </c>
      <c r="B38" s="1025" t="s">
        <v>594</v>
      </c>
      <c r="C38" s="1026"/>
      <c r="D38" s="4">
        <v>1420000</v>
      </c>
      <c r="E38" s="4">
        <v>1420000</v>
      </c>
      <c r="F38" s="4">
        <v>1425000</v>
      </c>
      <c r="G38" s="286">
        <v>3320</v>
      </c>
      <c r="H38" s="4">
        <v>1425000</v>
      </c>
      <c r="I38" s="300" t="s">
        <v>595</v>
      </c>
      <c r="J38" s="1"/>
    </row>
    <row r="39" spans="1:10" s="448" customFormat="1" ht="26.25" customHeight="1" x14ac:dyDescent="0.2">
      <c r="A39" s="3">
        <v>2</v>
      </c>
      <c r="B39" s="1025" t="s">
        <v>596</v>
      </c>
      <c r="C39" s="1026"/>
      <c r="D39" s="4">
        <v>112670</v>
      </c>
      <c r="E39" s="4">
        <v>112670</v>
      </c>
      <c r="F39" s="4">
        <v>119097</v>
      </c>
      <c r="G39" s="286">
        <v>3310</v>
      </c>
      <c r="H39" s="4">
        <v>119097</v>
      </c>
      <c r="I39" s="300" t="s">
        <v>595</v>
      </c>
      <c r="J39" s="1"/>
    </row>
    <row r="40" spans="1:10" s="448" customFormat="1" x14ac:dyDescent="0.2">
      <c r="A40" s="3">
        <v>3</v>
      </c>
      <c r="B40" s="1025" t="s">
        <v>597</v>
      </c>
      <c r="C40" s="1026"/>
      <c r="D40" s="4">
        <v>3325</v>
      </c>
      <c r="E40" s="4">
        <v>3325</v>
      </c>
      <c r="F40" s="4">
        <v>2200</v>
      </c>
      <c r="G40" s="286">
        <v>2232</v>
      </c>
      <c r="H40" s="4">
        <v>2200</v>
      </c>
      <c r="I40" s="300" t="s">
        <v>595</v>
      </c>
      <c r="J40" s="1"/>
    </row>
    <row r="41" spans="1:10" s="448" customFormat="1" x14ac:dyDescent="0.2">
      <c r="A41" s="3">
        <v>4</v>
      </c>
      <c r="B41" s="1025" t="s">
        <v>598</v>
      </c>
      <c r="C41" s="1026"/>
      <c r="D41" s="4">
        <v>300</v>
      </c>
      <c r="E41" s="4">
        <v>217.8</v>
      </c>
      <c r="F41" s="4">
        <v>300</v>
      </c>
      <c r="G41" s="286">
        <v>2390</v>
      </c>
      <c r="H41" s="4">
        <v>300</v>
      </c>
      <c r="I41" s="300" t="s">
        <v>595</v>
      </c>
      <c r="J41" s="1"/>
    </row>
    <row r="42" spans="1:10" s="448" customFormat="1" x14ac:dyDescent="0.2">
      <c r="A42" s="1030">
        <v>5</v>
      </c>
      <c r="B42" s="1032" t="s">
        <v>599</v>
      </c>
      <c r="C42" s="1033"/>
      <c r="D42" s="4">
        <v>71054</v>
      </c>
      <c r="E42" s="4">
        <v>0</v>
      </c>
      <c r="F42" s="4">
        <v>71054</v>
      </c>
      <c r="G42" s="284">
        <v>5240</v>
      </c>
      <c r="H42" s="283">
        <v>84779</v>
      </c>
      <c r="I42" s="1107" t="s">
        <v>600</v>
      </c>
      <c r="J42" s="1"/>
    </row>
    <row r="43" spans="1:10" s="448" customFormat="1" x14ac:dyDescent="0.2">
      <c r="A43" s="1065"/>
      <c r="B43" s="1066"/>
      <c r="C43" s="1067"/>
      <c r="D43" s="4">
        <v>0</v>
      </c>
      <c r="E43" s="4">
        <v>0</v>
      </c>
      <c r="F43" s="4">
        <v>4900</v>
      </c>
      <c r="G43" s="284">
        <v>2239</v>
      </c>
      <c r="H43" s="283">
        <v>4900</v>
      </c>
      <c r="I43" s="1108"/>
      <c r="J43" s="1"/>
    </row>
    <row r="44" spans="1:10" s="448" customFormat="1" x14ac:dyDescent="0.2">
      <c r="A44" s="1065"/>
      <c r="B44" s="1066"/>
      <c r="C44" s="1067"/>
      <c r="D44" s="4">
        <v>48400</v>
      </c>
      <c r="E44" s="4">
        <v>0</v>
      </c>
      <c r="F44" s="4">
        <v>48400</v>
      </c>
      <c r="G44" s="284">
        <v>2390</v>
      </c>
      <c r="H44" s="283">
        <v>48400</v>
      </c>
      <c r="I44" s="1108"/>
      <c r="J44" s="1"/>
    </row>
    <row r="45" spans="1:10" s="448" customFormat="1" x14ac:dyDescent="0.2">
      <c r="A45" s="1031"/>
      <c r="B45" s="1034"/>
      <c r="C45" s="1035"/>
      <c r="D45" s="4">
        <v>33346</v>
      </c>
      <c r="E45" s="4">
        <v>0</v>
      </c>
      <c r="F45" s="4">
        <v>33346</v>
      </c>
      <c r="G45" s="284">
        <v>2259</v>
      </c>
      <c r="H45" s="283">
        <v>70299</v>
      </c>
      <c r="I45" s="1109"/>
      <c r="J45" s="1"/>
    </row>
    <row r="46" spans="1:10" s="448" customFormat="1" ht="12.75" x14ac:dyDescent="0.2">
      <c r="A46" s="3">
        <v>6</v>
      </c>
      <c r="B46" s="1025" t="s">
        <v>601</v>
      </c>
      <c r="C46" s="1110"/>
      <c r="D46" s="4">
        <v>5000</v>
      </c>
      <c r="E46" s="4">
        <v>0</v>
      </c>
      <c r="F46" s="4">
        <v>0</v>
      </c>
      <c r="G46" s="286">
        <v>2314</v>
      </c>
      <c r="H46" s="4">
        <v>3923</v>
      </c>
      <c r="I46" s="300" t="s">
        <v>595</v>
      </c>
    </row>
    <row r="47" spans="1:10" s="448" customFormat="1" ht="12.75" x14ac:dyDescent="0.2">
      <c r="A47" s="3">
        <v>7</v>
      </c>
      <c r="B47" s="1025" t="s">
        <v>602</v>
      </c>
      <c r="C47" s="1110"/>
      <c r="D47" s="4">
        <v>1000</v>
      </c>
      <c r="E47" s="4">
        <v>500</v>
      </c>
      <c r="F47" s="4">
        <v>2500</v>
      </c>
      <c r="G47" s="286">
        <v>2390</v>
      </c>
      <c r="H47" s="4">
        <v>2500</v>
      </c>
      <c r="I47" s="300" t="s">
        <v>595</v>
      </c>
    </row>
    <row r="48" spans="1:10" s="448" customFormat="1" x14ac:dyDescent="0.2">
      <c r="A48" s="3">
        <v>8</v>
      </c>
      <c r="B48" s="1025" t="s">
        <v>603</v>
      </c>
      <c r="C48" s="1026"/>
      <c r="D48" s="4">
        <v>0</v>
      </c>
      <c r="E48" s="4">
        <v>0</v>
      </c>
      <c r="F48" s="4">
        <v>5000</v>
      </c>
      <c r="G48" s="284">
        <v>2279</v>
      </c>
      <c r="H48" s="4">
        <v>5000</v>
      </c>
      <c r="I48" s="300" t="s">
        <v>595</v>
      </c>
    </row>
    <row r="49" spans="1:9" s="448" customFormat="1" x14ac:dyDescent="0.2">
      <c r="A49" s="281" t="s">
        <v>399</v>
      </c>
      <c r="B49" s="281"/>
      <c r="C49" s="281"/>
      <c r="D49" s="281"/>
      <c r="E49" s="281"/>
      <c r="F49" s="281"/>
      <c r="G49" s="281"/>
      <c r="H49" s="281"/>
      <c r="I49" s="281"/>
    </row>
    <row r="50" spans="1:9" s="448" customFormat="1" x14ac:dyDescent="0.2">
      <c r="A50" s="411" t="s">
        <v>400</v>
      </c>
      <c r="B50" s="281"/>
      <c r="C50" s="281"/>
      <c r="D50" s="281"/>
      <c r="E50" s="281"/>
      <c r="F50" s="281"/>
      <c r="G50" s="281"/>
      <c r="H50" s="281"/>
      <c r="I50" s="281"/>
    </row>
    <row r="51" spans="1:9" s="448" customFormat="1" x14ac:dyDescent="0.2">
      <c r="A51" s="1" t="s">
        <v>554</v>
      </c>
      <c r="B51" s="281"/>
      <c r="C51" s="281"/>
      <c r="D51" s="281"/>
      <c r="E51" s="281"/>
      <c r="F51" s="281"/>
      <c r="G51" s="281"/>
      <c r="H51" s="281"/>
      <c r="I51" s="281"/>
    </row>
    <row r="52" spans="1:9" s="448" customFormat="1" x14ac:dyDescent="0.2">
      <c r="A52" s="274" t="s">
        <v>555</v>
      </c>
      <c r="B52" s="281"/>
      <c r="C52" s="281"/>
      <c r="D52" s="281"/>
      <c r="E52" s="281"/>
      <c r="F52" s="281"/>
      <c r="G52" s="281"/>
      <c r="H52" s="281"/>
      <c r="I52" s="281"/>
    </row>
    <row r="53" spans="1:9" s="448" customFormat="1" x14ac:dyDescent="0.2">
      <c r="A53" s="1" t="s">
        <v>526</v>
      </c>
      <c r="B53" s="281"/>
      <c r="C53" s="281"/>
      <c r="D53" s="281"/>
      <c r="E53" s="281"/>
      <c r="F53" s="281"/>
      <c r="G53" s="281"/>
      <c r="H53" s="281"/>
      <c r="I53" s="281"/>
    </row>
    <row r="54" spans="1:9" s="448" customFormat="1" x14ac:dyDescent="0.2">
      <c r="A54" s="274" t="s">
        <v>527</v>
      </c>
      <c r="B54" s="281"/>
      <c r="C54" s="281"/>
      <c r="D54" s="281"/>
      <c r="E54" s="281"/>
      <c r="F54" s="281"/>
      <c r="G54" s="281"/>
      <c r="H54" s="281"/>
      <c r="I54" s="281"/>
    </row>
    <row r="55" spans="1:9" s="448" customFormat="1" x14ac:dyDescent="0.2">
      <c r="A55" s="274" t="s">
        <v>528</v>
      </c>
      <c r="B55" s="281"/>
      <c r="C55" s="281"/>
      <c r="D55" s="281"/>
      <c r="E55" s="281"/>
      <c r="F55" s="281"/>
      <c r="G55" s="281"/>
      <c r="H55" s="281"/>
      <c r="I55" s="281"/>
    </row>
    <row r="56" spans="1:9" s="448" customFormat="1" x14ac:dyDescent="0.2">
      <c r="A56" s="1" t="s">
        <v>604</v>
      </c>
      <c r="B56" s="281"/>
      <c r="C56" s="281"/>
      <c r="D56" s="281"/>
      <c r="E56" s="281"/>
      <c r="F56" s="281"/>
      <c r="G56" s="281"/>
      <c r="H56" s="281"/>
      <c r="I56" s="281"/>
    </row>
    <row r="57" spans="1:9" s="448" customFormat="1" x14ac:dyDescent="0.2">
      <c r="A57" s="274" t="s">
        <v>605</v>
      </c>
      <c r="B57" s="281"/>
      <c r="C57" s="281"/>
      <c r="D57" s="281"/>
      <c r="E57" s="281"/>
      <c r="F57" s="281"/>
      <c r="G57" s="281"/>
      <c r="H57" s="281"/>
      <c r="I57" s="281"/>
    </row>
    <row r="58" spans="1:9" s="448" customFormat="1" x14ac:dyDescent="0.2">
      <c r="A58" s="1" t="s">
        <v>606</v>
      </c>
      <c r="B58" s="281"/>
      <c r="C58" s="281"/>
      <c r="D58" s="281"/>
      <c r="E58" s="281"/>
      <c r="F58" s="281"/>
      <c r="G58" s="281"/>
      <c r="H58" s="281"/>
      <c r="I58" s="281"/>
    </row>
    <row r="59" spans="1:9" s="448" customFormat="1" x14ac:dyDescent="0.2">
      <c r="A59" s="274" t="s">
        <v>607</v>
      </c>
      <c r="B59" s="281"/>
      <c r="C59" s="281"/>
      <c r="D59" s="281"/>
      <c r="E59" s="281"/>
      <c r="F59" s="281"/>
      <c r="G59" s="281"/>
      <c r="H59" s="281"/>
      <c r="I59" s="281"/>
    </row>
    <row r="60" spans="1:9" s="448" customFormat="1" x14ac:dyDescent="0.2">
      <c r="A60" s="274" t="s">
        <v>608</v>
      </c>
      <c r="B60" s="281"/>
      <c r="C60" s="281"/>
      <c r="D60" s="281"/>
      <c r="E60" s="281"/>
      <c r="F60" s="281"/>
      <c r="G60" s="281"/>
      <c r="H60" s="281"/>
      <c r="I60" s="281"/>
    </row>
    <row r="61" spans="1:9" s="448" customFormat="1" x14ac:dyDescent="0.2">
      <c r="A61" s="1" t="s">
        <v>405</v>
      </c>
      <c r="B61" s="281"/>
      <c r="C61" s="281"/>
      <c r="D61" s="281"/>
      <c r="E61" s="281"/>
      <c r="F61" s="281"/>
      <c r="G61" s="281"/>
      <c r="H61" s="281"/>
      <c r="I61" s="281"/>
    </row>
    <row r="62" spans="1:9" s="448" customFormat="1" x14ac:dyDescent="0.2">
      <c r="A62" s="274" t="s">
        <v>406</v>
      </c>
      <c r="B62" s="281"/>
      <c r="C62" s="281"/>
      <c r="D62" s="281"/>
      <c r="E62" s="281"/>
      <c r="F62" s="281"/>
      <c r="G62" s="281"/>
      <c r="H62" s="281"/>
      <c r="I62" s="281"/>
    </row>
    <row r="63" spans="1:9" s="448" customFormat="1" x14ac:dyDescent="0.2">
      <c r="A63" s="274" t="s">
        <v>609</v>
      </c>
      <c r="B63" s="281"/>
      <c r="C63" s="281"/>
      <c r="D63" s="281"/>
      <c r="E63" s="281"/>
      <c r="F63" s="281"/>
      <c r="G63" s="281"/>
      <c r="H63" s="281"/>
      <c r="I63" s="281"/>
    </row>
    <row r="64" spans="1:9" s="448" customFormat="1" x14ac:dyDescent="0.2">
      <c r="A64" s="1" t="s">
        <v>610</v>
      </c>
      <c r="B64" s="281"/>
      <c r="C64" s="281"/>
      <c r="D64" s="281"/>
      <c r="E64" s="281"/>
      <c r="F64" s="281"/>
      <c r="G64" s="281"/>
      <c r="H64" s="281"/>
      <c r="I64" s="281"/>
    </row>
    <row r="65" spans="1:9" s="448" customFormat="1" x14ac:dyDescent="0.2">
      <c r="A65" s="274" t="s">
        <v>611</v>
      </c>
      <c r="B65" s="281"/>
      <c r="C65" s="281"/>
      <c r="D65" s="281"/>
      <c r="E65" s="281"/>
      <c r="F65" s="281"/>
      <c r="G65" s="281"/>
      <c r="H65" s="281"/>
      <c r="I65" s="281"/>
    </row>
    <row r="66" spans="1:9" s="448" customFormat="1" x14ac:dyDescent="0.2">
      <c r="A66" s="1" t="s">
        <v>563</v>
      </c>
      <c r="B66" s="281"/>
      <c r="C66" s="281"/>
      <c r="D66" s="281"/>
      <c r="E66" s="281"/>
      <c r="F66" s="281"/>
      <c r="G66" s="281"/>
      <c r="H66" s="281"/>
      <c r="I66" s="281"/>
    </row>
    <row r="67" spans="1:9" s="448" customFormat="1" x14ac:dyDescent="0.2">
      <c r="A67" s="274" t="s">
        <v>612</v>
      </c>
      <c r="B67" s="281"/>
      <c r="C67" s="281"/>
      <c r="D67" s="281"/>
      <c r="E67" s="281"/>
      <c r="F67" s="281"/>
      <c r="G67" s="281"/>
      <c r="H67" s="281"/>
      <c r="I67" s="281"/>
    </row>
    <row r="68" spans="1:9" s="448" customFormat="1" x14ac:dyDescent="0.2">
      <c r="A68" s="1" t="s">
        <v>411</v>
      </c>
      <c r="B68" s="281"/>
      <c r="C68" s="281"/>
      <c r="D68" s="281"/>
      <c r="E68" s="281"/>
      <c r="F68" s="281"/>
      <c r="G68" s="281"/>
      <c r="H68" s="281"/>
      <c r="I68" s="281"/>
    </row>
    <row r="69" spans="1:9" s="448" customFormat="1" x14ac:dyDescent="0.2">
      <c r="A69" s="274" t="s">
        <v>613</v>
      </c>
      <c r="B69" s="281"/>
      <c r="C69" s="281"/>
      <c r="D69" s="281"/>
      <c r="E69" s="281"/>
      <c r="F69" s="281"/>
      <c r="G69" s="281"/>
      <c r="H69" s="281"/>
      <c r="I69" s="281"/>
    </row>
    <row r="70" spans="1:9" s="448" customFormat="1" x14ac:dyDescent="0.2">
      <c r="A70" s="274" t="s">
        <v>614</v>
      </c>
      <c r="B70" s="281"/>
      <c r="C70" s="281"/>
      <c r="D70" s="281"/>
      <c r="E70" s="281"/>
      <c r="F70" s="281"/>
      <c r="G70" s="281"/>
      <c r="H70" s="281"/>
      <c r="I70" s="281"/>
    </row>
    <row r="71" spans="1:9" s="448" customFormat="1" x14ac:dyDescent="0.2">
      <c r="A71" s="1" t="s">
        <v>615</v>
      </c>
      <c r="B71" s="281"/>
      <c r="C71" s="281"/>
      <c r="D71" s="281"/>
      <c r="E71" s="281"/>
      <c r="F71" s="281"/>
      <c r="G71" s="281"/>
      <c r="H71" s="281"/>
      <c r="I71" s="281"/>
    </row>
    <row r="72" spans="1:9" s="448" customFormat="1" x14ac:dyDescent="0.2">
      <c r="A72" s="274" t="s">
        <v>616</v>
      </c>
      <c r="B72" s="281"/>
      <c r="C72" s="281"/>
      <c r="D72" s="281"/>
      <c r="E72" s="281"/>
      <c r="F72" s="281"/>
      <c r="G72" s="281"/>
      <c r="H72" s="281"/>
      <c r="I72" s="281"/>
    </row>
    <row r="73" spans="1:9" s="448" customFormat="1" x14ac:dyDescent="0.2">
      <c r="A73" s="1" t="s">
        <v>617</v>
      </c>
      <c r="B73" s="281"/>
      <c r="C73" s="281"/>
      <c r="D73" s="281"/>
      <c r="E73" s="281"/>
      <c r="F73" s="281"/>
      <c r="G73" s="281"/>
      <c r="H73" s="281"/>
      <c r="I73" s="281"/>
    </row>
    <row r="74" spans="1:9" s="448" customFormat="1" x14ac:dyDescent="0.2">
      <c r="A74" s="274" t="s">
        <v>618</v>
      </c>
      <c r="B74" s="281"/>
      <c r="C74" s="281"/>
      <c r="D74" s="281"/>
      <c r="E74" s="281"/>
      <c r="F74" s="281"/>
      <c r="G74" s="281"/>
      <c r="H74" s="281"/>
      <c r="I74" s="281"/>
    </row>
    <row r="75" spans="1:9" s="448" customFormat="1" x14ac:dyDescent="0.2">
      <c r="A75" s="1" t="s">
        <v>619</v>
      </c>
      <c r="B75" s="281"/>
      <c r="C75" s="281"/>
      <c r="D75" s="281"/>
      <c r="E75" s="281"/>
      <c r="F75" s="281"/>
      <c r="G75" s="281"/>
      <c r="H75" s="281"/>
      <c r="I75" s="281"/>
    </row>
    <row r="76" spans="1:9" s="448" customFormat="1" x14ac:dyDescent="0.2">
      <c r="A76" s="274" t="s">
        <v>620</v>
      </c>
      <c r="B76" s="281"/>
      <c r="C76" s="281"/>
      <c r="D76" s="281"/>
      <c r="E76" s="281"/>
      <c r="F76" s="281"/>
      <c r="G76" s="281"/>
      <c r="H76" s="281"/>
      <c r="I76" s="281"/>
    </row>
    <row r="77" spans="1:9" s="448" customFormat="1" x14ac:dyDescent="0.2">
      <c r="A77" s="281"/>
      <c r="B77" s="281"/>
      <c r="C77" s="281"/>
      <c r="D77" s="281"/>
      <c r="E77" s="281"/>
      <c r="F77" s="281"/>
      <c r="G77" s="281"/>
      <c r="H77" s="281"/>
      <c r="I77" s="281"/>
    </row>
    <row r="78" spans="1:9" ht="23.25" hidden="1" customHeight="1" x14ac:dyDescent="0.2">
      <c r="A78" s="1111" t="s">
        <v>621</v>
      </c>
      <c r="B78" s="1111"/>
      <c r="C78" s="1111"/>
      <c r="D78" s="1111"/>
      <c r="E78" s="1111"/>
      <c r="F78" s="1111"/>
      <c r="G78" s="1111"/>
      <c r="H78" s="1111"/>
      <c r="I78" s="1111"/>
    </row>
    <row r="79" spans="1:9" ht="39.75" hidden="1" customHeight="1" x14ac:dyDescent="0.2">
      <c r="A79" s="1106" t="s">
        <v>622</v>
      </c>
      <c r="B79" s="1106"/>
      <c r="C79" s="1106"/>
      <c r="D79" s="1106"/>
      <c r="E79" s="1106"/>
      <c r="F79" s="1106"/>
      <c r="G79" s="1106"/>
      <c r="H79" s="1106"/>
      <c r="I79" s="1106"/>
    </row>
    <row r="80" spans="1:9" ht="14.25" hidden="1" customHeight="1" x14ac:dyDescent="0.2">
      <c r="A80" s="1106" t="s">
        <v>623</v>
      </c>
      <c r="B80" s="1106"/>
      <c r="C80" s="1106"/>
      <c r="D80" s="1106"/>
      <c r="E80" s="1106"/>
      <c r="F80" s="1106"/>
      <c r="G80" s="1106"/>
      <c r="H80" s="1106"/>
      <c r="I80" s="1106"/>
    </row>
    <row r="81" spans="1:9" hidden="1" x14ac:dyDescent="0.2">
      <c r="A81" s="1" t="s">
        <v>624</v>
      </c>
    </row>
    <row r="83" spans="1:9" x14ac:dyDescent="0.2">
      <c r="A83" s="471"/>
      <c r="D83" s="471"/>
      <c r="E83" s="471"/>
      <c r="F83" s="471"/>
      <c r="I83" s="471"/>
    </row>
    <row r="84" spans="1:9" x14ac:dyDescent="0.2">
      <c r="A84" s="472"/>
      <c r="B84" s="2"/>
      <c r="C84" s="2"/>
      <c r="D84" s="472"/>
      <c r="E84" s="472"/>
      <c r="F84" s="472"/>
      <c r="G84" s="2"/>
      <c r="H84" s="2"/>
      <c r="I84" s="472"/>
    </row>
    <row r="85" spans="1:9" x14ac:dyDescent="0.2">
      <c r="A85" s="472"/>
      <c r="B85" s="2"/>
      <c r="C85" s="2"/>
      <c r="D85" s="472"/>
      <c r="E85" s="472"/>
      <c r="F85" s="472"/>
      <c r="G85" s="2"/>
      <c r="H85" s="2"/>
      <c r="I85" s="472"/>
    </row>
  </sheetData>
  <sheetProtection algorithmName="SHA-512" hashValue="8+RWwhd9xC0zvahwSCagO7htY1utbWMGJsGBDi/9DLzeX2s1x5hgelS88svvDPJynySXSk0okNpvkeNdY78g4g==" saltValue="ZqCyGTQwxbBz9mng4OguxQ==" spinCount="100000" sheet="1" objects="1" scenarios="1" selectLockedCells="1" selectUnlockedCells="1"/>
  <mergeCells count="50">
    <mergeCell ref="A5:B5"/>
    <mergeCell ref="A1:B1"/>
    <mergeCell ref="C1:I1"/>
    <mergeCell ref="A2:B2"/>
    <mergeCell ref="C2:I2"/>
    <mergeCell ref="A3:I3"/>
    <mergeCell ref="B16:C16"/>
    <mergeCell ref="A6:B6"/>
    <mergeCell ref="C6:I6"/>
    <mergeCell ref="A7:B7"/>
    <mergeCell ref="C7:I7"/>
    <mergeCell ref="B8:C8"/>
    <mergeCell ref="A9:C9"/>
    <mergeCell ref="A10:A11"/>
    <mergeCell ref="B10:C11"/>
    <mergeCell ref="A12:A14"/>
    <mergeCell ref="B12:C14"/>
    <mergeCell ref="B15:C15"/>
    <mergeCell ref="B17:C17"/>
    <mergeCell ref="B18:C18"/>
    <mergeCell ref="B19:C19"/>
    <mergeCell ref="B20:C20"/>
    <mergeCell ref="A21:A26"/>
    <mergeCell ref="B21:C26"/>
    <mergeCell ref="B36:C36"/>
    <mergeCell ref="I21:I26"/>
    <mergeCell ref="B27:C27"/>
    <mergeCell ref="B28:C28"/>
    <mergeCell ref="B29:C29"/>
    <mergeCell ref="B30:C30"/>
    <mergeCell ref="B31:C31"/>
    <mergeCell ref="B32:C32"/>
    <mergeCell ref="A34:B34"/>
    <mergeCell ref="C34:I34"/>
    <mergeCell ref="A35:B35"/>
    <mergeCell ref="C35:I35"/>
    <mergeCell ref="A37:C37"/>
    <mergeCell ref="B38:C38"/>
    <mergeCell ref="B39:C39"/>
    <mergeCell ref="B40:C40"/>
    <mergeCell ref="B41:C41"/>
    <mergeCell ref="A80:I80"/>
    <mergeCell ref="I42:I45"/>
    <mergeCell ref="B46:C46"/>
    <mergeCell ref="B47:C47"/>
    <mergeCell ref="B48:C48"/>
    <mergeCell ref="A78:I78"/>
    <mergeCell ref="A79:I79"/>
    <mergeCell ref="A42:A45"/>
    <mergeCell ref="B42:C45"/>
  </mergeCells>
  <pageMargins left="0.98425196850393704" right="0.39370078740157483" top="0.59055118110236227" bottom="0.39370078740157483" header="0.23622047244094491" footer="0.23622047244094491"/>
  <pageSetup paperSize="9" scale="70" fitToHeight="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 xml:space="preserve">&amp;R&amp;"Times New Roman,Regular"&amp;8
12.pielikums Jūrmalas pilsētas domes
2016.gada 16.decembra saistošajiem noteikumiem Nr.47
(protokols Nr.19, 19.punkts) </first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9"/>
  <sheetViews>
    <sheetView view="pageLayout" zoomScaleNormal="100" workbookViewId="0">
      <selection activeCell="J14" sqref="J14"/>
    </sheetView>
  </sheetViews>
  <sheetFormatPr defaultRowHeight="12" x14ac:dyDescent="0.2"/>
  <cols>
    <col min="1" max="1" width="6.140625" style="1" customWidth="1"/>
    <col min="2" max="2" width="17.28515625" style="1" customWidth="1"/>
    <col min="3" max="3" width="18.28515625" style="1" customWidth="1"/>
    <col min="4" max="5" width="8.7109375" style="1" hidden="1" customWidth="1"/>
    <col min="6" max="6" width="9.7109375" style="1" hidden="1" customWidth="1"/>
    <col min="7" max="7" width="9.85546875" style="1" customWidth="1"/>
    <col min="8" max="8" width="8.28515625" style="1" customWidth="1"/>
    <col min="9" max="9" width="19" style="1" customWidth="1"/>
    <col min="10" max="16384" width="9.140625" style="1"/>
  </cols>
  <sheetData>
    <row r="1" spans="1:9" x14ac:dyDescent="0.2">
      <c r="A1" s="1016" t="s">
        <v>8</v>
      </c>
      <c r="B1" s="1016"/>
      <c r="C1" s="1016" t="s">
        <v>15</v>
      </c>
      <c r="D1" s="1016"/>
      <c r="E1" s="1016"/>
      <c r="F1" s="1016"/>
      <c r="G1" s="1016"/>
      <c r="H1" s="1016"/>
      <c r="I1" s="1016"/>
    </row>
    <row r="2" spans="1:9" x14ac:dyDescent="0.2">
      <c r="A2" s="1016" t="s">
        <v>7</v>
      </c>
      <c r="B2" s="1016"/>
      <c r="C2" s="1016">
        <v>90000056357</v>
      </c>
      <c r="D2" s="1016"/>
      <c r="E2" s="1016"/>
      <c r="F2" s="1016"/>
      <c r="G2" s="1016"/>
      <c r="H2" s="1016"/>
      <c r="I2" s="1016"/>
    </row>
    <row r="3" spans="1:9" ht="15.75" x14ac:dyDescent="0.25">
      <c r="A3" s="1018" t="s">
        <v>9</v>
      </c>
      <c r="B3" s="1018"/>
      <c r="C3" s="1018"/>
      <c r="D3" s="1018"/>
      <c r="E3" s="1018"/>
      <c r="F3" s="1018"/>
      <c r="G3" s="1018"/>
      <c r="H3" s="1018"/>
      <c r="I3" s="1018"/>
    </row>
    <row r="4" spans="1:9" ht="10.5" customHeight="1" x14ac:dyDescent="0.25">
      <c r="A4" s="275"/>
      <c r="B4" s="275"/>
      <c r="C4" s="275"/>
      <c r="D4" s="275"/>
      <c r="E4" s="275"/>
      <c r="F4" s="275"/>
      <c r="G4" s="275"/>
      <c r="H4" s="275"/>
      <c r="I4" s="275"/>
    </row>
    <row r="5" spans="1:9" ht="15.75" x14ac:dyDescent="0.25">
      <c r="A5" s="1016" t="s">
        <v>10</v>
      </c>
      <c r="B5" s="1016"/>
      <c r="C5" s="1142" t="s">
        <v>625</v>
      </c>
      <c r="D5" s="1142"/>
      <c r="E5" s="1142"/>
      <c r="F5" s="1142"/>
      <c r="G5" s="1142"/>
      <c r="H5" s="1142"/>
      <c r="I5" s="1142"/>
    </row>
    <row r="6" spans="1:9" x14ac:dyDescent="0.2">
      <c r="A6" s="1137" t="s">
        <v>6</v>
      </c>
      <c r="B6" s="1137"/>
      <c r="C6" s="1137" t="s">
        <v>626</v>
      </c>
      <c r="D6" s="1137"/>
      <c r="E6" s="1137"/>
      <c r="F6" s="1137"/>
      <c r="G6" s="1137"/>
      <c r="H6" s="1137"/>
      <c r="I6" s="1137"/>
    </row>
    <row r="7" spans="1:9" x14ac:dyDescent="0.2">
      <c r="A7" s="1016" t="s">
        <v>5</v>
      </c>
      <c r="B7" s="1016"/>
      <c r="C7" s="1019" t="s">
        <v>627</v>
      </c>
      <c r="D7" s="1019"/>
      <c r="E7" s="1019"/>
      <c r="F7" s="1019"/>
      <c r="G7" s="1019"/>
      <c r="H7" s="1019"/>
      <c r="I7" s="1019"/>
    </row>
    <row r="8" spans="1:9" ht="51" customHeight="1" x14ac:dyDescent="0.2">
      <c r="A8" s="6" t="s">
        <v>4</v>
      </c>
      <c r="B8" s="1020" t="s">
        <v>3</v>
      </c>
      <c r="C8" s="1021"/>
      <c r="D8" s="6" t="s">
        <v>11</v>
      </c>
      <c r="E8" s="6" t="s">
        <v>12</v>
      </c>
      <c r="F8" s="6" t="s">
        <v>13</v>
      </c>
      <c r="G8" s="6" t="s">
        <v>2</v>
      </c>
      <c r="H8" s="6" t="s">
        <v>180</v>
      </c>
      <c r="I8" s="6" t="s">
        <v>1</v>
      </c>
    </row>
    <row r="9" spans="1:9" x14ac:dyDescent="0.2">
      <c r="A9" s="1022" t="s">
        <v>14</v>
      </c>
      <c r="B9" s="1023"/>
      <c r="C9" s="1024"/>
      <c r="D9" s="7">
        <f>SUM(D10:D17)</f>
        <v>24255</v>
      </c>
      <c r="E9" s="7">
        <f>SUM(E10:E17)</f>
        <v>22754.45</v>
      </c>
      <c r="F9" s="7">
        <f>SUM(F10:F17)</f>
        <v>25200</v>
      </c>
      <c r="G9" s="7"/>
      <c r="H9" s="7">
        <f>SUM(H10:H17)</f>
        <v>25200</v>
      </c>
      <c r="I9" s="7"/>
    </row>
    <row r="10" spans="1:9" x14ac:dyDescent="0.2">
      <c r="A10" s="3">
        <v>1</v>
      </c>
      <c r="B10" s="1025" t="s">
        <v>628</v>
      </c>
      <c r="C10" s="1026"/>
      <c r="D10" s="4">
        <v>1200</v>
      </c>
      <c r="E10" s="4">
        <v>1195.55</v>
      </c>
      <c r="F10" s="4">
        <v>1200</v>
      </c>
      <c r="G10" s="286">
        <v>2244</v>
      </c>
      <c r="H10" s="4">
        <v>1200</v>
      </c>
      <c r="I10" s="473" t="s">
        <v>629</v>
      </c>
    </row>
    <row r="11" spans="1:9" ht="37.5" customHeight="1" x14ac:dyDescent="0.2">
      <c r="A11" s="3">
        <v>2</v>
      </c>
      <c r="B11" s="1025" t="s">
        <v>630</v>
      </c>
      <c r="C11" s="1026"/>
      <c r="D11" s="4">
        <v>3300</v>
      </c>
      <c r="E11" s="4">
        <v>2513</v>
      </c>
      <c r="F11" s="4">
        <v>2900</v>
      </c>
      <c r="G11" s="286">
        <v>2279</v>
      </c>
      <c r="H11" s="4">
        <v>2900</v>
      </c>
      <c r="I11" s="473" t="s">
        <v>631</v>
      </c>
    </row>
    <row r="12" spans="1:9" ht="36" customHeight="1" x14ac:dyDescent="0.2">
      <c r="A12" s="3">
        <v>3</v>
      </c>
      <c r="B12" s="1140" t="s">
        <v>632</v>
      </c>
      <c r="C12" s="1141"/>
      <c r="D12" s="4">
        <v>2505</v>
      </c>
      <c r="E12" s="4">
        <v>2504.6999999999998</v>
      </c>
      <c r="F12" s="4">
        <v>2550</v>
      </c>
      <c r="G12" s="286">
        <v>2279</v>
      </c>
      <c r="H12" s="4">
        <v>2550</v>
      </c>
      <c r="I12" s="473" t="s">
        <v>631</v>
      </c>
    </row>
    <row r="13" spans="1:9" ht="36" x14ac:dyDescent="0.2">
      <c r="A13" s="3">
        <v>4</v>
      </c>
      <c r="B13" s="1025" t="s">
        <v>633</v>
      </c>
      <c r="C13" s="1026"/>
      <c r="D13" s="4">
        <v>2700</v>
      </c>
      <c r="E13" s="4">
        <v>2492.0700000000002</v>
      </c>
      <c r="F13" s="4">
        <v>3000</v>
      </c>
      <c r="G13" s="286">
        <v>2279</v>
      </c>
      <c r="H13" s="4">
        <v>3000</v>
      </c>
      <c r="I13" s="473" t="s">
        <v>634</v>
      </c>
    </row>
    <row r="14" spans="1:9" x14ac:dyDescent="0.2">
      <c r="A14" s="1030">
        <v>5</v>
      </c>
      <c r="B14" s="1032" t="s">
        <v>635</v>
      </c>
      <c r="C14" s="1033"/>
      <c r="D14" s="4">
        <v>6493</v>
      </c>
      <c r="E14" s="4">
        <v>6492.13</v>
      </c>
      <c r="F14" s="4">
        <v>6500</v>
      </c>
      <c r="G14" s="474">
        <v>2244</v>
      </c>
      <c r="H14" s="4">
        <v>6500</v>
      </c>
      <c r="I14" s="1138" t="s">
        <v>636</v>
      </c>
    </row>
    <row r="15" spans="1:9" ht="28.5" customHeight="1" x14ac:dyDescent="0.2">
      <c r="A15" s="1031"/>
      <c r="B15" s="1034"/>
      <c r="C15" s="1035"/>
      <c r="D15" s="4">
        <v>7007</v>
      </c>
      <c r="E15" s="4">
        <v>7007</v>
      </c>
      <c r="F15" s="4">
        <v>8000</v>
      </c>
      <c r="G15" s="284">
        <v>5240</v>
      </c>
      <c r="H15" s="4">
        <v>8000</v>
      </c>
      <c r="I15" s="1139"/>
    </row>
    <row r="16" spans="1:9" ht="36" customHeight="1" x14ac:dyDescent="0.2">
      <c r="A16" s="3">
        <v>6</v>
      </c>
      <c r="B16" s="1025" t="s">
        <v>637</v>
      </c>
      <c r="C16" s="1026"/>
      <c r="D16" s="4">
        <v>550</v>
      </c>
      <c r="E16" s="4">
        <v>450</v>
      </c>
      <c r="F16" s="4">
        <v>550</v>
      </c>
      <c r="G16" s="286">
        <v>2279</v>
      </c>
      <c r="H16" s="4">
        <v>550</v>
      </c>
      <c r="I16" s="473" t="s">
        <v>631</v>
      </c>
    </row>
    <row r="17" spans="1:9" ht="27.75" customHeight="1" x14ac:dyDescent="0.2">
      <c r="A17" s="329">
        <v>7</v>
      </c>
      <c r="B17" s="1025" t="s">
        <v>638</v>
      </c>
      <c r="C17" s="1026"/>
      <c r="D17" s="397">
        <v>500</v>
      </c>
      <c r="E17" s="397">
        <v>100</v>
      </c>
      <c r="F17" s="397">
        <v>500</v>
      </c>
      <c r="G17" s="413">
        <v>2279</v>
      </c>
      <c r="H17" s="4">
        <v>500</v>
      </c>
      <c r="I17" s="473" t="s">
        <v>631</v>
      </c>
    </row>
    <row r="18" spans="1:9" x14ac:dyDescent="0.2">
      <c r="A18" s="303"/>
      <c r="B18" s="303"/>
      <c r="C18" s="303"/>
      <c r="D18" s="303"/>
      <c r="E18" s="303"/>
      <c r="F18" s="303"/>
      <c r="G18" s="475"/>
      <c r="H18" s="310"/>
      <c r="I18" s="310"/>
    </row>
    <row r="19" spans="1:9" x14ac:dyDescent="0.2">
      <c r="A19" s="1016" t="s">
        <v>6</v>
      </c>
      <c r="B19" s="1016"/>
      <c r="C19" s="1137" t="s">
        <v>639</v>
      </c>
      <c r="D19" s="1137"/>
      <c r="E19" s="1137"/>
      <c r="F19" s="1137"/>
      <c r="G19" s="1137"/>
      <c r="H19" s="1137"/>
      <c r="I19" s="1137"/>
    </row>
    <row r="20" spans="1:9" x14ac:dyDescent="0.2">
      <c r="A20" s="1016" t="s">
        <v>5</v>
      </c>
      <c r="B20" s="1016"/>
      <c r="C20" s="1019" t="s">
        <v>640</v>
      </c>
      <c r="D20" s="1019"/>
      <c r="E20" s="1019"/>
      <c r="F20" s="1019"/>
      <c r="G20" s="1019"/>
      <c r="H20" s="1019"/>
      <c r="I20" s="1019"/>
    </row>
    <row r="21" spans="1:9" ht="37.5" customHeight="1" x14ac:dyDescent="0.2">
      <c r="A21" s="6" t="s">
        <v>4</v>
      </c>
      <c r="B21" s="1020" t="s">
        <v>3</v>
      </c>
      <c r="C21" s="1021"/>
      <c r="D21" s="6" t="s">
        <v>11</v>
      </c>
      <c r="E21" s="6" t="s">
        <v>12</v>
      </c>
      <c r="F21" s="6" t="s">
        <v>13</v>
      </c>
      <c r="G21" s="6" t="s">
        <v>2</v>
      </c>
      <c r="H21" s="6" t="s">
        <v>180</v>
      </c>
      <c r="I21" s="6" t="s">
        <v>1</v>
      </c>
    </row>
    <row r="22" spans="1:9" x14ac:dyDescent="0.2">
      <c r="A22" s="1022" t="s">
        <v>14</v>
      </c>
      <c r="B22" s="1023"/>
      <c r="C22" s="1024"/>
      <c r="D22" s="7">
        <f>SUM(D23:D25)</f>
        <v>28000</v>
      </c>
      <c r="E22" s="7">
        <f>SUM(E23:E25)</f>
        <v>27995.37</v>
      </c>
      <c r="F22" s="7">
        <f>SUM(F23:F25)</f>
        <v>36000</v>
      </c>
      <c r="G22" s="7"/>
      <c r="H22" s="7">
        <f>SUM(H23:H25)</f>
        <v>36000</v>
      </c>
      <c r="I22" s="7"/>
    </row>
    <row r="23" spans="1:9" ht="24" x14ac:dyDescent="0.2">
      <c r="A23" s="3">
        <v>1</v>
      </c>
      <c r="B23" s="1025" t="s">
        <v>641</v>
      </c>
      <c r="C23" s="1026"/>
      <c r="D23" s="4">
        <v>28000</v>
      </c>
      <c r="E23" s="4">
        <v>27995.37</v>
      </c>
      <c r="F23" s="4">
        <v>28000</v>
      </c>
      <c r="G23" s="9">
        <v>2279</v>
      </c>
      <c r="H23" s="4">
        <v>28000</v>
      </c>
      <c r="I23" s="476" t="s">
        <v>642</v>
      </c>
    </row>
    <row r="24" spans="1:9" ht="24" x14ac:dyDescent="0.2">
      <c r="A24" s="3">
        <v>2</v>
      </c>
      <c r="B24" s="1025" t="s">
        <v>643</v>
      </c>
      <c r="C24" s="1026"/>
      <c r="D24" s="4">
        <v>0</v>
      </c>
      <c r="E24" s="4">
        <v>0</v>
      </c>
      <c r="F24" s="287">
        <v>5500</v>
      </c>
      <c r="G24" s="477">
        <v>2279</v>
      </c>
      <c r="H24" s="283">
        <v>5500</v>
      </c>
      <c r="I24" s="476" t="s">
        <v>644</v>
      </c>
    </row>
    <row r="25" spans="1:9" ht="26.25" customHeight="1" x14ac:dyDescent="0.2">
      <c r="A25" s="3">
        <v>3</v>
      </c>
      <c r="B25" s="1025" t="s">
        <v>645</v>
      </c>
      <c r="C25" s="1026"/>
      <c r="D25" s="4">
        <v>0</v>
      </c>
      <c r="E25" s="4">
        <v>0</v>
      </c>
      <c r="F25" s="4">
        <v>2500</v>
      </c>
      <c r="G25" s="477">
        <v>2244</v>
      </c>
      <c r="H25" s="4">
        <v>2500</v>
      </c>
      <c r="I25" s="478" t="s">
        <v>646</v>
      </c>
    </row>
    <row r="26" spans="1:9" x14ac:dyDescent="0.2">
      <c r="A26" s="303"/>
      <c r="B26" s="303"/>
      <c r="C26" s="303"/>
      <c r="D26" s="303"/>
      <c r="E26" s="303"/>
      <c r="F26" s="303"/>
      <c r="G26" s="303"/>
      <c r="H26" s="310"/>
      <c r="I26" s="310"/>
    </row>
    <row r="27" spans="1:9" x14ac:dyDescent="0.2">
      <c r="A27" s="1016" t="s">
        <v>6</v>
      </c>
      <c r="B27" s="1016"/>
      <c r="C27" s="1137" t="s">
        <v>647</v>
      </c>
      <c r="D27" s="1137"/>
      <c r="E27" s="1137"/>
      <c r="F27" s="1137"/>
      <c r="G27" s="1137"/>
      <c r="H27" s="1137"/>
      <c r="I27" s="1137"/>
    </row>
    <row r="28" spans="1:9" x14ac:dyDescent="0.2">
      <c r="A28" s="1016" t="s">
        <v>5</v>
      </c>
      <c r="B28" s="1016"/>
      <c r="C28" s="1019" t="s">
        <v>648</v>
      </c>
      <c r="D28" s="1019"/>
      <c r="E28" s="1019"/>
      <c r="F28" s="1019"/>
      <c r="G28" s="1019"/>
      <c r="H28" s="1019"/>
      <c r="I28" s="1019"/>
    </row>
    <row r="29" spans="1:9" ht="44.25" customHeight="1" x14ac:dyDescent="0.2">
      <c r="A29" s="6" t="s">
        <v>4</v>
      </c>
      <c r="B29" s="1020" t="s">
        <v>3</v>
      </c>
      <c r="C29" s="1021"/>
      <c r="D29" s="6" t="s">
        <v>11</v>
      </c>
      <c r="E29" s="6" t="s">
        <v>12</v>
      </c>
      <c r="F29" s="6" t="s">
        <v>13</v>
      </c>
      <c r="G29" s="6" t="s">
        <v>2</v>
      </c>
      <c r="H29" s="6" t="s">
        <v>262</v>
      </c>
      <c r="I29" s="6" t="s">
        <v>1</v>
      </c>
    </row>
    <row r="30" spans="1:9" x14ac:dyDescent="0.2">
      <c r="A30" s="1022" t="s">
        <v>14</v>
      </c>
      <c r="B30" s="1023"/>
      <c r="C30" s="1024"/>
      <c r="D30" s="7">
        <f>SUM(D31:D41)</f>
        <v>23774</v>
      </c>
      <c r="E30" s="7">
        <f>SUM(E31:E41)</f>
        <v>18924.599999999999</v>
      </c>
      <c r="F30" s="7">
        <f>SUM(F31:F41)</f>
        <v>30536.959999999999</v>
      </c>
      <c r="G30" s="7"/>
      <c r="H30" s="7">
        <f>SUM(H31:H41)</f>
        <v>30537</v>
      </c>
      <c r="I30" s="7"/>
    </row>
    <row r="31" spans="1:9" x14ac:dyDescent="0.2">
      <c r="A31" s="1030">
        <v>1</v>
      </c>
      <c r="B31" s="1128" t="s">
        <v>649</v>
      </c>
      <c r="C31" s="1129"/>
      <c r="D31" s="343">
        <v>712</v>
      </c>
      <c r="E31" s="4">
        <v>711.44</v>
      </c>
      <c r="F31" s="4">
        <v>712</v>
      </c>
      <c r="G31" s="9">
        <v>2279</v>
      </c>
      <c r="H31" s="4">
        <v>712</v>
      </c>
      <c r="I31" s="479" t="s">
        <v>650</v>
      </c>
    </row>
    <row r="32" spans="1:9" x14ac:dyDescent="0.2">
      <c r="A32" s="1065"/>
      <c r="B32" s="1130"/>
      <c r="C32" s="1131"/>
      <c r="D32" s="4">
        <v>13400</v>
      </c>
      <c r="E32" s="4">
        <v>11157.26</v>
      </c>
      <c r="F32" s="4">
        <v>15960</v>
      </c>
      <c r="G32" s="9">
        <v>1150</v>
      </c>
      <c r="H32" s="4">
        <v>15960</v>
      </c>
      <c r="I32" s="479" t="s">
        <v>650</v>
      </c>
    </row>
    <row r="33" spans="1:9" x14ac:dyDescent="0.2">
      <c r="A33" s="1065"/>
      <c r="B33" s="1130"/>
      <c r="C33" s="1131"/>
      <c r="D33" s="4">
        <v>3162</v>
      </c>
      <c r="E33" s="4">
        <v>2632.22</v>
      </c>
      <c r="F33" s="4">
        <v>3764.96</v>
      </c>
      <c r="G33" s="9">
        <v>1210</v>
      </c>
      <c r="H33" s="4">
        <v>3765</v>
      </c>
      <c r="I33" s="479" t="s">
        <v>650</v>
      </c>
    </row>
    <row r="34" spans="1:9" x14ac:dyDescent="0.2">
      <c r="A34" s="1065"/>
      <c r="B34" s="1130"/>
      <c r="C34" s="1131"/>
      <c r="D34" s="4">
        <v>500</v>
      </c>
      <c r="E34" s="4">
        <v>499.73</v>
      </c>
      <c r="F34" s="4">
        <v>700</v>
      </c>
      <c r="G34" s="9">
        <v>2361</v>
      </c>
      <c r="H34" s="4">
        <v>700</v>
      </c>
      <c r="I34" s="479" t="s">
        <v>650</v>
      </c>
    </row>
    <row r="35" spans="1:9" ht="17.25" customHeight="1" x14ac:dyDescent="0.2">
      <c r="A35" s="1065"/>
      <c r="B35" s="1130"/>
      <c r="C35" s="1131"/>
      <c r="D35" s="1085">
        <v>1200</v>
      </c>
      <c r="E35" s="1085">
        <v>381.39</v>
      </c>
      <c r="F35" s="4">
        <v>2200</v>
      </c>
      <c r="G35" s="477">
        <v>2243</v>
      </c>
      <c r="H35" s="4">
        <v>2200</v>
      </c>
      <c r="I35" s="1134" t="s">
        <v>651</v>
      </c>
    </row>
    <row r="36" spans="1:9" x14ac:dyDescent="0.2">
      <c r="A36" s="1065"/>
      <c r="B36" s="1130"/>
      <c r="C36" s="1131"/>
      <c r="D36" s="1086"/>
      <c r="E36" s="1086"/>
      <c r="F36" s="4">
        <v>2250</v>
      </c>
      <c r="G36" s="477">
        <v>5239</v>
      </c>
      <c r="H36" s="4">
        <v>2250</v>
      </c>
      <c r="I36" s="1135"/>
    </row>
    <row r="37" spans="1:9" x14ac:dyDescent="0.2">
      <c r="A37" s="1065"/>
      <c r="B37" s="1130"/>
      <c r="C37" s="1131"/>
      <c r="D37" s="4">
        <v>3200</v>
      </c>
      <c r="E37" s="4">
        <v>1993.68</v>
      </c>
      <c r="F37" s="4">
        <v>3200</v>
      </c>
      <c r="G37" s="9">
        <v>2279</v>
      </c>
      <c r="H37" s="4">
        <v>3200</v>
      </c>
      <c r="I37" s="479" t="s">
        <v>650</v>
      </c>
    </row>
    <row r="38" spans="1:9" x14ac:dyDescent="0.2">
      <c r="A38" s="1065"/>
      <c r="B38" s="1130"/>
      <c r="C38" s="1131"/>
      <c r="D38" s="4">
        <v>283</v>
      </c>
      <c r="E38" s="4">
        <v>242.74</v>
      </c>
      <c r="F38" s="4">
        <v>300</v>
      </c>
      <c r="G38" s="9">
        <v>1150</v>
      </c>
      <c r="H38" s="4">
        <v>300</v>
      </c>
      <c r="I38" s="1134" t="s">
        <v>650</v>
      </c>
    </row>
    <row r="39" spans="1:9" x14ac:dyDescent="0.2">
      <c r="A39" s="1065"/>
      <c r="B39" s="1130"/>
      <c r="C39" s="1131"/>
      <c r="D39" s="397">
        <v>67</v>
      </c>
      <c r="E39" s="397">
        <v>57.26</v>
      </c>
      <c r="F39" s="397">
        <v>100</v>
      </c>
      <c r="G39" s="480">
        <v>1210</v>
      </c>
      <c r="H39" s="4">
        <v>100</v>
      </c>
      <c r="I39" s="1136"/>
    </row>
    <row r="40" spans="1:9" x14ac:dyDescent="0.2">
      <c r="A40" s="1065"/>
      <c r="B40" s="1130"/>
      <c r="C40" s="1131"/>
      <c r="D40" s="397">
        <v>250</v>
      </c>
      <c r="E40" s="397">
        <v>249.3</v>
      </c>
      <c r="F40" s="397">
        <v>350</v>
      </c>
      <c r="G40" s="480">
        <v>2231</v>
      </c>
      <c r="H40" s="4">
        <v>350</v>
      </c>
      <c r="I40" s="1135"/>
    </row>
    <row r="41" spans="1:9" x14ac:dyDescent="0.2">
      <c r="A41" s="1031"/>
      <c r="B41" s="1132"/>
      <c r="C41" s="1133"/>
      <c r="D41" s="288">
        <v>1000</v>
      </c>
      <c r="E41" s="288">
        <v>999.58</v>
      </c>
      <c r="F41" s="288">
        <v>1000</v>
      </c>
      <c r="G41" s="481">
        <v>2314</v>
      </c>
      <c r="H41" s="4">
        <v>1000</v>
      </c>
      <c r="I41" s="479" t="s">
        <v>650</v>
      </c>
    </row>
    <row r="42" spans="1:9" x14ac:dyDescent="0.2">
      <c r="D42" s="342"/>
      <c r="E42" s="342"/>
      <c r="F42" s="342"/>
      <c r="H42" s="342"/>
      <c r="I42" s="342"/>
    </row>
    <row r="43" spans="1:9" x14ac:dyDescent="0.2">
      <c r="A43" s="1" t="s">
        <v>399</v>
      </c>
    </row>
    <row r="44" spans="1:9" x14ac:dyDescent="0.2">
      <c r="A44" s="274" t="s">
        <v>652</v>
      </c>
    </row>
    <row r="45" spans="1:9" x14ac:dyDescent="0.2">
      <c r="B45" s="1" t="s">
        <v>653</v>
      </c>
    </row>
    <row r="46" spans="1:9" x14ac:dyDescent="0.2">
      <c r="A46" s="274" t="s">
        <v>654</v>
      </c>
    </row>
    <row r="47" spans="1:9" x14ac:dyDescent="0.2">
      <c r="A47" s="274" t="s">
        <v>655</v>
      </c>
    </row>
    <row r="48" spans="1:9" x14ac:dyDescent="0.2">
      <c r="A48" s="274" t="s">
        <v>656</v>
      </c>
    </row>
    <row r="49" spans="1:10" x14ac:dyDescent="0.2">
      <c r="B49" s="1" t="s">
        <v>657</v>
      </c>
    </row>
    <row r="50" spans="1:10" x14ac:dyDescent="0.2">
      <c r="A50" s="274" t="s">
        <v>658</v>
      </c>
    </row>
    <row r="51" spans="1:10" x14ac:dyDescent="0.2">
      <c r="A51" s="482"/>
    </row>
    <row r="52" spans="1:10" x14ac:dyDescent="0.2">
      <c r="A52" s="411" t="s">
        <v>400</v>
      </c>
    </row>
    <row r="53" spans="1:10" x14ac:dyDescent="0.2">
      <c r="B53" s="1" t="s">
        <v>659</v>
      </c>
      <c r="D53" s="2"/>
      <c r="E53" s="2"/>
      <c r="F53" s="2"/>
      <c r="G53" s="2"/>
      <c r="H53" s="2"/>
      <c r="I53" s="2"/>
      <c r="J53" s="2"/>
    </row>
    <row r="54" spans="1:10" x14ac:dyDescent="0.2">
      <c r="A54" s="274" t="s">
        <v>660</v>
      </c>
    </row>
    <row r="55" spans="1:10" x14ac:dyDescent="0.2">
      <c r="B55" s="1" t="s">
        <v>554</v>
      </c>
    </row>
    <row r="56" spans="1:10" x14ac:dyDescent="0.2">
      <c r="A56" s="274" t="s">
        <v>661</v>
      </c>
    </row>
    <row r="57" spans="1:10" x14ac:dyDescent="0.2">
      <c r="B57" s="1" t="s">
        <v>662</v>
      </c>
    </row>
    <row r="58" spans="1:10" x14ac:dyDescent="0.2">
      <c r="A58" s="274" t="s">
        <v>663</v>
      </c>
    </row>
    <row r="59" spans="1:10" x14ac:dyDescent="0.2">
      <c r="A59" s="274" t="s">
        <v>664</v>
      </c>
    </row>
    <row r="60" spans="1:10" x14ac:dyDescent="0.2">
      <c r="A60" s="274" t="s">
        <v>665</v>
      </c>
    </row>
    <row r="61" spans="1:10" x14ac:dyDescent="0.2">
      <c r="A61" s="274" t="s">
        <v>666</v>
      </c>
    </row>
    <row r="62" spans="1:10" x14ac:dyDescent="0.2">
      <c r="B62" s="1" t="s">
        <v>667</v>
      </c>
    </row>
    <row r="63" spans="1:10" x14ac:dyDescent="0.2">
      <c r="A63" s="274" t="s">
        <v>668</v>
      </c>
    </row>
    <row r="64" spans="1:10" x14ac:dyDescent="0.2">
      <c r="B64" s="1" t="s">
        <v>669</v>
      </c>
    </row>
    <row r="65" spans="1:2" x14ac:dyDescent="0.2">
      <c r="A65" s="274" t="s">
        <v>670</v>
      </c>
    </row>
    <row r="66" spans="1:2" x14ac:dyDescent="0.2">
      <c r="B66" s="1" t="s">
        <v>671</v>
      </c>
    </row>
    <row r="67" spans="1:2" x14ac:dyDescent="0.2">
      <c r="A67" s="274" t="s">
        <v>672</v>
      </c>
    </row>
    <row r="68" spans="1:2" x14ac:dyDescent="0.2">
      <c r="B68" s="1" t="s">
        <v>673</v>
      </c>
    </row>
    <row r="69" spans="1:2" x14ac:dyDescent="0.2">
      <c r="A69" s="274" t="s">
        <v>674</v>
      </c>
    </row>
  </sheetData>
  <sheetProtection algorithmName="SHA-512" hashValue="H6tkrUC3zQ7DiHtakgTWBFTZop1ZbTrFA+YMu2ZabeBf1HWSaLYiEndN0N2hLU5oxLmQCUtVITlyJWU0rhz29A==" saltValue="8ABzR+dvI+nJstm8RhQ7sw==" spinCount="100000" sheet="1" objects="1" scenarios="1" selectLockedCells="1" selectUnlockedCells="1"/>
  <mergeCells count="43">
    <mergeCell ref="A9:C9"/>
    <mergeCell ref="A1:B1"/>
    <mergeCell ref="C1:I1"/>
    <mergeCell ref="A2:B2"/>
    <mergeCell ref="C2:I2"/>
    <mergeCell ref="A3:I3"/>
    <mergeCell ref="A5:B5"/>
    <mergeCell ref="C5:I5"/>
    <mergeCell ref="A6:B6"/>
    <mergeCell ref="C6:I6"/>
    <mergeCell ref="A7:B7"/>
    <mergeCell ref="C7:I7"/>
    <mergeCell ref="B8:C8"/>
    <mergeCell ref="B10:C10"/>
    <mergeCell ref="B11:C11"/>
    <mergeCell ref="B12:C12"/>
    <mergeCell ref="B13:C13"/>
    <mergeCell ref="A14:A15"/>
    <mergeCell ref="B14:C15"/>
    <mergeCell ref="A27:B27"/>
    <mergeCell ref="C27:I27"/>
    <mergeCell ref="I14:I15"/>
    <mergeCell ref="B16:C16"/>
    <mergeCell ref="B17:C17"/>
    <mergeCell ref="A19:B19"/>
    <mergeCell ref="C19:I19"/>
    <mergeCell ref="A20:B20"/>
    <mergeCell ref="C20:I20"/>
    <mergeCell ref="B21:C21"/>
    <mergeCell ref="A22:C22"/>
    <mergeCell ref="B23:C23"/>
    <mergeCell ref="B24:C24"/>
    <mergeCell ref="B25:C25"/>
    <mergeCell ref="A28:B28"/>
    <mergeCell ref="C28:I28"/>
    <mergeCell ref="B29:C29"/>
    <mergeCell ref="A30:C30"/>
    <mergeCell ref="A31:A41"/>
    <mergeCell ref="B31:C41"/>
    <mergeCell ref="D35:D36"/>
    <mergeCell ref="E35:E36"/>
    <mergeCell ref="I35:I36"/>
    <mergeCell ref="I38:I40"/>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&amp;R&amp;"Times New Roman,Regular"&amp;8
13.pielikums Jūrmalas pilsētas domes
2016.gada 16.decembra saistošajiem noteikumiem Nr.47
(protokols Nr.19, 19.punkts)</first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view="pageLayout" zoomScaleNormal="100" workbookViewId="0">
      <selection activeCell="B28" sqref="B28:C29"/>
    </sheetView>
  </sheetViews>
  <sheetFormatPr defaultRowHeight="12" x14ac:dyDescent="0.2"/>
  <cols>
    <col min="1" max="1" width="6.140625" style="1" customWidth="1"/>
    <col min="2" max="2" width="17.28515625" style="1" customWidth="1"/>
    <col min="3" max="3" width="23.5703125" style="1" customWidth="1"/>
    <col min="4" max="4" width="11.85546875" style="1" hidden="1" customWidth="1"/>
    <col min="5" max="5" width="11.140625" style="1" hidden="1" customWidth="1"/>
    <col min="6" max="6" width="2.28515625" style="1" hidden="1" customWidth="1"/>
    <col min="7" max="7" width="10.5703125" style="1" customWidth="1"/>
    <col min="8" max="8" width="9.7109375" style="1" customWidth="1"/>
    <col min="9" max="9" width="15.7109375" style="1" customWidth="1"/>
    <col min="10" max="16384" width="9.140625" style="1"/>
  </cols>
  <sheetData>
    <row r="1" spans="1:9" x14ac:dyDescent="0.2">
      <c r="A1" s="1016" t="s">
        <v>8</v>
      </c>
      <c r="B1" s="1016"/>
      <c r="C1" s="1016" t="s">
        <v>15</v>
      </c>
      <c r="D1" s="1016"/>
      <c r="E1" s="1016"/>
      <c r="F1" s="1016"/>
      <c r="G1" s="1016"/>
      <c r="H1" s="1016"/>
      <c r="I1" s="1016"/>
    </row>
    <row r="2" spans="1:9" x14ac:dyDescent="0.2">
      <c r="A2" s="1016" t="s">
        <v>7</v>
      </c>
      <c r="B2" s="1016"/>
      <c r="C2" s="1016">
        <v>90000056357</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80"/>
      <c r="B4" s="280"/>
      <c r="C4" s="280"/>
      <c r="D4" s="280"/>
      <c r="E4" s="280"/>
      <c r="F4" s="280"/>
      <c r="G4" s="280"/>
      <c r="H4" s="280"/>
      <c r="I4" s="280"/>
    </row>
    <row r="5" spans="1:9" ht="15.75" x14ac:dyDescent="0.25">
      <c r="A5" s="1016" t="s">
        <v>10</v>
      </c>
      <c r="B5" s="1016"/>
      <c r="C5" s="1017" t="s">
        <v>1325</v>
      </c>
      <c r="D5" s="1017"/>
      <c r="E5" s="1017"/>
      <c r="F5" s="1017"/>
      <c r="G5" s="1017"/>
      <c r="H5" s="1017"/>
      <c r="I5" s="1017"/>
    </row>
    <row r="6" spans="1:9" x14ac:dyDescent="0.2">
      <c r="A6" s="1016" t="s">
        <v>6</v>
      </c>
      <c r="B6" s="1016"/>
      <c r="C6" s="279" t="s">
        <v>1326</v>
      </c>
      <c r="D6" s="279"/>
      <c r="E6" s="279"/>
      <c r="F6" s="279"/>
      <c r="G6" s="279"/>
      <c r="H6" s="279"/>
      <c r="I6" s="279"/>
    </row>
    <row r="7" spans="1:9" x14ac:dyDescent="0.2">
      <c r="A7" s="1016" t="s">
        <v>5</v>
      </c>
      <c r="B7" s="1016"/>
      <c r="C7" s="1019" t="s">
        <v>1327</v>
      </c>
      <c r="D7" s="1019"/>
      <c r="E7" s="1019"/>
      <c r="F7" s="1019"/>
      <c r="G7" s="1019"/>
      <c r="H7" s="1019"/>
      <c r="I7" s="1019"/>
    </row>
    <row r="8" spans="1:9" ht="90" customHeight="1" x14ac:dyDescent="0.2">
      <c r="A8" s="424" t="s">
        <v>4</v>
      </c>
      <c r="B8" s="1020" t="s">
        <v>3</v>
      </c>
      <c r="C8" s="1021"/>
      <c r="D8" s="424" t="s">
        <v>11</v>
      </c>
      <c r="E8" s="424" t="s">
        <v>12</v>
      </c>
      <c r="F8" s="424" t="s">
        <v>13</v>
      </c>
      <c r="G8" s="424" t="s">
        <v>2</v>
      </c>
      <c r="H8" s="424" t="s">
        <v>180</v>
      </c>
      <c r="I8" s="424" t="s">
        <v>1</v>
      </c>
    </row>
    <row r="9" spans="1:9" ht="12.75" customHeight="1" x14ac:dyDescent="0.2">
      <c r="A9" s="1022" t="s">
        <v>14</v>
      </c>
      <c r="B9" s="1023"/>
      <c r="C9" s="1024"/>
      <c r="D9" s="7">
        <f>SUM(D10:D17)</f>
        <v>98150</v>
      </c>
      <c r="E9" s="7">
        <f>SUM(E10:E17)</f>
        <v>98150</v>
      </c>
      <c r="F9" s="7">
        <f>SUM(F10:F17)</f>
        <v>112650</v>
      </c>
      <c r="G9" s="7"/>
      <c r="H9" s="7">
        <f>SUM(H10:H17)</f>
        <v>107650</v>
      </c>
      <c r="I9" s="7"/>
    </row>
    <row r="10" spans="1:9" ht="23.25" customHeight="1" x14ac:dyDescent="0.2">
      <c r="A10" s="334">
        <v>1</v>
      </c>
      <c r="B10" s="1042" t="s">
        <v>1328</v>
      </c>
      <c r="C10" s="1042"/>
      <c r="D10" s="4">
        <v>40000</v>
      </c>
      <c r="E10" s="4">
        <v>40000</v>
      </c>
      <c r="F10" s="4">
        <v>42000</v>
      </c>
      <c r="G10" s="481">
        <v>2244</v>
      </c>
      <c r="H10" s="4">
        <v>40000</v>
      </c>
      <c r="I10" s="751" t="s">
        <v>1329</v>
      </c>
    </row>
    <row r="11" spans="1:9" x14ac:dyDescent="0.2">
      <c r="A11" s="334">
        <v>2</v>
      </c>
      <c r="B11" s="1042" t="s">
        <v>1330</v>
      </c>
      <c r="C11" s="1042"/>
      <c r="D11" s="4">
        <v>17000</v>
      </c>
      <c r="E11" s="4">
        <v>17000</v>
      </c>
      <c r="F11" s="4">
        <v>20000</v>
      </c>
      <c r="G11" s="481">
        <v>2244</v>
      </c>
      <c r="H11" s="4">
        <v>17000</v>
      </c>
      <c r="I11" s="751" t="s">
        <v>1331</v>
      </c>
    </row>
    <row r="12" spans="1:9" x14ac:dyDescent="0.2">
      <c r="A12" s="334">
        <v>3</v>
      </c>
      <c r="B12" s="1042" t="s">
        <v>1332</v>
      </c>
      <c r="C12" s="1042"/>
      <c r="D12" s="4">
        <v>9000</v>
      </c>
      <c r="E12" s="4">
        <v>9000</v>
      </c>
      <c r="F12" s="4">
        <v>9000</v>
      </c>
      <c r="G12" s="481">
        <v>2244</v>
      </c>
      <c r="H12" s="4">
        <v>9000</v>
      </c>
      <c r="I12" s="751" t="s">
        <v>646</v>
      </c>
    </row>
    <row r="13" spans="1:9" x14ac:dyDescent="0.2">
      <c r="A13" s="334">
        <v>4</v>
      </c>
      <c r="B13" s="1042" t="s">
        <v>1333</v>
      </c>
      <c r="C13" s="1042"/>
      <c r="D13" s="4">
        <v>15000</v>
      </c>
      <c r="E13" s="4">
        <v>15000</v>
      </c>
      <c r="F13" s="4">
        <v>17000</v>
      </c>
      <c r="G13" s="481">
        <v>2244</v>
      </c>
      <c r="H13" s="4">
        <v>17000</v>
      </c>
      <c r="I13" s="751" t="s">
        <v>646</v>
      </c>
    </row>
    <row r="14" spans="1:9" x14ac:dyDescent="0.2">
      <c r="A14" s="334">
        <v>5</v>
      </c>
      <c r="B14" s="1042" t="s">
        <v>1334</v>
      </c>
      <c r="C14" s="1042"/>
      <c r="D14" s="4">
        <v>16000</v>
      </c>
      <c r="E14" s="4">
        <v>16000</v>
      </c>
      <c r="F14" s="4">
        <v>20000</v>
      </c>
      <c r="G14" s="481">
        <v>2244</v>
      </c>
      <c r="H14" s="4">
        <v>20000</v>
      </c>
      <c r="I14" s="751" t="s">
        <v>646</v>
      </c>
    </row>
    <row r="15" spans="1:9" x14ac:dyDescent="0.2">
      <c r="A15" s="778">
        <v>6</v>
      </c>
      <c r="B15" s="1042" t="s">
        <v>1335</v>
      </c>
      <c r="C15" s="1042"/>
      <c r="D15" s="397">
        <v>1000</v>
      </c>
      <c r="E15" s="397">
        <v>1000</v>
      </c>
      <c r="F15" s="397">
        <v>1000</v>
      </c>
      <c r="G15" s="480">
        <v>2279</v>
      </c>
      <c r="H15" s="4">
        <v>1000</v>
      </c>
      <c r="I15" s="751" t="s">
        <v>646</v>
      </c>
    </row>
    <row r="16" spans="1:9" x14ac:dyDescent="0.2">
      <c r="A16" s="778">
        <v>7</v>
      </c>
      <c r="B16" s="1042" t="s">
        <v>1336</v>
      </c>
      <c r="C16" s="1042"/>
      <c r="D16" s="397">
        <v>150</v>
      </c>
      <c r="E16" s="397">
        <v>150</v>
      </c>
      <c r="F16" s="397">
        <v>150</v>
      </c>
      <c r="G16" s="480">
        <v>5269</v>
      </c>
      <c r="H16" s="4">
        <v>150</v>
      </c>
      <c r="I16" s="751" t="s">
        <v>646</v>
      </c>
    </row>
    <row r="17" spans="1:10" x14ac:dyDescent="0.2">
      <c r="A17" s="778">
        <v>8</v>
      </c>
      <c r="B17" s="1025" t="s">
        <v>1337</v>
      </c>
      <c r="C17" s="1026"/>
      <c r="D17" s="397">
        <v>0</v>
      </c>
      <c r="E17" s="397">
        <v>0</v>
      </c>
      <c r="F17" s="397">
        <v>3500</v>
      </c>
      <c r="G17" s="480">
        <v>2244</v>
      </c>
      <c r="H17" s="4">
        <v>3500</v>
      </c>
      <c r="I17" s="751" t="s">
        <v>646</v>
      </c>
      <c r="J17" s="448"/>
    </row>
    <row r="18" spans="1:10" x14ac:dyDescent="0.2">
      <c r="A18" s="10"/>
      <c r="B18" s="10"/>
      <c r="C18" s="10"/>
      <c r="D18" s="10"/>
      <c r="E18" s="10"/>
      <c r="F18" s="10"/>
      <c r="G18" s="10"/>
      <c r="H18" s="10"/>
      <c r="I18" s="10"/>
    </row>
    <row r="19" spans="1:10" x14ac:dyDescent="0.2">
      <c r="A19" s="281" t="s">
        <v>399</v>
      </c>
      <c r="B19" s="281"/>
      <c r="C19" s="281"/>
      <c r="D19" s="281"/>
      <c r="E19" s="281"/>
      <c r="F19" s="281"/>
      <c r="G19" s="281"/>
      <c r="H19" s="281"/>
      <c r="I19" s="281"/>
    </row>
    <row r="20" spans="1:10" x14ac:dyDescent="0.2">
      <c r="A20" s="1" t="s">
        <v>1338</v>
      </c>
    </row>
    <row r="21" spans="1:10" x14ac:dyDescent="0.2">
      <c r="B21" s="1" t="s">
        <v>1339</v>
      </c>
    </row>
    <row r="22" spans="1:10" x14ac:dyDescent="0.2">
      <c r="C22" s="1" t="s">
        <v>1340</v>
      </c>
    </row>
    <row r="23" spans="1:10" ht="13.5" customHeight="1" x14ac:dyDescent="0.2">
      <c r="C23" s="1" t="s">
        <v>1341</v>
      </c>
    </row>
    <row r="24" spans="1:10" ht="13.5" customHeight="1" x14ac:dyDescent="0.2">
      <c r="C24" s="1" t="s">
        <v>1342</v>
      </c>
    </row>
    <row r="26" spans="1:10" x14ac:dyDescent="0.2">
      <c r="A26" s="2"/>
      <c r="B26" s="2"/>
      <c r="C26" s="2"/>
      <c r="D26" s="2"/>
      <c r="E26" s="2"/>
      <c r="F26" s="2"/>
      <c r="G26" s="2"/>
      <c r="H26" s="2"/>
      <c r="I26" s="2"/>
      <c r="J26" s="2"/>
    </row>
  </sheetData>
  <sheetProtection algorithmName="SHA-512" hashValue="aeFJfdCf+FwMsr2q2AWhV0mjKvxXUZCSKcyDl90rinmhNy3xoLY6o7cBg28kzAGy4hvxZmpfWKAkCoZXXlV4Xw==" saltValue="+WEJeO6HOSXaj6QSVfLPFg==" spinCount="100000" sheet="1" objects="1" scenarios="1" selectLockedCells="1" selectUnlockedCells="1"/>
  <mergeCells count="20">
    <mergeCell ref="B17:C17"/>
    <mergeCell ref="B11:C11"/>
    <mergeCell ref="B12:C12"/>
    <mergeCell ref="B13:C13"/>
    <mergeCell ref="B14:C14"/>
    <mergeCell ref="B15:C15"/>
    <mergeCell ref="B16:C16"/>
    <mergeCell ref="B10:C10"/>
    <mergeCell ref="A1:B1"/>
    <mergeCell ref="C1:I1"/>
    <mergeCell ref="A2:B2"/>
    <mergeCell ref="C2:I2"/>
    <mergeCell ref="A3:I3"/>
    <mergeCell ref="A5:B5"/>
    <mergeCell ref="C5:I5"/>
    <mergeCell ref="A6:B6"/>
    <mergeCell ref="A7:B7"/>
    <mergeCell ref="C7:I7"/>
    <mergeCell ref="B8:C8"/>
    <mergeCell ref="A9:C9"/>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Roman,Regular"&amp;8&amp;D;&amp;T&amp;R&amp;"Times New Roman,Regular"&amp;8&amp;P(&amp;N)</oddFooter>
    <firstHeader xml:space="preserve">&amp;R&amp;"Times New Roman,Regular"&amp;8
14.pielikums Jūrmalas pilsētas domes
2016.gada 16.decembra saistošajiem noteikumiem Nr.47
(protokols Nr.19, 19.punkts) </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9"/>
  <sheetViews>
    <sheetView view="pageLayout" zoomScaleNormal="100" workbookViewId="0">
      <selection activeCell="A28" sqref="A28:I29"/>
    </sheetView>
  </sheetViews>
  <sheetFormatPr defaultRowHeight="12" x14ac:dyDescent="0.25"/>
  <cols>
    <col min="1" max="1" width="6.140625" style="471" customWidth="1"/>
    <col min="2" max="2" width="17.28515625" style="281" customWidth="1"/>
    <col min="3" max="3" width="24" style="281" customWidth="1"/>
    <col min="4" max="4" width="11.85546875" style="281" hidden="1" customWidth="1"/>
    <col min="5" max="5" width="11.140625" style="281" hidden="1" customWidth="1"/>
    <col min="6" max="6" width="10.28515625" style="281" hidden="1" customWidth="1"/>
    <col min="7" max="7" width="10.5703125" style="281" customWidth="1"/>
    <col min="8" max="8" width="10.42578125" style="281" customWidth="1"/>
    <col min="9" max="9" width="16.85546875" style="281" customWidth="1"/>
    <col min="10" max="10" width="10.28515625" style="281" customWidth="1"/>
    <col min="11" max="16384" width="9.140625" style="281"/>
  </cols>
  <sheetData>
    <row r="1" spans="1:9" x14ac:dyDescent="0.25">
      <c r="A1" s="1079" t="s">
        <v>8</v>
      </c>
      <c r="B1" s="1079"/>
      <c r="C1" s="1079" t="s">
        <v>15</v>
      </c>
      <c r="D1" s="1079"/>
      <c r="E1" s="1079"/>
      <c r="F1" s="1079"/>
      <c r="G1" s="1079"/>
      <c r="H1" s="1079"/>
      <c r="I1" s="1079"/>
    </row>
    <row r="2" spans="1:9" x14ac:dyDescent="0.25">
      <c r="A2" s="1079" t="s">
        <v>7</v>
      </c>
      <c r="B2" s="1079"/>
      <c r="C2" s="1079">
        <v>90000056357</v>
      </c>
      <c r="D2" s="1079"/>
      <c r="E2" s="1079"/>
      <c r="F2" s="1079"/>
      <c r="G2" s="1079"/>
      <c r="H2" s="1079"/>
      <c r="I2" s="1079"/>
    </row>
    <row r="3" spans="1:9" ht="15.75" x14ac:dyDescent="0.25">
      <c r="A3" s="1097" t="s">
        <v>9</v>
      </c>
      <c r="B3" s="1097"/>
      <c r="C3" s="1097"/>
      <c r="D3" s="1097"/>
      <c r="E3" s="1097"/>
      <c r="F3" s="1097"/>
      <c r="G3" s="1097"/>
      <c r="H3" s="1097"/>
      <c r="I3" s="1097"/>
    </row>
    <row r="4" spans="1:9" ht="15.75" x14ac:dyDescent="0.25">
      <c r="A4" s="282"/>
      <c r="B4" s="282"/>
      <c r="C4" s="282"/>
      <c r="D4" s="282"/>
      <c r="E4" s="282"/>
      <c r="F4" s="282"/>
      <c r="G4" s="282"/>
      <c r="H4" s="282"/>
      <c r="I4" s="282"/>
    </row>
    <row r="5" spans="1:9" ht="15.75" x14ac:dyDescent="0.25">
      <c r="A5" s="1079" t="s">
        <v>10</v>
      </c>
      <c r="B5" s="1079"/>
      <c r="C5" s="1098" t="s">
        <v>1343</v>
      </c>
      <c r="D5" s="1098"/>
      <c r="E5" s="1098"/>
      <c r="F5" s="1098"/>
      <c r="G5" s="1098"/>
      <c r="H5" s="1098"/>
      <c r="I5" s="1098"/>
    </row>
    <row r="6" spans="1:9" x14ac:dyDescent="0.25">
      <c r="A6" s="1079" t="s">
        <v>6</v>
      </c>
      <c r="B6" s="1079"/>
      <c r="C6" s="1079" t="s">
        <v>1344</v>
      </c>
      <c r="D6" s="1079"/>
      <c r="E6" s="1079"/>
      <c r="F6" s="1079"/>
      <c r="G6" s="1079"/>
      <c r="H6" s="1079"/>
      <c r="I6" s="1079"/>
    </row>
    <row r="7" spans="1:9" x14ac:dyDescent="0.25">
      <c r="A7" s="1079" t="s">
        <v>5</v>
      </c>
      <c r="B7" s="1079"/>
      <c r="C7" s="1143" t="s">
        <v>1345</v>
      </c>
      <c r="D7" s="1096"/>
      <c r="E7" s="1096"/>
      <c r="F7" s="1096"/>
      <c r="G7" s="1096"/>
      <c r="H7" s="1096"/>
      <c r="I7" s="1096"/>
    </row>
    <row r="8" spans="1:9" ht="49.5" customHeight="1" x14ac:dyDescent="0.25">
      <c r="A8" s="424" t="s">
        <v>4</v>
      </c>
      <c r="B8" s="1020" t="s">
        <v>3</v>
      </c>
      <c r="C8" s="1021"/>
      <c r="D8" s="424" t="s">
        <v>11</v>
      </c>
      <c r="E8" s="424" t="s">
        <v>12</v>
      </c>
      <c r="F8" s="424" t="s">
        <v>13</v>
      </c>
      <c r="G8" s="424" t="s">
        <v>2</v>
      </c>
      <c r="H8" s="424" t="s">
        <v>180</v>
      </c>
      <c r="I8" s="424" t="s">
        <v>1</v>
      </c>
    </row>
    <row r="9" spans="1:9" ht="12.75" customHeight="1" x14ac:dyDescent="0.25">
      <c r="A9" s="1022" t="s">
        <v>14</v>
      </c>
      <c r="B9" s="1023"/>
      <c r="C9" s="1024"/>
      <c r="D9" s="7" t="e">
        <f>D10+D11+D12+D15+#REF!+D16+#REF!+D17+D18+D19+D20+D21+D22+D23+D24+D25+#REF!</f>
        <v>#REF!</v>
      </c>
      <c r="E9" s="7" t="e">
        <f>E10+E11+E12+E15+#REF!+E16+#REF!+E17+E18+E19+E20+E21+E22+E23+E24+E25+#REF!</f>
        <v>#REF!</v>
      </c>
      <c r="F9" s="7" t="e">
        <f>F10+F11+F12+F15+#REF!+F16+#REF!+F17+F18+F19+F20+F21+F22+F23+F24+F25+#REF!</f>
        <v>#REF!</v>
      </c>
      <c r="G9" s="7"/>
      <c r="H9" s="7">
        <f>SUM(H10:H25)</f>
        <v>2208908</v>
      </c>
      <c r="I9" s="7"/>
    </row>
    <row r="10" spans="1:9" ht="36" x14ac:dyDescent="0.25">
      <c r="A10" s="334">
        <v>1</v>
      </c>
      <c r="B10" s="1025" t="s">
        <v>1346</v>
      </c>
      <c r="C10" s="1026"/>
      <c r="D10" s="4">
        <v>586700</v>
      </c>
      <c r="E10" s="4">
        <v>586700</v>
      </c>
      <c r="F10" s="4">
        <v>631251</v>
      </c>
      <c r="G10" s="286">
        <v>2244</v>
      </c>
      <c r="H10" s="4">
        <v>615700</v>
      </c>
      <c r="I10" s="4" t="s">
        <v>1347</v>
      </c>
    </row>
    <row r="11" spans="1:9" x14ac:dyDescent="0.25">
      <c r="A11" s="334">
        <v>2</v>
      </c>
      <c r="B11" s="1025" t="s">
        <v>1348</v>
      </c>
      <c r="C11" s="1026"/>
      <c r="D11" s="4">
        <v>354600</v>
      </c>
      <c r="E11" s="4">
        <v>354600</v>
      </c>
      <c r="F11" s="4">
        <v>354600</v>
      </c>
      <c r="G11" s="286">
        <v>2244</v>
      </c>
      <c r="H11" s="4">
        <v>300000</v>
      </c>
      <c r="I11" s="4" t="s">
        <v>1349</v>
      </c>
    </row>
    <row r="12" spans="1:9" ht="12" customHeight="1" x14ac:dyDescent="0.25">
      <c r="A12" s="334">
        <v>3</v>
      </c>
      <c r="B12" s="1025" t="s">
        <v>1350</v>
      </c>
      <c r="C12" s="1026"/>
      <c r="D12" s="9">
        <f>D13+D14</f>
        <v>71400</v>
      </c>
      <c r="E12" s="9">
        <f>E13+E14</f>
        <v>71400</v>
      </c>
      <c r="F12" s="9">
        <f>F13+F14</f>
        <v>51704</v>
      </c>
      <c r="G12" s="286"/>
      <c r="H12" s="9"/>
      <c r="I12" s="4"/>
    </row>
    <row r="13" spans="1:9" ht="12.75" customHeight="1" x14ac:dyDescent="0.25">
      <c r="A13" s="905" t="s">
        <v>464</v>
      </c>
      <c r="B13" s="1025" t="s">
        <v>1351</v>
      </c>
      <c r="C13" s="1026"/>
      <c r="D13" s="4">
        <v>42399</v>
      </c>
      <c r="E13" s="4">
        <v>42399</v>
      </c>
      <c r="F13" s="4">
        <v>28071</v>
      </c>
      <c r="G13" s="286">
        <v>5239</v>
      </c>
      <c r="H13" s="4">
        <v>28071</v>
      </c>
      <c r="I13" s="4" t="s">
        <v>1349</v>
      </c>
    </row>
    <row r="14" spans="1:9" ht="12" customHeight="1" x14ac:dyDescent="0.25">
      <c r="A14" s="334" t="s">
        <v>684</v>
      </c>
      <c r="B14" s="1025" t="s">
        <v>1352</v>
      </c>
      <c r="C14" s="1026"/>
      <c r="D14" s="4">
        <v>29001</v>
      </c>
      <c r="E14" s="4">
        <v>29001</v>
      </c>
      <c r="F14" s="4">
        <f>23633</f>
        <v>23633</v>
      </c>
      <c r="G14" s="286">
        <v>2244</v>
      </c>
      <c r="H14" s="4">
        <v>23633</v>
      </c>
      <c r="I14" s="4" t="s">
        <v>1349</v>
      </c>
    </row>
    <row r="15" spans="1:9" x14ac:dyDescent="0.25">
      <c r="A15" s="334">
        <v>4</v>
      </c>
      <c r="B15" s="1144" t="s">
        <v>1353</v>
      </c>
      <c r="C15" s="1145"/>
      <c r="D15" s="4">
        <v>8654</v>
      </c>
      <c r="E15" s="4">
        <v>8654</v>
      </c>
      <c r="F15" s="4">
        <v>9463</v>
      </c>
      <c r="G15" s="286">
        <v>2244</v>
      </c>
      <c r="H15" s="4">
        <v>8654</v>
      </c>
      <c r="I15" s="4" t="s">
        <v>1349</v>
      </c>
    </row>
    <row r="16" spans="1:9" x14ac:dyDescent="0.25">
      <c r="A16" s="334">
        <v>5</v>
      </c>
      <c r="B16" s="1144" t="s">
        <v>1354</v>
      </c>
      <c r="C16" s="1145"/>
      <c r="D16" s="4">
        <v>192041</v>
      </c>
      <c r="E16" s="4">
        <v>192041</v>
      </c>
      <c r="F16" s="288">
        <v>198729</v>
      </c>
      <c r="G16" s="286">
        <v>2244</v>
      </c>
      <c r="H16" s="4">
        <v>192041</v>
      </c>
      <c r="I16" s="4" t="s">
        <v>1355</v>
      </c>
    </row>
    <row r="17" spans="1:9" ht="24" x14ac:dyDescent="0.25">
      <c r="A17" s="778">
        <v>6</v>
      </c>
      <c r="B17" s="1144" t="s">
        <v>1356</v>
      </c>
      <c r="C17" s="1145"/>
      <c r="D17" s="397">
        <v>156646</v>
      </c>
      <c r="E17" s="397">
        <v>156646</v>
      </c>
      <c r="F17" s="397">
        <v>156646</v>
      </c>
      <c r="G17" s="413">
        <v>2244</v>
      </c>
      <c r="H17" s="4">
        <v>156646</v>
      </c>
      <c r="I17" s="283" t="s">
        <v>1357</v>
      </c>
    </row>
    <row r="18" spans="1:9" ht="24" customHeight="1" x14ac:dyDescent="0.25">
      <c r="A18" s="778">
        <v>7</v>
      </c>
      <c r="B18" s="1025" t="s">
        <v>1358</v>
      </c>
      <c r="C18" s="1026"/>
      <c r="D18" s="397">
        <v>165030</v>
      </c>
      <c r="E18" s="397">
        <v>165030</v>
      </c>
      <c r="F18" s="397">
        <v>165030</v>
      </c>
      <c r="G18" s="413">
        <v>2244</v>
      </c>
      <c r="H18" s="4">
        <v>130000</v>
      </c>
      <c r="I18" s="283" t="s">
        <v>1359</v>
      </c>
    </row>
    <row r="19" spans="1:9" x14ac:dyDescent="0.25">
      <c r="A19" s="334">
        <v>8</v>
      </c>
      <c r="B19" s="1144" t="s">
        <v>1360</v>
      </c>
      <c r="C19" s="1145"/>
      <c r="D19" s="481" t="e">
        <f>#REF!+#REF!</f>
        <v>#REF!</v>
      </c>
      <c r="E19" s="481" t="e">
        <f>#REF!+#REF!</f>
        <v>#REF!</v>
      </c>
      <c r="F19" s="481" t="e">
        <f>#REF!+#REF!</f>
        <v>#REF!</v>
      </c>
      <c r="G19" s="286">
        <v>2244</v>
      </c>
      <c r="H19" s="4">
        <v>458917</v>
      </c>
      <c r="I19" s="4" t="s">
        <v>1361</v>
      </c>
    </row>
    <row r="20" spans="1:9" x14ac:dyDescent="0.25">
      <c r="A20" s="334">
        <v>9</v>
      </c>
      <c r="B20" s="1025" t="s">
        <v>1362</v>
      </c>
      <c r="C20" s="1026"/>
      <c r="D20" s="288">
        <v>159929</v>
      </c>
      <c r="E20" s="288">
        <v>159929</v>
      </c>
      <c r="F20" s="288">
        <v>180000</v>
      </c>
      <c r="G20" s="286">
        <v>2244</v>
      </c>
      <c r="H20" s="4">
        <v>150000</v>
      </c>
      <c r="I20" s="4" t="s">
        <v>629</v>
      </c>
    </row>
    <row r="21" spans="1:9" x14ac:dyDescent="0.25">
      <c r="A21" s="334">
        <v>10</v>
      </c>
      <c r="B21" s="1025" t="s">
        <v>1363</v>
      </c>
      <c r="C21" s="1026"/>
      <c r="D21" s="288">
        <v>78528</v>
      </c>
      <c r="E21" s="288">
        <v>78528</v>
      </c>
      <c r="F21" s="288">
        <v>78528</v>
      </c>
      <c r="G21" s="286">
        <v>2244</v>
      </c>
      <c r="H21" s="4">
        <v>78528</v>
      </c>
      <c r="I21" s="4" t="s">
        <v>1364</v>
      </c>
    </row>
    <row r="22" spans="1:9" x14ac:dyDescent="0.25">
      <c r="A22" s="334">
        <v>11</v>
      </c>
      <c r="B22" s="1025" t="s">
        <v>1365</v>
      </c>
      <c r="C22" s="1026"/>
      <c r="D22" s="288">
        <v>9000</v>
      </c>
      <c r="E22" s="288">
        <v>9000</v>
      </c>
      <c r="F22" s="288">
        <v>9000</v>
      </c>
      <c r="G22" s="286">
        <v>2244</v>
      </c>
      <c r="H22" s="4">
        <v>9000</v>
      </c>
      <c r="I22" s="4" t="s">
        <v>1364</v>
      </c>
    </row>
    <row r="23" spans="1:9" x14ac:dyDescent="0.25">
      <c r="A23" s="334">
        <v>12</v>
      </c>
      <c r="B23" s="1025" t="s">
        <v>1366</v>
      </c>
      <c r="C23" s="1026"/>
      <c r="D23" s="288">
        <v>17075</v>
      </c>
      <c r="E23" s="288">
        <v>14201</v>
      </c>
      <c r="F23" s="288">
        <v>17075</v>
      </c>
      <c r="G23" s="286">
        <v>2279</v>
      </c>
      <c r="H23" s="4">
        <v>17075</v>
      </c>
      <c r="I23" s="4" t="s">
        <v>1364</v>
      </c>
    </row>
    <row r="24" spans="1:9" ht="24" customHeight="1" x14ac:dyDescent="0.25">
      <c r="A24" s="334">
        <v>13</v>
      </c>
      <c r="B24" s="1025" t="s">
        <v>1367</v>
      </c>
      <c r="C24" s="1026"/>
      <c r="D24" s="288">
        <v>0</v>
      </c>
      <c r="E24" s="288">
        <v>0</v>
      </c>
      <c r="F24" s="288">
        <v>26057</v>
      </c>
      <c r="G24" s="286">
        <v>2244</v>
      </c>
      <c r="H24" s="283">
        <v>19022</v>
      </c>
      <c r="I24" s="4" t="s">
        <v>1355</v>
      </c>
    </row>
    <row r="25" spans="1:9" ht="24.75" customHeight="1" x14ac:dyDescent="0.25">
      <c r="A25" s="334">
        <v>14</v>
      </c>
      <c r="B25" s="1025" t="s">
        <v>1368</v>
      </c>
      <c r="C25" s="1026"/>
      <c r="D25" s="288">
        <v>0</v>
      </c>
      <c r="E25" s="288">
        <v>0</v>
      </c>
      <c r="F25" s="288">
        <v>21621</v>
      </c>
      <c r="G25" s="286">
        <v>2244</v>
      </c>
      <c r="H25" s="283">
        <v>21621</v>
      </c>
      <c r="I25" s="4" t="s">
        <v>1355</v>
      </c>
    </row>
    <row r="26" spans="1:9" x14ac:dyDescent="0.25">
      <c r="A26" s="454"/>
      <c r="B26" s="10"/>
      <c r="C26" s="10"/>
      <c r="D26" s="10"/>
      <c r="E26" s="10"/>
      <c r="F26" s="10"/>
      <c r="G26" s="10"/>
      <c r="H26" s="10"/>
      <c r="I26" s="10"/>
    </row>
    <row r="27" spans="1:9" x14ac:dyDescent="0.25">
      <c r="A27" s="1079" t="s">
        <v>6</v>
      </c>
      <c r="B27" s="1079"/>
      <c r="C27" s="1079" t="s">
        <v>1369</v>
      </c>
      <c r="D27" s="1079"/>
      <c r="E27" s="1079"/>
      <c r="F27" s="1079"/>
      <c r="G27" s="1079"/>
      <c r="H27" s="1079"/>
      <c r="I27" s="1079"/>
    </row>
    <row r="28" spans="1:9" x14ac:dyDescent="0.25">
      <c r="A28" s="1079" t="s">
        <v>5</v>
      </c>
      <c r="B28" s="1079"/>
      <c r="C28" s="1146" t="s">
        <v>1232</v>
      </c>
      <c r="D28" s="1146"/>
      <c r="E28" s="1146"/>
      <c r="F28" s="1146"/>
      <c r="G28" s="1146"/>
      <c r="H28" s="1146"/>
      <c r="I28" s="1146"/>
    </row>
    <row r="29" spans="1:9" ht="52.5" customHeight="1" x14ac:dyDescent="0.25">
      <c r="A29" s="424" t="s">
        <v>4</v>
      </c>
      <c r="B29" s="1020" t="s">
        <v>3</v>
      </c>
      <c r="C29" s="1021"/>
      <c r="D29" s="424" t="s">
        <v>11</v>
      </c>
      <c r="E29" s="424" t="s">
        <v>12</v>
      </c>
      <c r="F29" s="424" t="s">
        <v>13</v>
      </c>
      <c r="G29" s="424" t="s">
        <v>2</v>
      </c>
      <c r="H29" s="424" t="s">
        <v>180</v>
      </c>
      <c r="I29" s="424" t="s">
        <v>1</v>
      </c>
    </row>
    <row r="30" spans="1:9" x14ac:dyDescent="0.25">
      <c r="A30" s="1022" t="s">
        <v>14</v>
      </c>
      <c r="B30" s="1023"/>
      <c r="C30" s="1024"/>
      <c r="D30" s="7" t="e">
        <f>D31+D34+#REF!+D35+D38+D39+#REF!+#REF!+#REF!+#REF!+#REF!+#REF!+#REF!</f>
        <v>#REF!</v>
      </c>
      <c r="E30" s="7" t="e">
        <f>E31+E34+#REF!+E35+E38+E39+#REF!+#REF!+#REF!+#REF!+#REF!+#REF!+#REF!</f>
        <v>#REF!</v>
      </c>
      <c r="F30" s="7" t="e">
        <f>F31+F34+#REF!+F35+F38+F39+#REF!+#REF!+#REF!+#REF!+#REF!+#REF!+#REF!</f>
        <v>#REF!</v>
      </c>
      <c r="G30" s="7"/>
      <c r="H30" s="7">
        <f>SUM(H31:H46)</f>
        <v>81037</v>
      </c>
      <c r="I30" s="7"/>
    </row>
    <row r="31" spans="1:9" ht="24" customHeight="1" x14ac:dyDescent="0.25">
      <c r="A31" s="334">
        <v>1</v>
      </c>
      <c r="B31" s="1025" t="s">
        <v>1370</v>
      </c>
      <c r="C31" s="1026"/>
      <c r="D31" s="9">
        <f>D32+D33</f>
        <v>9687</v>
      </c>
      <c r="E31" s="9">
        <f>E32+E33</f>
        <v>9682</v>
      </c>
      <c r="F31" s="9">
        <f>F32+F33</f>
        <v>9678</v>
      </c>
      <c r="G31" s="481"/>
      <c r="H31" s="4"/>
      <c r="I31" s="4"/>
    </row>
    <row r="32" spans="1:9" ht="12.75" customHeight="1" x14ac:dyDescent="0.25">
      <c r="A32" s="334" t="s">
        <v>452</v>
      </c>
      <c r="B32" s="1025" t="s">
        <v>1371</v>
      </c>
      <c r="C32" s="1026"/>
      <c r="D32" s="4">
        <v>4839</v>
      </c>
      <c r="E32" s="4">
        <v>4839</v>
      </c>
      <c r="F32" s="4">
        <v>4839</v>
      </c>
      <c r="G32" s="481">
        <v>2243</v>
      </c>
      <c r="H32" s="4">
        <v>4839</v>
      </c>
      <c r="I32" s="4" t="s">
        <v>1349</v>
      </c>
    </row>
    <row r="33" spans="1:9" x14ac:dyDescent="0.25">
      <c r="A33" s="334" t="s">
        <v>454</v>
      </c>
      <c r="B33" s="1025" t="s">
        <v>1372</v>
      </c>
      <c r="C33" s="1026"/>
      <c r="D33" s="4">
        <v>4848</v>
      </c>
      <c r="E33" s="4">
        <v>4843</v>
      </c>
      <c r="F33" s="4">
        <v>4839</v>
      </c>
      <c r="G33" s="481">
        <v>2312</v>
      </c>
      <c r="H33" s="4">
        <f>4839</f>
        <v>4839</v>
      </c>
      <c r="I33" s="4" t="s">
        <v>1349</v>
      </c>
    </row>
    <row r="34" spans="1:9" x14ac:dyDescent="0.25">
      <c r="A34" s="334">
        <v>2</v>
      </c>
      <c r="B34" s="1144" t="s">
        <v>1373</v>
      </c>
      <c r="C34" s="1145"/>
      <c r="D34" s="4">
        <v>11575</v>
      </c>
      <c r="E34" s="4">
        <v>11575</v>
      </c>
      <c r="F34" s="4">
        <v>11575</v>
      </c>
      <c r="G34" s="481">
        <v>2243</v>
      </c>
      <c r="H34" s="4">
        <v>11575</v>
      </c>
      <c r="I34" s="4" t="s">
        <v>1349</v>
      </c>
    </row>
    <row r="35" spans="1:9" ht="24" customHeight="1" x14ac:dyDescent="0.25">
      <c r="A35" s="334">
        <v>3</v>
      </c>
      <c r="B35" s="1025" t="s">
        <v>1374</v>
      </c>
      <c r="C35" s="1026"/>
      <c r="D35" s="9" t="e">
        <f>#REF!+D36+D37</f>
        <v>#REF!</v>
      </c>
      <c r="E35" s="9" t="e">
        <f>#REF!+E36+E37</f>
        <v>#REF!</v>
      </c>
      <c r="F35" s="9" t="e">
        <f>#REF!+F36+F37</f>
        <v>#REF!</v>
      </c>
      <c r="G35" s="481"/>
      <c r="H35" s="4"/>
      <c r="I35" s="4"/>
    </row>
    <row r="36" spans="1:9" ht="24" customHeight="1" x14ac:dyDescent="0.25">
      <c r="A36" s="778" t="s">
        <v>464</v>
      </c>
      <c r="B36" s="1025" t="s">
        <v>1375</v>
      </c>
      <c r="C36" s="1026"/>
      <c r="D36" s="397">
        <v>25000</v>
      </c>
      <c r="E36" s="397">
        <v>25000</v>
      </c>
      <c r="F36" s="397">
        <v>25000</v>
      </c>
      <c r="G36" s="480">
        <v>2243</v>
      </c>
      <c r="H36" s="4">
        <v>25000</v>
      </c>
      <c r="I36" s="4" t="s">
        <v>1376</v>
      </c>
    </row>
    <row r="37" spans="1:9" x14ac:dyDescent="0.25">
      <c r="A37" s="778" t="s">
        <v>684</v>
      </c>
      <c r="B37" s="1025" t="s">
        <v>1377</v>
      </c>
      <c r="C37" s="1026"/>
      <c r="D37" s="397">
        <v>1000</v>
      </c>
      <c r="E37" s="397">
        <v>976</v>
      </c>
      <c r="F37" s="397">
        <v>1000</v>
      </c>
      <c r="G37" s="480">
        <v>2244</v>
      </c>
      <c r="H37" s="4">
        <v>1000</v>
      </c>
      <c r="I37" s="4" t="s">
        <v>1376</v>
      </c>
    </row>
    <row r="38" spans="1:9" ht="12" customHeight="1" x14ac:dyDescent="0.25">
      <c r="A38" s="334">
        <v>4</v>
      </c>
      <c r="B38" s="1025" t="s">
        <v>1378</v>
      </c>
      <c r="C38" s="1026"/>
      <c r="D38" s="288">
        <v>20000</v>
      </c>
      <c r="E38" s="288">
        <v>19969</v>
      </c>
      <c r="F38" s="288">
        <v>25000</v>
      </c>
      <c r="G38" s="850">
        <v>5239</v>
      </c>
      <c r="H38" s="283">
        <v>5000</v>
      </c>
      <c r="I38" s="4" t="s">
        <v>1349</v>
      </c>
    </row>
    <row r="39" spans="1:9" ht="24" customHeight="1" x14ac:dyDescent="0.25">
      <c r="A39" s="334">
        <v>5</v>
      </c>
      <c r="B39" s="1025" t="s">
        <v>1379</v>
      </c>
      <c r="C39" s="1026"/>
      <c r="D39" s="288">
        <v>1000</v>
      </c>
      <c r="E39" s="288">
        <v>1000</v>
      </c>
      <c r="F39" s="288">
        <v>1000</v>
      </c>
      <c r="G39" s="481">
        <v>2314</v>
      </c>
      <c r="H39" s="4">
        <v>1000</v>
      </c>
      <c r="I39" s="4" t="s">
        <v>1380</v>
      </c>
    </row>
    <row r="40" spans="1:9" x14ac:dyDescent="0.25">
      <c r="A40" s="1030">
        <v>6</v>
      </c>
      <c r="B40" s="1032" t="s">
        <v>1381</v>
      </c>
      <c r="C40" s="1033"/>
      <c r="D40" s="288">
        <v>2147</v>
      </c>
      <c r="E40" s="288">
        <v>2147</v>
      </c>
      <c r="F40" s="288">
        <v>2147</v>
      </c>
      <c r="G40" s="481">
        <v>2244</v>
      </c>
      <c r="H40" s="4">
        <v>2147</v>
      </c>
      <c r="I40" s="1038" t="s">
        <v>1349</v>
      </c>
    </row>
    <row r="41" spans="1:9" x14ac:dyDescent="0.25">
      <c r="A41" s="1065"/>
      <c r="B41" s="1066"/>
      <c r="C41" s="1067"/>
      <c r="D41" s="288">
        <v>900</v>
      </c>
      <c r="E41" s="288">
        <v>900</v>
      </c>
      <c r="F41" s="288">
        <v>900</v>
      </c>
      <c r="G41" s="481">
        <v>2390</v>
      </c>
      <c r="H41" s="4">
        <v>900</v>
      </c>
      <c r="I41" s="1147"/>
    </row>
    <row r="42" spans="1:9" x14ac:dyDescent="0.25">
      <c r="A42" s="1065"/>
      <c r="B42" s="1066"/>
      <c r="C42" s="1067"/>
      <c r="D42" s="288">
        <v>1000</v>
      </c>
      <c r="E42" s="288">
        <v>1000</v>
      </c>
      <c r="F42" s="288">
        <v>1000</v>
      </c>
      <c r="G42" s="481">
        <v>2312</v>
      </c>
      <c r="H42" s="4">
        <v>1000</v>
      </c>
      <c r="I42" s="1147"/>
    </row>
    <row r="43" spans="1:9" x14ac:dyDescent="0.25">
      <c r="A43" s="1031"/>
      <c r="B43" s="1034"/>
      <c r="C43" s="1035"/>
      <c r="D43" s="288">
        <v>2524</v>
      </c>
      <c r="E43" s="288">
        <v>2524</v>
      </c>
      <c r="F43" s="288">
        <v>2524</v>
      </c>
      <c r="G43" s="481">
        <v>5239</v>
      </c>
      <c r="H43" s="4">
        <v>2524</v>
      </c>
      <c r="I43" s="1039"/>
    </row>
    <row r="44" spans="1:9" x14ac:dyDescent="0.25">
      <c r="A44" s="1030">
        <v>7</v>
      </c>
      <c r="B44" s="1032" t="s">
        <v>1382</v>
      </c>
      <c r="C44" s="1033"/>
      <c r="D44" s="288">
        <v>15592</v>
      </c>
      <c r="E44" s="288">
        <v>15592</v>
      </c>
      <c r="F44" s="288">
        <v>11979</v>
      </c>
      <c r="G44" s="481">
        <v>2244</v>
      </c>
      <c r="H44" s="4">
        <v>11979</v>
      </c>
      <c r="I44" s="1038" t="s">
        <v>1349</v>
      </c>
    </row>
    <row r="45" spans="1:9" x14ac:dyDescent="0.25">
      <c r="A45" s="1065"/>
      <c r="B45" s="1066"/>
      <c r="C45" s="1067"/>
      <c r="D45" s="288">
        <v>1500</v>
      </c>
      <c r="E45" s="288">
        <v>1500</v>
      </c>
      <c r="F45" s="288">
        <v>3000</v>
      </c>
      <c r="G45" s="481">
        <v>2223</v>
      </c>
      <c r="H45" s="4">
        <v>3000</v>
      </c>
      <c r="I45" s="1147"/>
    </row>
    <row r="46" spans="1:9" x14ac:dyDescent="0.25">
      <c r="A46" s="1031"/>
      <c r="B46" s="1034"/>
      <c r="C46" s="1035"/>
      <c r="D46" s="288">
        <v>600</v>
      </c>
      <c r="E46" s="288">
        <v>583</v>
      </c>
      <c r="F46" s="288">
        <v>6234</v>
      </c>
      <c r="G46" s="481">
        <v>2243</v>
      </c>
      <c r="H46" s="4">
        <v>6234</v>
      </c>
      <c r="I46" s="1039"/>
    </row>
    <row r="47" spans="1:9" x14ac:dyDescent="0.25">
      <c r="A47" s="454"/>
      <c r="B47" s="10"/>
      <c r="C47" s="10"/>
      <c r="D47" s="10"/>
      <c r="E47" s="10"/>
      <c r="F47" s="10"/>
      <c r="G47" s="10"/>
      <c r="H47" s="444"/>
      <c r="I47" s="444"/>
    </row>
    <row r="48" spans="1:9" x14ac:dyDescent="0.25">
      <c r="A48" s="1079" t="s">
        <v>6</v>
      </c>
      <c r="B48" s="1079"/>
      <c r="C48" s="281" t="s">
        <v>1042</v>
      </c>
    </row>
    <row r="49" spans="1:9" x14ac:dyDescent="0.25">
      <c r="A49" s="1079" t="s">
        <v>5</v>
      </c>
      <c r="B49" s="1079"/>
      <c r="C49" s="1146" t="s">
        <v>1255</v>
      </c>
      <c r="D49" s="1146"/>
      <c r="E49" s="1146"/>
      <c r="F49" s="1146"/>
      <c r="G49" s="1146"/>
      <c r="H49" s="1146"/>
      <c r="I49" s="1146"/>
    </row>
    <row r="50" spans="1:9" ht="51.75" customHeight="1" x14ac:dyDescent="0.25">
      <c r="A50" s="424" t="s">
        <v>4</v>
      </c>
      <c r="B50" s="1020" t="s">
        <v>3</v>
      </c>
      <c r="C50" s="1021"/>
      <c r="D50" s="424" t="s">
        <v>11</v>
      </c>
      <c r="E50" s="424" t="s">
        <v>12</v>
      </c>
      <c r="F50" s="424" t="s">
        <v>13</v>
      </c>
      <c r="G50" s="424" t="s">
        <v>2</v>
      </c>
      <c r="H50" s="424" t="s">
        <v>180</v>
      </c>
      <c r="I50" s="424" t="s">
        <v>1</v>
      </c>
    </row>
    <row r="51" spans="1:9" x14ac:dyDescent="0.25">
      <c r="A51" s="1022" t="s">
        <v>14</v>
      </c>
      <c r="B51" s="1023"/>
      <c r="C51" s="1024"/>
      <c r="D51" s="7" t="e">
        <f>#REF!+#REF!+D55+D56+#REF!+D57+#REF!+#REF!+#REF!+#REF!+#REF!</f>
        <v>#REF!</v>
      </c>
      <c r="E51" s="7" t="e">
        <f>#REF!+#REF!+E55+E56+#REF!+E57+#REF!+#REF!+#REF!+#REF!+#REF!</f>
        <v>#REF!</v>
      </c>
      <c r="F51" s="7" t="e">
        <f>#REF!+#REF!+F55+F56+#REF!+F57+#REF!+#REF!+#REF!+#REF!+#REF!</f>
        <v>#REF!</v>
      </c>
      <c r="G51" s="7"/>
      <c r="H51" s="7">
        <f>SUM(H52:H58)</f>
        <v>129200</v>
      </c>
      <c r="I51" s="7"/>
    </row>
    <row r="52" spans="1:9" x14ac:dyDescent="0.25">
      <c r="A52" s="1030">
        <v>1</v>
      </c>
      <c r="B52" s="1032" t="s">
        <v>1383</v>
      </c>
      <c r="C52" s="1033"/>
      <c r="D52" s="4">
        <v>11000</v>
      </c>
      <c r="E52" s="4">
        <v>11000</v>
      </c>
      <c r="F52" s="4">
        <v>11000</v>
      </c>
      <c r="G52" s="286">
        <v>2244</v>
      </c>
      <c r="H52" s="4">
        <v>11000</v>
      </c>
      <c r="I52" s="1038" t="s">
        <v>1384</v>
      </c>
    </row>
    <row r="53" spans="1:9" x14ac:dyDescent="0.25">
      <c r="A53" s="1065"/>
      <c r="B53" s="1066"/>
      <c r="C53" s="1067"/>
      <c r="D53" s="4">
        <v>5234</v>
      </c>
      <c r="E53" s="4">
        <v>5234</v>
      </c>
      <c r="F53" s="4">
        <v>15000</v>
      </c>
      <c r="G53" s="286">
        <v>2312</v>
      </c>
      <c r="H53" s="4">
        <v>15000</v>
      </c>
      <c r="I53" s="1147"/>
    </row>
    <row r="54" spans="1:9" x14ac:dyDescent="0.25">
      <c r="A54" s="1031"/>
      <c r="B54" s="1034"/>
      <c r="C54" s="1035"/>
      <c r="D54" s="4">
        <v>50</v>
      </c>
      <c r="E54" s="4">
        <v>47</v>
      </c>
      <c r="F54" s="4">
        <v>200</v>
      </c>
      <c r="G54" s="286">
        <v>2390</v>
      </c>
      <c r="H54" s="4">
        <v>200</v>
      </c>
      <c r="I54" s="1039"/>
    </row>
    <row r="55" spans="1:9" ht="24" x14ac:dyDescent="0.25">
      <c r="A55" s="334">
        <v>2</v>
      </c>
      <c r="B55" s="1025" t="s">
        <v>1385</v>
      </c>
      <c r="C55" s="1026"/>
      <c r="D55" s="9" t="e">
        <f>#REF!+#REF!+#REF!</f>
        <v>#REF!</v>
      </c>
      <c r="E55" s="9" t="e">
        <f>#REF!+#REF!+#REF!</f>
        <v>#REF!</v>
      </c>
      <c r="F55" s="9" t="e">
        <f>#REF!+#REF!+#REF!</f>
        <v>#REF!</v>
      </c>
      <c r="G55" s="413">
        <v>2244</v>
      </c>
      <c r="H55" s="4">
        <v>18000</v>
      </c>
      <c r="I55" s="4" t="s">
        <v>1386</v>
      </c>
    </row>
    <row r="56" spans="1:9" ht="24" x14ac:dyDescent="0.25">
      <c r="A56" s="778">
        <v>3</v>
      </c>
      <c r="B56" s="1025" t="s">
        <v>1387</v>
      </c>
      <c r="C56" s="1026"/>
      <c r="D56" s="397">
        <v>15000</v>
      </c>
      <c r="E56" s="397">
        <v>15000</v>
      </c>
      <c r="F56" s="397">
        <v>15000</v>
      </c>
      <c r="G56" s="413">
        <v>2243</v>
      </c>
      <c r="H56" s="4">
        <v>5000</v>
      </c>
      <c r="I56" s="4" t="s">
        <v>1384</v>
      </c>
    </row>
    <row r="57" spans="1:9" ht="24" x14ac:dyDescent="0.25">
      <c r="A57" s="334">
        <v>4</v>
      </c>
      <c r="B57" s="1025" t="s">
        <v>1388</v>
      </c>
      <c r="C57" s="1026"/>
      <c r="D57" s="288">
        <v>132500</v>
      </c>
      <c r="E57" s="288">
        <v>132411</v>
      </c>
      <c r="F57" s="288">
        <v>132500</v>
      </c>
      <c r="G57" s="286">
        <v>5239</v>
      </c>
      <c r="H57" s="283">
        <v>60000</v>
      </c>
      <c r="I57" s="4" t="s">
        <v>1384</v>
      </c>
    </row>
    <row r="58" spans="1:9" ht="36" x14ac:dyDescent="0.25">
      <c r="A58" s="906" t="s">
        <v>1389</v>
      </c>
      <c r="B58" s="1025" t="s">
        <v>1390</v>
      </c>
      <c r="C58" s="1026"/>
      <c r="D58" s="288">
        <v>0</v>
      </c>
      <c r="E58" s="288">
        <v>0</v>
      </c>
      <c r="F58" s="288">
        <v>20000</v>
      </c>
      <c r="G58" s="286">
        <v>5240</v>
      </c>
      <c r="H58" s="283">
        <v>20000</v>
      </c>
      <c r="I58" s="4" t="s">
        <v>1391</v>
      </c>
    </row>
    <row r="59" spans="1:9" x14ac:dyDescent="0.25">
      <c r="A59" s="335"/>
      <c r="B59" s="907"/>
      <c r="C59" s="907"/>
      <c r="D59" s="908"/>
      <c r="E59" s="908"/>
      <c r="F59" s="908"/>
      <c r="G59" s="908"/>
      <c r="H59" s="307"/>
      <c r="I59" s="307"/>
    </row>
    <row r="60" spans="1:9" x14ac:dyDescent="0.25">
      <c r="A60" s="1074" t="s">
        <v>399</v>
      </c>
      <c r="B60" s="1074"/>
      <c r="C60" s="1074"/>
    </row>
    <row r="61" spans="1:9" x14ac:dyDescent="0.25">
      <c r="A61" s="281" t="s">
        <v>1392</v>
      </c>
    </row>
    <row r="62" spans="1:9" x14ac:dyDescent="0.25">
      <c r="A62" s="281"/>
      <c r="C62" s="281" t="s">
        <v>1393</v>
      </c>
    </row>
    <row r="63" spans="1:9" x14ac:dyDescent="0.25">
      <c r="A63" s="281"/>
      <c r="C63" s="281" t="s">
        <v>1394</v>
      </c>
    </row>
    <row r="64" spans="1:9" x14ac:dyDescent="0.25">
      <c r="A64" s="790"/>
      <c r="B64" s="790"/>
      <c r="C64" s="790"/>
    </row>
    <row r="65" spans="1:9" x14ac:dyDescent="0.2">
      <c r="A65" s="1" t="s">
        <v>1338</v>
      </c>
    </row>
    <row r="66" spans="1:9" ht="12" customHeight="1" x14ac:dyDescent="0.2">
      <c r="B66" s="1" t="s">
        <v>1395</v>
      </c>
      <c r="C66" s="781"/>
      <c r="D66" s="781"/>
      <c r="E66" s="781"/>
      <c r="F66" s="781"/>
      <c r="G66" s="781"/>
      <c r="H66" s="781"/>
      <c r="I66" s="781"/>
    </row>
    <row r="67" spans="1:9" ht="36" customHeight="1" x14ac:dyDescent="0.2">
      <c r="C67" s="1106" t="s">
        <v>1396</v>
      </c>
      <c r="D67" s="1106"/>
      <c r="E67" s="1106"/>
      <c r="F67" s="1106"/>
      <c r="G67" s="1106"/>
      <c r="H67" s="1106"/>
      <c r="I67" s="1106"/>
    </row>
    <row r="68" spans="1:9" x14ac:dyDescent="0.25">
      <c r="A68" s="281"/>
      <c r="C68" s="281" t="s">
        <v>1397</v>
      </c>
    </row>
    <row r="69" spans="1:9" x14ac:dyDescent="0.25">
      <c r="A69" s="281"/>
      <c r="C69" s="281" t="s">
        <v>1398</v>
      </c>
    </row>
    <row r="70" spans="1:9" x14ac:dyDescent="0.25">
      <c r="A70" s="281"/>
      <c r="B70" s="281" t="s">
        <v>1399</v>
      </c>
    </row>
    <row r="71" spans="1:9" x14ac:dyDescent="0.25">
      <c r="A71" s="281"/>
      <c r="C71" s="281" t="s">
        <v>1400</v>
      </c>
    </row>
    <row r="72" spans="1:9" x14ac:dyDescent="0.25">
      <c r="A72" s="281"/>
      <c r="B72" s="281" t="s">
        <v>1401</v>
      </c>
    </row>
    <row r="73" spans="1:9" x14ac:dyDescent="0.25">
      <c r="A73" s="281"/>
      <c r="C73" s="281" t="s">
        <v>1402</v>
      </c>
    </row>
    <row r="74" spans="1:9" x14ac:dyDescent="0.25">
      <c r="A74" s="281"/>
      <c r="C74" s="281" t="s">
        <v>1403</v>
      </c>
    </row>
    <row r="75" spans="1:9" x14ac:dyDescent="0.25">
      <c r="A75" s="281"/>
      <c r="C75" s="281" t="s">
        <v>1404</v>
      </c>
    </row>
    <row r="76" spans="1:9" x14ac:dyDescent="0.25">
      <c r="A76" s="281"/>
      <c r="C76" s="281" t="s">
        <v>1405</v>
      </c>
    </row>
    <row r="77" spans="1:9" x14ac:dyDescent="0.25">
      <c r="A77" s="281"/>
      <c r="B77" s="281" t="s">
        <v>1406</v>
      </c>
    </row>
    <row r="78" spans="1:9" x14ac:dyDescent="0.25">
      <c r="A78" s="281"/>
      <c r="C78" s="281" t="s">
        <v>1407</v>
      </c>
    </row>
    <row r="79" spans="1:9" x14ac:dyDescent="0.25">
      <c r="A79" s="281"/>
    </row>
    <row r="80" spans="1:9" x14ac:dyDescent="0.25">
      <c r="A80" s="281" t="s">
        <v>1408</v>
      </c>
    </row>
    <row r="81" spans="1:4" x14ac:dyDescent="0.25">
      <c r="A81" s="281"/>
      <c r="B81" s="281" t="s">
        <v>1409</v>
      </c>
    </row>
    <row r="82" spans="1:4" x14ac:dyDescent="0.25">
      <c r="A82" s="281"/>
      <c r="C82" s="281" t="s">
        <v>1410</v>
      </c>
    </row>
    <row r="83" spans="1:4" x14ac:dyDescent="0.25">
      <c r="A83" s="281"/>
      <c r="C83" s="281" t="s">
        <v>1411</v>
      </c>
    </row>
    <row r="84" spans="1:4" x14ac:dyDescent="0.25">
      <c r="A84" s="281"/>
    </row>
    <row r="85" spans="1:4" x14ac:dyDescent="0.25">
      <c r="A85" s="281"/>
    </row>
    <row r="86" spans="1:4" x14ac:dyDescent="0.25">
      <c r="A86" s="281"/>
    </row>
    <row r="87" spans="1:4" x14ac:dyDescent="0.25">
      <c r="A87" s="281"/>
    </row>
    <row r="88" spans="1:4" x14ac:dyDescent="0.25">
      <c r="A88" s="281"/>
    </row>
    <row r="89" spans="1:4" x14ac:dyDescent="0.25">
      <c r="A89" s="281"/>
      <c r="B89" s="1079"/>
      <c r="C89" s="1079"/>
      <c r="D89" s="1079"/>
    </row>
    <row r="90" spans="1:4" x14ac:dyDescent="0.25">
      <c r="A90" s="281"/>
    </row>
    <row r="91" spans="1:4" x14ac:dyDescent="0.25">
      <c r="A91" s="281"/>
    </row>
    <row r="92" spans="1:4" x14ac:dyDescent="0.25">
      <c r="A92" s="281"/>
    </row>
    <row r="93" spans="1:4" x14ac:dyDescent="0.25">
      <c r="A93" s="281"/>
    </row>
    <row r="94" spans="1:4" x14ac:dyDescent="0.25">
      <c r="A94" s="281"/>
    </row>
    <row r="95" spans="1:4" x14ac:dyDescent="0.25">
      <c r="A95" s="281"/>
    </row>
    <row r="96" spans="1:4" x14ac:dyDescent="0.25">
      <c r="A96" s="281"/>
    </row>
    <row r="97" spans="1:1" x14ac:dyDescent="0.25">
      <c r="A97" s="281"/>
    </row>
    <row r="98" spans="1:1" x14ac:dyDescent="0.25">
      <c r="A98" s="281"/>
    </row>
    <row r="99" spans="1:1" x14ac:dyDescent="0.25">
      <c r="A99" s="281"/>
    </row>
  </sheetData>
  <sheetProtection algorithmName="SHA-512" hashValue="6ECIVZcdvY+J6CW9C22qapzQ3TNZNSIYACX1T4nkhj5yCXZ0maoTjd096SWUx5zDpRyIJxyWEU6Kgte2r2V14g==" saltValue="N/zEGlb4p7fX6TDf5YUMog==" spinCount="100000" sheet="1" objects="1" scenarios="1" selectLockedCells="1" selectUnlockedCells="1"/>
  <mergeCells count="65">
    <mergeCell ref="B89:D89"/>
    <mergeCell ref="B55:C55"/>
    <mergeCell ref="B56:C56"/>
    <mergeCell ref="B57:C57"/>
    <mergeCell ref="B58:C58"/>
    <mergeCell ref="A60:C60"/>
    <mergeCell ref="C67:I67"/>
    <mergeCell ref="A52:A54"/>
    <mergeCell ref="B52:C54"/>
    <mergeCell ref="I52:I54"/>
    <mergeCell ref="B39:C39"/>
    <mergeCell ref="A40:A43"/>
    <mergeCell ref="B40:C43"/>
    <mergeCell ref="I40:I43"/>
    <mergeCell ref="A44:A46"/>
    <mergeCell ref="B44:C46"/>
    <mergeCell ref="I44:I46"/>
    <mergeCell ref="A48:B48"/>
    <mergeCell ref="A49:B49"/>
    <mergeCell ref="C49:I49"/>
    <mergeCell ref="B50:C50"/>
    <mergeCell ref="A51:C51"/>
    <mergeCell ref="B38:C38"/>
    <mergeCell ref="A28:B28"/>
    <mergeCell ref="C28:I28"/>
    <mergeCell ref="B29:C29"/>
    <mergeCell ref="A30:C30"/>
    <mergeCell ref="B31:C31"/>
    <mergeCell ref="B32:C32"/>
    <mergeCell ref="B33:C33"/>
    <mergeCell ref="B34:C34"/>
    <mergeCell ref="B35:C35"/>
    <mergeCell ref="B36:C36"/>
    <mergeCell ref="B37:C37"/>
    <mergeCell ref="B22:C22"/>
    <mergeCell ref="B23:C23"/>
    <mergeCell ref="B24:C24"/>
    <mergeCell ref="B25:C25"/>
    <mergeCell ref="A27:B27"/>
    <mergeCell ref="C27:I27"/>
    <mergeCell ref="B21:C21"/>
    <mergeCell ref="B10:C10"/>
    <mergeCell ref="B11:C11"/>
    <mergeCell ref="B12:C12"/>
    <mergeCell ref="B13:C13"/>
    <mergeCell ref="B14:C14"/>
    <mergeCell ref="B15:C15"/>
    <mergeCell ref="B16:C16"/>
    <mergeCell ref="B17:C17"/>
    <mergeCell ref="B18:C18"/>
    <mergeCell ref="B19:C19"/>
    <mergeCell ref="B20:C20"/>
    <mergeCell ref="A9:C9"/>
    <mergeCell ref="A1:B1"/>
    <mergeCell ref="C1:I1"/>
    <mergeCell ref="A2:B2"/>
    <mergeCell ref="C2:I2"/>
    <mergeCell ref="A3:I3"/>
    <mergeCell ref="A5:B5"/>
    <mergeCell ref="C5:I5"/>
    <mergeCell ref="A6:B6"/>
    <mergeCell ref="C6:I6"/>
    <mergeCell ref="A7:B7"/>
    <mergeCell ref="C7:I7"/>
    <mergeCell ref="B8:C8"/>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&amp;R&amp;"Times New Roman,Regular"&amp;8
15.pielikums Jūrmalas pilsētas domes
2016.gada 16.decembra saistošajiem noteikumiem Nr.47
(protokols Nr.19, 19.punkts)</first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7"/>
  <sheetViews>
    <sheetView view="pageLayout" zoomScaleNormal="100" workbookViewId="0">
      <selection activeCell="B28" sqref="B28:C29"/>
    </sheetView>
  </sheetViews>
  <sheetFormatPr defaultRowHeight="15" x14ac:dyDescent="0.25"/>
  <cols>
    <col min="1" max="1" width="3.85546875" style="909" customWidth="1"/>
    <col min="2" max="2" width="18.28515625" style="909" customWidth="1"/>
    <col min="3" max="3" width="12.85546875" style="909" customWidth="1"/>
    <col min="4" max="4" width="8.28515625" style="909" hidden="1" customWidth="1"/>
    <col min="5" max="5" width="9.7109375" style="909" hidden="1" customWidth="1"/>
    <col min="6" max="6" width="7.85546875" style="909" hidden="1" customWidth="1"/>
    <col min="7" max="7" width="10.140625" style="909" hidden="1" customWidth="1"/>
    <col min="8" max="8" width="10.85546875" style="909" hidden="1" customWidth="1"/>
    <col min="9" max="9" width="11.85546875" style="909" hidden="1" customWidth="1"/>
    <col min="10" max="10" width="10.28515625" style="909" customWidth="1"/>
    <col min="11" max="11" width="10.42578125" style="909" customWidth="1"/>
    <col min="12" max="12" width="9.7109375" style="909" customWidth="1"/>
    <col min="13" max="13" width="17.140625" style="909" customWidth="1"/>
    <col min="14" max="16384" width="9.140625" style="909"/>
  </cols>
  <sheetData>
    <row r="1" spans="1:13" x14ac:dyDescent="0.25">
      <c r="A1" s="1148" t="s">
        <v>8</v>
      </c>
      <c r="B1" s="1148"/>
      <c r="C1" s="1148" t="s">
        <v>15</v>
      </c>
      <c r="D1" s="1148"/>
      <c r="E1" s="1148"/>
      <c r="F1" s="1148"/>
      <c r="G1" s="1148"/>
      <c r="H1" s="1148"/>
      <c r="I1" s="1148"/>
      <c r="J1" s="1148"/>
      <c r="K1" s="1148"/>
      <c r="L1" s="1148"/>
      <c r="M1" s="1148"/>
    </row>
    <row r="2" spans="1:13" x14ac:dyDescent="0.25">
      <c r="A2" s="1148" t="s">
        <v>7</v>
      </c>
      <c r="B2" s="1148"/>
      <c r="C2" s="1148">
        <v>90000056357</v>
      </c>
      <c r="D2" s="1148"/>
      <c r="E2" s="1148"/>
      <c r="F2" s="1148"/>
      <c r="G2" s="1148"/>
      <c r="H2" s="1148"/>
      <c r="I2" s="1148"/>
      <c r="J2" s="1148"/>
      <c r="K2" s="1148"/>
      <c r="L2" s="1148"/>
      <c r="M2" s="1148"/>
    </row>
    <row r="3" spans="1:13" ht="15.75" x14ac:dyDescent="0.25">
      <c r="A3" s="1150" t="s">
        <v>9</v>
      </c>
      <c r="B3" s="1150"/>
      <c r="C3" s="1150"/>
      <c r="D3" s="1150"/>
      <c r="E3" s="1150"/>
      <c r="F3" s="1150"/>
      <c r="G3" s="1150"/>
      <c r="H3" s="1150"/>
      <c r="I3" s="1150"/>
      <c r="J3" s="1150"/>
      <c r="K3" s="1150"/>
      <c r="L3" s="1150"/>
      <c r="M3" s="1150"/>
    </row>
    <row r="4" spans="1:13" ht="15.75" x14ac:dyDescent="0.25">
      <c r="A4" s="910"/>
      <c r="B4" s="910"/>
      <c r="C4" s="910"/>
      <c r="D4" s="910"/>
      <c r="E4" s="910"/>
      <c r="F4" s="910"/>
      <c r="G4" s="910"/>
      <c r="H4" s="910"/>
      <c r="I4" s="910"/>
      <c r="J4" s="910"/>
      <c r="K4" s="910"/>
      <c r="L4" s="910"/>
      <c r="M4" s="910"/>
    </row>
    <row r="5" spans="1:13" ht="15.75" x14ac:dyDescent="0.25">
      <c r="A5" s="1148" t="s">
        <v>10</v>
      </c>
      <c r="B5" s="1148"/>
      <c r="C5" s="1149" t="s">
        <v>1412</v>
      </c>
      <c r="D5" s="1149"/>
      <c r="E5" s="1149"/>
      <c r="F5" s="1149"/>
      <c r="G5" s="1149"/>
      <c r="H5" s="1149"/>
      <c r="I5" s="1149"/>
      <c r="J5" s="1149"/>
      <c r="K5" s="1149"/>
      <c r="L5" s="1149"/>
      <c r="M5" s="1149"/>
    </row>
    <row r="6" spans="1:13" x14ac:dyDescent="0.25">
      <c r="A6" s="1148" t="s">
        <v>6</v>
      </c>
      <c r="B6" s="1148"/>
      <c r="C6" s="1148" t="s">
        <v>1413</v>
      </c>
      <c r="D6" s="1148"/>
      <c r="E6" s="1148"/>
      <c r="F6" s="1148"/>
      <c r="G6" s="1148"/>
      <c r="H6" s="1148"/>
      <c r="I6" s="1148"/>
      <c r="J6" s="1148"/>
      <c r="K6" s="1148"/>
      <c r="L6" s="1148"/>
      <c r="M6" s="1148"/>
    </row>
    <row r="7" spans="1:13" x14ac:dyDescent="0.25">
      <c r="A7" s="1148" t="s">
        <v>5</v>
      </c>
      <c r="B7" s="1148"/>
      <c r="C7" s="1160" t="s">
        <v>999</v>
      </c>
      <c r="D7" s="1160"/>
      <c r="E7" s="1160"/>
      <c r="F7" s="1160"/>
      <c r="G7" s="1160"/>
      <c r="H7" s="1160"/>
      <c r="I7" s="1160"/>
      <c r="J7" s="1160"/>
      <c r="K7" s="1160"/>
      <c r="L7" s="1160"/>
      <c r="M7" s="1160"/>
    </row>
    <row r="8" spans="1:13" x14ac:dyDescent="0.25">
      <c r="A8" s="1161" t="s">
        <v>4</v>
      </c>
      <c r="B8" s="1163" t="s">
        <v>3</v>
      </c>
      <c r="C8" s="1164"/>
      <c r="D8" s="1167" t="s">
        <v>11</v>
      </c>
      <c r="E8" s="1168"/>
      <c r="F8" s="1167" t="s">
        <v>12</v>
      </c>
      <c r="G8" s="1168"/>
      <c r="H8" s="1167" t="s">
        <v>13</v>
      </c>
      <c r="I8" s="1168"/>
      <c r="J8" s="1169" t="s">
        <v>2</v>
      </c>
      <c r="K8" s="1167" t="s">
        <v>180</v>
      </c>
      <c r="L8" s="1168"/>
      <c r="M8" s="1169" t="s">
        <v>1</v>
      </c>
    </row>
    <row r="9" spans="1:13" ht="44.25" customHeight="1" x14ac:dyDescent="0.25">
      <c r="A9" s="1162"/>
      <c r="B9" s="1165"/>
      <c r="C9" s="1166"/>
      <c r="D9" s="911" t="s">
        <v>678</v>
      </c>
      <c r="E9" s="911" t="s">
        <v>449</v>
      </c>
      <c r="F9" s="911" t="s">
        <v>678</v>
      </c>
      <c r="G9" s="911" t="s">
        <v>449</v>
      </c>
      <c r="H9" s="911" t="s">
        <v>448</v>
      </c>
      <c r="I9" s="911" t="s">
        <v>449</v>
      </c>
      <c r="J9" s="1170"/>
      <c r="K9" s="911" t="s">
        <v>448</v>
      </c>
      <c r="L9" s="911" t="s">
        <v>449</v>
      </c>
      <c r="M9" s="1170"/>
    </row>
    <row r="10" spans="1:13" x14ac:dyDescent="0.25">
      <c r="A10" s="1171" t="s">
        <v>14</v>
      </c>
      <c r="B10" s="1172"/>
      <c r="C10" s="1173"/>
      <c r="D10" s="912">
        <f t="shared" ref="D10:I10" si="0">SUM(D11:D30)</f>
        <v>435555</v>
      </c>
      <c r="E10" s="912">
        <f t="shared" si="0"/>
        <v>43683</v>
      </c>
      <c r="F10" s="912">
        <f t="shared" si="0"/>
        <v>435555</v>
      </c>
      <c r="G10" s="912">
        <f t="shared" si="0"/>
        <v>43683</v>
      </c>
      <c r="H10" s="912">
        <f t="shared" si="0"/>
        <v>499471</v>
      </c>
      <c r="I10" s="912">
        <f t="shared" si="0"/>
        <v>37077</v>
      </c>
      <c r="J10" s="912"/>
      <c r="K10" s="912">
        <f>SUM(K11:K30)</f>
        <v>434181</v>
      </c>
      <c r="L10" s="912">
        <f>SUM(L11:L30)</f>
        <v>37077</v>
      </c>
      <c r="M10" s="912"/>
    </row>
    <row r="11" spans="1:13" ht="51" customHeight="1" x14ac:dyDescent="0.25">
      <c r="A11" s="913">
        <v>1</v>
      </c>
      <c r="B11" s="1174" t="s">
        <v>1414</v>
      </c>
      <c r="C11" s="1175"/>
      <c r="D11" s="914">
        <v>12949</v>
      </c>
      <c r="E11" s="914"/>
      <c r="F11" s="914">
        <v>12949</v>
      </c>
      <c r="G11" s="914"/>
      <c r="H11" s="914">
        <v>10500</v>
      </c>
      <c r="I11" s="914"/>
      <c r="J11" s="915">
        <v>2279</v>
      </c>
      <c r="K11" s="914">
        <v>10500</v>
      </c>
      <c r="L11" s="914"/>
      <c r="M11" s="751" t="s">
        <v>183</v>
      </c>
    </row>
    <row r="12" spans="1:13" x14ac:dyDescent="0.25">
      <c r="A12" s="913">
        <v>2</v>
      </c>
      <c r="B12" s="1174" t="s">
        <v>1415</v>
      </c>
      <c r="C12" s="1175"/>
      <c r="D12" s="914">
        <v>5000</v>
      </c>
      <c r="E12" s="914"/>
      <c r="F12" s="914">
        <v>5000</v>
      </c>
      <c r="G12" s="914"/>
      <c r="H12" s="914">
        <v>7400</v>
      </c>
      <c r="I12" s="914"/>
      <c r="J12" s="915">
        <v>2239</v>
      </c>
      <c r="K12" s="914">
        <v>5000</v>
      </c>
      <c r="L12" s="914"/>
      <c r="M12" s="751" t="s">
        <v>183</v>
      </c>
    </row>
    <row r="13" spans="1:13" x14ac:dyDescent="0.25">
      <c r="A13" s="1151">
        <v>3</v>
      </c>
      <c r="B13" s="1154" t="s">
        <v>1416</v>
      </c>
      <c r="C13" s="1155"/>
      <c r="D13" s="916">
        <v>4216</v>
      </c>
      <c r="E13" s="916"/>
      <c r="F13" s="916">
        <v>4216</v>
      </c>
      <c r="G13" s="916"/>
      <c r="H13" s="916">
        <v>2500</v>
      </c>
      <c r="I13" s="916"/>
      <c r="J13" s="917">
        <v>2312</v>
      </c>
      <c r="K13" s="916">
        <v>1500</v>
      </c>
      <c r="L13" s="916"/>
      <c r="M13" s="751" t="s">
        <v>537</v>
      </c>
    </row>
    <row r="14" spans="1:13" x14ac:dyDescent="0.25">
      <c r="A14" s="1152"/>
      <c r="B14" s="1156"/>
      <c r="C14" s="1157"/>
      <c r="D14" s="918">
        <v>0</v>
      </c>
      <c r="E14" s="918"/>
      <c r="F14" s="916">
        <v>0</v>
      </c>
      <c r="G14" s="916"/>
      <c r="H14" s="916">
        <v>2500</v>
      </c>
      <c r="I14" s="916"/>
      <c r="J14" s="917">
        <v>5239</v>
      </c>
      <c r="K14" s="916">
        <v>1500</v>
      </c>
      <c r="L14" s="916"/>
      <c r="M14" s="751" t="s">
        <v>537</v>
      </c>
    </row>
    <row r="15" spans="1:13" x14ac:dyDescent="0.25">
      <c r="A15" s="1153"/>
      <c r="B15" s="1158"/>
      <c r="C15" s="1159"/>
      <c r="D15" s="918">
        <v>0</v>
      </c>
      <c r="E15" s="918"/>
      <c r="F15" s="916">
        <v>0</v>
      </c>
      <c r="G15" s="916"/>
      <c r="H15" s="916">
        <v>1000</v>
      </c>
      <c r="I15" s="916"/>
      <c r="J15" s="917">
        <v>2279</v>
      </c>
      <c r="K15" s="916">
        <v>1000</v>
      </c>
      <c r="L15" s="916"/>
      <c r="M15" s="751" t="s">
        <v>537</v>
      </c>
    </row>
    <row r="16" spans="1:13" x14ac:dyDescent="0.25">
      <c r="A16" s="919">
        <v>4</v>
      </c>
      <c r="B16" s="1176" t="s">
        <v>1417</v>
      </c>
      <c r="C16" s="1177"/>
      <c r="D16" s="920">
        <v>27938</v>
      </c>
      <c r="E16" s="921"/>
      <c r="F16" s="920">
        <v>27938</v>
      </c>
      <c r="G16" s="921"/>
      <c r="H16" s="918">
        <v>30916</v>
      </c>
      <c r="I16" s="922"/>
      <c r="J16" s="923">
        <v>2263</v>
      </c>
      <c r="K16" s="918">
        <v>30916</v>
      </c>
      <c r="L16" s="924"/>
      <c r="M16" s="924" t="s">
        <v>183</v>
      </c>
    </row>
    <row r="17" spans="1:13" x14ac:dyDescent="0.25">
      <c r="A17" s="919">
        <v>5</v>
      </c>
      <c r="B17" s="1174" t="s">
        <v>1418</v>
      </c>
      <c r="C17" s="1175"/>
      <c r="D17" s="920">
        <v>4781</v>
      </c>
      <c r="E17" s="921"/>
      <c r="F17" s="920">
        <v>4781</v>
      </c>
      <c r="G17" s="921"/>
      <c r="H17" s="918">
        <v>3856</v>
      </c>
      <c r="I17" s="924"/>
      <c r="J17" s="925">
        <v>2269</v>
      </c>
      <c r="K17" s="926">
        <v>3856</v>
      </c>
      <c r="L17" s="926"/>
      <c r="M17" s="924" t="s">
        <v>183</v>
      </c>
    </row>
    <row r="18" spans="1:13" x14ac:dyDescent="0.25">
      <c r="A18" s="919">
        <v>6</v>
      </c>
      <c r="B18" s="1174" t="s">
        <v>1419</v>
      </c>
      <c r="C18" s="1175"/>
      <c r="D18" s="920">
        <v>56846</v>
      </c>
      <c r="E18" s="920">
        <v>43683</v>
      </c>
      <c r="F18" s="920">
        <v>56846</v>
      </c>
      <c r="G18" s="920">
        <v>43683</v>
      </c>
      <c r="H18" s="920">
        <v>56846</v>
      </c>
      <c r="I18" s="920">
        <v>37077</v>
      </c>
      <c r="J18" s="925">
        <v>2261</v>
      </c>
      <c r="K18" s="926">
        <v>56846</v>
      </c>
      <c r="L18" s="926">
        <v>37077</v>
      </c>
      <c r="M18" s="924" t="s">
        <v>183</v>
      </c>
    </row>
    <row r="19" spans="1:13" x14ac:dyDescent="0.25">
      <c r="A19" s="1178">
        <v>7</v>
      </c>
      <c r="B19" s="1154" t="s">
        <v>1420</v>
      </c>
      <c r="C19" s="1155"/>
      <c r="D19" s="927">
        <v>16300</v>
      </c>
      <c r="E19" s="927"/>
      <c r="F19" s="927">
        <v>16300</v>
      </c>
      <c r="G19" s="927"/>
      <c r="H19" s="927">
        <f>19120+5500</f>
        <v>24620</v>
      </c>
      <c r="I19" s="927" t="s">
        <v>1421</v>
      </c>
      <c r="J19" s="928">
        <v>2221</v>
      </c>
      <c r="K19" s="929">
        <v>19620</v>
      </c>
      <c r="L19" s="929"/>
      <c r="M19" s="924" t="s">
        <v>183</v>
      </c>
    </row>
    <row r="20" spans="1:13" ht="15.75" customHeight="1" x14ac:dyDescent="0.25">
      <c r="A20" s="1179"/>
      <c r="B20" s="1156"/>
      <c r="C20" s="1157"/>
      <c r="D20" s="927">
        <v>842</v>
      </c>
      <c r="E20" s="927"/>
      <c r="F20" s="927">
        <v>842</v>
      </c>
      <c r="G20" s="927"/>
      <c r="H20" s="927">
        <v>800</v>
      </c>
      <c r="I20" s="927" t="s">
        <v>1422</v>
      </c>
      <c r="J20" s="928">
        <v>2222</v>
      </c>
      <c r="K20" s="929">
        <v>850</v>
      </c>
      <c r="L20" s="929"/>
      <c r="M20" s="924" t="s">
        <v>183</v>
      </c>
    </row>
    <row r="21" spans="1:13" x14ac:dyDescent="0.25">
      <c r="A21" s="1179"/>
      <c r="B21" s="1156"/>
      <c r="C21" s="1157"/>
      <c r="D21" s="927">
        <v>10000</v>
      </c>
      <c r="E21" s="927"/>
      <c r="F21" s="927">
        <v>10000</v>
      </c>
      <c r="G21" s="927"/>
      <c r="H21" s="927">
        <v>6450</v>
      </c>
      <c r="I21" s="927" t="s">
        <v>1423</v>
      </c>
      <c r="J21" s="928">
        <v>2223</v>
      </c>
      <c r="K21" s="927">
        <v>6450</v>
      </c>
      <c r="L21" s="929"/>
      <c r="M21" s="924" t="s">
        <v>183</v>
      </c>
    </row>
    <row r="22" spans="1:13" x14ac:dyDescent="0.25">
      <c r="A22" s="1179"/>
      <c r="B22" s="1156"/>
      <c r="C22" s="1157"/>
      <c r="D22" s="927">
        <v>5771</v>
      </c>
      <c r="E22" s="927"/>
      <c r="F22" s="927">
        <v>5771</v>
      </c>
      <c r="G22" s="927"/>
      <c r="H22" s="927">
        <v>0</v>
      </c>
      <c r="I22" s="927" t="s">
        <v>1424</v>
      </c>
      <c r="J22" s="928">
        <v>2241</v>
      </c>
      <c r="K22" s="927">
        <v>4500</v>
      </c>
      <c r="L22" s="929"/>
      <c r="M22" s="924" t="s">
        <v>183</v>
      </c>
    </row>
    <row r="23" spans="1:13" ht="15" customHeight="1" x14ac:dyDescent="0.25">
      <c r="A23" s="1180"/>
      <c r="B23" s="1158"/>
      <c r="C23" s="1159"/>
      <c r="D23" s="927">
        <v>202221</v>
      </c>
      <c r="E23" s="927"/>
      <c r="F23" s="927">
        <v>202221</v>
      </c>
      <c r="G23" s="927"/>
      <c r="H23" s="927">
        <f>162443+92570+7590-9000</f>
        <v>253603</v>
      </c>
      <c r="I23" s="927" t="s">
        <v>1425</v>
      </c>
      <c r="J23" s="928">
        <v>2244</v>
      </c>
      <c r="K23" s="929">
        <v>210793</v>
      </c>
      <c r="L23" s="929"/>
      <c r="M23" s="924" t="s">
        <v>183</v>
      </c>
    </row>
    <row r="24" spans="1:13" x14ac:dyDescent="0.25">
      <c r="A24" s="913">
        <v>8</v>
      </c>
      <c r="B24" s="1174" t="s">
        <v>1426</v>
      </c>
      <c r="C24" s="1175"/>
      <c r="D24" s="930">
        <v>7819</v>
      </c>
      <c r="E24" s="930"/>
      <c r="F24" s="930">
        <v>7819</v>
      </c>
      <c r="G24" s="930"/>
      <c r="H24" s="931">
        <v>17750</v>
      </c>
      <c r="I24" s="931"/>
      <c r="J24" s="932">
        <v>2247</v>
      </c>
      <c r="K24" s="914">
        <v>17750</v>
      </c>
      <c r="L24" s="914"/>
      <c r="M24" s="924" t="s">
        <v>183</v>
      </c>
    </row>
    <row r="25" spans="1:13" x14ac:dyDescent="0.25">
      <c r="A25" s="933">
        <v>9</v>
      </c>
      <c r="B25" s="1181" t="s">
        <v>1427</v>
      </c>
      <c r="C25" s="1182"/>
      <c r="D25" s="916">
        <v>25210</v>
      </c>
      <c r="E25" s="916"/>
      <c r="F25" s="916">
        <v>25210</v>
      </c>
      <c r="G25" s="916"/>
      <c r="H25" s="916">
        <v>21100</v>
      </c>
      <c r="I25" s="916"/>
      <c r="J25" s="917">
        <v>2279</v>
      </c>
      <c r="K25" s="916">
        <v>21100</v>
      </c>
      <c r="L25" s="916"/>
      <c r="M25" s="924" t="s">
        <v>183</v>
      </c>
    </row>
    <row r="26" spans="1:13" s="934" customFormat="1" ht="39" customHeight="1" x14ac:dyDescent="0.25">
      <c r="A26" s="933">
        <v>10</v>
      </c>
      <c r="B26" s="1181" t="s">
        <v>1428</v>
      </c>
      <c r="C26" s="1182"/>
      <c r="D26" s="916">
        <v>48562</v>
      </c>
      <c r="E26" s="916"/>
      <c r="F26" s="916">
        <v>48562</v>
      </c>
      <c r="G26" s="916"/>
      <c r="H26" s="916">
        <v>50000</v>
      </c>
      <c r="I26" s="916"/>
      <c r="J26" s="917">
        <v>2279</v>
      </c>
      <c r="K26" s="916">
        <v>30000</v>
      </c>
      <c r="L26" s="916"/>
      <c r="M26" s="924" t="s">
        <v>183</v>
      </c>
    </row>
    <row r="27" spans="1:13" ht="87.75" customHeight="1" x14ac:dyDescent="0.25">
      <c r="A27" s="913">
        <v>11</v>
      </c>
      <c r="B27" s="1174" t="s">
        <v>1429</v>
      </c>
      <c r="C27" s="1175"/>
      <c r="D27" s="914">
        <v>4500</v>
      </c>
      <c r="E27" s="914"/>
      <c r="F27" s="914">
        <v>4500</v>
      </c>
      <c r="G27" s="914"/>
      <c r="H27" s="916">
        <v>4980</v>
      </c>
      <c r="I27" s="916"/>
      <c r="J27" s="915">
        <v>2279</v>
      </c>
      <c r="K27" s="914">
        <v>7500</v>
      </c>
      <c r="L27" s="914"/>
      <c r="M27" s="924" t="s">
        <v>183</v>
      </c>
    </row>
    <row r="28" spans="1:13" x14ac:dyDescent="0.25">
      <c r="A28" s="913">
        <v>12</v>
      </c>
      <c r="B28" s="1174" t="s">
        <v>1430</v>
      </c>
      <c r="C28" s="1175"/>
      <c r="D28" s="914">
        <v>2000</v>
      </c>
      <c r="E28" s="914"/>
      <c r="F28" s="914">
        <v>2000</v>
      </c>
      <c r="G28" s="914"/>
      <c r="H28" s="914">
        <v>1500</v>
      </c>
      <c r="I28" s="914"/>
      <c r="J28" s="915">
        <v>2519</v>
      </c>
      <c r="K28" s="914">
        <v>1500</v>
      </c>
      <c r="L28" s="914"/>
      <c r="M28" s="924" t="s">
        <v>183</v>
      </c>
    </row>
    <row r="29" spans="1:13" ht="56.25" customHeight="1" x14ac:dyDescent="0.25">
      <c r="A29" s="913">
        <v>13</v>
      </c>
      <c r="B29" s="1174" t="s">
        <v>1431</v>
      </c>
      <c r="C29" s="1175"/>
      <c r="D29" s="914">
        <v>600</v>
      </c>
      <c r="E29" s="914"/>
      <c r="F29" s="914">
        <v>600</v>
      </c>
      <c r="G29" s="914"/>
      <c r="H29" s="914">
        <v>1150</v>
      </c>
      <c r="I29" s="914"/>
      <c r="J29" s="915">
        <v>2276</v>
      </c>
      <c r="K29" s="914">
        <v>1000</v>
      </c>
      <c r="L29" s="914"/>
      <c r="M29" s="924" t="s">
        <v>183</v>
      </c>
    </row>
    <row r="30" spans="1:13" x14ac:dyDescent="0.25">
      <c r="A30" s="913">
        <v>14</v>
      </c>
      <c r="B30" s="1174" t="s">
        <v>1432</v>
      </c>
      <c r="C30" s="1175"/>
      <c r="D30" s="914">
        <v>0</v>
      </c>
      <c r="E30" s="914"/>
      <c r="F30" s="914">
        <v>0</v>
      </c>
      <c r="G30" s="914"/>
      <c r="H30" s="916">
        <v>2000</v>
      </c>
      <c r="I30" s="916"/>
      <c r="J30" s="917">
        <v>2279</v>
      </c>
      <c r="K30" s="916">
        <v>2000</v>
      </c>
      <c r="L30" s="935"/>
      <c r="M30" s="936" t="s">
        <v>183</v>
      </c>
    </row>
    <row r="31" spans="1:13" x14ac:dyDescent="0.25">
      <c r="A31" s="937"/>
      <c r="B31" s="938"/>
      <c r="C31" s="938"/>
      <c r="D31" s="939"/>
      <c r="E31" s="939"/>
      <c r="F31" s="939"/>
      <c r="G31" s="939"/>
      <c r="H31" s="939"/>
      <c r="I31" s="939"/>
      <c r="J31" s="939"/>
      <c r="K31" s="939"/>
      <c r="L31" s="939"/>
      <c r="M31" s="940"/>
    </row>
    <row r="32" spans="1:13" x14ac:dyDescent="0.25">
      <c r="A32" s="281" t="s">
        <v>399</v>
      </c>
      <c r="B32" s="281"/>
      <c r="C32" s="281"/>
      <c r="D32" s="941"/>
      <c r="E32" s="941"/>
      <c r="F32" s="941"/>
      <c r="G32" s="941"/>
      <c r="H32" s="941"/>
      <c r="I32" s="941"/>
      <c r="J32" s="941"/>
      <c r="K32" s="941"/>
      <c r="L32" s="941"/>
      <c r="M32" s="941"/>
    </row>
    <row r="33" spans="1:13" s="485" customFormat="1" ht="12" x14ac:dyDescent="0.2">
      <c r="A33" s="1" t="s">
        <v>1338</v>
      </c>
      <c r="B33" s="1"/>
      <c r="C33" s="1"/>
      <c r="D33" s="942"/>
      <c r="E33" s="942"/>
      <c r="F33" s="942"/>
      <c r="G33" s="942"/>
      <c r="H33" s="942"/>
      <c r="I33" s="942"/>
      <c r="J33" s="942"/>
      <c r="K33" s="942"/>
      <c r="L33" s="942"/>
      <c r="M33" s="942"/>
    </row>
    <row r="34" spans="1:13" x14ac:dyDescent="0.25">
      <c r="A34" s="1"/>
      <c r="B34" s="1" t="s">
        <v>1433</v>
      </c>
      <c r="C34" s="1"/>
    </row>
    <row r="35" spans="1:13" x14ac:dyDescent="0.25">
      <c r="A35" s="1"/>
      <c r="B35" s="1"/>
      <c r="C35" s="1" t="s">
        <v>1434</v>
      </c>
      <c r="D35" s="943"/>
      <c r="E35" s="943"/>
      <c r="F35" s="943"/>
      <c r="G35" s="943"/>
      <c r="H35" s="943"/>
      <c r="I35" s="943"/>
      <c r="J35" s="943"/>
      <c r="K35" s="943"/>
      <c r="L35" s="943"/>
      <c r="M35" s="943"/>
    </row>
    <row r="36" spans="1:13" x14ac:dyDescent="0.25">
      <c r="A36" s="1"/>
      <c r="B36" s="1" t="s">
        <v>1435</v>
      </c>
      <c r="C36" s="1"/>
      <c r="D36" s="943"/>
      <c r="E36" s="943"/>
      <c r="F36" s="943"/>
      <c r="G36" s="943"/>
      <c r="H36" s="943"/>
      <c r="I36" s="943"/>
      <c r="J36" s="943"/>
      <c r="K36" s="943"/>
      <c r="L36" s="943"/>
      <c r="M36" s="943"/>
    </row>
    <row r="37" spans="1:13" x14ac:dyDescent="0.25">
      <c r="A37" s="1"/>
      <c r="B37" s="1"/>
      <c r="C37" s="1" t="s">
        <v>1436</v>
      </c>
      <c r="D37" s="943"/>
      <c r="E37" s="943"/>
      <c r="F37" s="943"/>
      <c r="G37" s="943"/>
      <c r="H37" s="943"/>
      <c r="I37" s="943"/>
      <c r="J37" s="943"/>
      <c r="K37" s="943"/>
      <c r="L37" s="943"/>
      <c r="M37" s="943"/>
    </row>
  </sheetData>
  <sheetProtection algorithmName="SHA-512" hashValue="9Y7Aap3J7BNMgSfo13z6dAP+A36DVOWIVJNSfcFJN2SK7h+QjiY83U9j5WsTOnRHsENu4ZGcPWitQzOiWfkTjQ==" saltValue="H+na6Gym87yvVVYMFkfieQ==" spinCount="100000" sheet="1" objects="1" scenarios="1" selectLockedCells="1" selectUnlockedCells="1"/>
  <mergeCells count="36">
    <mergeCell ref="A19:A23"/>
    <mergeCell ref="B19:C23"/>
    <mergeCell ref="B24:C24"/>
    <mergeCell ref="B25:C25"/>
    <mergeCell ref="B26:C26"/>
    <mergeCell ref="B12:C12"/>
    <mergeCell ref="B30:C30"/>
    <mergeCell ref="B16:C16"/>
    <mergeCell ref="B17:C17"/>
    <mergeCell ref="B18:C18"/>
    <mergeCell ref="B27:C27"/>
    <mergeCell ref="B28:C28"/>
    <mergeCell ref="B29:C29"/>
    <mergeCell ref="A13:A15"/>
    <mergeCell ref="B13:C15"/>
    <mergeCell ref="A6:B6"/>
    <mergeCell ref="C6:M6"/>
    <mergeCell ref="A7:B7"/>
    <mergeCell ref="C7:M7"/>
    <mergeCell ref="A8:A9"/>
    <mergeCell ref="B8:C9"/>
    <mergeCell ref="D8:E8"/>
    <mergeCell ref="F8:G8"/>
    <mergeCell ref="H8:I8"/>
    <mergeCell ref="J8:J9"/>
    <mergeCell ref="K8:L8"/>
    <mergeCell ref="M8:M9"/>
    <mergeCell ref="A10:C10"/>
    <mergeCell ref="B11:C11"/>
    <mergeCell ref="A5:B5"/>
    <mergeCell ref="C5:M5"/>
    <mergeCell ref="A1:B1"/>
    <mergeCell ref="C1:M1"/>
    <mergeCell ref="A2:B2"/>
    <mergeCell ref="C2:M2"/>
    <mergeCell ref="A3:M3"/>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Roman,Regular"&amp;8&amp;D;&amp;T&amp;R&amp;"Times New Roman,Regular"&amp;8&amp;P(&amp;N)</oddFooter>
    <firstHeader>&amp;R&amp;"Times New Roman,Regular"&amp;8
16.pielikums Jūrmalas pilsētas domes
2016.gada 16.decembra saistošajiem noteikumiem Nr.47
(protokols Nr.19, 19.punkts)</first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0"/>
  <sheetViews>
    <sheetView view="pageLayout" zoomScaleNormal="100" workbookViewId="0">
      <selection activeCell="B28" sqref="B28:C29"/>
    </sheetView>
  </sheetViews>
  <sheetFormatPr defaultRowHeight="12" x14ac:dyDescent="0.2"/>
  <cols>
    <col min="1" max="1" width="6.140625" style="1" customWidth="1"/>
    <col min="2" max="2" width="17.28515625" style="1" customWidth="1"/>
    <col min="3" max="3" width="28.5703125" style="1" customWidth="1"/>
    <col min="4" max="4" width="11.85546875" style="1" hidden="1" customWidth="1"/>
    <col min="5" max="5" width="11.140625" style="1" hidden="1" customWidth="1"/>
    <col min="6" max="6" width="10.28515625" style="1" hidden="1" customWidth="1"/>
    <col min="7" max="7" width="10.5703125" style="1" customWidth="1"/>
    <col min="8" max="8" width="9.7109375" style="1" customWidth="1"/>
    <col min="9" max="9" width="14" style="1" customWidth="1"/>
    <col min="10" max="16384" width="9.140625" style="1"/>
  </cols>
  <sheetData>
    <row r="1" spans="1:10" x14ac:dyDescent="0.2">
      <c r="A1" s="1016" t="s">
        <v>8</v>
      </c>
      <c r="B1" s="1016"/>
      <c r="C1" s="1016" t="s">
        <v>15</v>
      </c>
      <c r="D1" s="1016"/>
      <c r="E1" s="1016"/>
      <c r="F1" s="1016"/>
      <c r="G1" s="1016"/>
      <c r="H1" s="1016"/>
      <c r="I1" s="1016"/>
    </row>
    <row r="2" spans="1:10" x14ac:dyDescent="0.2">
      <c r="A2" s="1016" t="s">
        <v>7</v>
      </c>
      <c r="B2" s="1016"/>
      <c r="C2" s="1016">
        <v>90000056357</v>
      </c>
      <c r="D2" s="1016"/>
      <c r="E2" s="1016"/>
      <c r="F2" s="1016"/>
      <c r="G2" s="1016"/>
      <c r="H2" s="1016"/>
      <c r="I2" s="1016"/>
    </row>
    <row r="3" spans="1:10" x14ac:dyDescent="0.2">
      <c r="A3" s="279"/>
      <c r="B3" s="279"/>
      <c r="C3" s="279"/>
      <c r="D3" s="279"/>
      <c r="E3" s="279"/>
      <c r="F3" s="279"/>
      <c r="G3" s="279"/>
      <c r="H3" s="279"/>
      <c r="I3" s="279"/>
    </row>
    <row r="4" spans="1:10" ht="15.75" x14ac:dyDescent="0.25">
      <c r="A4" s="1018" t="s">
        <v>9</v>
      </c>
      <c r="B4" s="1018"/>
      <c r="C4" s="1018"/>
      <c r="D4" s="1018"/>
      <c r="E4" s="1018"/>
      <c r="F4" s="1018"/>
      <c r="G4" s="1018"/>
      <c r="H4" s="1018"/>
      <c r="I4" s="1018"/>
    </row>
    <row r="5" spans="1:10" ht="15.75" x14ac:dyDescent="0.25">
      <c r="A5" s="280"/>
      <c r="B5" s="280"/>
      <c r="C5" s="280"/>
      <c r="D5" s="280"/>
      <c r="E5" s="280"/>
      <c r="F5" s="280"/>
      <c r="G5" s="280"/>
      <c r="H5" s="280"/>
      <c r="I5" s="280"/>
    </row>
    <row r="6" spans="1:10" ht="15.75" x14ac:dyDescent="0.25">
      <c r="A6" s="1016" t="s">
        <v>10</v>
      </c>
      <c r="B6" s="1016"/>
      <c r="C6" s="1017" t="s">
        <v>1437</v>
      </c>
      <c r="D6" s="1183"/>
      <c r="E6" s="1183"/>
      <c r="F6" s="1183"/>
      <c r="G6" s="1183"/>
      <c r="H6" s="1183"/>
      <c r="I6" s="1183"/>
    </row>
    <row r="7" spans="1:10" x14ac:dyDescent="0.2">
      <c r="A7" s="1016" t="s">
        <v>6</v>
      </c>
      <c r="B7" s="1016"/>
      <c r="C7" s="1016" t="s">
        <v>1413</v>
      </c>
      <c r="D7" s="1016"/>
      <c r="E7" s="1016"/>
      <c r="F7" s="1016"/>
      <c r="G7" s="1016"/>
      <c r="H7" s="1016"/>
      <c r="I7" s="1016"/>
    </row>
    <row r="8" spans="1:10" x14ac:dyDescent="0.2">
      <c r="A8" s="1016" t="s">
        <v>5</v>
      </c>
      <c r="B8" s="1016"/>
      <c r="C8" s="1186" t="s">
        <v>999</v>
      </c>
      <c r="D8" s="1186"/>
      <c r="E8" s="1186"/>
      <c r="F8" s="1186"/>
      <c r="G8" s="1186"/>
      <c r="H8" s="1186"/>
      <c r="I8" s="1186"/>
    </row>
    <row r="9" spans="1:10" ht="73.5" customHeight="1" x14ac:dyDescent="0.2">
      <c r="A9" s="424" t="s">
        <v>4</v>
      </c>
      <c r="B9" s="1020" t="s">
        <v>3</v>
      </c>
      <c r="C9" s="1021"/>
      <c r="D9" s="424" t="s">
        <v>11</v>
      </c>
      <c r="E9" s="424" t="s">
        <v>12</v>
      </c>
      <c r="F9" s="424" t="s">
        <v>13</v>
      </c>
      <c r="G9" s="424" t="s">
        <v>2</v>
      </c>
      <c r="H9" s="424" t="s">
        <v>180</v>
      </c>
      <c r="I9" s="424" t="s">
        <v>1</v>
      </c>
    </row>
    <row r="10" spans="1:10" ht="12.75" customHeight="1" x14ac:dyDescent="0.2">
      <c r="A10" s="1022" t="s">
        <v>14</v>
      </c>
      <c r="B10" s="1023"/>
      <c r="C10" s="1024"/>
      <c r="D10" s="7">
        <f>SUM(D11:D12)</f>
        <v>139740</v>
      </c>
      <c r="E10" s="7">
        <f>SUM(E11:E12)</f>
        <v>139740</v>
      </c>
      <c r="F10" s="7">
        <f>SUM(F11:F12)</f>
        <v>107278</v>
      </c>
      <c r="G10" s="7"/>
      <c r="H10" s="7">
        <f>SUM(H11:H12)</f>
        <v>107278</v>
      </c>
      <c r="I10" s="7"/>
    </row>
    <row r="11" spans="1:10" ht="24" x14ac:dyDescent="0.2">
      <c r="A11" s="334">
        <v>1</v>
      </c>
      <c r="B11" s="1184" t="s">
        <v>1438</v>
      </c>
      <c r="C11" s="1185"/>
      <c r="D11" s="4">
        <v>72462</v>
      </c>
      <c r="E11" s="4">
        <v>72462</v>
      </c>
      <c r="F11" s="4">
        <v>40000</v>
      </c>
      <c r="G11" s="9">
        <v>2244</v>
      </c>
      <c r="H11" s="4">
        <v>40000</v>
      </c>
      <c r="I11" s="4" t="s">
        <v>1022</v>
      </c>
      <c r="J11" s="944"/>
    </row>
    <row r="12" spans="1:10" ht="50.25" customHeight="1" x14ac:dyDescent="0.2">
      <c r="A12" s="334">
        <v>2</v>
      </c>
      <c r="B12" s="1025" t="s">
        <v>1439</v>
      </c>
      <c r="C12" s="1026"/>
      <c r="D12" s="4">
        <v>67278</v>
      </c>
      <c r="E12" s="4">
        <v>67278</v>
      </c>
      <c r="F12" s="4">
        <v>67278</v>
      </c>
      <c r="G12" s="9">
        <v>2244</v>
      </c>
      <c r="H12" s="4">
        <v>67278</v>
      </c>
      <c r="I12" s="4" t="s">
        <v>1022</v>
      </c>
    </row>
    <row r="13" spans="1:10" x14ac:dyDescent="0.2">
      <c r="A13" s="10"/>
      <c r="B13" s="10"/>
      <c r="C13" s="10"/>
      <c r="D13" s="10"/>
      <c r="E13" s="10"/>
      <c r="F13" s="10"/>
      <c r="G13" s="10"/>
      <c r="H13" s="10"/>
      <c r="I13" s="10"/>
    </row>
    <row r="14" spans="1:10" x14ac:dyDescent="0.2">
      <c r="A14" s="1" t="s">
        <v>399</v>
      </c>
    </row>
    <row r="15" spans="1:10" x14ac:dyDescent="0.2">
      <c r="A15" s="1" t="s">
        <v>1338</v>
      </c>
    </row>
    <row r="16" spans="1:10" x14ac:dyDescent="0.2">
      <c r="A16" s="448"/>
      <c r="B16" s="400" t="s">
        <v>1440</v>
      </c>
      <c r="C16" s="448"/>
      <c r="D16" s="448"/>
      <c r="E16" s="448"/>
      <c r="F16" s="448"/>
      <c r="G16" s="448"/>
      <c r="H16" s="448"/>
      <c r="I16" s="448"/>
    </row>
    <row r="17" spans="1:6" x14ac:dyDescent="0.2">
      <c r="C17" s="1" t="s">
        <v>1441</v>
      </c>
    </row>
    <row r="19" spans="1:6" ht="15.75" x14ac:dyDescent="0.25">
      <c r="A19" s="945"/>
      <c r="B19" s="945"/>
      <c r="C19" s="945"/>
      <c r="D19" s="945"/>
      <c r="E19" s="945"/>
      <c r="F19" s="945"/>
    </row>
    <row r="20" spans="1:6" ht="15.75" x14ac:dyDescent="0.25">
      <c r="A20" s="945"/>
      <c r="B20" s="945"/>
      <c r="C20" s="945"/>
      <c r="D20" s="945"/>
      <c r="E20" s="945"/>
      <c r="F20" s="945"/>
    </row>
  </sheetData>
  <sheetProtection algorithmName="SHA-512" hashValue="iC4/WZVfpqDzWdwz4YV7RoyQc3rUch14mJ2jOcx2g6eZoXVNxGuTtnUJGRVqFK6PG+L9Ix8GgEvG9SyWQcx8zw==" saltValue="AYFCa3dRcsxhxiaNrorZrw==" spinCount="100000" sheet="1" objects="1" scenarios="1" selectLockedCells="1" selectUnlockedCells="1"/>
  <mergeCells count="15">
    <mergeCell ref="B11:C11"/>
    <mergeCell ref="B12:C12"/>
    <mergeCell ref="A7:B7"/>
    <mergeCell ref="C7:I7"/>
    <mergeCell ref="A8:B8"/>
    <mergeCell ref="C8:I8"/>
    <mergeCell ref="B9:C9"/>
    <mergeCell ref="A10:C10"/>
    <mergeCell ref="A6:B6"/>
    <mergeCell ref="C6:I6"/>
    <mergeCell ref="A1:B1"/>
    <mergeCell ref="C1:I1"/>
    <mergeCell ref="A2:B2"/>
    <mergeCell ref="C2:I2"/>
    <mergeCell ref="A4:I4"/>
  </mergeCells>
  <pageMargins left="0.98425196850393704" right="0.39370078740157483" top="0.59055118110236227" bottom="0.39370078740157483" header="0.23622047244094491" footer="0.23622047244094491"/>
  <pageSetup paperSize="9" scale="70" fitToHeight="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17.pielikums Jūrmalas pilsētas domes
2016.gada 16.decembra saistošajiem noteikumiem Nr.47
(protokols Nr.19, 19.punkts)</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5"/>
  <sheetViews>
    <sheetView view="pageLayout" zoomScaleNormal="100" workbookViewId="0">
      <selection activeCell="L17" sqref="L17"/>
    </sheetView>
  </sheetViews>
  <sheetFormatPr defaultRowHeight="12" x14ac:dyDescent="0.25"/>
  <cols>
    <col min="1" max="1" width="6.140625" style="281" customWidth="1"/>
    <col min="2" max="2" width="17.28515625" style="281" customWidth="1"/>
    <col min="3" max="3" width="16.7109375" style="281" customWidth="1"/>
    <col min="4" max="4" width="11.85546875" style="281" hidden="1" customWidth="1"/>
    <col min="5" max="5" width="11.140625" style="281" hidden="1" customWidth="1"/>
    <col min="6" max="6" width="10.28515625" style="281" hidden="1" customWidth="1"/>
    <col min="7" max="7" width="10.5703125" style="281" customWidth="1"/>
    <col min="8" max="8" width="9.7109375" style="281" customWidth="1"/>
    <col min="9" max="9" width="17.85546875" style="281" customWidth="1"/>
    <col min="10" max="16384" width="9.140625" style="281"/>
  </cols>
  <sheetData>
    <row r="1" spans="1:9" x14ac:dyDescent="0.25">
      <c r="A1" s="1079" t="s">
        <v>8</v>
      </c>
      <c r="B1" s="1079"/>
      <c r="C1" s="1079" t="s">
        <v>15</v>
      </c>
      <c r="D1" s="1079"/>
      <c r="E1" s="1079"/>
      <c r="F1" s="1079"/>
      <c r="G1" s="1079"/>
      <c r="H1" s="1079"/>
      <c r="I1" s="1079"/>
    </row>
    <row r="2" spans="1:9" x14ac:dyDescent="0.25">
      <c r="A2" s="1079" t="s">
        <v>7</v>
      </c>
      <c r="B2" s="1079"/>
      <c r="C2" s="1079">
        <v>90000056357</v>
      </c>
      <c r="D2" s="1079"/>
      <c r="E2" s="1079"/>
      <c r="F2" s="1079"/>
      <c r="G2" s="1079"/>
      <c r="H2" s="1079"/>
      <c r="I2" s="1079"/>
    </row>
    <row r="3" spans="1:9" ht="15.75" x14ac:dyDescent="0.25">
      <c r="A3" s="1097" t="s">
        <v>9</v>
      </c>
      <c r="B3" s="1097"/>
      <c r="C3" s="1097"/>
      <c r="D3" s="1097"/>
      <c r="E3" s="1097"/>
      <c r="F3" s="1097"/>
      <c r="G3" s="1097"/>
      <c r="H3" s="1097"/>
      <c r="I3" s="1097"/>
    </row>
    <row r="4" spans="1:9" ht="12.75" customHeight="1" x14ac:dyDescent="0.25">
      <c r="A4" s="282"/>
      <c r="B4" s="282"/>
      <c r="C4" s="282"/>
      <c r="D4" s="282"/>
      <c r="E4" s="282"/>
      <c r="F4" s="282"/>
      <c r="G4" s="282"/>
      <c r="H4" s="282"/>
      <c r="I4" s="282"/>
    </row>
    <row r="5" spans="1:9" ht="15.75" x14ac:dyDescent="0.25">
      <c r="A5" s="1079" t="s">
        <v>10</v>
      </c>
      <c r="B5" s="1079"/>
      <c r="C5" s="1098" t="s">
        <v>1221</v>
      </c>
      <c r="D5" s="1098"/>
      <c r="E5" s="1098"/>
      <c r="F5" s="1098"/>
      <c r="G5" s="1098"/>
      <c r="H5" s="1098"/>
      <c r="I5" s="1098"/>
    </row>
    <row r="6" spans="1:9" x14ac:dyDescent="0.25">
      <c r="A6" s="1079" t="s">
        <v>6</v>
      </c>
      <c r="B6" s="1079"/>
      <c r="C6" s="1079" t="s">
        <v>1222</v>
      </c>
      <c r="D6" s="1079"/>
      <c r="E6" s="1079"/>
      <c r="F6" s="1079"/>
      <c r="G6" s="1079"/>
      <c r="H6" s="1079"/>
      <c r="I6" s="1079"/>
    </row>
    <row r="7" spans="1:9" x14ac:dyDescent="0.25">
      <c r="A7" s="1079" t="s">
        <v>5</v>
      </c>
      <c r="B7" s="1079"/>
      <c r="C7" s="1146" t="s">
        <v>1223</v>
      </c>
      <c r="D7" s="1146"/>
      <c r="E7" s="1146"/>
      <c r="F7" s="1146"/>
      <c r="G7" s="1146"/>
      <c r="H7" s="1146"/>
      <c r="I7" s="1146"/>
    </row>
    <row r="8" spans="1:9" ht="48" x14ac:dyDescent="0.25">
      <c r="A8" s="6" t="s">
        <v>4</v>
      </c>
      <c r="B8" s="1020" t="s">
        <v>3</v>
      </c>
      <c r="C8" s="1021"/>
      <c r="D8" s="6" t="s">
        <v>11</v>
      </c>
      <c r="E8" s="6" t="s">
        <v>12</v>
      </c>
      <c r="F8" s="6" t="s">
        <v>13</v>
      </c>
      <c r="G8" s="6" t="s">
        <v>2</v>
      </c>
      <c r="H8" s="6" t="s">
        <v>180</v>
      </c>
      <c r="I8" s="6" t="s">
        <v>1</v>
      </c>
    </row>
    <row r="9" spans="1:9" ht="12.75" customHeight="1" x14ac:dyDescent="0.25">
      <c r="A9" s="1022" t="s">
        <v>14</v>
      </c>
      <c r="B9" s="1023"/>
      <c r="C9" s="1024"/>
      <c r="D9" s="7">
        <f>SUM(D10:D13)</f>
        <v>23200</v>
      </c>
      <c r="E9" s="7">
        <f>SUM(E10:E13)</f>
        <v>0</v>
      </c>
      <c r="F9" s="7">
        <f>SUM(F10:F13)</f>
        <v>91200</v>
      </c>
      <c r="G9" s="7"/>
      <c r="H9" s="7">
        <f>SUM(H10:H13)</f>
        <v>35200</v>
      </c>
      <c r="I9" s="7"/>
    </row>
    <row r="10" spans="1:9" x14ac:dyDescent="0.25">
      <c r="A10" s="3">
        <v>1</v>
      </c>
      <c r="B10" s="1025" t="s">
        <v>1224</v>
      </c>
      <c r="C10" s="1026"/>
      <c r="D10" s="4">
        <v>20000</v>
      </c>
      <c r="E10" s="4">
        <v>0</v>
      </c>
      <c r="F10" s="4">
        <v>70000</v>
      </c>
      <c r="G10" s="286">
        <v>5110</v>
      </c>
      <c r="H10" s="4">
        <v>20000</v>
      </c>
      <c r="I10" s="300" t="s">
        <v>1225</v>
      </c>
    </row>
    <row r="11" spans="1:9" ht="24" customHeight="1" x14ac:dyDescent="0.25">
      <c r="A11" s="3">
        <v>2</v>
      </c>
      <c r="B11" s="1025" t="s">
        <v>1226</v>
      </c>
      <c r="C11" s="1026"/>
      <c r="D11" s="4">
        <v>2000</v>
      </c>
      <c r="E11" s="4">
        <v>0</v>
      </c>
      <c r="F11" s="4">
        <v>5000</v>
      </c>
      <c r="G11" s="286">
        <v>5110</v>
      </c>
      <c r="H11" s="4">
        <v>2000</v>
      </c>
      <c r="I11" s="300" t="s">
        <v>1225</v>
      </c>
    </row>
    <row r="12" spans="1:9" x14ac:dyDescent="0.25">
      <c r="A12" s="3">
        <v>3</v>
      </c>
      <c r="B12" s="1025" t="s">
        <v>1227</v>
      </c>
      <c r="C12" s="1026"/>
      <c r="D12" s="4">
        <v>1200</v>
      </c>
      <c r="E12" s="4">
        <v>0</v>
      </c>
      <c r="F12" s="4">
        <v>1200</v>
      </c>
      <c r="G12" s="286">
        <v>2314</v>
      </c>
      <c r="H12" s="4">
        <v>1200</v>
      </c>
      <c r="I12" s="300" t="s">
        <v>1228</v>
      </c>
    </row>
    <row r="13" spans="1:9" x14ac:dyDescent="0.25">
      <c r="A13" s="3">
        <v>4</v>
      </c>
      <c r="B13" s="1078" t="s">
        <v>1229</v>
      </c>
      <c r="C13" s="1078"/>
      <c r="D13" s="849">
        <v>0</v>
      </c>
      <c r="E13" s="288">
        <v>0</v>
      </c>
      <c r="F13" s="288">
        <v>15000</v>
      </c>
      <c r="G13" s="286">
        <v>5240</v>
      </c>
      <c r="H13" s="288">
        <v>12000</v>
      </c>
      <c r="I13" s="300" t="s">
        <v>1230</v>
      </c>
    </row>
    <row r="14" spans="1:9" x14ac:dyDescent="0.25">
      <c r="A14" s="10"/>
      <c r="B14" s="10"/>
      <c r="C14" s="10"/>
      <c r="D14" s="10"/>
      <c r="E14" s="10"/>
      <c r="F14" s="10"/>
      <c r="G14" s="10"/>
      <c r="H14" s="10"/>
      <c r="I14" s="10"/>
    </row>
    <row r="15" spans="1:9" x14ac:dyDescent="0.25">
      <c r="A15" s="1079" t="s">
        <v>6</v>
      </c>
      <c r="B15" s="1079"/>
      <c r="C15" s="1079" t="s">
        <v>1231</v>
      </c>
      <c r="D15" s="1079"/>
      <c r="E15" s="1079"/>
      <c r="F15" s="1079"/>
      <c r="G15" s="1079"/>
      <c r="H15" s="1079"/>
      <c r="I15" s="1079"/>
    </row>
    <row r="16" spans="1:9" x14ac:dyDescent="0.25">
      <c r="A16" s="1079" t="s">
        <v>5</v>
      </c>
      <c r="B16" s="1079"/>
      <c r="C16" s="1146" t="s">
        <v>1232</v>
      </c>
      <c r="D16" s="1146"/>
      <c r="E16" s="1146"/>
      <c r="F16" s="1146"/>
      <c r="G16" s="1146"/>
      <c r="H16" s="1146"/>
      <c r="I16" s="1146"/>
    </row>
    <row r="17" spans="1:9" ht="48" x14ac:dyDescent="0.25">
      <c r="A17" s="6" t="s">
        <v>4</v>
      </c>
      <c r="B17" s="989" t="s">
        <v>3</v>
      </c>
      <c r="C17" s="989"/>
      <c r="D17" s="6" t="s">
        <v>11</v>
      </c>
      <c r="E17" s="6" t="s">
        <v>12</v>
      </c>
      <c r="F17" s="6" t="s">
        <v>13</v>
      </c>
      <c r="G17" s="6" t="s">
        <v>2</v>
      </c>
      <c r="H17" s="6" t="s">
        <v>262</v>
      </c>
      <c r="I17" s="6" t="s">
        <v>1</v>
      </c>
    </row>
    <row r="18" spans="1:9" x14ac:dyDescent="0.25">
      <c r="A18" s="1040" t="s">
        <v>14</v>
      </c>
      <c r="B18" s="1040"/>
      <c r="C18" s="1040"/>
      <c r="D18" s="7">
        <f>SUM(D19:D27)</f>
        <v>69582</v>
      </c>
      <c r="E18" s="7">
        <f>SUM(E19:E27)</f>
        <v>69582</v>
      </c>
      <c r="F18" s="7">
        <f>SUM(F19:F27)</f>
        <v>69000</v>
      </c>
      <c r="G18" s="7"/>
      <c r="H18" s="7">
        <f>SUM(H19:H27)</f>
        <v>67582</v>
      </c>
      <c r="I18" s="7"/>
    </row>
    <row r="19" spans="1:9" ht="25.5" customHeight="1" x14ac:dyDescent="0.25">
      <c r="A19" s="3">
        <v>1</v>
      </c>
      <c r="B19" s="1042" t="s">
        <v>1233</v>
      </c>
      <c r="C19" s="1042"/>
      <c r="D19" s="4">
        <v>38000</v>
      </c>
      <c r="E19" s="4">
        <v>38000</v>
      </c>
      <c r="F19" s="4">
        <v>38500</v>
      </c>
      <c r="G19" s="481">
        <v>2279</v>
      </c>
      <c r="H19" s="4">
        <v>38500</v>
      </c>
      <c r="I19" s="300" t="s">
        <v>1234</v>
      </c>
    </row>
    <row r="20" spans="1:9" x14ac:dyDescent="0.25">
      <c r="A20" s="3">
        <v>2</v>
      </c>
      <c r="B20" s="1042" t="s">
        <v>1235</v>
      </c>
      <c r="C20" s="1042"/>
      <c r="D20" s="4">
        <v>8000</v>
      </c>
      <c r="E20" s="4">
        <v>8000</v>
      </c>
      <c r="F20" s="4">
        <v>9500</v>
      </c>
      <c r="G20" s="481">
        <v>2279</v>
      </c>
      <c r="H20" s="4">
        <v>9500</v>
      </c>
      <c r="I20" s="300" t="s">
        <v>1234</v>
      </c>
    </row>
    <row r="21" spans="1:9" x14ac:dyDescent="0.25">
      <c r="A21" s="1030">
        <v>3</v>
      </c>
      <c r="B21" s="1032" t="s">
        <v>1236</v>
      </c>
      <c r="C21" s="1033"/>
      <c r="D21" s="4">
        <v>2000</v>
      </c>
      <c r="E21" s="4">
        <v>2000</v>
      </c>
      <c r="F21" s="283">
        <v>2000</v>
      </c>
      <c r="G21" s="850">
        <v>2390</v>
      </c>
      <c r="H21" s="283">
        <v>2000</v>
      </c>
      <c r="I21" s="1107" t="s">
        <v>1234</v>
      </c>
    </row>
    <row r="22" spans="1:9" x14ac:dyDescent="0.25">
      <c r="A22" s="1065"/>
      <c r="B22" s="1066"/>
      <c r="C22" s="1067"/>
      <c r="D22" s="4">
        <v>2000</v>
      </c>
      <c r="E22" s="4">
        <v>2000</v>
      </c>
      <c r="F22" s="283">
        <v>3000</v>
      </c>
      <c r="G22" s="850">
        <v>2279</v>
      </c>
      <c r="H22" s="283">
        <v>3000</v>
      </c>
      <c r="I22" s="1108"/>
    </row>
    <row r="23" spans="1:9" x14ac:dyDescent="0.25">
      <c r="A23" s="1187">
        <v>4</v>
      </c>
      <c r="B23" s="1032" t="s">
        <v>1237</v>
      </c>
      <c r="C23" s="1033"/>
      <c r="D23" s="397">
        <v>400</v>
      </c>
      <c r="E23" s="397">
        <v>400</v>
      </c>
      <c r="F23" s="468">
        <v>400</v>
      </c>
      <c r="G23" s="851">
        <v>2279</v>
      </c>
      <c r="H23" s="283">
        <v>400</v>
      </c>
      <c r="I23" s="1107" t="s">
        <v>1234</v>
      </c>
    </row>
    <row r="24" spans="1:9" x14ac:dyDescent="0.25">
      <c r="A24" s="1188"/>
      <c r="B24" s="1066"/>
      <c r="C24" s="1067"/>
      <c r="D24" s="397">
        <v>5000</v>
      </c>
      <c r="E24" s="397">
        <v>5000</v>
      </c>
      <c r="F24" s="468">
        <v>3000</v>
      </c>
      <c r="G24" s="851">
        <v>2312</v>
      </c>
      <c r="H24" s="283">
        <v>3000</v>
      </c>
      <c r="I24" s="1108"/>
    </row>
    <row r="25" spans="1:9" x14ac:dyDescent="0.25">
      <c r="A25" s="1188"/>
      <c r="B25" s="1066"/>
      <c r="C25" s="1067"/>
      <c r="D25" s="397">
        <v>10000</v>
      </c>
      <c r="E25" s="397">
        <v>10000</v>
      </c>
      <c r="F25" s="468">
        <v>7000</v>
      </c>
      <c r="G25" s="851">
        <v>5240</v>
      </c>
      <c r="H25" s="283">
        <v>7000</v>
      </c>
      <c r="I25" s="1108"/>
    </row>
    <row r="26" spans="1:9" x14ac:dyDescent="0.25">
      <c r="A26" s="1189"/>
      <c r="B26" s="1034"/>
      <c r="C26" s="1035"/>
      <c r="D26" s="397">
        <v>600</v>
      </c>
      <c r="E26" s="397">
        <v>600</v>
      </c>
      <c r="F26" s="468">
        <v>600</v>
      </c>
      <c r="G26" s="851">
        <v>5110</v>
      </c>
      <c r="H26" s="283">
        <v>600</v>
      </c>
      <c r="I26" s="1109"/>
    </row>
    <row r="27" spans="1:9" x14ac:dyDescent="0.25">
      <c r="A27" s="329">
        <v>5</v>
      </c>
      <c r="B27" s="1042" t="s">
        <v>1238</v>
      </c>
      <c r="C27" s="1042"/>
      <c r="D27" s="397">
        <v>3582</v>
      </c>
      <c r="E27" s="397">
        <v>3582</v>
      </c>
      <c r="F27" s="397">
        <v>5000</v>
      </c>
      <c r="G27" s="480">
        <v>2314</v>
      </c>
      <c r="H27" s="4">
        <v>3582</v>
      </c>
      <c r="I27" s="300" t="s">
        <v>1234</v>
      </c>
    </row>
    <row r="28" spans="1:9" x14ac:dyDescent="0.25">
      <c r="A28" s="454"/>
      <c r="B28" s="10"/>
      <c r="C28" s="10"/>
      <c r="D28" s="10"/>
      <c r="E28" s="10"/>
      <c r="F28" s="10"/>
      <c r="G28" s="10"/>
      <c r="H28" s="444"/>
      <c r="I28" s="444"/>
    </row>
    <row r="29" spans="1:9" x14ac:dyDescent="0.25">
      <c r="A29" s="1079" t="s">
        <v>6</v>
      </c>
      <c r="B29" s="1079"/>
      <c r="C29" s="1079" t="s">
        <v>1239</v>
      </c>
      <c r="D29" s="1079"/>
      <c r="E29" s="1079"/>
      <c r="F29" s="1079"/>
      <c r="G29" s="1079"/>
      <c r="H29" s="1079"/>
      <c r="I29" s="1079"/>
    </row>
    <row r="30" spans="1:9" x14ac:dyDescent="0.25">
      <c r="A30" s="1079" t="s">
        <v>5</v>
      </c>
      <c r="B30" s="1079"/>
      <c r="C30" s="1146" t="s">
        <v>1240</v>
      </c>
      <c r="D30" s="1146"/>
      <c r="E30" s="1146"/>
      <c r="F30" s="1146"/>
      <c r="G30" s="1146"/>
      <c r="H30" s="1146"/>
      <c r="I30" s="1146"/>
    </row>
    <row r="31" spans="1:9" ht="48" x14ac:dyDescent="0.25">
      <c r="A31" s="6" t="s">
        <v>4</v>
      </c>
      <c r="B31" s="1020" t="s">
        <v>3</v>
      </c>
      <c r="C31" s="1021"/>
      <c r="D31" s="6" t="s">
        <v>11</v>
      </c>
      <c r="E31" s="6" t="s">
        <v>12</v>
      </c>
      <c r="F31" s="6" t="s">
        <v>13</v>
      </c>
      <c r="G31" s="6" t="s">
        <v>2</v>
      </c>
      <c r="H31" s="6" t="s">
        <v>180</v>
      </c>
      <c r="I31" s="6" t="s">
        <v>1</v>
      </c>
    </row>
    <row r="32" spans="1:9" x14ac:dyDescent="0.25">
      <c r="A32" s="1022" t="s">
        <v>14</v>
      </c>
      <c r="B32" s="1023"/>
      <c r="C32" s="1024"/>
      <c r="D32" s="7">
        <f>SUM(D33:D33)</f>
        <v>30000</v>
      </c>
      <c r="E32" s="7">
        <f>SUM(E33:E33)</f>
        <v>29369.040000000001</v>
      </c>
      <c r="F32" s="7">
        <f>SUM(F33:F33)</f>
        <v>30000</v>
      </c>
      <c r="G32" s="7"/>
      <c r="H32" s="7">
        <f>SUM(H33:H33)</f>
        <v>30000</v>
      </c>
      <c r="I32" s="7"/>
    </row>
    <row r="33" spans="1:10" ht="38.25" customHeight="1" x14ac:dyDescent="0.25">
      <c r="A33" s="3">
        <v>1</v>
      </c>
      <c r="B33" s="1025" t="s">
        <v>1241</v>
      </c>
      <c r="C33" s="1026"/>
      <c r="D33" s="4">
        <v>30000</v>
      </c>
      <c r="E33" s="4">
        <v>29369.040000000001</v>
      </c>
      <c r="F33" s="4">
        <v>30000</v>
      </c>
      <c r="G33" s="286">
        <v>2279</v>
      </c>
      <c r="H33" s="4">
        <v>30000</v>
      </c>
      <c r="I33" s="300" t="s">
        <v>1242</v>
      </c>
    </row>
    <row r="34" spans="1:10" x14ac:dyDescent="0.25">
      <c r="A34" s="281" t="s">
        <v>399</v>
      </c>
    </row>
    <row r="35" spans="1:10" x14ac:dyDescent="0.25">
      <c r="A35" s="281" t="s">
        <v>1243</v>
      </c>
      <c r="C35" s="852"/>
    </row>
    <row r="36" spans="1:10" x14ac:dyDescent="0.25">
      <c r="B36" s="281" t="s">
        <v>1244</v>
      </c>
      <c r="C36" s="852"/>
    </row>
    <row r="37" spans="1:10" x14ac:dyDescent="0.25">
      <c r="C37" s="281" t="s">
        <v>1245</v>
      </c>
    </row>
    <row r="38" spans="1:10" x14ac:dyDescent="0.25">
      <c r="B38" s="281" t="s">
        <v>1246</v>
      </c>
      <c r="J38" s="853"/>
    </row>
    <row r="39" spans="1:10" x14ac:dyDescent="0.25">
      <c r="C39" s="281" t="s">
        <v>1247</v>
      </c>
      <c r="J39" s="853"/>
    </row>
    <row r="40" spans="1:10" x14ac:dyDescent="0.25">
      <c r="B40" s="281" t="s">
        <v>1248</v>
      </c>
      <c r="J40" s="853"/>
    </row>
    <row r="41" spans="1:10" x14ac:dyDescent="0.25">
      <c r="C41" s="281" t="s">
        <v>1249</v>
      </c>
    </row>
    <row r="42" spans="1:10" x14ac:dyDescent="0.25">
      <c r="B42" s="281" t="s">
        <v>972</v>
      </c>
    </row>
    <row r="43" spans="1:10" x14ac:dyDescent="0.25">
      <c r="C43" s="281" t="s">
        <v>1250</v>
      </c>
    </row>
    <row r="44" spans="1:10" x14ac:dyDescent="0.25">
      <c r="B44" s="281" t="s">
        <v>1251</v>
      </c>
    </row>
    <row r="45" spans="1:10" x14ac:dyDescent="0.25">
      <c r="C45" s="281" t="s">
        <v>1252</v>
      </c>
    </row>
  </sheetData>
  <sheetProtection algorithmName="SHA-512" hashValue="V0rblFG+F/UEMujLlhjLst2mbJcMdF/bIY+OkRRTmkdqtbVBsyxq5LLSLfe3itjcuGWVEhghYAEIG1WX9VSCNw==" saltValue="iKXfNzJiwXxEkG5lQhy8Cw==" spinCount="100000" sheet="1" objects="1" scenarios="1" selectLockedCells="1" selectUnlockedCells="1"/>
  <mergeCells count="39">
    <mergeCell ref="A9:C9"/>
    <mergeCell ref="A1:B1"/>
    <mergeCell ref="C1:I1"/>
    <mergeCell ref="A2:B2"/>
    <mergeCell ref="C2:I2"/>
    <mergeCell ref="A3:I3"/>
    <mergeCell ref="A5:B5"/>
    <mergeCell ref="C5:I5"/>
    <mergeCell ref="A6:B6"/>
    <mergeCell ref="C6:I6"/>
    <mergeCell ref="A7:B7"/>
    <mergeCell ref="C7:I7"/>
    <mergeCell ref="B8:C8"/>
    <mergeCell ref="B20:C20"/>
    <mergeCell ref="B10:C10"/>
    <mergeCell ref="B11:C11"/>
    <mergeCell ref="B12:C12"/>
    <mergeCell ref="B13:C13"/>
    <mergeCell ref="A15:B15"/>
    <mergeCell ref="C15:I15"/>
    <mergeCell ref="A16:B16"/>
    <mergeCell ref="C16:I16"/>
    <mergeCell ref="B17:C17"/>
    <mergeCell ref="A18:C18"/>
    <mergeCell ref="B19:C19"/>
    <mergeCell ref="A21:A22"/>
    <mergeCell ref="B21:C22"/>
    <mergeCell ref="I21:I22"/>
    <mergeCell ref="A23:A26"/>
    <mergeCell ref="B23:C26"/>
    <mergeCell ref="I23:I26"/>
    <mergeCell ref="A32:C32"/>
    <mergeCell ref="B33:C33"/>
    <mergeCell ref="B27:C27"/>
    <mergeCell ref="A29:B29"/>
    <mergeCell ref="C29:I29"/>
    <mergeCell ref="A30:B30"/>
    <mergeCell ref="C30:I30"/>
    <mergeCell ref="B31:C31"/>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 xml:space="preserve">&amp;R&amp;"Times New Roman,Regular"&amp;8
18.pielikums Jūrmalas pilsētas domes
2016.gada 16.decembra saistošajiem noteikumiem Nr.47
(protokols Nr.19, 19.punkts)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8"/>
  <sheetViews>
    <sheetView view="pageLayout" zoomScaleNormal="100" workbookViewId="0">
      <selection activeCell="B28" sqref="B28:C29"/>
    </sheetView>
  </sheetViews>
  <sheetFormatPr defaultRowHeight="12" x14ac:dyDescent="0.2"/>
  <cols>
    <col min="1" max="1" width="6.140625" style="1" customWidth="1"/>
    <col min="2" max="2" width="17.28515625" style="1" customWidth="1"/>
    <col min="3" max="3" width="16.7109375" style="1" customWidth="1"/>
    <col min="4" max="4" width="11.85546875" style="1" hidden="1" customWidth="1"/>
    <col min="5" max="5" width="11.140625" style="1" hidden="1" customWidth="1"/>
    <col min="6" max="6" width="10.28515625" style="1" hidden="1" customWidth="1"/>
    <col min="7" max="7" width="10.5703125" style="1" customWidth="1"/>
    <col min="8" max="8" width="9.7109375" style="1" customWidth="1"/>
    <col min="9" max="9" width="33.5703125" style="1" customWidth="1"/>
    <col min="10" max="16384" width="9.140625" style="1"/>
  </cols>
  <sheetData>
    <row r="1" spans="1:12" x14ac:dyDescent="0.2">
      <c r="A1" s="1016" t="s">
        <v>8</v>
      </c>
      <c r="B1" s="1016"/>
      <c r="C1" s="1016" t="s">
        <v>15</v>
      </c>
      <c r="D1" s="1016"/>
      <c r="E1" s="1016"/>
      <c r="F1" s="1016"/>
      <c r="G1" s="1016"/>
      <c r="H1" s="1016"/>
      <c r="I1" s="1016"/>
    </row>
    <row r="2" spans="1:12" x14ac:dyDescent="0.2">
      <c r="A2" s="1016" t="s">
        <v>7</v>
      </c>
      <c r="B2" s="1016"/>
      <c r="C2" s="1016">
        <v>90000056357</v>
      </c>
      <c r="D2" s="1016"/>
      <c r="E2" s="1016"/>
      <c r="F2" s="1016"/>
      <c r="G2" s="1016"/>
      <c r="H2" s="1016"/>
      <c r="I2" s="1016"/>
    </row>
    <row r="3" spans="1:12" ht="15.75" x14ac:dyDescent="0.25">
      <c r="A3" s="1018" t="s">
        <v>9</v>
      </c>
      <c r="B3" s="1018"/>
      <c r="C3" s="1018"/>
      <c r="D3" s="1018"/>
      <c r="E3" s="1018"/>
      <c r="F3" s="1018"/>
      <c r="G3" s="1018"/>
      <c r="H3" s="1018"/>
      <c r="I3" s="1018"/>
    </row>
    <row r="4" spans="1:12" ht="15.75" x14ac:dyDescent="0.25">
      <c r="A4" s="280"/>
      <c r="B4" s="280"/>
      <c r="C4" s="280"/>
      <c r="D4" s="280"/>
      <c r="E4" s="280"/>
      <c r="F4" s="280"/>
      <c r="G4" s="280"/>
      <c r="H4" s="280"/>
      <c r="I4" s="280"/>
    </row>
    <row r="5" spans="1:12" ht="15.75" x14ac:dyDescent="0.25">
      <c r="A5" s="1016" t="s">
        <v>10</v>
      </c>
      <c r="B5" s="1016"/>
      <c r="C5" s="1017" t="s">
        <v>1442</v>
      </c>
      <c r="D5" s="1017"/>
      <c r="E5" s="1017"/>
      <c r="F5" s="1017"/>
      <c r="G5" s="1017"/>
      <c r="H5" s="1017"/>
      <c r="I5" s="1017"/>
    </row>
    <row r="6" spans="1:12" x14ac:dyDescent="0.2">
      <c r="A6" s="1016" t="s">
        <v>6</v>
      </c>
      <c r="B6" s="1016"/>
      <c r="C6" s="1016" t="s">
        <v>1369</v>
      </c>
      <c r="D6" s="1016"/>
      <c r="E6" s="1016"/>
      <c r="F6" s="1016"/>
      <c r="G6" s="1016"/>
      <c r="H6" s="1016"/>
      <c r="I6" s="1016"/>
    </row>
    <row r="7" spans="1:12" x14ac:dyDescent="0.2">
      <c r="A7" s="1016" t="s">
        <v>5</v>
      </c>
      <c r="B7" s="1016"/>
      <c r="C7" s="1019" t="s">
        <v>1443</v>
      </c>
      <c r="D7" s="1019"/>
      <c r="E7" s="1019"/>
      <c r="F7" s="1019"/>
      <c r="G7" s="1019"/>
      <c r="H7" s="1019"/>
      <c r="I7" s="1019"/>
    </row>
    <row r="8" spans="1:12" ht="36" x14ac:dyDescent="0.2">
      <c r="A8" s="424" t="s">
        <v>4</v>
      </c>
      <c r="B8" s="1020" t="s">
        <v>3</v>
      </c>
      <c r="C8" s="1021"/>
      <c r="D8" s="424" t="s">
        <v>11</v>
      </c>
      <c r="E8" s="424" t="s">
        <v>12</v>
      </c>
      <c r="F8" s="424" t="s">
        <v>13</v>
      </c>
      <c r="G8" s="424" t="s">
        <v>2</v>
      </c>
      <c r="H8" s="424" t="s">
        <v>180</v>
      </c>
      <c r="I8" s="424" t="s">
        <v>1</v>
      </c>
    </row>
    <row r="9" spans="1:12" x14ac:dyDescent="0.2">
      <c r="A9" s="1022" t="s">
        <v>14</v>
      </c>
      <c r="B9" s="1023"/>
      <c r="C9" s="1024"/>
      <c r="D9" s="7">
        <f>SUM(D10:D11)</f>
        <v>30000</v>
      </c>
      <c r="E9" s="7">
        <f>SUM(E10:E11)</f>
        <v>29984</v>
      </c>
      <c r="F9" s="7">
        <f>SUM(F10:F11)</f>
        <v>48000</v>
      </c>
      <c r="G9" s="7"/>
      <c r="H9" s="7">
        <f>SUM(H10:H11)</f>
        <v>44000</v>
      </c>
      <c r="I9" s="810"/>
    </row>
    <row r="10" spans="1:12" x14ac:dyDescent="0.2">
      <c r="A10" s="334">
        <v>1</v>
      </c>
      <c r="B10" s="1025" t="s">
        <v>1444</v>
      </c>
      <c r="C10" s="1026"/>
      <c r="D10" s="4">
        <v>9680</v>
      </c>
      <c r="E10" s="4">
        <v>9680</v>
      </c>
      <c r="F10" s="4">
        <v>10000</v>
      </c>
      <c r="G10" s="9">
        <v>2239</v>
      </c>
      <c r="H10" s="4">
        <v>6000</v>
      </c>
      <c r="I10" s="4" t="s">
        <v>1445</v>
      </c>
      <c r="J10" s="411"/>
      <c r="K10" s="411"/>
      <c r="L10" s="411"/>
    </row>
    <row r="11" spans="1:12" ht="24.75" customHeight="1" x14ac:dyDescent="0.2">
      <c r="A11" s="334">
        <v>2</v>
      </c>
      <c r="B11" s="1025" t="s">
        <v>1446</v>
      </c>
      <c r="C11" s="1026"/>
      <c r="D11" s="4">
        <v>20320</v>
      </c>
      <c r="E11" s="4">
        <v>20304</v>
      </c>
      <c r="F11" s="4">
        <v>38000</v>
      </c>
      <c r="G11" s="9">
        <v>5240</v>
      </c>
      <c r="H11" s="4">
        <v>38000</v>
      </c>
      <c r="I11" s="4" t="s">
        <v>1447</v>
      </c>
      <c r="J11" s="411"/>
      <c r="K11" s="411"/>
      <c r="L11" s="411"/>
    </row>
    <row r="12" spans="1:12" x14ac:dyDescent="0.2">
      <c r="A12" s="10"/>
      <c r="B12" s="10"/>
      <c r="C12" s="10"/>
      <c r="D12" s="10"/>
      <c r="E12" s="10"/>
      <c r="F12" s="10"/>
      <c r="G12" s="10"/>
      <c r="H12" s="10"/>
      <c r="I12" s="10"/>
    </row>
    <row r="13" spans="1:12" x14ac:dyDescent="0.2">
      <c r="A13" s="281" t="s">
        <v>399</v>
      </c>
      <c r="B13" s="281"/>
      <c r="C13" s="281"/>
    </row>
    <row r="14" spans="1:12" x14ac:dyDescent="0.2">
      <c r="A14" s="1" t="s">
        <v>1338</v>
      </c>
      <c r="D14" s="2"/>
      <c r="E14" s="2"/>
      <c r="F14" s="2"/>
      <c r="G14" s="2"/>
      <c r="H14" s="2"/>
      <c r="I14" s="2"/>
      <c r="J14" s="2"/>
    </row>
    <row r="15" spans="1:12" x14ac:dyDescent="0.2">
      <c r="B15" s="1" t="s">
        <v>1448</v>
      </c>
      <c r="D15" s="2"/>
      <c r="E15" s="2"/>
      <c r="F15" s="2"/>
      <c r="G15" s="2"/>
      <c r="H15" s="2"/>
      <c r="I15" s="2"/>
      <c r="J15" s="2"/>
    </row>
    <row r="16" spans="1:12" x14ac:dyDescent="0.2">
      <c r="C16" s="1" t="s">
        <v>1449</v>
      </c>
      <c r="D16" s="2"/>
      <c r="E16" s="2"/>
      <c r="F16" s="2"/>
      <c r="G16" s="2"/>
      <c r="H16" s="2"/>
      <c r="I16" s="2"/>
      <c r="J16" s="2"/>
    </row>
    <row r="17" spans="2:3" x14ac:dyDescent="0.2">
      <c r="B17" s="1" t="s">
        <v>1339</v>
      </c>
    </row>
    <row r="18" spans="2:3" x14ac:dyDescent="0.2">
      <c r="C18" s="1" t="s">
        <v>1450</v>
      </c>
    </row>
  </sheetData>
  <sheetProtection algorithmName="SHA-512" hashValue="3pMZhO+S0rX1o2OiZ0rbeEMMMAKWuPQEKRVg9wCGNxmZxRvmmkd3L+OKx9ejqsqVqkxjwRjtwgvPX2RkL4/1Cw==" saltValue="PJ0bxGdqaNpULodvq/HOGw==" spinCount="100000" sheet="1" objects="1" scenarios="1" selectLockedCells="1" selectUnlockedCells="1"/>
  <mergeCells count="15">
    <mergeCell ref="B10:C10"/>
    <mergeCell ref="B11:C11"/>
    <mergeCell ref="A6:B6"/>
    <mergeCell ref="C6:I6"/>
    <mergeCell ref="A7:B7"/>
    <mergeCell ref="C7:I7"/>
    <mergeCell ref="B8:C8"/>
    <mergeCell ref="A9:C9"/>
    <mergeCell ref="A5:B5"/>
    <mergeCell ref="C5:I5"/>
    <mergeCell ref="A1:B1"/>
    <mergeCell ref="C1:I1"/>
    <mergeCell ref="A2:B2"/>
    <mergeCell ref="C2:I2"/>
    <mergeCell ref="A3:I3"/>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 xml:space="preserve">&amp;R&amp;"Times New Roman,Regular"&amp;8
19.pielikums Jūrmalas pilsētas domes
2016.gada 16.decembra saistošajiem noteikumiem Nr.47
(protokols Nr.19, 19.punkts)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8"/>
  <sheetViews>
    <sheetView view="pageLayout" zoomScaleNormal="100" workbookViewId="0">
      <selection activeCell="L17" sqref="L17"/>
    </sheetView>
  </sheetViews>
  <sheetFormatPr defaultRowHeight="12" x14ac:dyDescent="0.2"/>
  <cols>
    <col min="1" max="1" width="5.140625" style="485" customWidth="1"/>
    <col min="2" max="2" width="26.85546875" style="485" customWidth="1"/>
    <col min="3" max="3" width="6.28515625" style="485" customWidth="1"/>
    <col min="4" max="4" width="8.5703125" style="485" hidden="1" customWidth="1"/>
    <col min="5" max="5" width="7.7109375" style="485" hidden="1" customWidth="1"/>
    <col min="6" max="6" width="10.28515625" style="485" hidden="1" customWidth="1"/>
    <col min="7" max="7" width="10.42578125" style="485" customWidth="1"/>
    <col min="8" max="8" width="7.7109375" style="558" customWidth="1"/>
    <col min="9" max="9" width="22.85546875" style="485" customWidth="1"/>
    <col min="10" max="16384" width="9.140625" style="485"/>
  </cols>
  <sheetData>
    <row r="1" spans="1:9" ht="12.75" x14ac:dyDescent="0.2">
      <c r="A1" s="1214" t="s">
        <v>8</v>
      </c>
      <c r="B1" s="1214"/>
      <c r="C1" s="1231" t="s">
        <v>15</v>
      </c>
      <c r="D1" s="1231"/>
      <c r="E1" s="1231"/>
      <c r="F1" s="1231"/>
      <c r="G1" s="1231"/>
      <c r="H1" s="1231"/>
      <c r="I1" s="1231"/>
    </row>
    <row r="2" spans="1:9" ht="12.75" x14ac:dyDescent="0.2">
      <c r="A2" s="1214" t="s">
        <v>7</v>
      </c>
      <c r="B2" s="1214"/>
      <c r="C2" s="1231">
        <v>90000056357</v>
      </c>
      <c r="D2" s="1231"/>
      <c r="E2" s="1231"/>
      <c r="F2" s="1231"/>
      <c r="G2" s="1231"/>
      <c r="H2" s="1231"/>
      <c r="I2" s="1231"/>
    </row>
    <row r="3" spans="1:9" ht="15.75" x14ac:dyDescent="0.25">
      <c r="A3" s="1232" t="s">
        <v>9</v>
      </c>
      <c r="B3" s="1232"/>
      <c r="C3" s="1232"/>
      <c r="D3" s="1232"/>
      <c r="E3" s="1232"/>
      <c r="F3" s="1232"/>
      <c r="G3" s="1232"/>
      <c r="H3" s="1232"/>
      <c r="I3" s="1232"/>
    </row>
    <row r="4" spans="1:9" ht="12.75" customHeight="1" x14ac:dyDescent="0.25">
      <c r="A4" s="615"/>
      <c r="B4" s="615"/>
      <c r="C4" s="615"/>
      <c r="D4" s="615"/>
      <c r="E4" s="615"/>
      <c r="F4" s="615"/>
      <c r="G4" s="615"/>
      <c r="H4" s="854"/>
      <c r="I4" s="615"/>
    </row>
    <row r="5" spans="1:9" ht="15.75" x14ac:dyDescent="0.25">
      <c r="A5" s="1214" t="s">
        <v>10</v>
      </c>
      <c r="B5" s="1214"/>
      <c r="C5" s="1230" t="s">
        <v>1253</v>
      </c>
      <c r="D5" s="1230"/>
      <c r="E5" s="1230"/>
      <c r="F5" s="1230"/>
      <c r="G5" s="1230"/>
      <c r="H5" s="1230"/>
      <c r="I5" s="1230"/>
    </row>
    <row r="6" spans="1:9" x14ac:dyDescent="0.2">
      <c r="A6" s="1214" t="s">
        <v>377</v>
      </c>
      <c r="B6" s="1214"/>
      <c r="C6" s="1214" t="s">
        <v>1254</v>
      </c>
      <c r="D6" s="1214"/>
      <c r="E6" s="1214"/>
      <c r="F6" s="1214"/>
      <c r="G6" s="1214"/>
      <c r="H6" s="1214"/>
      <c r="I6" s="1214"/>
    </row>
    <row r="7" spans="1:9" x14ac:dyDescent="0.2">
      <c r="A7" s="1214" t="s">
        <v>5</v>
      </c>
      <c r="B7" s="1214"/>
      <c r="C7" s="1221" t="s">
        <v>1255</v>
      </c>
      <c r="D7" s="1221"/>
      <c r="E7" s="1221"/>
      <c r="F7" s="1221"/>
      <c r="G7" s="1221"/>
      <c r="H7" s="1221"/>
      <c r="I7" s="1221"/>
    </row>
    <row r="8" spans="1:9" ht="48" x14ac:dyDescent="0.2">
      <c r="A8" s="500" t="s">
        <v>4</v>
      </c>
      <c r="B8" s="1190" t="s">
        <v>3</v>
      </c>
      <c r="C8" s="1191"/>
      <c r="D8" s="500" t="s">
        <v>11</v>
      </c>
      <c r="E8" s="500" t="s">
        <v>12</v>
      </c>
      <c r="F8" s="500" t="s">
        <v>13</v>
      </c>
      <c r="G8" s="500" t="s">
        <v>2</v>
      </c>
      <c r="H8" s="6" t="s">
        <v>180</v>
      </c>
      <c r="I8" s="500" t="s">
        <v>1</v>
      </c>
    </row>
    <row r="9" spans="1:9" ht="12.75" customHeight="1" x14ac:dyDescent="0.2">
      <c r="A9" s="1192" t="s">
        <v>14</v>
      </c>
      <c r="B9" s="1193"/>
      <c r="C9" s="1194"/>
      <c r="D9" s="503">
        <f>SUM(D11:D43)</f>
        <v>1072010</v>
      </c>
      <c r="E9" s="503">
        <f>SUM(E11:E43)</f>
        <v>1037442</v>
      </c>
      <c r="F9" s="503">
        <f>SUM(F11:F43)</f>
        <v>1172358</v>
      </c>
      <c r="G9" s="855"/>
      <c r="H9" s="517">
        <f>SUM(H11:H43)</f>
        <v>966772</v>
      </c>
      <c r="I9" s="503"/>
    </row>
    <row r="10" spans="1:9" ht="12.75" customHeight="1" x14ac:dyDescent="0.2">
      <c r="A10" s="856">
        <v>1</v>
      </c>
      <c r="B10" s="1222" t="s">
        <v>1256</v>
      </c>
      <c r="C10" s="1223"/>
      <c r="D10" s="503"/>
      <c r="E10" s="503"/>
      <c r="F10" s="503"/>
      <c r="G10" s="503"/>
      <c r="H10" s="517"/>
      <c r="I10" s="503"/>
    </row>
    <row r="11" spans="1:9" x14ac:dyDescent="0.2">
      <c r="A11" s="1224">
        <v>1.1000000000000001</v>
      </c>
      <c r="B11" s="1210" t="s">
        <v>1257</v>
      </c>
      <c r="C11" s="1211"/>
      <c r="D11" s="857">
        <v>2400</v>
      </c>
      <c r="E11" s="534">
        <v>2400</v>
      </c>
      <c r="F11" s="549">
        <v>20000</v>
      </c>
      <c r="G11" s="858">
        <v>2279</v>
      </c>
      <c r="H11" s="859">
        <v>17000</v>
      </c>
      <c r="I11" s="1228" t="s">
        <v>1258</v>
      </c>
    </row>
    <row r="12" spans="1:9" x14ac:dyDescent="0.2">
      <c r="A12" s="1225"/>
      <c r="B12" s="1226"/>
      <c r="C12" s="1227"/>
      <c r="D12" s="861">
        <v>0</v>
      </c>
      <c r="E12" s="862">
        <v>0</v>
      </c>
      <c r="F12" s="523">
        <v>0</v>
      </c>
      <c r="G12" s="855">
        <v>6422</v>
      </c>
      <c r="H12" s="545">
        <v>2210</v>
      </c>
      <c r="I12" s="1229"/>
    </row>
    <row r="13" spans="1:9" x14ac:dyDescent="0.2">
      <c r="A13" s="863">
        <v>1.2</v>
      </c>
      <c r="B13" s="1226" t="s">
        <v>1259</v>
      </c>
      <c r="C13" s="1227"/>
      <c r="D13" s="864">
        <v>1200</v>
      </c>
      <c r="E13" s="534">
        <v>1200</v>
      </c>
      <c r="F13" s="549">
        <v>50000</v>
      </c>
      <c r="G13" s="858">
        <v>2279</v>
      </c>
      <c r="H13" s="859">
        <v>10000</v>
      </c>
      <c r="I13" s="542" t="s">
        <v>1258</v>
      </c>
    </row>
    <row r="14" spans="1:9" ht="12.75" customHeight="1" x14ac:dyDescent="0.2">
      <c r="A14" s="865">
        <v>2</v>
      </c>
      <c r="B14" s="1212" t="s">
        <v>835</v>
      </c>
      <c r="C14" s="1213"/>
      <c r="D14" s="523"/>
      <c r="E14" s="862"/>
      <c r="F14" s="523"/>
      <c r="G14" s="855"/>
      <c r="H14" s="545"/>
      <c r="I14" s="866"/>
    </row>
    <row r="15" spans="1:9" ht="23.25" customHeight="1" x14ac:dyDescent="0.2">
      <c r="A15" s="863">
        <v>2.1</v>
      </c>
      <c r="B15" s="1215" t="s">
        <v>1260</v>
      </c>
      <c r="C15" s="1216"/>
      <c r="D15" s="549">
        <v>3370</v>
      </c>
      <c r="E15" s="534">
        <v>3033</v>
      </c>
      <c r="F15" s="549">
        <v>3370</v>
      </c>
      <c r="G15" s="858">
        <v>2279</v>
      </c>
      <c r="H15" s="859">
        <v>3370</v>
      </c>
      <c r="I15" s="542" t="s">
        <v>1258</v>
      </c>
    </row>
    <row r="16" spans="1:9" x14ac:dyDescent="0.2">
      <c r="A16" s="865">
        <v>3</v>
      </c>
      <c r="B16" s="1212" t="s">
        <v>1261</v>
      </c>
      <c r="C16" s="1213"/>
      <c r="D16" s="523"/>
      <c r="E16" s="862"/>
      <c r="F16" s="523"/>
      <c r="G16" s="855"/>
      <c r="H16" s="545"/>
      <c r="I16" s="866"/>
    </row>
    <row r="17" spans="1:9" x14ac:dyDescent="0.2">
      <c r="A17" s="550">
        <v>3.1</v>
      </c>
      <c r="B17" s="1195" t="s">
        <v>1262</v>
      </c>
      <c r="C17" s="1196"/>
      <c r="D17" s="523">
        <v>0</v>
      </c>
      <c r="E17" s="862">
        <v>0</v>
      </c>
      <c r="F17" s="624">
        <v>2220</v>
      </c>
      <c r="G17" s="623">
        <v>2279</v>
      </c>
      <c r="H17" s="624">
        <v>2220</v>
      </c>
      <c r="I17" s="542" t="s">
        <v>1258</v>
      </c>
    </row>
    <row r="18" spans="1:9" ht="11.25" customHeight="1" x14ac:dyDescent="0.2">
      <c r="A18" s="865">
        <v>4</v>
      </c>
      <c r="B18" s="1217" t="s">
        <v>1263</v>
      </c>
      <c r="C18" s="1218"/>
      <c r="D18" s="523"/>
      <c r="E18" s="862"/>
      <c r="F18" s="523"/>
      <c r="G18" s="867"/>
      <c r="H18" s="545"/>
      <c r="I18" s="866"/>
    </row>
    <row r="19" spans="1:9" x14ac:dyDescent="0.2">
      <c r="A19" s="550">
        <v>4.0999999999999996</v>
      </c>
      <c r="B19" s="1219" t="s">
        <v>1264</v>
      </c>
      <c r="C19" s="1220"/>
      <c r="D19" s="549">
        <v>6000</v>
      </c>
      <c r="E19" s="534">
        <v>6000</v>
      </c>
      <c r="F19" s="549">
        <v>10000</v>
      </c>
      <c r="G19" s="868">
        <v>2279</v>
      </c>
      <c r="H19" s="859">
        <v>10000</v>
      </c>
      <c r="I19" s="542" t="s">
        <v>1258</v>
      </c>
    </row>
    <row r="20" spans="1:9" ht="24" customHeight="1" x14ac:dyDescent="0.2">
      <c r="A20" s="550">
        <v>4.2</v>
      </c>
      <c r="B20" s="1195" t="s">
        <v>1265</v>
      </c>
      <c r="C20" s="1196"/>
      <c r="D20" s="549">
        <v>300000</v>
      </c>
      <c r="E20" s="534">
        <v>300000</v>
      </c>
      <c r="F20" s="549">
        <v>350000</v>
      </c>
      <c r="G20" s="868">
        <v>2279</v>
      </c>
      <c r="H20" s="859">
        <v>350000</v>
      </c>
      <c r="I20" s="542" t="s">
        <v>1258</v>
      </c>
    </row>
    <row r="21" spans="1:9" ht="24" customHeight="1" x14ac:dyDescent="0.2">
      <c r="A21" s="550">
        <v>4.3</v>
      </c>
      <c r="B21" s="1195" t="s">
        <v>1266</v>
      </c>
      <c r="C21" s="1196"/>
      <c r="D21" s="549">
        <v>300000</v>
      </c>
      <c r="E21" s="534">
        <v>270000</v>
      </c>
      <c r="F21" s="549">
        <v>30000</v>
      </c>
      <c r="G21" s="868">
        <v>2279</v>
      </c>
      <c r="H21" s="859">
        <v>30000</v>
      </c>
      <c r="I21" s="542" t="s">
        <v>1258</v>
      </c>
    </row>
    <row r="22" spans="1:9" x14ac:dyDescent="0.2">
      <c r="A22" s="550">
        <v>4.4000000000000004</v>
      </c>
      <c r="B22" s="1195" t="s">
        <v>1267</v>
      </c>
      <c r="C22" s="1196"/>
      <c r="D22" s="523">
        <v>1500</v>
      </c>
      <c r="E22" s="862">
        <v>1500</v>
      </c>
      <c r="F22" s="523">
        <v>277</v>
      </c>
      <c r="G22" s="868">
        <v>2279</v>
      </c>
      <c r="H22" s="859">
        <v>277</v>
      </c>
      <c r="I22" s="542" t="s">
        <v>1258</v>
      </c>
    </row>
    <row r="23" spans="1:9" x14ac:dyDescent="0.2">
      <c r="A23" s="550">
        <v>4.5</v>
      </c>
      <c r="B23" s="1195" t="s">
        <v>1268</v>
      </c>
      <c r="C23" s="1196"/>
      <c r="D23" s="549">
        <v>110000</v>
      </c>
      <c r="E23" s="534">
        <v>110000</v>
      </c>
      <c r="F23" s="534">
        <v>100000</v>
      </c>
      <c r="G23" s="868">
        <v>2279</v>
      </c>
      <c r="H23" s="859">
        <v>90000</v>
      </c>
      <c r="I23" s="542" t="s">
        <v>1258</v>
      </c>
    </row>
    <row r="24" spans="1:9" x14ac:dyDescent="0.2">
      <c r="A24" s="869">
        <v>4.5999999999999996</v>
      </c>
      <c r="B24" s="1195" t="s">
        <v>1269</v>
      </c>
      <c r="C24" s="1196"/>
      <c r="D24" s="535">
        <v>100000</v>
      </c>
      <c r="E24" s="535">
        <v>100000</v>
      </c>
      <c r="F24" s="535">
        <v>100000</v>
      </c>
      <c r="G24" s="870">
        <v>2279</v>
      </c>
      <c r="H24" s="859">
        <f>90000+10000</f>
        <v>100000</v>
      </c>
      <c r="I24" s="542" t="s">
        <v>1258</v>
      </c>
    </row>
    <row r="25" spans="1:9" ht="12.75" customHeight="1" x14ac:dyDescent="0.2">
      <c r="A25" s="871">
        <v>5</v>
      </c>
      <c r="B25" s="1212" t="s">
        <v>1270</v>
      </c>
      <c r="C25" s="1213"/>
      <c r="D25" s="872"/>
      <c r="E25" s="872"/>
      <c r="F25" s="872"/>
      <c r="G25" s="873"/>
      <c r="H25" s="545"/>
      <c r="I25" s="874"/>
    </row>
    <row r="26" spans="1:9" ht="24" customHeight="1" x14ac:dyDescent="0.2">
      <c r="A26" s="869">
        <v>5.0999999999999996</v>
      </c>
      <c r="B26" s="1195" t="s">
        <v>1271</v>
      </c>
      <c r="C26" s="1196"/>
      <c r="D26" s="535">
        <v>25000</v>
      </c>
      <c r="E26" s="535">
        <v>25000</v>
      </c>
      <c r="F26" s="535">
        <v>25000</v>
      </c>
      <c r="G26" s="870">
        <v>2279</v>
      </c>
      <c r="H26" s="859">
        <v>15000</v>
      </c>
      <c r="I26" s="542" t="s">
        <v>1258</v>
      </c>
    </row>
    <row r="27" spans="1:9" ht="24" customHeight="1" x14ac:dyDescent="0.2">
      <c r="A27" s="869">
        <v>5.2</v>
      </c>
      <c r="B27" s="1195" t="s">
        <v>1272</v>
      </c>
      <c r="C27" s="1196"/>
      <c r="D27" s="535">
        <v>0</v>
      </c>
      <c r="E27" s="535">
        <v>0</v>
      </c>
      <c r="F27" s="535">
        <v>30000</v>
      </c>
      <c r="G27" s="870">
        <v>2279</v>
      </c>
      <c r="H27" s="859">
        <v>10000</v>
      </c>
      <c r="I27" s="542" t="s">
        <v>1258</v>
      </c>
    </row>
    <row r="28" spans="1:9" x14ac:dyDescent="0.2">
      <c r="A28" s="871">
        <v>6</v>
      </c>
      <c r="B28" s="1212" t="s">
        <v>953</v>
      </c>
      <c r="C28" s="1213"/>
      <c r="D28" s="535"/>
      <c r="E28" s="535"/>
      <c r="F28" s="535"/>
      <c r="G28" s="870"/>
      <c r="H28" s="859"/>
      <c r="I28" s="874"/>
    </row>
    <row r="29" spans="1:9" x14ac:dyDescent="0.2">
      <c r="A29" s="875">
        <v>6.1</v>
      </c>
      <c r="B29" s="1195" t="s">
        <v>1273</v>
      </c>
      <c r="C29" s="1196"/>
      <c r="D29" s="535">
        <v>1421</v>
      </c>
      <c r="E29" s="535">
        <v>709</v>
      </c>
      <c r="F29" s="535">
        <v>712</v>
      </c>
      <c r="G29" s="870">
        <v>2279</v>
      </c>
      <c r="H29" s="859">
        <v>712</v>
      </c>
      <c r="I29" s="542" t="s">
        <v>1258</v>
      </c>
    </row>
    <row r="30" spans="1:9" ht="36.75" customHeight="1" x14ac:dyDescent="0.2">
      <c r="A30" s="869">
        <v>6.2</v>
      </c>
      <c r="B30" s="1195" t="s">
        <v>1274</v>
      </c>
      <c r="C30" s="1196"/>
      <c r="D30" s="535">
        <v>30000</v>
      </c>
      <c r="E30" s="535">
        <v>30000</v>
      </c>
      <c r="F30" s="535">
        <v>30000</v>
      </c>
      <c r="G30" s="870">
        <v>2279</v>
      </c>
      <c r="H30" s="859">
        <v>20000</v>
      </c>
      <c r="I30" s="542" t="s">
        <v>1258</v>
      </c>
    </row>
    <row r="31" spans="1:9" x14ac:dyDescent="0.2">
      <c r="A31" s="869">
        <v>6.3</v>
      </c>
      <c r="B31" s="1195" t="s">
        <v>1275</v>
      </c>
      <c r="C31" s="1196"/>
      <c r="D31" s="535">
        <v>0</v>
      </c>
      <c r="E31" s="535">
        <v>0</v>
      </c>
      <c r="F31" s="535">
        <v>25000</v>
      </c>
      <c r="G31" s="870">
        <v>2279</v>
      </c>
      <c r="H31" s="859">
        <v>10000</v>
      </c>
      <c r="I31" s="542" t="s">
        <v>1258</v>
      </c>
    </row>
    <row r="32" spans="1:9" x14ac:dyDescent="0.2">
      <c r="A32" s="869">
        <v>6.4</v>
      </c>
      <c r="B32" s="1195" t="s">
        <v>1276</v>
      </c>
      <c r="C32" s="1196"/>
      <c r="D32" s="535">
        <v>12100</v>
      </c>
      <c r="E32" s="535">
        <v>12100</v>
      </c>
      <c r="F32" s="535">
        <v>14760</v>
      </c>
      <c r="G32" s="870">
        <v>2279</v>
      </c>
      <c r="H32" s="859">
        <v>12100</v>
      </c>
      <c r="I32" s="542" t="s">
        <v>1258</v>
      </c>
    </row>
    <row r="33" spans="1:9" x14ac:dyDescent="0.2">
      <c r="A33" s="869">
        <v>6.5</v>
      </c>
      <c r="B33" s="1195" t="s">
        <v>1277</v>
      </c>
      <c r="C33" s="1196"/>
      <c r="D33" s="535">
        <v>35000</v>
      </c>
      <c r="E33" s="535">
        <v>35000</v>
      </c>
      <c r="F33" s="535">
        <v>40000</v>
      </c>
      <c r="G33" s="870">
        <v>2279</v>
      </c>
      <c r="H33" s="859">
        <v>35000</v>
      </c>
      <c r="I33" s="542" t="s">
        <v>1258</v>
      </c>
    </row>
    <row r="34" spans="1:9" ht="23.25" customHeight="1" x14ac:dyDescent="0.2">
      <c r="A34" s="869">
        <v>6.6</v>
      </c>
      <c r="B34" s="1195" t="s">
        <v>1278</v>
      </c>
      <c r="C34" s="1196"/>
      <c r="D34" s="535">
        <v>15000</v>
      </c>
      <c r="E34" s="535">
        <v>15000</v>
      </c>
      <c r="F34" s="535">
        <v>25000</v>
      </c>
      <c r="G34" s="870">
        <v>2279</v>
      </c>
      <c r="H34" s="859">
        <v>15000</v>
      </c>
      <c r="I34" s="542" t="s">
        <v>1258</v>
      </c>
    </row>
    <row r="35" spans="1:9" x14ac:dyDescent="0.2">
      <c r="A35" s="876">
        <v>6.7</v>
      </c>
      <c r="B35" s="1195" t="s">
        <v>1279</v>
      </c>
      <c r="C35" s="1196"/>
      <c r="D35" s="535">
        <v>0</v>
      </c>
      <c r="E35" s="535">
        <v>0</v>
      </c>
      <c r="F35" s="535">
        <v>35000</v>
      </c>
      <c r="G35" s="870">
        <v>2279</v>
      </c>
      <c r="H35" s="859">
        <v>30300</v>
      </c>
      <c r="I35" s="542" t="s">
        <v>1258</v>
      </c>
    </row>
    <row r="36" spans="1:9" x14ac:dyDescent="0.2">
      <c r="A36" s="869">
        <v>6.8</v>
      </c>
      <c r="B36" s="1195" t="s">
        <v>1280</v>
      </c>
      <c r="C36" s="1196"/>
      <c r="D36" s="535">
        <v>25000</v>
      </c>
      <c r="E36" s="535">
        <v>25000</v>
      </c>
      <c r="F36" s="535">
        <v>25000</v>
      </c>
      <c r="G36" s="870">
        <v>2279</v>
      </c>
      <c r="H36" s="859">
        <v>23000</v>
      </c>
      <c r="I36" s="542" t="s">
        <v>1258</v>
      </c>
    </row>
    <row r="37" spans="1:9" x14ac:dyDescent="0.2">
      <c r="A37" s="869">
        <v>6.9</v>
      </c>
      <c r="B37" s="1195" t="s">
        <v>1281</v>
      </c>
      <c r="C37" s="1196"/>
      <c r="D37" s="535">
        <v>3519</v>
      </c>
      <c r="E37" s="535">
        <v>0</v>
      </c>
      <c r="F37" s="535">
        <v>3519</v>
      </c>
      <c r="G37" s="870">
        <v>2279</v>
      </c>
      <c r="H37" s="859">
        <v>3519</v>
      </c>
      <c r="I37" s="542" t="s">
        <v>1258</v>
      </c>
    </row>
    <row r="38" spans="1:9" ht="12.75" customHeight="1" x14ac:dyDescent="0.2">
      <c r="A38" s="877">
        <v>7</v>
      </c>
      <c r="B38" s="1212" t="s">
        <v>844</v>
      </c>
      <c r="C38" s="1213"/>
      <c r="D38" s="535"/>
      <c r="E38" s="535"/>
      <c r="F38" s="535"/>
      <c r="G38" s="870"/>
      <c r="H38" s="859"/>
      <c r="I38" s="874"/>
    </row>
    <row r="39" spans="1:9" x14ac:dyDescent="0.2">
      <c r="A39" s="878">
        <v>7.1</v>
      </c>
      <c r="B39" s="1210" t="s">
        <v>1282</v>
      </c>
      <c r="C39" s="1211"/>
      <c r="D39" s="535">
        <v>500</v>
      </c>
      <c r="E39" s="535">
        <v>500</v>
      </c>
      <c r="F39" s="879">
        <v>2500</v>
      </c>
      <c r="G39" s="880">
        <v>2279</v>
      </c>
      <c r="H39" s="859">
        <v>2500</v>
      </c>
      <c r="I39" s="542" t="s">
        <v>1258</v>
      </c>
    </row>
    <row r="40" spans="1:9" ht="13.5" customHeight="1" x14ac:dyDescent="0.2">
      <c r="A40" s="877">
        <v>8</v>
      </c>
      <c r="B40" s="1212" t="s">
        <v>1283</v>
      </c>
      <c r="C40" s="1213"/>
      <c r="D40" s="535"/>
      <c r="E40" s="535"/>
      <c r="F40" s="535"/>
      <c r="G40" s="870"/>
      <c r="H40" s="859"/>
      <c r="I40" s="874"/>
    </row>
    <row r="41" spans="1:9" x14ac:dyDescent="0.2">
      <c r="A41" s="869">
        <v>8.1</v>
      </c>
      <c r="B41" s="1195" t="s">
        <v>1284</v>
      </c>
      <c r="C41" s="1196"/>
      <c r="D41" s="535">
        <v>70000</v>
      </c>
      <c r="E41" s="535">
        <v>70000</v>
      </c>
      <c r="F41" s="535">
        <v>50000</v>
      </c>
      <c r="G41" s="870">
        <v>2279</v>
      </c>
      <c r="H41" s="859">
        <v>48000</v>
      </c>
      <c r="I41" s="542" t="s">
        <v>1258</v>
      </c>
    </row>
    <row r="42" spans="1:9" x14ac:dyDescent="0.2">
      <c r="A42" s="869">
        <v>8.1999999999999993</v>
      </c>
      <c r="B42" s="1195" t="s">
        <v>1285</v>
      </c>
      <c r="C42" s="1196"/>
      <c r="D42" s="535">
        <v>30000</v>
      </c>
      <c r="E42" s="535">
        <v>30000</v>
      </c>
      <c r="F42" s="535">
        <v>50000</v>
      </c>
      <c r="G42" s="870">
        <v>2279</v>
      </c>
      <c r="H42" s="859">
        <v>48000</v>
      </c>
      <c r="I42" s="542" t="s">
        <v>1258</v>
      </c>
    </row>
    <row r="43" spans="1:9" x14ac:dyDescent="0.2">
      <c r="A43" s="877">
        <v>9</v>
      </c>
      <c r="B43" s="1212" t="s">
        <v>1286</v>
      </c>
      <c r="C43" s="1213"/>
      <c r="D43" s="535">
        <v>0</v>
      </c>
      <c r="E43" s="535">
        <v>0</v>
      </c>
      <c r="F43" s="535">
        <v>150000</v>
      </c>
      <c r="G43" s="870">
        <v>2279</v>
      </c>
      <c r="H43" s="859">
        <f>90000-11436</f>
        <v>78564</v>
      </c>
      <c r="I43" s="542" t="s">
        <v>1258</v>
      </c>
    </row>
    <row r="44" spans="1:9" x14ac:dyDescent="0.2">
      <c r="A44" s="552"/>
      <c r="B44" s="552"/>
      <c r="C44" s="552"/>
      <c r="D44" s="552"/>
      <c r="E44" s="552"/>
      <c r="F44" s="552"/>
      <c r="G44" s="881"/>
      <c r="H44" s="553"/>
      <c r="I44" s="882"/>
    </row>
    <row r="45" spans="1:9" x14ac:dyDescent="0.2">
      <c r="A45" s="1214" t="s">
        <v>377</v>
      </c>
      <c r="B45" s="1214"/>
      <c r="C45" s="554" t="s">
        <v>1287</v>
      </c>
      <c r="D45" s="554"/>
      <c r="E45" s="554"/>
      <c r="F45" s="554"/>
      <c r="G45" s="552"/>
      <c r="H45" s="883"/>
      <c r="I45" s="884"/>
    </row>
    <row r="46" spans="1:9" x14ac:dyDescent="0.2">
      <c r="A46" s="1214" t="s">
        <v>5</v>
      </c>
      <c r="B46" s="1214"/>
      <c r="C46" s="885" t="s">
        <v>1255</v>
      </c>
      <c r="D46" s="554"/>
      <c r="E46" s="554"/>
      <c r="F46" s="554"/>
      <c r="G46" s="554"/>
      <c r="H46" s="883"/>
      <c r="I46" s="884"/>
    </row>
    <row r="47" spans="1:9" ht="40.5" customHeight="1" x14ac:dyDescent="0.2">
      <c r="A47" s="500" t="s">
        <v>4</v>
      </c>
      <c r="B47" s="1190" t="s">
        <v>3</v>
      </c>
      <c r="C47" s="1191"/>
      <c r="D47" s="500" t="s">
        <v>11</v>
      </c>
      <c r="E47" s="500" t="s">
        <v>12</v>
      </c>
      <c r="F47" s="500" t="s">
        <v>13</v>
      </c>
      <c r="G47" s="500" t="s">
        <v>2</v>
      </c>
      <c r="H47" s="6" t="s">
        <v>180</v>
      </c>
      <c r="I47" s="500" t="s">
        <v>1</v>
      </c>
    </row>
    <row r="48" spans="1:9" x14ac:dyDescent="0.2">
      <c r="A48" s="1192" t="s">
        <v>14</v>
      </c>
      <c r="B48" s="1193"/>
      <c r="C48" s="1194"/>
      <c r="D48" s="503">
        <f>SUM(D49:D81)</f>
        <v>425773</v>
      </c>
      <c r="E48" s="503">
        <f>SUM(E49:E81)</f>
        <v>417576</v>
      </c>
      <c r="F48" s="503">
        <f>SUM(F49:F81)</f>
        <v>596337</v>
      </c>
      <c r="G48" s="500"/>
      <c r="H48" s="517">
        <f>SUM(H49:H81)</f>
        <v>421730</v>
      </c>
      <c r="I48" s="855"/>
    </row>
    <row r="49" spans="1:9" x14ac:dyDescent="0.2">
      <c r="A49" s="550">
        <v>1</v>
      </c>
      <c r="B49" s="1195" t="s">
        <v>1288</v>
      </c>
      <c r="C49" s="1196"/>
      <c r="D49" s="549">
        <v>140000</v>
      </c>
      <c r="E49" s="549">
        <v>140000</v>
      </c>
      <c r="F49" s="549">
        <f>140000+1925</f>
        <v>141925</v>
      </c>
      <c r="G49" s="858">
        <v>2279</v>
      </c>
      <c r="H49" s="859">
        <f>70000+1925</f>
        <v>71925</v>
      </c>
      <c r="I49" s="542" t="s">
        <v>1258</v>
      </c>
    </row>
    <row r="50" spans="1:9" x14ac:dyDescent="0.2">
      <c r="A50" s="550">
        <v>2</v>
      </c>
      <c r="B50" s="1195" t="s">
        <v>1289</v>
      </c>
      <c r="C50" s="1196"/>
      <c r="D50" s="549">
        <v>60000</v>
      </c>
      <c r="E50" s="549">
        <v>60000</v>
      </c>
      <c r="F50" s="549">
        <v>65000</v>
      </c>
      <c r="G50" s="868">
        <v>2279</v>
      </c>
      <c r="H50" s="859">
        <v>65000</v>
      </c>
      <c r="I50" s="542" t="s">
        <v>1258</v>
      </c>
    </row>
    <row r="51" spans="1:9" x14ac:dyDescent="0.2">
      <c r="A51" s="550">
        <v>3</v>
      </c>
      <c r="B51" s="1195" t="s">
        <v>1290</v>
      </c>
      <c r="C51" s="1196"/>
      <c r="D51" s="549">
        <v>30000</v>
      </c>
      <c r="E51" s="549">
        <v>30000</v>
      </c>
      <c r="F51" s="549">
        <v>50000</v>
      </c>
      <c r="G51" s="868">
        <v>2279</v>
      </c>
      <c r="H51" s="859">
        <v>50000</v>
      </c>
      <c r="I51" s="542" t="s">
        <v>1258</v>
      </c>
    </row>
    <row r="52" spans="1:9" x14ac:dyDescent="0.2">
      <c r="A52" s="550">
        <v>4</v>
      </c>
      <c r="B52" s="1195" t="s">
        <v>1291</v>
      </c>
      <c r="C52" s="1196"/>
      <c r="D52" s="549">
        <v>25000</v>
      </c>
      <c r="E52" s="549">
        <v>25000</v>
      </c>
      <c r="F52" s="549">
        <v>35000</v>
      </c>
      <c r="G52" s="868">
        <v>2279</v>
      </c>
      <c r="H52" s="859">
        <v>20000</v>
      </c>
      <c r="I52" s="542" t="s">
        <v>1258</v>
      </c>
    </row>
    <row r="53" spans="1:9" x14ac:dyDescent="0.2">
      <c r="A53" s="550">
        <v>5</v>
      </c>
      <c r="B53" s="1195" t="s">
        <v>1292</v>
      </c>
      <c r="C53" s="1196"/>
      <c r="D53" s="549">
        <v>7300</v>
      </c>
      <c r="E53" s="549">
        <v>7300</v>
      </c>
      <c r="F53" s="859">
        <f>10000+700</f>
        <v>10700</v>
      </c>
      <c r="G53" s="868">
        <v>2279</v>
      </c>
      <c r="H53" s="859">
        <f>5000+700</f>
        <v>5700</v>
      </c>
      <c r="I53" s="542" t="s">
        <v>1258</v>
      </c>
    </row>
    <row r="54" spans="1:9" x14ac:dyDescent="0.2">
      <c r="A54" s="550">
        <v>6</v>
      </c>
      <c r="B54" s="1195" t="s">
        <v>1293</v>
      </c>
      <c r="C54" s="1196"/>
      <c r="D54" s="549">
        <v>7300</v>
      </c>
      <c r="E54" s="549">
        <v>7300</v>
      </c>
      <c r="F54" s="549">
        <v>10800</v>
      </c>
      <c r="G54" s="868">
        <v>2279</v>
      </c>
      <c r="H54" s="859">
        <v>5000</v>
      </c>
      <c r="I54" s="542" t="s">
        <v>1258</v>
      </c>
    </row>
    <row r="55" spans="1:9" ht="24" customHeight="1" x14ac:dyDescent="0.2">
      <c r="A55" s="550">
        <v>7</v>
      </c>
      <c r="B55" s="1195" t="s">
        <v>1294</v>
      </c>
      <c r="C55" s="1196"/>
      <c r="D55" s="549">
        <v>712</v>
      </c>
      <c r="E55" s="549">
        <v>712</v>
      </c>
      <c r="F55" s="549">
        <v>1400</v>
      </c>
      <c r="G55" s="868">
        <v>2279</v>
      </c>
      <c r="H55" s="859">
        <v>700</v>
      </c>
      <c r="I55" s="542" t="s">
        <v>1258</v>
      </c>
    </row>
    <row r="56" spans="1:9" ht="23.25" customHeight="1" x14ac:dyDescent="0.2">
      <c r="A56" s="550">
        <v>8</v>
      </c>
      <c r="B56" s="1195" t="s">
        <v>1295</v>
      </c>
      <c r="C56" s="1196"/>
      <c r="D56" s="549">
        <v>7300</v>
      </c>
      <c r="E56" s="549">
        <v>6570</v>
      </c>
      <c r="F56" s="549">
        <v>730</v>
      </c>
      <c r="G56" s="868">
        <v>2279</v>
      </c>
      <c r="H56" s="859">
        <v>730</v>
      </c>
      <c r="I56" s="542" t="s">
        <v>1258</v>
      </c>
    </row>
    <row r="57" spans="1:9" ht="24.75" customHeight="1" x14ac:dyDescent="0.2">
      <c r="A57" s="550">
        <v>9</v>
      </c>
      <c r="B57" s="1195" t="s">
        <v>1296</v>
      </c>
      <c r="C57" s="1196"/>
      <c r="D57" s="549">
        <v>8500</v>
      </c>
      <c r="E57" s="549">
        <v>8500</v>
      </c>
      <c r="F57" s="549">
        <v>6000</v>
      </c>
      <c r="G57" s="868">
        <v>2279</v>
      </c>
      <c r="H57" s="859">
        <v>6000</v>
      </c>
      <c r="I57" s="542" t="s">
        <v>1258</v>
      </c>
    </row>
    <row r="58" spans="1:9" x14ac:dyDescent="0.2">
      <c r="A58" s="550">
        <v>10</v>
      </c>
      <c r="B58" s="1208" t="s">
        <v>1297</v>
      </c>
      <c r="C58" s="1209"/>
      <c r="D58" s="549">
        <v>8500</v>
      </c>
      <c r="E58" s="549">
        <v>7744</v>
      </c>
      <c r="F58" s="549">
        <v>756</v>
      </c>
      <c r="G58" s="868">
        <v>2279</v>
      </c>
      <c r="H58" s="859">
        <v>756</v>
      </c>
      <c r="I58" s="542" t="s">
        <v>1258</v>
      </c>
    </row>
    <row r="59" spans="1:9" ht="24" customHeight="1" x14ac:dyDescent="0.2">
      <c r="A59" s="550">
        <v>11</v>
      </c>
      <c r="B59" s="1195" t="s">
        <v>1298</v>
      </c>
      <c r="C59" s="1196"/>
      <c r="D59" s="549">
        <v>2000</v>
      </c>
      <c r="E59" s="549">
        <v>1000</v>
      </c>
      <c r="F59" s="549">
        <v>1000</v>
      </c>
      <c r="G59" s="868">
        <v>2279</v>
      </c>
      <c r="H59" s="859">
        <v>1000</v>
      </c>
      <c r="I59" s="542" t="s">
        <v>1258</v>
      </c>
    </row>
    <row r="60" spans="1:9" x14ac:dyDescent="0.2">
      <c r="A60" s="550">
        <v>12</v>
      </c>
      <c r="B60" s="1195" t="s">
        <v>1299</v>
      </c>
      <c r="C60" s="1196"/>
      <c r="D60" s="549">
        <v>10000</v>
      </c>
      <c r="E60" s="549">
        <v>10000</v>
      </c>
      <c r="F60" s="549">
        <v>10000</v>
      </c>
      <c r="G60" s="868">
        <v>2279</v>
      </c>
      <c r="H60" s="859">
        <v>10000</v>
      </c>
      <c r="I60" s="542" t="s">
        <v>1258</v>
      </c>
    </row>
    <row r="61" spans="1:9" x14ac:dyDescent="0.2">
      <c r="A61" s="550">
        <v>13</v>
      </c>
      <c r="B61" s="1195" t="s">
        <v>1300</v>
      </c>
      <c r="C61" s="1196"/>
      <c r="D61" s="549">
        <v>5400</v>
      </c>
      <c r="E61" s="549">
        <v>5400</v>
      </c>
      <c r="F61" s="549">
        <v>8200</v>
      </c>
      <c r="G61" s="868">
        <v>2279</v>
      </c>
      <c r="H61" s="859">
        <v>8100</v>
      </c>
      <c r="I61" s="542" t="s">
        <v>1258</v>
      </c>
    </row>
    <row r="62" spans="1:9" x14ac:dyDescent="0.2">
      <c r="A62" s="550">
        <v>14</v>
      </c>
      <c r="B62" s="1195" t="s">
        <v>1301</v>
      </c>
      <c r="C62" s="1196"/>
      <c r="D62" s="549">
        <v>2419</v>
      </c>
      <c r="E62" s="549">
        <v>2177</v>
      </c>
      <c r="F62" s="549">
        <v>242</v>
      </c>
      <c r="G62" s="868">
        <v>2279</v>
      </c>
      <c r="H62" s="859">
        <v>242</v>
      </c>
      <c r="I62" s="542" t="s">
        <v>1258</v>
      </c>
    </row>
    <row r="63" spans="1:9" ht="24" customHeight="1" x14ac:dyDescent="0.2">
      <c r="A63" s="550">
        <v>15</v>
      </c>
      <c r="B63" s="1195" t="s">
        <v>1302</v>
      </c>
      <c r="C63" s="1196"/>
      <c r="D63" s="549">
        <v>5000</v>
      </c>
      <c r="E63" s="549">
        <v>5000</v>
      </c>
      <c r="F63" s="549">
        <v>8000</v>
      </c>
      <c r="G63" s="868">
        <v>2279</v>
      </c>
      <c r="H63" s="859">
        <v>8000</v>
      </c>
      <c r="I63" s="542" t="s">
        <v>1258</v>
      </c>
    </row>
    <row r="64" spans="1:9" x14ac:dyDescent="0.2">
      <c r="A64" s="550">
        <v>16</v>
      </c>
      <c r="B64" s="1195" t="s">
        <v>1303</v>
      </c>
      <c r="C64" s="1196"/>
      <c r="D64" s="549">
        <v>5000</v>
      </c>
      <c r="E64" s="549">
        <v>4500</v>
      </c>
      <c r="F64" s="549">
        <v>500</v>
      </c>
      <c r="G64" s="868">
        <v>2279</v>
      </c>
      <c r="H64" s="859">
        <v>500</v>
      </c>
      <c r="I64" s="542" t="s">
        <v>1258</v>
      </c>
    </row>
    <row r="65" spans="1:9" x14ac:dyDescent="0.2">
      <c r="A65" s="886">
        <v>17</v>
      </c>
      <c r="B65" s="1204" t="s">
        <v>1304</v>
      </c>
      <c r="C65" s="1205"/>
      <c r="D65" s="859">
        <v>2846</v>
      </c>
      <c r="E65" s="859">
        <v>1423</v>
      </c>
      <c r="F65" s="859">
        <v>1423</v>
      </c>
      <c r="G65" s="623">
        <v>2279</v>
      </c>
      <c r="H65" s="859">
        <v>1423</v>
      </c>
      <c r="I65" s="542" t="s">
        <v>1258</v>
      </c>
    </row>
    <row r="66" spans="1:9" x14ac:dyDescent="0.2">
      <c r="A66" s="886">
        <v>18</v>
      </c>
      <c r="B66" s="1206" t="s">
        <v>1305</v>
      </c>
      <c r="C66" s="1207"/>
      <c r="D66" s="859">
        <v>3000</v>
      </c>
      <c r="E66" s="859">
        <v>1500</v>
      </c>
      <c r="F66" s="859">
        <v>1500</v>
      </c>
      <c r="G66" s="623">
        <v>2279</v>
      </c>
      <c r="H66" s="859">
        <v>1500</v>
      </c>
      <c r="I66" s="542" t="s">
        <v>1258</v>
      </c>
    </row>
    <row r="67" spans="1:9" x14ac:dyDescent="0.2">
      <c r="A67" s="550">
        <v>19</v>
      </c>
      <c r="B67" s="1195" t="s">
        <v>1306</v>
      </c>
      <c r="C67" s="1196"/>
      <c r="D67" s="549">
        <v>3140</v>
      </c>
      <c r="E67" s="549">
        <v>3140</v>
      </c>
      <c r="F67" s="549">
        <v>9972</v>
      </c>
      <c r="G67" s="868">
        <v>2279</v>
      </c>
      <c r="H67" s="859">
        <v>7140</v>
      </c>
      <c r="I67" s="542" t="s">
        <v>1258</v>
      </c>
    </row>
    <row r="68" spans="1:9" x14ac:dyDescent="0.2">
      <c r="A68" s="550">
        <v>20</v>
      </c>
      <c r="B68" s="1195" t="s">
        <v>1307</v>
      </c>
      <c r="C68" s="1196"/>
      <c r="D68" s="549">
        <v>6980</v>
      </c>
      <c r="E68" s="549">
        <v>6980</v>
      </c>
      <c r="F68" s="549">
        <v>8510</v>
      </c>
      <c r="G68" s="868">
        <v>2279</v>
      </c>
      <c r="H68" s="859">
        <v>6980</v>
      </c>
      <c r="I68" s="542" t="s">
        <v>1258</v>
      </c>
    </row>
    <row r="69" spans="1:9" x14ac:dyDescent="0.2">
      <c r="A69" s="550">
        <v>21</v>
      </c>
      <c r="B69" s="1195" t="s">
        <v>1308</v>
      </c>
      <c r="C69" s="1196"/>
      <c r="D69" s="549">
        <v>800</v>
      </c>
      <c r="E69" s="549">
        <v>400</v>
      </c>
      <c r="F69" s="549">
        <v>400</v>
      </c>
      <c r="G69" s="868">
        <v>2279</v>
      </c>
      <c r="H69" s="859">
        <v>400</v>
      </c>
      <c r="I69" s="542" t="s">
        <v>1258</v>
      </c>
    </row>
    <row r="70" spans="1:9" x14ac:dyDescent="0.2">
      <c r="A70" s="550">
        <v>22</v>
      </c>
      <c r="B70" s="1195" t="s">
        <v>1309</v>
      </c>
      <c r="C70" s="1196"/>
      <c r="D70" s="549">
        <v>1500</v>
      </c>
      <c r="E70" s="549">
        <v>1350</v>
      </c>
      <c r="F70" s="549">
        <v>150</v>
      </c>
      <c r="G70" s="868">
        <v>2279</v>
      </c>
      <c r="H70" s="859">
        <v>150</v>
      </c>
      <c r="I70" s="542" t="s">
        <v>1258</v>
      </c>
    </row>
    <row r="71" spans="1:9" x14ac:dyDescent="0.2">
      <c r="A71" s="550">
        <v>23</v>
      </c>
      <c r="B71" s="1195" t="s">
        <v>1310</v>
      </c>
      <c r="C71" s="1196"/>
      <c r="D71" s="549">
        <v>3083</v>
      </c>
      <c r="E71" s="549">
        <v>3083</v>
      </c>
      <c r="F71" s="549">
        <v>1542</v>
      </c>
      <c r="G71" s="868">
        <v>2279</v>
      </c>
      <c r="H71" s="859">
        <v>1542</v>
      </c>
      <c r="I71" s="542" t="s">
        <v>1258</v>
      </c>
    </row>
    <row r="72" spans="1:9" x14ac:dyDescent="0.2">
      <c r="A72" s="550">
        <v>24</v>
      </c>
      <c r="B72" s="1195" t="s">
        <v>1311</v>
      </c>
      <c r="C72" s="1196"/>
      <c r="D72" s="549">
        <v>750</v>
      </c>
      <c r="E72" s="549">
        <v>675</v>
      </c>
      <c r="F72" s="549">
        <v>75</v>
      </c>
      <c r="G72" s="868">
        <v>2279</v>
      </c>
      <c r="H72" s="859">
        <v>75</v>
      </c>
      <c r="I72" s="542" t="s">
        <v>1258</v>
      </c>
    </row>
    <row r="73" spans="1:9" x14ac:dyDescent="0.2">
      <c r="A73" s="550">
        <v>25</v>
      </c>
      <c r="B73" s="1195" t="s">
        <v>1312</v>
      </c>
      <c r="C73" s="1196"/>
      <c r="D73" s="549">
        <v>4210</v>
      </c>
      <c r="E73" s="549">
        <v>3789</v>
      </c>
      <c r="F73" s="549">
        <v>421</v>
      </c>
      <c r="G73" s="868">
        <v>2279</v>
      </c>
      <c r="H73" s="859">
        <v>421</v>
      </c>
      <c r="I73" s="542" t="s">
        <v>1258</v>
      </c>
    </row>
    <row r="74" spans="1:9" x14ac:dyDescent="0.2">
      <c r="A74" s="550">
        <v>26</v>
      </c>
      <c r="B74" s="1195" t="s">
        <v>1313</v>
      </c>
      <c r="C74" s="1196"/>
      <c r="D74" s="549">
        <v>0</v>
      </c>
      <c r="E74" s="549">
        <v>0</v>
      </c>
      <c r="F74" s="549">
        <v>14291</v>
      </c>
      <c r="G74" s="868">
        <v>2279</v>
      </c>
      <c r="H74" s="859">
        <v>14292</v>
      </c>
      <c r="I74" s="542" t="s">
        <v>1258</v>
      </c>
    </row>
    <row r="75" spans="1:9" ht="23.25" customHeight="1" x14ac:dyDescent="0.2">
      <c r="A75" s="550">
        <v>27</v>
      </c>
      <c r="B75" s="1195" t="s">
        <v>1314</v>
      </c>
      <c r="C75" s="1196"/>
      <c r="D75" s="549">
        <v>0</v>
      </c>
      <c r="E75" s="549">
        <v>0</v>
      </c>
      <c r="F75" s="549">
        <v>5000</v>
      </c>
      <c r="G75" s="868">
        <v>2279</v>
      </c>
      <c r="H75" s="859">
        <v>5000</v>
      </c>
      <c r="I75" s="542" t="s">
        <v>1258</v>
      </c>
    </row>
    <row r="76" spans="1:9" ht="24.75" customHeight="1" x14ac:dyDescent="0.2">
      <c r="A76" s="550">
        <v>28</v>
      </c>
      <c r="B76" s="1195" t="s">
        <v>1315</v>
      </c>
      <c r="C76" s="1196"/>
      <c r="D76" s="549">
        <v>10000</v>
      </c>
      <c r="E76" s="549">
        <v>9000</v>
      </c>
      <c r="F76" s="549">
        <v>1000</v>
      </c>
      <c r="G76" s="868">
        <v>2279</v>
      </c>
      <c r="H76" s="859">
        <v>1000</v>
      </c>
      <c r="I76" s="542" t="s">
        <v>1258</v>
      </c>
    </row>
    <row r="77" spans="1:9" ht="24" customHeight="1" x14ac:dyDescent="0.2">
      <c r="A77" s="869">
        <v>29</v>
      </c>
      <c r="B77" s="1195" t="s">
        <v>1316</v>
      </c>
      <c r="C77" s="1196"/>
      <c r="D77" s="535">
        <v>0</v>
      </c>
      <c r="E77" s="535">
        <v>0</v>
      </c>
      <c r="F77" s="535">
        <v>5000</v>
      </c>
      <c r="G77" s="868">
        <v>2279</v>
      </c>
      <c r="H77" s="859">
        <v>5000</v>
      </c>
      <c r="I77" s="542" t="s">
        <v>1258</v>
      </c>
    </row>
    <row r="78" spans="1:9" x14ac:dyDescent="0.2">
      <c r="A78" s="869">
        <v>30</v>
      </c>
      <c r="B78" s="1198" t="s">
        <v>1317</v>
      </c>
      <c r="C78" s="1199"/>
      <c r="D78" s="535">
        <v>0</v>
      </c>
      <c r="E78" s="535">
        <v>0</v>
      </c>
      <c r="F78" s="535">
        <v>3400</v>
      </c>
      <c r="G78" s="868">
        <v>2279</v>
      </c>
      <c r="H78" s="859">
        <v>3400</v>
      </c>
      <c r="I78" s="542" t="s">
        <v>1258</v>
      </c>
    </row>
    <row r="79" spans="1:9" x14ac:dyDescent="0.2">
      <c r="A79" s="869">
        <v>31</v>
      </c>
      <c r="B79" s="1195" t="s">
        <v>1318</v>
      </c>
      <c r="C79" s="1196"/>
      <c r="D79" s="535">
        <v>0</v>
      </c>
      <c r="E79" s="535">
        <v>0</v>
      </c>
      <c r="F79" s="535">
        <v>3400</v>
      </c>
      <c r="G79" s="868">
        <v>2279</v>
      </c>
      <c r="H79" s="859">
        <v>3400</v>
      </c>
      <c r="I79" s="542" t="s">
        <v>1258</v>
      </c>
    </row>
    <row r="80" spans="1:9" x14ac:dyDescent="0.2">
      <c r="A80" s="869">
        <v>32</v>
      </c>
      <c r="B80" s="1200" t="s">
        <v>1319</v>
      </c>
      <c r="C80" s="1201"/>
      <c r="D80" s="535">
        <v>0</v>
      </c>
      <c r="E80" s="535">
        <v>0</v>
      </c>
      <c r="F80" s="535">
        <v>150000</v>
      </c>
      <c r="G80" s="868">
        <v>2279</v>
      </c>
      <c r="H80" s="859">
        <f>90000-11436</f>
        <v>78564</v>
      </c>
      <c r="I80" s="542" t="s">
        <v>1258</v>
      </c>
    </row>
    <row r="81" spans="1:9" ht="24.75" customHeight="1" x14ac:dyDescent="0.2">
      <c r="A81" s="869">
        <v>33</v>
      </c>
      <c r="B81" s="1202" t="s">
        <v>1320</v>
      </c>
      <c r="C81" s="1203"/>
      <c r="D81" s="535">
        <v>65033</v>
      </c>
      <c r="E81" s="535">
        <v>65033</v>
      </c>
      <c r="F81" s="535">
        <v>40000</v>
      </c>
      <c r="G81" s="868">
        <v>6422</v>
      </c>
      <c r="H81" s="859">
        <v>37790</v>
      </c>
      <c r="I81" s="542" t="s">
        <v>1258</v>
      </c>
    </row>
    <row r="82" spans="1:9" x14ac:dyDescent="0.2">
      <c r="A82" s="887"/>
      <c r="B82" s="888"/>
      <c r="C82" s="888"/>
      <c r="D82" s="889"/>
      <c r="E82" s="889"/>
      <c r="F82" s="889"/>
      <c r="G82" s="890"/>
      <c r="H82" s="891"/>
      <c r="I82" s="889"/>
    </row>
    <row r="83" spans="1:9" x14ac:dyDescent="0.2">
      <c r="A83" s="892"/>
      <c r="B83" s="893" t="s">
        <v>6</v>
      </c>
      <c r="C83" s="894"/>
      <c r="D83" s="894" t="s">
        <v>1321</v>
      </c>
      <c r="E83" s="894"/>
      <c r="F83" s="894"/>
      <c r="G83" s="893" t="s">
        <v>1321</v>
      </c>
      <c r="H83" s="894"/>
      <c r="I83" s="895"/>
    </row>
    <row r="84" spans="1:9" x14ac:dyDescent="0.2">
      <c r="A84" s="892"/>
      <c r="B84" s="896" t="s">
        <v>5</v>
      </c>
      <c r="C84" s="894"/>
      <c r="D84" s="897">
        <v>8.6199999999999992</v>
      </c>
      <c r="E84" s="897"/>
      <c r="F84" s="897"/>
      <c r="G84" s="898" t="s">
        <v>190</v>
      </c>
      <c r="H84" s="894"/>
      <c r="I84" s="899"/>
    </row>
    <row r="85" spans="1:9" ht="48" x14ac:dyDescent="0.2">
      <c r="A85" s="500" t="s">
        <v>4</v>
      </c>
      <c r="B85" s="1190" t="s">
        <v>3</v>
      </c>
      <c r="C85" s="1191"/>
      <c r="D85" s="500" t="s">
        <v>11</v>
      </c>
      <c r="E85" s="500" t="s">
        <v>12</v>
      </c>
      <c r="F85" s="500" t="s">
        <v>13</v>
      </c>
      <c r="G85" s="500" t="s">
        <v>2</v>
      </c>
      <c r="H85" s="6" t="s">
        <v>180</v>
      </c>
      <c r="I85" s="500" t="s">
        <v>1</v>
      </c>
    </row>
    <row r="86" spans="1:9" x14ac:dyDescent="0.2">
      <c r="A86" s="1192" t="s">
        <v>14</v>
      </c>
      <c r="B86" s="1193"/>
      <c r="C86" s="1194"/>
      <c r="D86" s="503">
        <f>SUM(D87:D87)</f>
        <v>9091</v>
      </c>
      <c r="E86" s="503">
        <f>SUM(E87:E87)</f>
        <v>2597</v>
      </c>
      <c r="F86" s="503">
        <f>SUM(F87:F87)</f>
        <v>6494</v>
      </c>
      <c r="G86" s="500"/>
      <c r="H86" s="517">
        <f>SUM(H87:H87)</f>
        <v>6494</v>
      </c>
      <c r="I86" s="503"/>
    </row>
    <row r="87" spans="1:9" x14ac:dyDescent="0.2">
      <c r="A87" s="550">
        <v>1</v>
      </c>
      <c r="B87" s="1195" t="s">
        <v>1322</v>
      </c>
      <c r="C87" s="1196"/>
      <c r="D87" s="549">
        <v>9091</v>
      </c>
      <c r="E87" s="549">
        <v>2597</v>
      </c>
      <c r="F87" s="549">
        <v>6494</v>
      </c>
      <c r="G87" s="858">
        <v>1150</v>
      </c>
      <c r="H87" s="859">
        <v>6494</v>
      </c>
      <c r="I87" s="542" t="s">
        <v>1258</v>
      </c>
    </row>
    <row r="88" spans="1:9" x14ac:dyDescent="0.2">
      <c r="D88" s="900"/>
      <c r="E88" s="900"/>
      <c r="F88" s="900"/>
      <c r="G88" s="881"/>
      <c r="H88" s="901"/>
      <c r="I88" s="900"/>
    </row>
    <row r="89" spans="1:9" x14ac:dyDescent="0.2">
      <c r="A89" s="485" t="s">
        <v>399</v>
      </c>
      <c r="G89" s="902"/>
    </row>
    <row r="90" spans="1:9" x14ac:dyDescent="0.2">
      <c r="A90" s="281" t="s">
        <v>1243</v>
      </c>
    </row>
    <row r="91" spans="1:9" x14ac:dyDescent="0.2">
      <c r="A91" s="281"/>
      <c r="B91" s="381" t="s">
        <v>1323</v>
      </c>
      <c r="C91" s="381"/>
      <c r="D91" s="381"/>
      <c r="E91" s="381"/>
      <c r="F91" s="381"/>
      <c r="G91" s="381"/>
    </row>
    <row r="92" spans="1:9" s="558" customFormat="1" x14ac:dyDescent="0.2">
      <c r="A92" s="381"/>
      <c r="B92" s="381"/>
      <c r="C92" s="381" t="s">
        <v>1324</v>
      </c>
      <c r="D92" s="381"/>
      <c r="E92" s="381"/>
      <c r="F92" s="381"/>
      <c r="G92" s="381"/>
      <c r="I92" s="485"/>
    </row>
    <row r="93" spans="1:9" s="558" customFormat="1" x14ac:dyDescent="0.2">
      <c r="A93" s="381"/>
      <c r="B93" s="381"/>
      <c r="C93" s="381"/>
      <c r="D93" s="381"/>
      <c r="E93" s="381"/>
      <c r="F93" s="381"/>
      <c r="G93" s="381"/>
      <c r="I93" s="485"/>
    </row>
    <row r="94" spans="1:9" s="558" customFormat="1" x14ac:dyDescent="0.2">
      <c r="A94" s="381"/>
      <c r="B94" s="381"/>
      <c r="C94" s="381"/>
      <c r="D94" s="381"/>
      <c r="E94" s="381"/>
      <c r="F94" s="381"/>
      <c r="G94" s="381"/>
      <c r="I94" s="485"/>
    </row>
    <row r="95" spans="1:9" s="558" customFormat="1" x14ac:dyDescent="0.2">
      <c r="A95" s="1197"/>
      <c r="B95" s="1197"/>
      <c r="C95" s="903"/>
      <c r="D95" s="903"/>
      <c r="E95" s="381"/>
      <c r="F95" s="381"/>
      <c r="G95" s="381"/>
      <c r="I95" s="485"/>
    </row>
    <row r="97" spans="2:2" x14ac:dyDescent="0.2">
      <c r="B97" s="904"/>
    </row>
    <row r="98" spans="2:2" x14ac:dyDescent="0.2">
      <c r="B98" s="904"/>
    </row>
  </sheetData>
  <sheetProtection algorithmName="SHA-512" hashValue="bUb2CgFETYe3rAYGZGAQVh3Byu4FnBCXHJEaLFcyUAaRrcFxtlfbQzxikzzMyHUwj07I4XG0DV4411M4WrAMhw==" saltValue="0bExt2kwXG82QBXyMxm8Pw==" spinCount="100000" sheet="1" objects="1" scenarios="1" selectLockedCells="1" selectUnlockedCells="1"/>
  <mergeCells count="89">
    <mergeCell ref="A5:B5"/>
    <mergeCell ref="C5:I5"/>
    <mergeCell ref="A1:B1"/>
    <mergeCell ref="C1:I1"/>
    <mergeCell ref="A2:B2"/>
    <mergeCell ref="C2:I2"/>
    <mergeCell ref="A3:I3"/>
    <mergeCell ref="B14:C14"/>
    <mergeCell ref="A6:B6"/>
    <mergeCell ref="C6:I6"/>
    <mergeCell ref="A7:B7"/>
    <mergeCell ref="C7:I7"/>
    <mergeCell ref="B8:C8"/>
    <mergeCell ref="A9:C9"/>
    <mergeCell ref="B10:C10"/>
    <mergeCell ref="A11:A12"/>
    <mergeCell ref="B11:C12"/>
    <mergeCell ref="I11:I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1:C51"/>
    <mergeCell ref="B39:C39"/>
    <mergeCell ref="B40:C40"/>
    <mergeCell ref="B41:C41"/>
    <mergeCell ref="B42:C42"/>
    <mergeCell ref="B43:C43"/>
    <mergeCell ref="A45:B45"/>
    <mergeCell ref="A46:B46"/>
    <mergeCell ref="B47:C47"/>
    <mergeCell ref="A48:C48"/>
    <mergeCell ref="B49:C49"/>
    <mergeCell ref="B50:C50"/>
    <mergeCell ref="B63:C63"/>
    <mergeCell ref="B52:C52"/>
    <mergeCell ref="B53:C53"/>
    <mergeCell ref="B54:C54"/>
    <mergeCell ref="B55:C55"/>
    <mergeCell ref="B56:C56"/>
    <mergeCell ref="B57:C57"/>
    <mergeCell ref="B58:C58"/>
    <mergeCell ref="B59:C59"/>
    <mergeCell ref="B60:C60"/>
    <mergeCell ref="B61:C61"/>
    <mergeCell ref="B62:C62"/>
    <mergeCell ref="B75:C75"/>
    <mergeCell ref="B64:C64"/>
    <mergeCell ref="B65:C65"/>
    <mergeCell ref="B66:C66"/>
    <mergeCell ref="B67:C67"/>
    <mergeCell ref="B68:C68"/>
    <mergeCell ref="B69:C69"/>
    <mergeCell ref="B70:C70"/>
    <mergeCell ref="B71:C71"/>
    <mergeCell ref="B72:C72"/>
    <mergeCell ref="B73:C73"/>
    <mergeCell ref="B74:C74"/>
    <mergeCell ref="B85:C85"/>
    <mergeCell ref="A86:C86"/>
    <mergeCell ref="B87:C87"/>
    <mergeCell ref="A95:B95"/>
    <mergeCell ref="B76:C76"/>
    <mergeCell ref="B77:C77"/>
    <mergeCell ref="B78:C78"/>
    <mergeCell ref="B79:C79"/>
    <mergeCell ref="B80:C80"/>
    <mergeCell ref="B81:C81"/>
  </mergeCells>
  <pageMargins left="0.98425196850393704" right="0.39370078740157483" top="0.59055118110236227" bottom="0.39370078740157483" header="0.23622047244094491" footer="0.23622047244094491"/>
  <pageSetup paperSize="9" scale="70" fitToHeight="0" orientation="portrait" r:id="rId1"/>
  <headerFooter differentFirst="1">
    <oddHeader xml:space="preserve">&amp;R&amp;"Times New Roman,Regular"&amp;8
</oddHeader>
    <oddFooter>&amp;L&amp;"Times New Roman,Regular"&amp;8&amp;D;&amp;T&amp;R&amp;"Times New Roman,Regular"&amp;8&amp;P(&amp;N)</oddFooter>
    <firstHeader>&amp;R&amp;"Times New Roman,Regular"&amp;8
20.pielikums Jūrmalas pilsētas domes
2016.gada 16.decembra saistošajiem noteikumiem Nr.47
(protokols Nr.19, 19.punkts)</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9"/>
  <sheetViews>
    <sheetView view="pageLayout" zoomScaleNormal="100" zoomScaleSheetLayoutView="80" workbookViewId="0">
      <selection activeCell="J37" sqref="J37"/>
    </sheetView>
  </sheetViews>
  <sheetFormatPr defaultRowHeight="12" x14ac:dyDescent="0.25"/>
  <cols>
    <col min="1" max="1" width="6.140625" style="281" customWidth="1"/>
    <col min="2" max="2" width="17.28515625" style="281" customWidth="1"/>
    <col min="3" max="3" width="25.28515625" style="281" customWidth="1"/>
    <col min="4" max="4" width="11.85546875" style="281" hidden="1" customWidth="1"/>
    <col min="5" max="5" width="11.140625" style="281" hidden="1" customWidth="1"/>
    <col min="6" max="6" width="10.28515625" style="281" hidden="1" customWidth="1"/>
    <col min="7" max="7" width="10.42578125" style="281" customWidth="1"/>
    <col min="8" max="8" width="9.7109375" style="281" customWidth="1"/>
    <col min="9" max="9" width="16.28515625" style="281" customWidth="1"/>
    <col min="10" max="10" width="19.42578125" style="281" customWidth="1"/>
    <col min="11" max="16384" width="9.140625" style="281"/>
  </cols>
  <sheetData>
    <row r="1" spans="1:9" x14ac:dyDescent="0.25">
      <c r="A1" s="1079" t="s">
        <v>8</v>
      </c>
      <c r="B1" s="1079"/>
      <c r="C1" s="1079" t="s">
        <v>15</v>
      </c>
      <c r="D1" s="1079"/>
      <c r="E1" s="1079"/>
      <c r="F1" s="1079"/>
      <c r="G1" s="1079"/>
      <c r="H1" s="1079"/>
      <c r="I1" s="1079"/>
    </row>
    <row r="2" spans="1:9" x14ac:dyDescent="0.25">
      <c r="A2" s="1079" t="s">
        <v>7</v>
      </c>
      <c r="B2" s="1079"/>
      <c r="C2" s="1079">
        <v>90000056357</v>
      </c>
      <c r="D2" s="1079"/>
      <c r="E2" s="1079"/>
      <c r="F2" s="1079"/>
      <c r="G2" s="1079"/>
      <c r="H2" s="1079"/>
      <c r="I2" s="1079"/>
    </row>
    <row r="3" spans="1:9" ht="15.75" x14ac:dyDescent="0.25">
      <c r="A3" s="1097" t="s">
        <v>9</v>
      </c>
      <c r="B3" s="1097"/>
      <c r="C3" s="1097"/>
      <c r="D3" s="1097"/>
      <c r="E3" s="1097"/>
      <c r="F3" s="1097"/>
      <c r="G3" s="1097"/>
      <c r="H3" s="1097"/>
      <c r="I3" s="1097"/>
    </row>
    <row r="4" spans="1:9" ht="15.75" x14ac:dyDescent="0.25">
      <c r="A4" s="282"/>
      <c r="B4" s="282"/>
      <c r="C4" s="282"/>
      <c r="D4" s="282"/>
      <c r="E4" s="282"/>
      <c r="F4" s="282"/>
      <c r="G4" s="282"/>
      <c r="H4" s="282"/>
      <c r="I4" s="282"/>
    </row>
    <row r="5" spans="1:9" ht="15.75" x14ac:dyDescent="0.25">
      <c r="A5" s="1079" t="s">
        <v>10</v>
      </c>
      <c r="B5" s="1079"/>
      <c r="C5" s="1098" t="s">
        <v>188</v>
      </c>
      <c r="D5" s="1098"/>
      <c r="E5" s="1098"/>
      <c r="F5" s="1098"/>
      <c r="G5" s="1098"/>
      <c r="H5" s="1098"/>
      <c r="I5" s="1098"/>
    </row>
    <row r="6" spans="1:9" x14ac:dyDescent="0.25">
      <c r="A6" s="1079" t="s">
        <v>6</v>
      </c>
      <c r="B6" s="1079"/>
      <c r="C6" s="1079" t="s">
        <v>189</v>
      </c>
      <c r="D6" s="1079"/>
      <c r="E6" s="1079"/>
      <c r="F6" s="1079"/>
      <c r="G6" s="1079"/>
      <c r="H6" s="1079"/>
      <c r="I6" s="1079"/>
    </row>
    <row r="7" spans="1:9" x14ac:dyDescent="0.25">
      <c r="A7" s="1079" t="s">
        <v>5</v>
      </c>
      <c r="B7" s="1079"/>
      <c r="C7" s="1146" t="s">
        <v>190</v>
      </c>
      <c r="D7" s="1146"/>
      <c r="E7" s="1146"/>
      <c r="F7" s="1146"/>
      <c r="G7" s="1146"/>
      <c r="H7" s="1146"/>
      <c r="I7" s="1146"/>
    </row>
    <row r="8" spans="1:9" ht="60" x14ac:dyDescent="0.25">
      <c r="A8" s="6" t="s">
        <v>4</v>
      </c>
      <c r="B8" s="1020" t="s">
        <v>3</v>
      </c>
      <c r="C8" s="1021"/>
      <c r="D8" s="6" t="s">
        <v>11</v>
      </c>
      <c r="E8" s="6" t="s">
        <v>12</v>
      </c>
      <c r="F8" s="6" t="s">
        <v>13</v>
      </c>
      <c r="G8" s="6" t="s">
        <v>2</v>
      </c>
      <c r="H8" s="6" t="s">
        <v>180</v>
      </c>
      <c r="I8" s="6" t="s">
        <v>1</v>
      </c>
    </row>
    <row r="9" spans="1:9" ht="12.75" customHeight="1" x14ac:dyDescent="0.25">
      <c r="A9" s="1022" t="s">
        <v>14</v>
      </c>
      <c r="B9" s="1023"/>
      <c r="C9" s="1024"/>
      <c r="D9" s="7">
        <f>SUM(D10:D30)</f>
        <v>539137</v>
      </c>
      <c r="E9" s="7">
        <f>SUM(E10:E30)</f>
        <v>526908</v>
      </c>
      <c r="F9" s="7">
        <f>SUM(F10:F30)</f>
        <v>673674</v>
      </c>
      <c r="G9" s="7"/>
      <c r="H9" s="7">
        <f>SUM(H10:H30)</f>
        <v>613674</v>
      </c>
      <c r="I9" s="7"/>
    </row>
    <row r="10" spans="1:9" ht="15.75" customHeight="1" x14ac:dyDescent="0.25">
      <c r="A10" s="1030">
        <v>1</v>
      </c>
      <c r="B10" s="1032" t="s">
        <v>191</v>
      </c>
      <c r="C10" s="1033"/>
      <c r="D10" s="4">
        <v>1469</v>
      </c>
      <c r="E10" s="1085">
        <v>6608</v>
      </c>
      <c r="F10" s="283">
        <v>4650</v>
      </c>
      <c r="G10" s="284">
        <v>2231</v>
      </c>
      <c r="H10" s="283">
        <v>4650</v>
      </c>
      <c r="I10" s="1038" t="s">
        <v>192</v>
      </c>
    </row>
    <row r="11" spans="1:9" s="285" customFormat="1" ht="12.75" customHeight="1" x14ac:dyDescent="0.25">
      <c r="A11" s="1065"/>
      <c r="B11" s="1066"/>
      <c r="C11" s="1067"/>
      <c r="D11" s="283">
        <v>30</v>
      </c>
      <c r="E11" s="1235"/>
      <c r="F11" s="283">
        <v>40</v>
      </c>
      <c r="G11" s="284">
        <v>2311</v>
      </c>
      <c r="H11" s="283">
        <v>40</v>
      </c>
      <c r="I11" s="1147"/>
    </row>
    <row r="12" spans="1:9" s="285" customFormat="1" ht="12.75" customHeight="1" x14ac:dyDescent="0.25">
      <c r="A12" s="1065"/>
      <c r="B12" s="1066"/>
      <c r="C12" s="1067"/>
      <c r="D12" s="283">
        <v>56</v>
      </c>
      <c r="E12" s="1235"/>
      <c r="F12" s="283">
        <v>200</v>
      </c>
      <c r="G12" s="284">
        <v>2390</v>
      </c>
      <c r="H12" s="283">
        <v>200</v>
      </c>
      <c r="I12" s="1147"/>
    </row>
    <row r="13" spans="1:9" s="285" customFormat="1" ht="12.75" customHeight="1" x14ac:dyDescent="0.25">
      <c r="A13" s="1065"/>
      <c r="B13" s="1066"/>
      <c r="C13" s="1067"/>
      <c r="D13" s="283">
        <v>3951</v>
      </c>
      <c r="E13" s="1235"/>
      <c r="F13" s="283">
        <v>6330</v>
      </c>
      <c r="G13" s="284">
        <v>1150</v>
      </c>
      <c r="H13" s="283">
        <v>6330</v>
      </c>
      <c r="I13" s="1147"/>
    </row>
    <row r="14" spans="1:9" s="285" customFormat="1" ht="12.75" customHeight="1" x14ac:dyDescent="0.25">
      <c r="A14" s="1065"/>
      <c r="B14" s="1066"/>
      <c r="C14" s="1067"/>
      <c r="D14" s="283">
        <v>119</v>
      </c>
      <c r="E14" s="1235"/>
      <c r="F14" s="283">
        <v>400</v>
      </c>
      <c r="G14" s="284">
        <v>1210</v>
      </c>
      <c r="H14" s="283">
        <v>400</v>
      </c>
      <c r="I14" s="1147"/>
    </row>
    <row r="15" spans="1:9" s="285" customFormat="1" ht="12.75" customHeight="1" x14ac:dyDescent="0.25">
      <c r="A15" s="1065"/>
      <c r="B15" s="1066"/>
      <c r="C15" s="1067"/>
      <c r="D15" s="283">
        <v>466</v>
      </c>
      <c r="E15" s="1235"/>
      <c r="F15" s="283">
        <v>280</v>
      </c>
      <c r="G15" s="284">
        <v>2279</v>
      </c>
      <c r="H15" s="283">
        <v>280</v>
      </c>
      <c r="I15" s="1147"/>
    </row>
    <row r="16" spans="1:9" s="285" customFormat="1" ht="12.75" customHeight="1" x14ac:dyDescent="0.25">
      <c r="A16" s="1065"/>
      <c r="B16" s="1066"/>
      <c r="C16" s="1067"/>
      <c r="D16" s="283">
        <v>312</v>
      </c>
      <c r="E16" s="1235"/>
      <c r="F16" s="283">
        <v>500</v>
      </c>
      <c r="G16" s="284">
        <v>2264</v>
      </c>
      <c r="H16" s="283">
        <v>500</v>
      </c>
      <c r="I16" s="1147"/>
    </row>
    <row r="17" spans="1:9" s="285" customFormat="1" ht="12.75" customHeight="1" x14ac:dyDescent="0.25">
      <c r="A17" s="1065"/>
      <c r="B17" s="1066"/>
      <c r="C17" s="1067"/>
      <c r="D17" s="283">
        <v>842</v>
      </c>
      <c r="E17" s="1235"/>
      <c r="F17" s="283">
        <v>1600</v>
      </c>
      <c r="G17" s="284">
        <v>2314</v>
      </c>
      <c r="H17" s="283">
        <v>1600</v>
      </c>
      <c r="I17" s="1147"/>
    </row>
    <row r="18" spans="1:9" s="285" customFormat="1" ht="12.75" customHeight="1" x14ac:dyDescent="0.25">
      <c r="A18" s="1065"/>
      <c r="B18" s="1066"/>
      <c r="C18" s="1067"/>
      <c r="D18" s="283">
        <v>700</v>
      </c>
      <c r="E18" s="1235"/>
      <c r="F18" s="283">
        <v>700</v>
      </c>
      <c r="G18" s="284">
        <v>6423</v>
      </c>
      <c r="H18" s="283">
        <v>700</v>
      </c>
      <c r="I18" s="1147"/>
    </row>
    <row r="19" spans="1:9" s="285" customFormat="1" ht="12.75" customHeight="1" x14ac:dyDescent="0.25">
      <c r="A19" s="1031"/>
      <c r="B19" s="1034"/>
      <c r="C19" s="1035"/>
      <c r="D19" s="283">
        <v>300</v>
      </c>
      <c r="E19" s="1086"/>
      <c r="F19" s="283">
        <v>300</v>
      </c>
      <c r="G19" s="284">
        <v>2261</v>
      </c>
      <c r="H19" s="283">
        <v>300</v>
      </c>
      <c r="I19" s="1039"/>
    </row>
    <row r="20" spans="1:9" ht="36" x14ac:dyDescent="0.25">
      <c r="A20" s="3">
        <v>2</v>
      </c>
      <c r="B20" s="1025" t="s">
        <v>193</v>
      </c>
      <c r="C20" s="1026"/>
      <c r="D20" s="4">
        <v>202710</v>
      </c>
      <c r="E20" s="4">
        <v>199987</v>
      </c>
      <c r="F20" s="4">
        <v>232710</v>
      </c>
      <c r="G20" s="286">
        <v>2279</v>
      </c>
      <c r="H20" s="283">
        <v>172710</v>
      </c>
      <c r="I20" s="4" t="s">
        <v>194</v>
      </c>
    </row>
    <row r="21" spans="1:9" ht="41.25" customHeight="1" x14ac:dyDescent="0.25">
      <c r="A21" s="3">
        <v>3</v>
      </c>
      <c r="B21" s="1025" t="s">
        <v>195</v>
      </c>
      <c r="C21" s="1026"/>
      <c r="D21" s="4">
        <v>52559</v>
      </c>
      <c r="E21" s="4">
        <v>44691</v>
      </c>
      <c r="F21" s="287">
        <v>35309</v>
      </c>
      <c r="G21" s="286">
        <v>2279</v>
      </c>
      <c r="H21" s="4">
        <v>35309</v>
      </c>
      <c r="I21" s="4" t="s">
        <v>196</v>
      </c>
    </row>
    <row r="22" spans="1:9" x14ac:dyDescent="0.25">
      <c r="A22" s="1030">
        <v>4</v>
      </c>
      <c r="B22" s="1032" t="s">
        <v>197</v>
      </c>
      <c r="C22" s="1033"/>
      <c r="D22" s="4">
        <v>249</v>
      </c>
      <c r="E22" s="288">
        <v>249</v>
      </c>
      <c r="F22" s="283">
        <v>300</v>
      </c>
      <c r="G22" s="284">
        <v>1150</v>
      </c>
      <c r="H22" s="283">
        <v>300</v>
      </c>
      <c r="I22" s="1038" t="s">
        <v>198</v>
      </c>
    </row>
    <row r="23" spans="1:9" x14ac:dyDescent="0.25">
      <c r="A23" s="1065"/>
      <c r="B23" s="1066"/>
      <c r="C23" s="1067"/>
      <c r="D23" s="4">
        <v>250</v>
      </c>
      <c r="E23" s="288">
        <v>250</v>
      </c>
      <c r="F23" s="283">
        <v>200</v>
      </c>
      <c r="G23" s="284">
        <v>2231</v>
      </c>
      <c r="H23" s="283">
        <v>200</v>
      </c>
      <c r="I23" s="1147"/>
    </row>
    <row r="24" spans="1:9" ht="30.75" customHeight="1" x14ac:dyDescent="0.25">
      <c r="A24" s="3">
        <v>5</v>
      </c>
      <c r="B24" s="1025" t="s">
        <v>199</v>
      </c>
      <c r="C24" s="1026"/>
      <c r="D24" s="4">
        <v>107745</v>
      </c>
      <c r="E24" s="4">
        <v>107745</v>
      </c>
      <c r="F24" s="4">
        <v>107745</v>
      </c>
      <c r="G24" s="286">
        <v>2279</v>
      </c>
      <c r="H24" s="4">
        <v>107745</v>
      </c>
      <c r="I24" s="4" t="s">
        <v>200</v>
      </c>
    </row>
    <row r="25" spans="1:9" ht="24" x14ac:dyDescent="0.25">
      <c r="A25" s="277">
        <v>6</v>
      </c>
      <c r="B25" s="1032" t="s">
        <v>201</v>
      </c>
      <c r="C25" s="1033"/>
      <c r="D25" s="4">
        <v>113669</v>
      </c>
      <c r="E25" s="4">
        <v>113669</v>
      </c>
      <c r="F25" s="283">
        <v>155500</v>
      </c>
      <c r="G25" s="284">
        <v>2279</v>
      </c>
      <c r="H25" s="283">
        <v>155500</v>
      </c>
      <c r="I25" s="289" t="s">
        <v>200</v>
      </c>
    </row>
    <row r="26" spans="1:9" x14ac:dyDescent="0.25">
      <c r="A26" s="1187">
        <v>7</v>
      </c>
      <c r="B26" s="1032" t="s">
        <v>202</v>
      </c>
      <c r="C26" s="1033"/>
      <c r="D26" s="4">
        <v>3710</v>
      </c>
      <c r="E26" s="4">
        <v>3709</v>
      </c>
      <c r="F26" s="290">
        <v>3709</v>
      </c>
      <c r="G26" s="291">
        <v>6422</v>
      </c>
      <c r="H26" s="283">
        <v>3709</v>
      </c>
      <c r="I26" s="1038" t="s">
        <v>196</v>
      </c>
    </row>
    <row r="27" spans="1:9" x14ac:dyDescent="0.25">
      <c r="A27" s="1189"/>
      <c r="B27" s="1034"/>
      <c r="C27" s="1035"/>
      <c r="D27" s="4">
        <v>0</v>
      </c>
      <c r="E27" s="4">
        <v>0</v>
      </c>
      <c r="F27" s="290">
        <v>8101</v>
      </c>
      <c r="G27" s="291">
        <v>2279</v>
      </c>
      <c r="H27" s="283">
        <v>8101</v>
      </c>
      <c r="I27" s="1039"/>
    </row>
    <row r="28" spans="1:9" x14ac:dyDescent="0.25">
      <c r="A28" s="3">
        <v>8</v>
      </c>
      <c r="B28" s="1025" t="s">
        <v>203</v>
      </c>
      <c r="C28" s="1026"/>
      <c r="D28" s="292">
        <v>50000</v>
      </c>
      <c r="E28" s="4">
        <v>50000</v>
      </c>
      <c r="F28" s="288">
        <v>50000</v>
      </c>
      <c r="G28" s="286">
        <v>2279</v>
      </c>
      <c r="H28" s="4">
        <v>50000</v>
      </c>
      <c r="I28" s="4" t="s">
        <v>198</v>
      </c>
    </row>
    <row r="29" spans="1:9" ht="24" x14ac:dyDescent="0.25">
      <c r="A29" s="3">
        <v>9</v>
      </c>
      <c r="B29" s="1025" t="s">
        <v>204</v>
      </c>
      <c r="C29" s="1026"/>
      <c r="D29" s="292">
        <v>0</v>
      </c>
      <c r="E29" s="4">
        <v>0</v>
      </c>
      <c r="F29" s="293">
        <v>50000</v>
      </c>
      <c r="G29" s="284">
        <v>2279</v>
      </c>
      <c r="H29" s="283">
        <v>50000</v>
      </c>
      <c r="I29" s="4" t="s">
        <v>205</v>
      </c>
    </row>
    <row r="30" spans="1:9" x14ac:dyDescent="0.25">
      <c r="A30" s="294">
        <v>10</v>
      </c>
      <c r="B30" s="1233" t="s">
        <v>206</v>
      </c>
      <c r="C30" s="1234"/>
      <c r="D30" s="295">
        <v>0</v>
      </c>
      <c r="E30" s="295">
        <v>0</v>
      </c>
      <c r="F30" s="293">
        <v>15100</v>
      </c>
      <c r="G30" s="284">
        <v>2279</v>
      </c>
      <c r="H30" s="283">
        <v>15100</v>
      </c>
      <c r="I30" s="4" t="s">
        <v>207</v>
      </c>
    </row>
    <row r="31" spans="1:9" x14ac:dyDescent="0.25">
      <c r="A31" s="10"/>
      <c r="B31" s="10"/>
      <c r="C31" s="10"/>
      <c r="D31" s="10"/>
      <c r="E31" s="10"/>
      <c r="F31" s="10"/>
      <c r="G31" s="10"/>
      <c r="H31" s="10"/>
      <c r="I31" s="10"/>
    </row>
    <row r="32" spans="1:9" x14ac:dyDescent="0.25">
      <c r="A32" s="281" t="s">
        <v>184</v>
      </c>
      <c r="D32" s="296"/>
      <c r="E32" s="296"/>
      <c r="F32" s="296"/>
      <c r="G32" s="296"/>
      <c r="H32" s="296"/>
      <c r="I32" s="296"/>
    </row>
    <row r="33" spans="1:3" ht="15" customHeight="1" x14ac:dyDescent="0.25">
      <c r="A33" s="281" t="s">
        <v>185</v>
      </c>
    </row>
    <row r="34" spans="1:3" ht="14.25" customHeight="1" x14ac:dyDescent="0.25">
      <c r="B34" s="281" t="s">
        <v>208</v>
      </c>
    </row>
    <row r="35" spans="1:3" ht="14.25" customHeight="1" x14ac:dyDescent="0.25">
      <c r="C35" s="281" t="s">
        <v>209</v>
      </c>
    </row>
    <row r="36" spans="1:3" ht="14.25" customHeight="1" x14ac:dyDescent="0.25">
      <c r="C36" s="281" t="s">
        <v>210</v>
      </c>
    </row>
    <row r="37" spans="1:3" ht="12" customHeight="1" x14ac:dyDescent="0.25">
      <c r="B37" s="281" t="s">
        <v>211</v>
      </c>
    </row>
    <row r="38" spans="1:3" ht="12" customHeight="1" x14ac:dyDescent="0.25">
      <c r="C38" s="281" t="s">
        <v>212</v>
      </c>
    </row>
    <row r="39" spans="1:3" ht="12" customHeight="1" x14ac:dyDescent="0.25">
      <c r="C39" s="281" t="s">
        <v>213</v>
      </c>
    </row>
  </sheetData>
  <sheetProtection algorithmName="SHA-512" hashValue="SW3Ar0R5j1RJcFUuUgh/AS1X1chbgi6ahwm74h9n4IIHbNwmgScKtK+97eOxuEMGkw5bfvzdA1v5drx03mxFdg==" saltValue="DppEAhs5UBKljzhq/3j/yw==" spinCount="100000" sheet="1" objects="1" scenarios="1" selectLockedCells="1" selectUnlockedCells="1"/>
  <mergeCells count="30">
    <mergeCell ref="A5:B5"/>
    <mergeCell ref="C5:I5"/>
    <mergeCell ref="A1:B1"/>
    <mergeCell ref="C1:I1"/>
    <mergeCell ref="A2:B2"/>
    <mergeCell ref="C2:I2"/>
    <mergeCell ref="A3:I3"/>
    <mergeCell ref="B21:C21"/>
    <mergeCell ref="A6:B6"/>
    <mergeCell ref="C6:I6"/>
    <mergeCell ref="A7:B7"/>
    <mergeCell ref="C7:I7"/>
    <mergeCell ref="B8:C8"/>
    <mergeCell ref="A9:C9"/>
    <mergeCell ref="A10:A19"/>
    <mergeCell ref="B10:C19"/>
    <mergeCell ref="E10:E19"/>
    <mergeCell ref="I10:I19"/>
    <mergeCell ref="B20:C20"/>
    <mergeCell ref="I22:I23"/>
    <mergeCell ref="B24:C24"/>
    <mergeCell ref="B25:C25"/>
    <mergeCell ref="A26:A27"/>
    <mergeCell ref="B26:C27"/>
    <mergeCell ref="I26:I27"/>
    <mergeCell ref="B28:C28"/>
    <mergeCell ref="B29:C29"/>
    <mergeCell ref="B30:C30"/>
    <mergeCell ref="A22:A23"/>
    <mergeCell ref="B22:C23"/>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Roman,Regular"&amp;8&amp;D;&amp;T&amp;R&amp;"Times New Roman,Regular"&amp;8&amp;P(&amp;N)</oddFooter>
    <firstHeader>&amp;R&amp;"Times New Roman,Regular"&amp;8
21.pielikums Jūrmalas pilsētas domes
2016.gada 16.decembra saistošajiem noteikumiem Nr.47
(protokols Nr.19, 19.punkts)</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1"/>
  <sheetViews>
    <sheetView view="pageLayout" zoomScaleNormal="100" workbookViewId="0">
      <selection activeCell="K7" sqref="K7"/>
    </sheetView>
  </sheetViews>
  <sheetFormatPr defaultRowHeight="12" x14ac:dyDescent="0.2"/>
  <cols>
    <col min="1" max="1" width="6.140625" style="1" customWidth="1"/>
    <col min="2" max="2" width="17.28515625" style="1" customWidth="1"/>
    <col min="3" max="3" width="18.42578125" style="1" customWidth="1"/>
    <col min="4" max="4" width="11.85546875" style="1" hidden="1" customWidth="1"/>
    <col min="5" max="5" width="11.140625" style="1" hidden="1" customWidth="1"/>
    <col min="6" max="6" width="10.28515625" style="1" hidden="1" customWidth="1"/>
    <col min="7" max="7" width="10.5703125" style="1" customWidth="1"/>
    <col min="8" max="8" width="8.28515625" style="1" customWidth="1"/>
    <col min="9" max="9" width="42.5703125" style="1" customWidth="1"/>
    <col min="10" max="10" width="18.42578125" style="1" hidden="1" customWidth="1"/>
    <col min="11" max="16384" width="9.140625" style="1"/>
  </cols>
  <sheetData>
    <row r="1" spans="1:10" x14ac:dyDescent="0.2">
      <c r="A1" s="1016" t="s">
        <v>8</v>
      </c>
      <c r="B1" s="1016"/>
      <c r="C1" s="1016" t="s">
        <v>15</v>
      </c>
      <c r="D1" s="1016"/>
      <c r="E1" s="1016"/>
      <c r="F1" s="1016"/>
      <c r="G1" s="1016"/>
      <c r="H1" s="1016"/>
      <c r="I1" s="1016"/>
      <c r="J1" s="1016"/>
    </row>
    <row r="2" spans="1:10" x14ac:dyDescent="0.2">
      <c r="A2" s="1016" t="s">
        <v>7</v>
      </c>
      <c r="B2" s="1016"/>
      <c r="C2" s="1016">
        <v>90000056357</v>
      </c>
      <c r="D2" s="1016"/>
      <c r="E2" s="1016"/>
      <c r="F2" s="1016"/>
      <c r="G2" s="1016"/>
      <c r="H2" s="1016"/>
      <c r="I2" s="1016"/>
      <c r="J2" s="1016"/>
    </row>
    <row r="3" spans="1:10" ht="15.75" x14ac:dyDescent="0.25">
      <c r="A3" s="1018" t="s">
        <v>9</v>
      </c>
      <c r="B3" s="1018"/>
      <c r="C3" s="1018"/>
      <c r="D3" s="1018"/>
      <c r="E3" s="1018"/>
      <c r="F3" s="1018"/>
      <c r="G3" s="1018"/>
      <c r="H3" s="1018"/>
      <c r="I3" s="1018"/>
      <c r="J3" s="1018"/>
    </row>
    <row r="4" spans="1:10" ht="15.75" x14ac:dyDescent="0.25">
      <c r="A4" s="5"/>
      <c r="B4" s="5"/>
      <c r="C4" s="5"/>
      <c r="D4" s="5"/>
      <c r="E4" s="5"/>
      <c r="F4" s="5"/>
      <c r="G4" s="5"/>
      <c r="H4" s="5"/>
      <c r="I4" s="5"/>
      <c r="J4" s="5"/>
    </row>
    <row r="5" spans="1:10" ht="15.75" x14ac:dyDescent="0.25">
      <c r="A5" s="1016" t="s">
        <v>10</v>
      </c>
      <c r="B5" s="1016"/>
      <c r="C5" s="1017" t="s">
        <v>23</v>
      </c>
      <c r="D5" s="1017"/>
      <c r="E5" s="1017"/>
      <c r="F5" s="1017"/>
      <c r="G5" s="1017"/>
      <c r="H5" s="1017"/>
      <c r="I5" s="1017"/>
      <c r="J5" s="1017"/>
    </row>
    <row r="6" spans="1:10" x14ac:dyDescent="0.2">
      <c r="A6" s="1016" t="s">
        <v>6</v>
      </c>
      <c r="B6" s="1016"/>
      <c r="C6" s="1016" t="s">
        <v>24</v>
      </c>
      <c r="D6" s="1016"/>
      <c r="E6" s="1016"/>
      <c r="F6" s="1016"/>
      <c r="G6" s="1016"/>
      <c r="H6" s="1016"/>
      <c r="I6" s="1016"/>
      <c r="J6" s="1016"/>
    </row>
    <row r="7" spans="1:10" x14ac:dyDescent="0.2">
      <c r="A7" s="1016" t="s">
        <v>5</v>
      </c>
      <c r="B7" s="1016"/>
      <c r="C7" s="1019" t="s">
        <v>16</v>
      </c>
      <c r="D7" s="1019"/>
      <c r="E7" s="1019"/>
      <c r="F7" s="1019"/>
      <c r="G7" s="1019"/>
      <c r="H7" s="1019"/>
      <c r="I7" s="1019"/>
      <c r="J7" s="1019"/>
    </row>
    <row r="8" spans="1:10" ht="36" x14ac:dyDescent="0.2">
      <c r="A8" s="6" t="s">
        <v>4</v>
      </c>
      <c r="B8" s="1020" t="s">
        <v>3</v>
      </c>
      <c r="C8" s="1021"/>
      <c r="D8" s="6" t="s">
        <v>11</v>
      </c>
      <c r="E8" s="6" t="s">
        <v>12</v>
      </c>
      <c r="F8" s="6" t="s">
        <v>13</v>
      </c>
      <c r="G8" s="6" t="s">
        <v>2</v>
      </c>
      <c r="H8" s="6" t="s">
        <v>180</v>
      </c>
      <c r="I8" s="216" t="s">
        <v>1</v>
      </c>
      <c r="J8" s="6" t="s">
        <v>0</v>
      </c>
    </row>
    <row r="9" spans="1:10" ht="12.75" customHeight="1" x14ac:dyDescent="0.2">
      <c r="A9" s="1022" t="s">
        <v>14</v>
      </c>
      <c r="B9" s="1023"/>
      <c r="C9" s="1024"/>
      <c r="D9" s="7">
        <f>SUM(D10:D13)</f>
        <v>986333</v>
      </c>
      <c r="E9" s="7">
        <f>SUM(E10:E13)</f>
        <v>986333</v>
      </c>
      <c r="F9" s="7">
        <f>SUM(F10:F13)</f>
        <v>3887472</v>
      </c>
      <c r="G9" s="7"/>
      <c r="H9" s="7">
        <f>SUM(H10:H13)</f>
        <v>3887472</v>
      </c>
      <c r="I9" s="7"/>
      <c r="J9" s="8"/>
    </row>
    <row r="10" spans="1:10" ht="12.75" customHeight="1" x14ac:dyDescent="0.2">
      <c r="A10" s="3">
        <v>1</v>
      </c>
      <c r="B10" s="1025" t="s">
        <v>25</v>
      </c>
      <c r="C10" s="1026"/>
      <c r="D10" s="4">
        <v>126845</v>
      </c>
      <c r="E10" s="4">
        <v>126845</v>
      </c>
      <c r="F10" s="4">
        <v>126845</v>
      </c>
      <c r="G10" s="9">
        <v>2276</v>
      </c>
      <c r="H10" s="4">
        <v>126845</v>
      </c>
      <c r="I10" s="1027" t="s">
        <v>183</v>
      </c>
      <c r="J10" s="8"/>
    </row>
    <row r="11" spans="1:10" ht="13.5" customHeight="1" x14ac:dyDescent="0.2">
      <c r="A11" s="3">
        <v>2</v>
      </c>
      <c r="B11" s="1025" t="s">
        <v>26</v>
      </c>
      <c r="C11" s="1026"/>
      <c r="D11" s="4">
        <v>824370</v>
      </c>
      <c r="E11" s="4">
        <v>824370</v>
      </c>
      <c r="F11" s="4">
        <v>3742065</v>
      </c>
      <c r="G11" s="9">
        <v>2279</v>
      </c>
      <c r="H11" s="4">
        <v>3742065</v>
      </c>
      <c r="I11" s="1028"/>
      <c r="J11" s="8" t="s">
        <v>27</v>
      </c>
    </row>
    <row r="12" spans="1:10" ht="12.75" customHeight="1" x14ac:dyDescent="0.2">
      <c r="A12" s="1030">
        <v>3</v>
      </c>
      <c r="B12" s="1032" t="s">
        <v>28</v>
      </c>
      <c r="C12" s="1033"/>
      <c r="D12" s="4">
        <v>33118</v>
      </c>
      <c r="E12" s="4">
        <v>33118</v>
      </c>
      <c r="F12" s="4">
        <v>14293</v>
      </c>
      <c r="G12" s="9">
        <v>2519</v>
      </c>
      <c r="H12" s="4">
        <v>14293</v>
      </c>
      <c r="I12" s="1028"/>
      <c r="J12" s="8"/>
    </row>
    <row r="13" spans="1:10" x14ac:dyDescent="0.2">
      <c r="A13" s="1031"/>
      <c r="B13" s="1034"/>
      <c r="C13" s="1035"/>
      <c r="D13" s="4">
        <v>2000</v>
      </c>
      <c r="E13" s="4">
        <v>2000</v>
      </c>
      <c r="F13" s="4">
        <v>4269</v>
      </c>
      <c r="G13" s="9">
        <v>2272</v>
      </c>
      <c r="H13" s="4">
        <v>4269</v>
      </c>
      <c r="I13" s="1029"/>
      <c r="J13" s="8"/>
    </row>
    <row r="14" spans="1:10" x14ac:dyDescent="0.2">
      <c r="A14" s="10"/>
      <c r="B14" s="10"/>
      <c r="C14" s="10"/>
      <c r="D14" s="10"/>
      <c r="E14" s="10"/>
      <c r="F14" s="10"/>
      <c r="G14" s="10"/>
      <c r="H14" s="10"/>
      <c r="I14" s="10"/>
      <c r="J14" s="10"/>
    </row>
    <row r="15" spans="1:10" x14ac:dyDescent="0.2">
      <c r="A15" s="1" t="s">
        <v>184</v>
      </c>
    </row>
    <row r="16" spans="1:10" x14ac:dyDescent="0.2">
      <c r="A16" s="1" t="s">
        <v>185</v>
      </c>
    </row>
    <row r="17" spans="1:11" x14ac:dyDescent="0.2">
      <c r="B17" s="1" t="s">
        <v>186</v>
      </c>
    </row>
    <row r="18" spans="1:11" x14ac:dyDescent="0.2">
      <c r="A18" s="2"/>
      <c r="B18" s="2"/>
      <c r="C18" s="2" t="s">
        <v>187</v>
      </c>
      <c r="D18" s="2"/>
      <c r="E18" s="2"/>
      <c r="F18" s="2"/>
      <c r="G18" s="2"/>
      <c r="H18" s="2"/>
      <c r="I18" s="2"/>
      <c r="J18" s="2"/>
      <c r="K18" s="2"/>
    </row>
    <row r="19" spans="1:11" x14ac:dyDescent="0.2">
      <c r="A19" s="2"/>
      <c r="B19" s="2"/>
      <c r="C19" s="2"/>
      <c r="D19" s="2"/>
      <c r="E19" s="2"/>
      <c r="F19" s="2"/>
      <c r="G19" s="2"/>
      <c r="H19" s="2"/>
      <c r="I19" s="2"/>
      <c r="J19" s="2"/>
      <c r="K19" s="2"/>
    </row>
    <row r="20" spans="1:11" x14ac:dyDescent="0.2">
      <c r="A20" s="2"/>
      <c r="B20" s="2"/>
      <c r="C20" s="2"/>
      <c r="D20" s="2"/>
      <c r="E20" s="2"/>
      <c r="F20" s="2"/>
      <c r="G20" s="2"/>
      <c r="H20" s="2"/>
      <c r="I20" s="2"/>
      <c r="J20" s="2"/>
      <c r="K20" s="2"/>
    </row>
    <row r="21" spans="1:11" x14ac:dyDescent="0.2">
      <c r="A21" s="2"/>
      <c r="B21" s="2"/>
      <c r="C21" s="2"/>
      <c r="D21" s="2"/>
      <c r="E21" s="2"/>
      <c r="F21" s="2"/>
      <c r="G21" s="2"/>
      <c r="H21" s="2"/>
      <c r="I21" s="2"/>
      <c r="J21" s="2"/>
      <c r="K21" s="2"/>
    </row>
  </sheetData>
  <sheetProtection algorithmName="SHA-512" hashValue="3LJMYGd1/0Fm2kiOpsg5pWH82XVBinmR1kqzYwVMP07Epckm6CwQOJWPEgaZsvox8uZLF+2MmlyB9azD8gxBAg==" saltValue="/8vIXuB6Yj9GCvLJY+sL9g==" spinCount="100000" sheet="1" objects="1" scenarios="1"/>
  <mergeCells count="18">
    <mergeCell ref="A9:C9"/>
    <mergeCell ref="B10:C10"/>
    <mergeCell ref="I10:I13"/>
    <mergeCell ref="B11:C11"/>
    <mergeCell ref="A12:A13"/>
    <mergeCell ref="B12:C13"/>
    <mergeCell ref="A6:B6"/>
    <mergeCell ref="C6:J6"/>
    <mergeCell ref="A7:B7"/>
    <mergeCell ref="C7:J7"/>
    <mergeCell ref="B8:C8"/>
    <mergeCell ref="A5:B5"/>
    <mergeCell ref="C5:J5"/>
    <mergeCell ref="A1:B1"/>
    <mergeCell ref="C1:J1"/>
    <mergeCell ref="A2:B2"/>
    <mergeCell ref="C2:J2"/>
    <mergeCell ref="A3:J3"/>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4.pielikums Jūrmalas pilsētas domes
2016.gada 16.decembra saistošajiem noteikumiem Nr.47
(protokols Nr.19, 19.punkts)</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9"/>
  <sheetViews>
    <sheetView view="pageLayout" zoomScaleNormal="110" workbookViewId="0">
      <selection activeCell="L18" sqref="L18"/>
    </sheetView>
  </sheetViews>
  <sheetFormatPr defaultRowHeight="12" x14ac:dyDescent="0.2"/>
  <cols>
    <col min="1" max="1" width="6.140625" style="485" customWidth="1"/>
    <col min="2" max="2" width="17.28515625" style="485" customWidth="1"/>
    <col min="3" max="3" width="32.7109375" style="485" customWidth="1"/>
    <col min="4" max="4" width="11.85546875" style="485" hidden="1" customWidth="1"/>
    <col min="5" max="5" width="11.140625" style="485" hidden="1" customWidth="1"/>
    <col min="6" max="6" width="10.28515625" style="485" hidden="1" customWidth="1"/>
    <col min="7" max="7" width="10.5703125" style="485" customWidth="1"/>
    <col min="8" max="8" width="9.7109375" style="485" customWidth="1"/>
    <col min="9" max="9" width="15.5703125" style="485" customWidth="1"/>
    <col min="10" max="16384" width="9.140625" style="485"/>
  </cols>
  <sheetData>
    <row r="1" spans="1:9" x14ac:dyDescent="0.2">
      <c r="A1" s="1214" t="s">
        <v>8</v>
      </c>
      <c r="B1" s="1214"/>
      <c r="C1" s="1214" t="s">
        <v>15</v>
      </c>
      <c r="D1" s="1214"/>
      <c r="E1" s="1214"/>
      <c r="F1" s="1214"/>
      <c r="G1" s="1214"/>
      <c r="H1" s="1214"/>
      <c r="I1" s="1214"/>
    </row>
    <row r="2" spans="1:9" x14ac:dyDescent="0.2">
      <c r="A2" s="1214" t="s">
        <v>7</v>
      </c>
      <c r="B2" s="1214"/>
      <c r="C2" s="1214">
        <v>90000056357</v>
      </c>
      <c r="D2" s="1214"/>
      <c r="E2" s="1214"/>
      <c r="F2" s="1214"/>
      <c r="G2" s="1214"/>
      <c r="H2" s="1214"/>
      <c r="I2" s="1214"/>
    </row>
    <row r="3" spans="1:9" ht="15.75" x14ac:dyDescent="0.25">
      <c r="A3" s="1232" t="s">
        <v>9</v>
      </c>
      <c r="B3" s="1232"/>
      <c r="C3" s="1232"/>
      <c r="D3" s="1232"/>
      <c r="E3" s="1232"/>
      <c r="F3" s="1232"/>
      <c r="G3" s="1232"/>
      <c r="H3" s="1232"/>
      <c r="I3" s="1232"/>
    </row>
    <row r="4" spans="1:9" ht="15.75" x14ac:dyDescent="0.25">
      <c r="A4" s="615"/>
      <c r="B4" s="615"/>
      <c r="C4" s="615"/>
      <c r="D4" s="615"/>
      <c r="E4" s="615"/>
      <c r="F4" s="615"/>
      <c r="G4" s="615"/>
      <c r="H4" s="615"/>
      <c r="I4" s="615"/>
    </row>
    <row r="5" spans="1:9" ht="15.75" x14ac:dyDescent="0.25">
      <c r="A5" s="1214" t="s">
        <v>10</v>
      </c>
      <c r="B5" s="1214"/>
      <c r="C5" s="1230" t="s">
        <v>1451</v>
      </c>
      <c r="D5" s="1230"/>
      <c r="E5" s="1230"/>
      <c r="F5" s="1230"/>
      <c r="G5" s="1230"/>
      <c r="H5" s="1230"/>
      <c r="I5" s="1230"/>
    </row>
    <row r="6" spans="1:9" x14ac:dyDescent="0.2">
      <c r="A6" s="1079" t="s">
        <v>6</v>
      </c>
      <c r="B6" s="1079"/>
      <c r="C6" s="1214" t="s">
        <v>1452</v>
      </c>
      <c r="D6" s="1214"/>
      <c r="E6" s="1214"/>
      <c r="F6" s="1214"/>
      <c r="G6" s="1214"/>
      <c r="H6" s="1214"/>
      <c r="I6" s="1214"/>
    </row>
    <row r="7" spans="1:9" x14ac:dyDescent="0.2">
      <c r="A7" s="1214" t="s">
        <v>5</v>
      </c>
      <c r="B7" s="1214"/>
      <c r="C7" s="1221" t="s">
        <v>1453</v>
      </c>
      <c r="D7" s="1221"/>
      <c r="E7" s="1221"/>
      <c r="F7" s="1221"/>
      <c r="G7" s="1221"/>
      <c r="H7" s="1221"/>
      <c r="I7" s="1221"/>
    </row>
    <row r="8" spans="1:9" ht="63" customHeight="1" x14ac:dyDescent="0.2">
      <c r="A8" s="500" t="s">
        <v>4</v>
      </c>
      <c r="B8" s="1190" t="s">
        <v>3</v>
      </c>
      <c r="C8" s="1191"/>
      <c r="D8" s="500" t="s">
        <v>11</v>
      </c>
      <c r="E8" s="500" t="s">
        <v>12</v>
      </c>
      <c r="F8" s="500" t="s">
        <v>13</v>
      </c>
      <c r="G8" s="500" t="s">
        <v>2</v>
      </c>
      <c r="H8" s="424" t="s">
        <v>180</v>
      </c>
      <c r="I8" s="500" t="s">
        <v>1</v>
      </c>
    </row>
    <row r="9" spans="1:9" ht="12.75" customHeight="1" x14ac:dyDescent="0.2">
      <c r="A9" s="1192" t="s">
        <v>14</v>
      </c>
      <c r="B9" s="1193"/>
      <c r="C9" s="1194"/>
      <c r="D9" s="503">
        <f>SUM(D11:D127)</f>
        <v>22379</v>
      </c>
      <c r="E9" s="503">
        <f>SUM(E11:E127)</f>
        <v>21233.11</v>
      </c>
      <c r="F9" s="503">
        <f>SUM(F11:F127)</f>
        <v>39803</v>
      </c>
      <c r="G9" s="503"/>
      <c r="H9" s="503">
        <f>SUM(H11:H127)</f>
        <v>38797</v>
      </c>
      <c r="I9" s="503"/>
    </row>
    <row r="10" spans="1:9" s="558" customFormat="1" ht="12.75" customHeight="1" x14ac:dyDescent="0.2">
      <c r="A10" s="946"/>
      <c r="B10" s="1240" t="s">
        <v>1454</v>
      </c>
      <c r="C10" s="1241"/>
      <c r="D10" s="517"/>
      <c r="E10" s="517"/>
      <c r="F10" s="517"/>
      <c r="G10" s="517"/>
      <c r="H10" s="517"/>
      <c r="I10" s="517"/>
    </row>
    <row r="11" spans="1:9" ht="12.75" customHeight="1" x14ac:dyDescent="0.2">
      <c r="A11" s="1224">
        <v>1</v>
      </c>
      <c r="B11" s="1210" t="s">
        <v>1455</v>
      </c>
      <c r="C11" s="1211"/>
      <c r="D11" s="508">
        <v>214</v>
      </c>
      <c r="E11" s="508">
        <v>214</v>
      </c>
      <c r="F11" s="508">
        <v>220</v>
      </c>
      <c r="G11" s="855">
        <v>2314</v>
      </c>
      <c r="H11" s="947">
        <v>214</v>
      </c>
      <c r="I11" s="1237" t="s">
        <v>1456</v>
      </c>
    </row>
    <row r="12" spans="1:9" ht="12.75" customHeight="1" x14ac:dyDescent="0.2">
      <c r="A12" s="1225"/>
      <c r="B12" s="1226"/>
      <c r="C12" s="1227"/>
      <c r="D12" s="508">
        <v>430</v>
      </c>
      <c r="E12" s="508">
        <v>429.79</v>
      </c>
      <c r="F12" s="508">
        <v>430</v>
      </c>
      <c r="G12" s="855">
        <v>2363</v>
      </c>
      <c r="H12" s="947">
        <v>430</v>
      </c>
      <c r="I12" s="1239"/>
    </row>
    <row r="13" spans="1:9" ht="15" customHeight="1" x14ac:dyDescent="0.2">
      <c r="A13" s="550">
        <v>2</v>
      </c>
      <c r="B13" s="1195" t="s">
        <v>1457</v>
      </c>
      <c r="C13" s="1196"/>
      <c r="D13" s="508">
        <v>0</v>
      </c>
      <c r="E13" s="508">
        <v>0</v>
      </c>
      <c r="F13" s="508">
        <v>100</v>
      </c>
      <c r="G13" s="855">
        <v>2314</v>
      </c>
      <c r="H13" s="947">
        <v>100</v>
      </c>
      <c r="I13" s="525" t="s">
        <v>1458</v>
      </c>
    </row>
    <row r="14" spans="1:9" ht="12.75" customHeight="1" x14ac:dyDescent="0.2">
      <c r="A14" s="1224">
        <v>3</v>
      </c>
      <c r="B14" s="1210" t="s">
        <v>1459</v>
      </c>
      <c r="C14" s="1211"/>
      <c r="D14" s="508">
        <v>250</v>
      </c>
      <c r="E14" s="508">
        <v>250</v>
      </c>
      <c r="F14" s="508">
        <v>250</v>
      </c>
      <c r="G14" s="855">
        <v>2314</v>
      </c>
      <c r="H14" s="947">
        <v>250</v>
      </c>
      <c r="I14" s="1237" t="s">
        <v>1458</v>
      </c>
    </row>
    <row r="15" spans="1:9" ht="12.75" customHeight="1" x14ac:dyDescent="0.2">
      <c r="A15" s="1225"/>
      <c r="B15" s="1226"/>
      <c r="C15" s="1227"/>
      <c r="D15" s="508">
        <v>200</v>
      </c>
      <c r="E15" s="508">
        <v>200</v>
      </c>
      <c r="F15" s="508">
        <v>200</v>
      </c>
      <c r="G15" s="855">
        <v>2363</v>
      </c>
      <c r="H15" s="947">
        <v>200</v>
      </c>
      <c r="I15" s="1239"/>
    </row>
    <row r="16" spans="1:9" ht="12.75" customHeight="1" x14ac:dyDescent="0.2">
      <c r="A16" s="1224">
        <v>4</v>
      </c>
      <c r="B16" s="1210" t="s">
        <v>1460</v>
      </c>
      <c r="C16" s="1211"/>
      <c r="D16" s="508">
        <v>420</v>
      </c>
      <c r="E16" s="508">
        <v>420</v>
      </c>
      <c r="F16" s="508">
        <v>420</v>
      </c>
      <c r="G16" s="855">
        <v>1150</v>
      </c>
      <c r="H16" s="947">
        <v>420</v>
      </c>
      <c r="I16" s="1237" t="s">
        <v>1461</v>
      </c>
    </row>
    <row r="17" spans="1:9" ht="12.75" customHeight="1" x14ac:dyDescent="0.2">
      <c r="A17" s="1236"/>
      <c r="B17" s="1215"/>
      <c r="C17" s="1216"/>
      <c r="D17" s="508">
        <v>100</v>
      </c>
      <c r="E17" s="508">
        <v>100</v>
      </c>
      <c r="F17" s="508">
        <v>100</v>
      </c>
      <c r="G17" s="855">
        <v>1210</v>
      </c>
      <c r="H17" s="947">
        <v>100</v>
      </c>
      <c r="I17" s="1238"/>
    </row>
    <row r="18" spans="1:9" ht="12.75" customHeight="1" x14ac:dyDescent="0.2">
      <c r="A18" s="1236"/>
      <c r="B18" s="1215"/>
      <c r="C18" s="1216"/>
      <c r="D18" s="508">
        <v>200</v>
      </c>
      <c r="E18" s="508">
        <v>200</v>
      </c>
      <c r="F18" s="508">
        <v>300</v>
      </c>
      <c r="G18" s="855">
        <v>2314</v>
      </c>
      <c r="H18" s="947">
        <v>200</v>
      </c>
      <c r="I18" s="1238"/>
    </row>
    <row r="19" spans="1:9" ht="12.75" customHeight="1" x14ac:dyDescent="0.2">
      <c r="A19" s="1224">
        <v>5</v>
      </c>
      <c r="B19" s="1210" t="s">
        <v>1462</v>
      </c>
      <c r="C19" s="1211"/>
      <c r="D19" s="508">
        <v>140</v>
      </c>
      <c r="E19" s="508">
        <v>140</v>
      </c>
      <c r="F19" s="508">
        <v>140</v>
      </c>
      <c r="G19" s="855">
        <v>1150</v>
      </c>
      <c r="H19" s="508">
        <v>140</v>
      </c>
      <c r="I19" s="1237" t="s">
        <v>1461</v>
      </c>
    </row>
    <row r="20" spans="1:9" ht="12.75" customHeight="1" x14ac:dyDescent="0.2">
      <c r="A20" s="1236"/>
      <c r="B20" s="1215"/>
      <c r="C20" s="1216"/>
      <c r="D20" s="508">
        <v>34</v>
      </c>
      <c r="E20" s="508">
        <v>33.020000000000003</v>
      </c>
      <c r="F20" s="508">
        <v>34</v>
      </c>
      <c r="G20" s="855">
        <v>1210</v>
      </c>
      <c r="H20" s="508">
        <v>34</v>
      </c>
      <c r="I20" s="1238"/>
    </row>
    <row r="21" spans="1:9" ht="12.75" customHeight="1" x14ac:dyDescent="0.2">
      <c r="A21" s="1236"/>
      <c r="B21" s="1215"/>
      <c r="C21" s="1216"/>
      <c r="D21" s="508">
        <v>50</v>
      </c>
      <c r="E21" s="508">
        <v>49.85</v>
      </c>
      <c r="F21" s="508">
        <v>60</v>
      </c>
      <c r="G21" s="855">
        <v>2363</v>
      </c>
      <c r="H21" s="508">
        <v>50</v>
      </c>
      <c r="I21" s="1238"/>
    </row>
    <row r="22" spans="1:9" ht="12.75" customHeight="1" x14ac:dyDescent="0.2">
      <c r="A22" s="1225"/>
      <c r="B22" s="1226"/>
      <c r="C22" s="1227"/>
      <c r="D22" s="508">
        <v>150</v>
      </c>
      <c r="E22" s="508">
        <v>150</v>
      </c>
      <c r="F22" s="508">
        <v>150</v>
      </c>
      <c r="G22" s="855">
        <v>2314</v>
      </c>
      <c r="H22" s="508">
        <v>150</v>
      </c>
      <c r="I22" s="1239"/>
    </row>
    <row r="23" spans="1:9" ht="12.75" customHeight="1" x14ac:dyDescent="0.2">
      <c r="A23" s="1224">
        <v>6</v>
      </c>
      <c r="B23" s="1210" t="s">
        <v>1463</v>
      </c>
      <c r="C23" s="1211"/>
      <c r="D23" s="508">
        <v>140</v>
      </c>
      <c r="E23" s="508">
        <v>140</v>
      </c>
      <c r="F23" s="508">
        <v>140</v>
      </c>
      <c r="G23" s="855">
        <v>1150</v>
      </c>
      <c r="H23" s="508">
        <v>140</v>
      </c>
      <c r="I23" s="1237" t="s">
        <v>1461</v>
      </c>
    </row>
    <row r="24" spans="1:9" ht="12.75" customHeight="1" x14ac:dyDescent="0.2">
      <c r="A24" s="1236"/>
      <c r="B24" s="1215"/>
      <c r="C24" s="1216"/>
      <c r="D24" s="508">
        <v>34</v>
      </c>
      <c r="E24" s="508">
        <v>33.04</v>
      </c>
      <c r="F24" s="508">
        <v>34</v>
      </c>
      <c r="G24" s="855">
        <v>1210</v>
      </c>
      <c r="H24" s="508">
        <v>34</v>
      </c>
      <c r="I24" s="1238"/>
    </row>
    <row r="25" spans="1:9" ht="12.75" customHeight="1" x14ac:dyDescent="0.2">
      <c r="A25" s="1225"/>
      <c r="B25" s="1226"/>
      <c r="C25" s="1227"/>
      <c r="D25" s="508">
        <v>80</v>
      </c>
      <c r="E25" s="508">
        <v>79.989999999999995</v>
      </c>
      <c r="F25" s="508">
        <v>80</v>
      </c>
      <c r="G25" s="855">
        <v>2314</v>
      </c>
      <c r="H25" s="508">
        <v>80</v>
      </c>
      <c r="I25" s="1238"/>
    </row>
    <row r="26" spans="1:9" ht="12.75" customHeight="1" x14ac:dyDescent="0.2">
      <c r="A26" s="1224">
        <v>7</v>
      </c>
      <c r="B26" s="1210" t="s">
        <v>1464</v>
      </c>
      <c r="C26" s="1211"/>
      <c r="D26" s="508">
        <v>180</v>
      </c>
      <c r="E26" s="508">
        <v>180</v>
      </c>
      <c r="F26" s="508">
        <v>180</v>
      </c>
      <c r="G26" s="855">
        <v>2314</v>
      </c>
      <c r="H26" s="508">
        <v>180</v>
      </c>
      <c r="I26" s="1237" t="s">
        <v>1465</v>
      </c>
    </row>
    <row r="27" spans="1:9" ht="12.75" customHeight="1" x14ac:dyDescent="0.2">
      <c r="A27" s="1225"/>
      <c r="B27" s="1226"/>
      <c r="C27" s="1227"/>
      <c r="D27" s="508">
        <v>100</v>
      </c>
      <c r="E27" s="508">
        <v>100</v>
      </c>
      <c r="F27" s="508">
        <v>100</v>
      </c>
      <c r="G27" s="855">
        <v>2264</v>
      </c>
      <c r="H27" s="508">
        <v>100</v>
      </c>
      <c r="I27" s="1239"/>
    </row>
    <row r="28" spans="1:9" ht="12.75" customHeight="1" x14ac:dyDescent="0.2">
      <c r="A28" s="1224">
        <v>8</v>
      </c>
      <c r="B28" s="1210" t="s">
        <v>1466</v>
      </c>
      <c r="C28" s="1211"/>
      <c r="D28" s="508">
        <v>100</v>
      </c>
      <c r="E28" s="508">
        <v>100</v>
      </c>
      <c r="F28" s="508">
        <v>100</v>
      </c>
      <c r="G28" s="855">
        <v>2264</v>
      </c>
      <c r="H28" s="508">
        <v>100</v>
      </c>
      <c r="I28" s="1237" t="s">
        <v>1467</v>
      </c>
    </row>
    <row r="29" spans="1:9" ht="12.75" customHeight="1" x14ac:dyDescent="0.2">
      <c r="A29" s="1225"/>
      <c r="B29" s="1226"/>
      <c r="C29" s="1227"/>
      <c r="D29" s="508">
        <v>120</v>
      </c>
      <c r="E29" s="508">
        <v>119.99</v>
      </c>
      <c r="F29" s="508">
        <v>120</v>
      </c>
      <c r="G29" s="855">
        <v>2314</v>
      </c>
      <c r="H29" s="508">
        <v>120</v>
      </c>
      <c r="I29" s="1239"/>
    </row>
    <row r="30" spans="1:9" ht="12.75" customHeight="1" x14ac:dyDescent="0.2">
      <c r="A30" s="1224">
        <v>9</v>
      </c>
      <c r="B30" s="1210" t="s">
        <v>1468</v>
      </c>
      <c r="C30" s="1211"/>
      <c r="D30" s="508">
        <v>150</v>
      </c>
      <c r="E30" s="508">
        <v>149.96</v>
      </c>
      <c r="F30" s="508">
        <v>150</v>
      </c>
      <c r="G30" s="855">
        <v>2314</v>
      </c>
      <c r="H30" s="508">
        <v>150</v>
      </c>
      <c r="I30" s="1237" t="s">
        <v>1461</v>
      </c>
    </row>
    <row r="31" spans="1:9" ht="12.75" customHeight="1" x14ac:dyDescent="0.2">
      <c r="A31" s="1236"/>
      <c r="B31" s="1215"/>
      <c r="C31" s="1216"/>
      <c r="D31" s="508">
        <v>140</v>
      </c>
      <c r="E31" s="508">
        <v>140</v>
      </c>
      <c r="F31" s="508">
        <v>140</v>
      </c>
      <c r="G31" s="855">
        <v>1150</v>
      </c>
      <c r="H31" s="508">
        <v>140</v>
      </c>
      <c r="I31" s="1238"/>
    </row>
    <row r="32" spans="1:9" ht="12.75" customHeight="1" x14ac:dyDescent="0.2">
      <c r="A32" s="1225"/>
      <c r="B32" s="1226"/>
      <c r="C32" s="1227"/>
      <c r="D32" s="508">
        <v>34</v>
      </c>
      <c r="E32" s="508">
        <v>33.04</v>
      </c>
      <c r="F32" s="508">
        <v>34</v>
      </c>
      <c r="G32" s="855">
        <v>1210</v>
      </c>
      <c r="H32" s="508">
        <v>34</v>
      </c>
      <c r="I32" s="1238"/>
    </row>
    <row r="33" spans="1:9" ht="12.75" customHeight="1" x14ac:dyDescent="0.2">
      <c r="A33" s="1224">
        <v>10</v>
      </c>
      <c r="B33" s="1210" t="s">
        <v>1469</v>
      </c>
      <c r="C33" s="1211"/>
      <c r="D33" s="508">
        <v>100</v>
      </c>
      <c r="E33" s="508">
        <v>100</v>
      </c>
      <c r="F33" s="508">
        <v>100</v>
      </c>
      <c r="G33" s="855">
        <v>2264</v>
      </c>
      <c r="H33" s="508">
        <v>100</v>
      </c>
      <c r="I33" s="1237" t="s">
        <v>1461</v>
      </c>
    </row>
    <row r="34" spans="1:9" ht="12.75" customHeight="1" x14ac:dyDescent="0.2">
      <c r="A34" s="1225"/>
      <c r="B34" s="1226"/>
      <c r="C34" s="1227"/>
      <c r="D34" s="508">
        <v>120</v>
      </c>
      <c r="E34" s="508">
        <v>120</v>
      </c>
      <c r="F34" s="508">
        <v>120</v>
      </c>
      <c r="G34" s="855">
        <v>2314</v>
      </c>
      <c r="H34" s="508">
        <v>120</v>
      </c>
      <c r="I34" s="1239"/>
    </row>
    <row r="35" spans="1:9" ht="12.75" customHeight="1" x14ac:dyDescent="0.2">
      <c r="A35" s="1224">
        <v>11</v>
      </c>
      <c r="B35" s="1210" t="s">
        <v>1470</v>
      </c>
      <c r="C35" s="1211"/>
      <c r="D35" s="508">
        <v>120</v>
      </c>
      <c r="E35" s="508">
        <v>119.88</v>
      </c>
      <c r="F35" s="508">
        <v>180</v>
      </c>
      <c r="G35" s="855">
        <v>2314</v>
      </c>
      <c r="H35" s="947">
        <v>120</v>
      </c>
      <c r="I35" s="1237" t="s">
        <v>1461</v>
      </c>
    </row>
    <row r="36" spans="1:9" ht="12.75" customHeight="1" x14ac:dyDescent="0.2">
      <c r="A36" s="1236"/>
      <c r="B36" s="1215"/>
      <c r="C36" s="1216"/>
      <c r="D36" s="508">
        <v>0</v>
      </c>
      <c r="E36" s="508">
        <v>0</v>
      </c>
      <c r="F36" s="508">
        <v>150</v>
      </c>
      <c r="G36" s="855">
        <v>1150</v>
      </c>
      <c r="H36" s="947">
        <v>150</v>
      </c>
      <c r="I36" s="1238"/>
    </row>
    <row r="37" spans="1:9" ht="12.75" customHeight="1" x14ac:dyDescent="0.2">
      <c r="A37" s="1236"/>
      <c r="B37" s="1215"/>
      <c r="C37" s="1216"/>
      <c r="D37" s="508">
        <v>0</v>
      </c>
      <c r="E37" s="508">
        <v>0</v>
      </c>
      <c r="F37" s="508">
        <v>34</v>
      </c>
      <c r="G37" s="855">
        <v>1210</v>
      </c>
      <c r="H37" s="947">
        <v>34</v>
      </c>
      <c r="I37" s="1238"/>
    </row>
    <row r="38" spans="1:9" ht="12.75" customHeight="1" x14ac:dyDescent="0.2">
      <c r="A38" s="1225"/>
      <c r="B38" s="1226"/>
      <c r="C38" s="1227"/>
      <c r="D38" s="508">
        <v>0</v>
      </c>
      <c r="E38" s="508">
        <v>0</v>
      </c>
      <c r="F38" s="508">
        <v>40</v>
      </c>
      <c r="G38" s="855">
        <v>2363</v>
      </c>
      <c r="H38" s="947">
        <v>40</v>
      </c>
      <c r="I38" s="1239"/>
    </row>
    <row r="39" spans="1:9" x14ac:dyDescent="0.2">
      <c r="A39" s="550">
        <v>12</v>
      </c>
      <c r="B39" s="1195" t="s">
        <v>1471</v>
      </c>
      <c r="C39" s="1196"/>
      <c r="D39" s="508">
        <v>300</v>
      </c>
      <c r="E39" s="508">
        <v>145</v>
      </c>
      <c r="F39" s="508">
        <v>150</v>
      </c>
      <c r="G39" s="855">
        <v>2314</v>
      </c>
      <c r="H39" s="508">
        <v>150</v>
      </c>
      <c r="I39" s="525" t="s">
        <v>1461</v>
      </c>
    </row>
    <row r="40" spans="1:9" x14ac:dyDescent="0.2">
      <c r="A40" s="550">
        <v>13</v>
      </c>
      <c r="B40" s="1195" t="s">
        <v>1472</v>
      </c>
      <c r="C40" s="1196"/>
      <c r="D40" s="508">
        <v>50</v>
      </c>
      <c r="E40" s="508">
        <v>50</v>
      </c>
      <c r="F40" s="508">
        <v>120</v>
      </c>
      <c r="G40" s="855">
        <v>2314</v>
      </c>
      <c r="H40" s="508">
        <v>50</v>
      </c>
      <c r="I40" s="525" t="s">
        <v>1461</v>
      </c>
    </row>
    <row r="41" spans="1:9" x14ac:dyDescent="0.2">
      <c r="A41" s="550">
        <v>14</v>
      </c>
      <c r="B41" s="1195" t="s">
        <v>1473</v>
      </c>
      <c r="C41" s="1196"/>
      <c r="D41" s="508">
        <v>50</v>
      </c>
      <c r="E41" s="508">
        <v>50</v>
      </c>
      <c r="F41" s="508">
        <v>50</v>
      </c>
      <c r="G41" s="855">
        <v>2314</v>
      </c>
      <c r="H41" s="508">
        <v>50</v>
      </c>
      <c r="I41" s="525" t="s">
        <v>1461</v>
      </c>
    </row>
    <row r="42" spans="1:9" ht="12.75" customHeight="1" x14ac:dyDescent="0.2">
      <c r="A42" s="550">
        <v>15</v>
      </c>
      <c r="B42" s="1195" t="s">
        <v>1474</v>
      </c>
      <c r="C42" s="1196"/>
      <c r="D42" s="508">
        <v>50</v>
      </c>
      <c r="E42" s="508">
        <v>50</v>
      </c>
      <c r="F42" s="508">
        <v>50</v>
      </c>
      <c r="G42" s="855">
        <v>2314</v>
      </c>
      <c r="H42" s="508">
        <v>50</v>
      </c>
      <c r="I42" s="525" t="s">
        <v>1461</v>
      </c>
    </row>
    <row r="43" spans="1:9" ht="12.75" customHeight="1" x14ac:dyDescent="0.2">
      <c r="A43" s="550">
        <v>16</v>
      </c>
      <c r="B43" s="1195" t="s">
        <v>1475</v>
      </c>
      <c r="C43" s="1196"/>
      <c r="D43" s="508">
        <v>50</v>
      </c>
      <c r="E43" s="508">
        <v>50</v>
      </c>
      <c r="F43" s="508">
        <v>50</v>
      </c>
      <c r="G43" s="855">
        <v>2314</v>
      </c>
      <c r="H43" s="508">
        <v>50</v>
      </c>
      <c r="I43" s="525" t="s">
        <v>1461</v>
      </c>
    </row>
    <row r="44" spans="1:9" ht="12.75" customHeight="1" x14ac:dyDescent="0.2">
      <c r="A44" s="550">
        <v>17</v>
      </c>
      <c r="B44" s="1195" t="s">
        <v>1476</v>
      </c>
      <c r="C44" s="1196"/>
      <c r="D44" s="508">
        <v>0</v>
      </c>
      <c r="E44" s="508">
        <v>0</v>
      </c>
      <c r="F44" s="508">
        <v>50</v>
      </c>
      <c r="G44" s="855">
        <v>2314</v>
      </c>
      <c r="H44" s="508">
        <v>50</v>
      </c>
      <c r="I44" s="525" t="s">
        <v>1461</v>
      </c>
    </row>
    <row r="45" spans="1:9" ht="12.75" customHeight="1" x14ac:dyDescent="0.2">
      <c r="A45" s="550">
        <v>18</v>
      </c>
      <c r="B45" s="1195" t="s">
        <v>1477</v>
      </c>
      <c r="C45" s="1196"/>
      <c r="D45" s="508">
        <v>0</v>
      </c>
      <c r="E45" s="508">
        <v>0</v>
      </c>
      <c r="F45" s="508">
        <v>100</v>
      </c>
      <c r="G45" s="855">
        <v>2314</v>
      </c>
      <c r="H45" s="508">
        <v>100</v>
      </c>
      <c r="I45" s="525" t="s">
        <v>1461</v>
      </c>
    </row>
    <row r="46" spans="1:9" ht="12.75" customHeight="1" x14ac:dyDescent="0.2">
      <c r="A46" s="550">
        <v>19</v>
      </c>
      <c r="B46" s="1195" t="s">
        <v>1478</v>
      </c>
      <c r="C46" s="1196"/>
      <c r="D46" s="508">
        <v>0</v>
      </c>
      <c r="E46" s="508">
        <v>0</v>
      </c>
      <c r="F46" s="508">
        <v>70</v>
      </c>
      <c r="G46" s="855">
        <v>2314</v>
      </c>
      <c r="H46" s="508">
        <v>70</v>
      </c>
      <c r="I46" s="525" t="s">
        <v>1461</v>
      </c>
    </row>
    <row r="47" spans="1:9" ht="12.75" customHeight="1" x14ac:dyDescent="0.2">
      <c r="A47" s="550">
        <v>20</v>
      </c>
      <c r="B47" s="1195" t="s">
        <v>1479</v>
      </c>
      <c r="C47" s="1196"/>
      <c r="D47" s="508">
        <v>0</v>
      </c>
      <c r="E47" s="508">
        <v>0</v>
      </c>
      <c r="F47" s="508">
        <v>60</v>
      </c>
      <c r="G47" s="855">
        <v>2314</v>
      </c>
      <c r="H47" s="508">
        <v>60</v>
      </c>
      <c r="I47" s="525" t="s">
        <v>1461</v>
      </c>
    </row>
    <row r="48" spans="1:9" ht="12.75" customHeight="1" x14ac:dyDescent="0.2">
      <c r="A48" s="1224">
        <v>21</v>
      </c>
      <c r="B48" s="1210" t="s">
        <v>1480</v>
      </c>
      <c r="C48" s="1211"/>
      <c r="D48" s="508">
        <v>150</v>
      </c>
      <c r="E48" s="508">
        <v>148.94999999999999</v>
      </c>
      <c r="F48" s="508">
        <v>150</v>
      </c>
      <c r="G48" s="855">
        <v>2314</v>
      </c>
      <c r="H48" s="508">
        <v>150</v>
      </c>
      <c r="I48" s="1237" t="s">
        <v>1461</v>
      </c>
    </row>
    <row r="49" spans="1:9" ht="12.75" customHeight="1" x14ac:dyDescent="0.2">
      <c r="A49" s="1225"/>
      <c r="B49" s="1226"/>
      <c r="C49" s="1227"/>
      <c r="D49" s="508">
        <v>60</v>
      </c>
      <c r="E49" s="508">
        <v>59.87</v>
      </c>
      <c r="F49" s="508">
        <v>60</v>
      </c>
      <c r="G49" s="855">
        <v>2390</v>
      </c>
      <c r="H49" s="508">
        <v>60</v>
      </c>
      <c r="I49" s="1239"/>
    </row>
    <row r="50" spans="1:9" ht="12.75" customHeight="1" x14ac:dyDescent="0.2">
      <c r="A50" s="1224">
        <v>22</v>
      </c>
      <c r="B50" s="1210" t="s">
        <v>1481</v>
      </c>
      <c r="C50" s="1211"/>
      <c r="D50" s="508">
        <v>300</v>
      </c>
      <c r="E50" s="508">
        <v>300</v>
      </c>
      <c r="F50" s="508">
        <v>300</v>
      </c>
      <c r="G50" s="855">
        <v>2363</v>
      </c>
      <c r="H50" s="508">
        <v>300</v>
      </c>
      <c r="I50" s="1237" t="s">
        <v>1482</v>
      </c>
    </row>
    <row r="51" spans="1:9" ht="12.75" customHeight="1" x14ac:dyDescent="0.2">
      <c r="A51" s="1236"/>
      <c r="B51" s="1215"/>
      <c r="C51" s="1216"/>
      <c r="D51" s="508">
        <v>600</v>
      </c>
      <c r="E51" s="508">
        <v>600</v>
      </c>
      <c r="F51" s="508">
        <v>600</v>
      </c>
      <c r="G51" s="855">
        <v>2314</v>
      </c>
      <c r="H51" s="508">
        <v>600</v>
      </c>
      <c r="I51" s="1238"/>
    </row>
    <row r="52" spans="1:9" ht="12.75" customHeight="1" x14ac:dyDescent="0.2">
      <c r="A52" s="1225"/>
      <c r="B52" s="1226"/>
      <c r="C52" s="1227"/>
      <c r="D52" s="508">
        <v>214</v>
      </c>
      <c r="E52" s="508">
        <v>214</v>
      </c>
      <c r="F52" s="508">
        <v>210</v>
      </c>
      <c r="G52" s="855">
        <v>2264</v>
      </c>
      <c r="H52" s="508">
        <v>210</v>
      </c>
      <c r="I52" s="1239"/>
    </row>
    <row r="53" spans="1:9" x14ac:dyDescent="0.2">
      <c r="A53" s="550">
        <v>23</v>
      </c>
      <c r="B53" s="1195" t="s">
        <v>1483</v>
      </c>
      <c r="C53" s="1196"/>
      <c r="D53" s="948">
        <v>0</v>
      </c>
      <c r="E53" s="948">
        <v>0</v>
      </c>
      <c r="F53" s="949">
        <v>150</v>
      </c>
      <c r="G53" s="867">
        <v>2314</v>
      </c>
      <c r="H53" s="523">
        <v>150</v>
      </c>
      <c r="I53" s="525" t="s">
        <v>1458</v>
      </c>
    </row>
    <row r="54" spans="1:9" ht="12.75" customHeight="1" x14ac:dyDescent="0.2">
      <c r="A54" s="1224">
        <v>24</v>
      </c>
      <c r="B54" s="1210" t="s">
        <v>1484</v>
      </c>
      <c r="C54" s="1211"/>
      <c r="D54" s="508">
        <v>1500</v>
      </c>
      <c r="E54" s="508">
        <v>1500</v>
      </c>
      <c r="F54" s="508">
        <v>1690</v>
      </c>
      <c r="G54" s="855">
        <v>2279</v>
      </c>
      <c r="H54" s="485">
        <v>1500</v>
      </c>
      <c r="I54" s="1242" t="s">
        <v>1485</v>
      </c>
    </row>
    <row r="55" spans="1:9" ht="12.75" customHeight="1" x14ac:dyDescent="0.2">
      <c r="A55" s="1236"/>
      <c r="B55" s="1215"/>
      <c r="C55" s="1216"/>
      <c r="D55" s="508">
        <v>2000</v>
      </c>
      <c r="E55" s="508">
        <v>1998</v>
      </c>
      <c r="F55" s="508">
        <v>2000</v>
      </c>
      <c r="G55" s="855">
        <v>2264</v>
      </c>
      <c r="H55" s="508">
        <v>2000</v>
      </c>
      <c r="I55" s="1243"/>
    </row>
    <row r="56" spans="1:9" ht="12.75" customHeight="1" x14ac:dyDescent="0.2">
      <c r="A56" s="1236"/>
      <c r="B56" s="1215"/>
      <c r="C56" s="1216"/>
      <c r="D56" s="508">
        <v>1200</v>
      </c>
      <c r="E56" s="508">
        <v>1200</v>
      </c>
      <c r="F56" s="508">
        <v>700</v>
      </c>
      <c r="G56" s="855">
        <v>2370</v>
      </c>
      <c r="H56" s="508">
        <v>700</v>
      </c>
      <c r="I56" s="1243"/>
    </row>
    <row r="57" spans="1:9" x14ac:dyDescent="0.2">
      <c r="A57" s="1236"/>
      <c r="B57" s="1215"/>
      <c r="C57" s="1216"/>
      <c r="D57" s="508">
        <v>0</v>
      </c>
      <c r="E57" s="508">
        <v>0</v>
      </c>
      <c r="F57" s="508">
        <v>120</v>
      </c>
      <c r="G57" s="855">
        <v>2223</v>
      </c>
      <c r="H57" s="508">
        <v>120</v>
      </c>
      <c r="I57" s="1243"/>
    </row>
    <row r="58" spans="1:9" ht="12.75" customHeight="1" x14ac:dyDescent="0.2">
      <c r="A58" s="1225"/>
      <c r="B58" s="1226"/>
      <c r="C58" s="1227"/>
      <c r="D58" s="508">
        <v>0</v>
      </c>
      <c r="E58" s="508">
        <v>0</v>
      </c>
      <c r="F58" s="508">
        <v>40</v>
      </c>
      <c r="G58" s="855">
        <v>2314</v>
      </c>
      <c r="H58" s="508">
        <v>40</v>
      </c>
      <c r="I58" s="1244"/>
    </row>
    <row r="59" spans="1:9" ht="12.75" customHeight="1" x14ac:dyDescent="0.2">
      <c r="A59" s="1224">
        <v>25</v>
      </c>
      <c r="B59" s="1210" t="s">
        <v>1486</v>
      </c>
      <c r="C59" s="1211"/>
      <c r="D59" s="508">
        <v>150</v>
      </c>
      <c r="E59" s="508">
        <v>149.54</v>
      </c>
      <c r="F59" s="508">
        <v>150</v>
      </c>
      <c r="G59" s="855">
        <v>2314</v>
      </c>
      <c r="H59" s="508">
        <v>150</v>
      </c>
      <c r="I59" s="525" t="s">
        <v>1458</v>
      </c>
    </row>
    <row r="60" spans="1:9" ht="12.75" customHeight="1" x14ac:dyDescent="0.2">
      <c r="A60" s="1225"/>
      <c r="B60" s="1226"/>
      <c r="C60" s="1227"/>
      <c r="D60" s="508">
        <v>350</v>
      </c>
      <c r="E60" s="508">
        <v>349.42</v>
      </c>
      <c r="F60" s="508">
        <v>350</v>
      </c>
      <c r="G60" s="855">
        <v>2370</v>
      </c>
      <c r="H60" s="508">
        <v>350</v>
      </c>
      <c r="I60" s="525" t="s">
        <v>1458</v>
      </c>
    </row>
    <row r="61" spans="1:9" ht="12.75" customHeight="1" x14ac:dyDescent="0.2">
      <c r="A61" s="550">
        <v>26</v>
      </c>
      <c r="B61" s="1195" t="s">
        <v>1487</v>
      </c>
      <c r="C61" s="1196"/>
      <c r="D61" s="508">
        <v>500</v>
      </c>
      <c r="E61" s="508">
        <v>500</v>
      </c>
      <c r="F61" s="508">
        <v>200</v>
      </c>
      <c r="G61" s="855">
        <v>2370</v>
      </c>
      <c r="H61" s="508">
        <v>200</v>
      </c>
      <c r="I61" s="525" t="s">
        <v>1458</v>
      </c>
    </row>
    <row r="62" spans="1:9" ht="12.75" customHeight="1" x14ac:dyDescent="0.2">
      <c r="A62" s="1224">
        <v>27</v>
      </c>
      <c r="B62" s="1210" t="s">
        <v>1488</v>
      </c>
      <c r="C62" s="1211"/>
      <c r="D62" s="508">
        <v>300</v>
      </c>
      <c r="E62" s="508">
        <v>300</v>
      </c>
      <c r="F62" s="508">
        <v>600</v>
      </c>
      <c r="G62" s="855">
        <v>1150</v>
      </c>
      <c r="H62" s="947">
        <v>300</v>
      </c>
      <c r="I62" s="1237" t="s">
        <v>749</v>
      </c>
    </row>
    <row r="63" spans="1:9" ht="12.75" customHeight="1" x14ac:dyDescent="0.2">
      <c r="A63" s="1236"/>
      <c r="B63" s="1215"/>
      <c r="C63" s="1216"/>
      <c r="D63" s="508">
        <v>71</v>
      </c>
      <c r="E63" s="508">
        <v>71</v>
      </c>
      <c r="F63" s="508">
        <v>142</v>
      </c>
      <c r="G63" s="855">
        <v>1210</v>
      </c>
      <c r="H63" s="947">
        <v>71</v>
      </c>
      <c r="I63" s="1239"/>
    </row>
    <row r="64" spans="1:9" ht="12.75" customHeight="1" x14ac:dyDescent="0.2">
      <c r="A64" s="1224">
        <v>28</v>
      </c>
      <c r="B64" s="1210" t="s">
        <v>1489</v>
      </c>
      <c r="C64" s="1211"/>
      <c r="D64" s="508">
        <v>0</v>
      </c>
      <c r="E64" s="508">
        <v>0</v>
      </c>
      <c r="F64" s="508">
        <v>700</v>
      </c>
      <c r="G64" s="855">
        <v>2370</v>
      </c>
      <c r="H64" s="508">
        <v>700</v>
      </c>
      <c r="I64" s="1237" t="s">
        <v>1458</v>
      </c>
    </row>
    <row r="65" spans="1:9" ht="12.75" customHeight="1" x14ac:dyDescent="0.2">
      <c r="A65" s="1236"/>
      <c r="B65" s="1215"/>
      <c r="C65" s="1216"/>
      <c r="D65" s="508">
        <v>0</v>
      </c>
      <c r="E65" s="508">
        <v>0</v>
      </c>
      <c r="F65" s="508">
        <v>350</v>
      </c>
      <c r="G65" s="855">
        <v>2314</v>
      </c>
      <c r="H65" s="508">
        <v>350</v>
      </c>
      <c r="I65" s="1238"/>
    </row>
    <row r="66" spans="1:9" ht="12.75" customHeight="1" x14ac:dyDescent="0.2">
      <c r="A66" s="1236"/>
      <c r="B66" s="1215"/>
      <c r="C66" s="1216"/>
      <c r="D66" s="508">
        <v>0</v>
      </c>
      <c r="E66" s="508">
        <v>0</v>
      </c>
      <c r="F66" s="508">
        <v>100</v>
      </c>
      <c r="G66" s="855">
        <v>1150</v>
      </c>
      <c r="H66" s="508">
        <v>100</v>
      </c>
      <c r="I66" s="1238"/>
    </row>
    <row r="67" spans="1:9" ht="12.75" customHeight="1" x14ac:dyDescent="0.2">
      <c r="A67" s="1225"/>
      <c r="B67" s="1226"/>
      <c r="C67" s="1227"/>
      <c r="D67" s="508">
        <v>0</v>
      </c>
      <c r="E67" s="508">
        <v>0</v>
      </c>
      <c r="F67" s="508">
        <v>24</v>
      </c>
      <c r="G67" s="855">
        <v>1210</v>
      </c>
      <c r="H67" s="508">
        <v>24</v>
      </c>
      <c r="I67" s="1239"/>
    </row>
    <row r="68" spans="1:9" ht="12.75" customHeight="1" x14ac:dyDescent="0.2">
      <c r="A68" s="1224">
        <v>29</v>
      </c>
      <c r="B68" s="1210" t="s">
        <v>1490</v>
      </c>
      <c r="C68" s="1211"/>
      <c r="D68" s="508">
        <v>236</v>
      </c>
      <c r="E68" s="508">
        <v>236</v>
      </c>
      <c r="F68" s="508">
        <v>300</v>
      </c>
      <c r="G68" s="855">
        <v>1150</v>
      </c>
      <c r="H68" s="508">
        <v>236</v>
      </c>
      <c r="I68" s="1237" t="s">
        <v>1491</v>
      </c>
    </row>
    <row r="69" spans="1:9" ht="12.75" customHeight="1" x14ac:dyDescent="0.2">
      <c r="A69" s="1236"/>
      <c r="B69" s="1215"/>
      <c r="C69" s="1216"/>
      <c r="D69" s="508">
        <v>56</v>
      </c>
      <c r="E69" s="508">
        <v>55.68</v>
      </c>
      <c r="F69" s="508">
        <v>71</v>
      </c>
      <c r="G69" s="855">
        <v>1210</v>
      </c>
      <c r="H69" s="508">
        <v>56</v>
      </c>
      <c r="I69" s="1238"/>
    </row>
    <row r="70" spans="1:9" ht="12.75" customHeight="1" x14ac:dyDescent="0.2">
      <c r="A70" s="1236"/>
      <c r="B70" s="1215"/>
      <c r="C70" s="1216"/>
      <c r="D70" s="508">
        <v>0</v>
      </c>
      <c r="E70" s="508">
        <v>0</v>
      </c>
      <c r="F70" s="508">
        <v>50</v>
      </c>
      <c r="G70" s="855">
        <v>2311</v>
      </c>
      <c r="H70" s="508">
        <v>50</v>
      </c>
      <c r="I70" s="1238"/>
    </row>
    <row r="71" spans="1:9" ht="12.75" customHeight="1" x14ac:dyDescent="0.2">
      <c r="A71" s="1236"/>
      <c r="B71" s="1215"/>
      <c r="C71" s="1216"/>
      <c r="D71" s="508">
        <v>250</v>
      </c>
      <c r="E71" s="508">
        <v>250</v>
      </c>
      <c r="F71" s="508">
        <v>250</v>
      </c>
      <c r="G71" s="855">
        <v>2264</v>
      </c>
      <c r="H71" s="508">
        <v>250</v>
      </c>
      <c r="I71" s="1238"/>
    </row>
    <row r="72" spans="1:9" ht="12.75" customHeight="1" x14ac:dyDescent="0.2">
      <c r="A72" s="1225"/>
      <c r="B72" s="1226"/>
      <c r="C72" s="1227"/>
      <c r="D72" s="508">
        <v>150</v>
      </c>
      <c r="E72" s="508">
        <v>150</v>
      </c>
      <c r="F72" s="508">
        <v>200</v>
      </c>
      <c r="G72" s="855">
        <v>2314</v>
      </c>
      <c r="H72" s="508">
        <v>150</v>
      </c>
      <c r="I72" s="1239"/>
    </row>
    <row r="73" spans="1:9" ht="12.75" customHeight="1" x14ac:dyDescent="0.2">
      <c r="A73" s="1224">
        <v>30</v>
      </c>
      <c r="B73" s="1210" t="s">
        <v>1492</v>
      </c>
      <c r="C73" s="1211"/>
      <c r="D73" s="508">
        <v>0</v>
      </c>
      <c r="E73" s="508">
        <v>0</v>
      </c>
      <c r="F73" s="508">
        <v>100</v>
      </c>
      <c r="G73" s="855">
        <v>2279</v>
      </c>
      <c r="H73" s="508">
        <v>100</v>
      </c>
      <c r="I73" s="1237" t="s">
        <v>1491</v>
      </c>
    </row>
    <row r="74" spans="1:9" x14ac:dyDescent="0.2">
      <c r="A74" s="1225"/>
      <c r="B74" s="1226"/>
      <c r="C74" s="1227"/>
      <c r="D74" s="508">
        <v>0</v>
      </c>
      <c r="E74" s="508">
        <v>0</v>
      </c>
      <c r="F74" s="508">
        <v>150</v>
      </c>
      <c r="G74" s="855">
        <v>2314</v>
      </c>
      <c r="H74" s="508">
        <v>150</v>
      </c>
      <c r="I74" s="1239"/>
    </row>
    <row r="75" spans="1:9" ht="12.75" customHeight="1" x14ac:dyDescent="0.2">
      <c r="A75" s="1224">
        <v>31</v>
      </c>
      <c r="B75" s="1210" t="s">
        <v>1493</v>
      </c>
      <c r="C75" s="1211"/>
      <c r="D75" s="508">
        <v>0</v>
      </c>
      <c r="E75" s="508">
        <v>0</v>
      </c>
      <c r="F75" s="508">
        <v>100</v>
      </c>
      <c r="G75" s="855">
        <v>2279</v>
      </c>
      <c r="H75" s="508">
        <v>100</v>
      </c>
      <c r="I75" s="1237" t="s">
        <v>1491</v>
      </c>
    </row>
    <row r="76" spans="1:9" ht="12.75" customHeight="1" x14ac:dyDescent="0.2">
      <c r="A76" s="1225"/>
      <c r="B76" s="1226"/>
      <c r="C76" s="1227"/>
      <c r="D76" s="508">
        <v>0</v>
      </c>
      <c r="E76" s="508">
        <v>0</v>
      </c>
      <c r="F76" s="508">
        <v>150</v>
      </c>
      <c r="G76" s="855">
        <v>2314</v>
      </c>
      <c r="H76" s="508">
        <v>150</v>
      </c>
      <c r="I76" s="1239"/>
    </row>
    <row r="77" spans="1:9" ht="12.75" customHeight="1" x14ac:dyDescent="0.2">
      <c r="A77" s="1224">
        <v>32</v>
      </c>
      <c r="B77" s="1210" t="s">
        <v>1494</v>
      </c>
      <c r="C77" s="1211"/>
      <c r="D77" s="508">
        <v>0</v>
      </c>
      <c r="E77" s="508">
        <v>0</v>
      </c>
      <c r="F77" s="508">
        <v>110</v>
      </c>
      <c r="G77" s="855">
        <v>2311</v>
      </c>
      <c r="H77" s="508">
        <v>110</v>
      </c>
      <c r="I77" s="1237" t="s">
        <v>1491</v>
      </c>
    </row>
    <row r="78" spans="1:9" ht="12.75" customHeight="1" x14ac:dyDescent="0.2">
      <c r="A78" s="1225"/>
      <c r="B78" s="1226"/>
      <c r="C78" s="1227"/>
      <c r="D78" s="508">
        <v>0</v>
      </c>
      <c r="E78" s="508">
        <v>0</v>
      </c>
      <c r="F78" s="508">
        <v>150</v>
      </c>
      <c r="G78" s="855">
        <v>2314</v>
      </c>
      <c r="H78" s="508">
        <v>150</v>
      </c>
      <c r="I78" s="1239"/>
    </row>
    <row r="79" spans="1:9" x14ac:dyDescent="0.2">
      <c r="A79" s="550">
        <v>33</v>
      </c>
      <c r="B79" s="1198" t="s">
        <v>1495</v>
      </c>
      <c r="C79" s="1199"/>
      <c r="D79" s="508">
        <v>0</v>
      </c>
      <c r="E79" s="508">
        <v>0</v>
      </c>
      <c r="F79" s="508">
        <v>80</v>
      </c>
      <c r="G79" s="855">
        <v>2314</v>
      </c>
      <c r="H79" s="508">
        <v>80</v>
      </c>
      <c r="I79" s="525" t="s">
        <v>1461</v>
      </c>
    </row>
    <row r="80" spans="1:9" ht="12" customHeight="1" x14ac:dyDescent="0.2">
      <c r="A80" s="550">
        <v>34</v>
      </c>
      <c r="B80" s="1198" t="s">
        <v>1496</v>
      </c>
      <c r="C80" s="1199"/>
      <c r="D80" s="508">
        <v>0</v>
      </c>
      <c r="E80" s="508">
        <v>0</v>
      </c>
      <c r="F80" s="508">
        <v>80</v>
      </c>
      <c r="G80" s="855">
        <v>2314</v>
      </c>
      <c r="H80" s="508">
        <v>80</v>
      </c>
      <c r="I80" s="525" t="s">
        <v>1461</v>
      </c>
    </row>
    <row r="81" spans="1:9" ht="12" customHeight="1" x14ac:dyDescent="0.2">
      <c r="A81" s="550">
        <v>35</v>
      </c>
      <c r="B81" s="1198" t="s">
        <v>1497</v>
      </c>
      <c r="C81" s="1199"/>
      <c r="D81" s="508">
        <v>110</v>
      </c>
      <c r="E81" s="508">
        <v>109.99</v>
      </c>
      <c r="F81" s="508">
        <v>110</v>
      </c>
      <c r="G81" s="855">
        <v>2314</v>
      </c>
      <c r="H81" s="508">
        <v>110</v>
      </c>
      <c r="I81" s="525" t="s">
        <v>1461</v>
      </c>
    </row>
    <row r="82" spans="1:9" x14ac:dyDescent="0.2">
      <c r="A82" s="1224">
        <v>36</v>
      </c>
      <c r="B82" s="1247" t="s">
        <v>1498</v>
      </c>
      <c r="C82" s="1248"/>
      <c r="D82" s="508">
        <v>130</v>
      </c>
      <c r="E82" s="508">
        <v>130</v>
      </c>
      <c r="F82" s="508">
        <v>130</v>
      </c>
      <c r="G82" s="855">
        <v>2322</v>
      </c>
      <c r="H82" s="508">
        <v>130</v>
      </c>
      <c r="I82" s="1237" t="s">
        <v>1461</v>
      </c>
    </row>
    <row r="83" spans="1:9" ht="12" customHeight="1" x14ac:dyDescent="0.2">
      <c r="A83" s="1236"/>
      <c r="B83" s="1249"/>
      <c r="C83" s="1250"/>
      <c r="D83" s="508">
        <v>120</v>
      </c>
      <c r="E83" s="508">
        <v>120</v>
      </c>
      <c r="F83" s="508">
        <v>120</v>
      </c>
      <c r="G83" s="855">
        <v>2363</v>
      </c>
      <c r="H83" s="508">
        <v>120</v>
      </c>
      <c r="I83" s="1238"/>
    </row>
    <row r="84" spans="1:9" ht="33" customHeight="1" x14ac:dyDescent="0.2">
      <c r="A84" s="1225"/>
      <c r="B84" s="1251"/>
      <c r="C84" s="1252"/>
      <c r="D84" s="508">
        <v>130</v>
      </c>
      <c r="E84" s="508">
        <v>130</v>
      </c>
      <c r="F84" s="508">
        <v>130</v>
      </c>
      <c r="G84" s="855">
        <v>2314</v>
      </c>
      <c r="H84" s="508">
        <v>130</v>
      </c>
      <c r="I84" s="1239"/>
    </row>
    <row r="85" spans="1:9" s="558" customFormat="1" x14ac:dyDescent="0.2">
      <c r="A85" s="950"/>
      <c r="B85" s="1253" t="s">
        <v>1499</v>
      </c>
      <c r="C85" s="1254"/>
      <c r="D85" s="947"/>
      <c r="E85" s="947"/>
      <c r="F85" s="947"/>
      <c r="G85" s="634"/>
      <c r="H85" s="947"/>
      <c r="I85" s="515"/>
    </row>
    <row r="86" spans="1:9" x14ac:dyDescent="0.2">
      <c r="A86" s="1245">
        <v>37</v>
      </c>
      <c r="B86" s="1210" t="s">
        <v>1500</v>
      </c>
      <c r="C86" s="1211"/>
      <c r="D86" s="508">
        <v>60</v>
      </c>
      <c r="E86" s="508">
        <v>59.94</v>
      </c>
      <c r="F86" s="508">
        <v>60</v>
      </c>
      <c r="G86" s="855">
        <v>2363</v>
      </c>
      <c r="H86" s="508">
        <v>60</v>
      </c>
      <c r="I86" s="1237" t="s">
        <v>1461</v>
      </c>
    </row>
    <row r="87" spans="1:9" ht="12.75" customHeight="1" x14ac:dyDescent="0.2">
      <c r="A87" s="1255"/>
      <c r="B87" s="1215"/>
      <c r="C87" s="1216"/>
      <c r="D87" s="508">
        <v>120</v>
      </c>
      <c r="E87" s="508">
        <v>120</v>
      </c>
      <c r="F87" s="508">
        <v>150</v>
      </c>
      <c r="G87" s="855">
        <v>2314</v>
      </c>
      <c r="H87" s="947">
        <v>120</v>
      </c>
      <c r="I87" s="1238"/>
    </row>
    <row r="88" spans="1:9" ht="12.75" customHeight="1" x14ac:dyDescent="0.2">
      <c r="A88" s="1245">
        <v>38</v>
      </c>
      <c r="B88" s="1210" t="s">
        <v>1501</v>
      </c>
      <c r="C88" s="1211"/>
      <c r="D88" s="508">
        <v>40</v>
      </c>
      <c r="E88" s="508">
        <v>40</v>
      </c>
      <c r="F88" s="508">
        <v>80</v>
      </c>
      <c r="G88" s="855">
        <v>2322</v>
      </c>
      <c r="H88" s="508">
        <v>40</v>
      </c>
      <c r="I88" s="525" t="s">
        <v>1461</v>
      </c>
    </row>
    <row r="89" spans="1:9" x14ac:dyDescent="0.2">
      <c r="A89" s="1246"/>
      <c r="B89" s="1226"/>
      <c r="C89" s="1227"/>
      <c r="D89" s="508">
        <v>150</v>
      </c>
      <c r="E89" s="508">
        <v>150</v>
      </c>
      <c r="F89" s="508">
        <v>150</v>
      </c>
      <c r="G89" s="855">
        <v>2370</v>
      </c>
      <c r="H89" s="508">
        <v>150</v>
      </c>
      <c r="I89" s="525" t="s">
        <v>1461</v>
      </c>
    </row>
    <row r="90" spans="1:9" x14ac:dyDescent="0.2">
      <c r="A90" s="1245">
        <v>39</v>
      </c>
      <c r="B90" s="1210" t="s">
        <v>1502</v>
      </c>
      <c r="C90" s="1211"/>
      <c r="D90" s="508">
        <v>20</v>
      </c>
      <c r="E90" s="508">
        <v>20</v>
      </c>
      <c r="F90" s="508">
        <v>40</v>
      </c>
      <c r="G90" s="855">
        <v>2279</v>
      </c>
      <c r="H90" s="508">
        <v>40</v>
      </c>
      <c r="I90" s="525" t="s">
        <v>1461</v>
      </c>
    </row>
    <row r="91" spans="1:9" ht="12.75" customHeight="1" x14ac:dyDescent="0.2">
      <c r="A91" s="1246"/>
      <c r="B91" s="1226"/>
      <c r="C91" s="1227"/>
      <c r="D91" s="508">
        <v>200</v>
      </c>
      <c r="E91" s="508">
        <v>200</v>
      </c>
      <c r="F91" s="508">
        <v>200</v>
      </c>
      <c r="G91" s="855">
        <v>2262</v>
      </c>
      <c r="H91" s="508">
        <v>200</v>
      </c>
      <c r="I91" s="525" t="s">
        <v>1461</v>
      </c>
    </row>
    <row r="92" spans="1:9" x14ac:dyDescent="0.2">
      <c r="A92" s="869">
        <v>40</v>
      </c>
      <c r="B92" s="1195" t="s">
        <v>1503</v>
      </c>
      <c r="C92" s="1196"/>
      <c r="D92" s="508">
        <v>0</v>
      </c>
      <c r="E92" s="508">
        <v>0</v>
      </c>
      <c r="F92" s="508">
        <v>200</v>
      </c>
      <c r="G92" s="855">
        <v>2262</v>
      </c>
      <c r="H92" s="508">
        <v>200</v>
      </c>
      <c r="I92" s="525" t="s">
        <v>1461</v>
      </c>
    </row>
    <row r="93" spans="1:9" x14ac:dyDescent="0.2">
      <c r="A93" s="869">
        <v>41</v>
      </c>
      <c r="B93" s="1195" t="s">
        <v>1504</v>
      </c>
      <c r="C93" s="1196"/>
      <c r="D93" s="508">
        <v>0</v>
      </c>
      <c r="E93" s="508">
        <v>0</v>
      </c>
      <c r="F93" s="508">
        <v>500</v>
      </c>
      <c r="G93" s="855">
        <v>2262</v>
      </c>
      <c r="H93" s="508">
        <v>500</v>
      </c>
      <c r="I93" s="525" t="s">
        <v>1461</v>
      </c>
    </row>
    <row r="94" spans="1:9" x14ac:dyDescent="0.2">
      <c r="A94" s="1245">
        <v>42</v>
      </c>
      <c r="B94" s="1210" t="s">
        <v>1505</v>
      </c>
      <c r="C94" s="1211"/>
      <c r="D94" s="508">
        <v>2110</v>
      </c>
      <c r="E94" s="508">
        <v>2110</v>
      </c>
      <c r="F94" s="508">
        <v>1500</v>
      </c>
      <c r="G94" s="855">
        <v>2262</v>
      </c>
      <c r="H94" s="508">
        <v>1500</v>
      </c>
      <c r="I94" s="1237" t="s">
        <v>1461</v>
      </c>
    </row>
    <row r="95" spans="1:9" ht="12.75" customHeight="1" x14ac:dyDescent="0.2">
      <c r="A95" s="1255"/>
      <c r="B95" s="1215"/>
      <c r="C95" s="1216"/>
      <c r="D95" s="523">
        <v>10</v>
      </c>
      <c r="E95" s="523">
        <v>0</v>
      </c>
      <c r="F95" s="523">
        <v>100</v>
      </c>
      <c r="G95" s="867">
        <v>2322</v>
      </c>
      <c r="H95" s="523">
        <v>100</v>
      </c>
      <c r="I95" s="1238"/>
    </row>
    <row r="96" spans="1:9" ht="12.75" customHeight="1" x14ac:dyDescent="0.2">
      <c r="A96" s="1255"/>
      <c r="B96" s="1215"/>
      <c r="C96" s="1216"/>
      <c r="D96" s="523">
        <v>240</v>
      </c>
      <c r="E96" s="523">
        <v>90</v>
      </c>
      <c r="F96" s="523">
        <v>240</v>
      </c>
      <c r="G96" s="867">
        <v>2279</v>
      </c>
      <c r="H96" s="523">
        <v>240</v>
      </c>
      <c r="I96" s="1238"/>
    </row>
    <row r="97" spans="1:9" ht="12.75" customHeight="1" x14ac:dyDescent="0.2">
      <c r="A97" s="1246"/>
      <c r="B97" s="1226"/>
      <c r="C97" s="1227"/>
      <c r="D97" s="523">
        <v>1008</v>
      </c>
      <c r="E97" s="523">
        <v>233.5</v>
      </c>
      <c r="F97" s="523">
        <v>700</v>
      </c>
      <c r="G97" s="867">
        <v>2363</v>
      </c>
      <c r="H97" s="523">
        <v>700</v>
      </c>
      <c r="I97" s="1239"/>
    </row>
    <row r="98" spans="1:9" x14ac:dyDescent="0.2">
      <c r="A98" s="1245">
        <v>43</v>
      </c>
      <c r="B98" s="1210" t="s">
        <v>1506</v>
      </c>
      <c r="C98" s="1211"/>
      <c r="D98" s="951">
        <v>0</v>
      </c>
      <c r="E98" s="523">
        <v>0</v>
      </c>
      <c r="F98" s="952">
        <v>900</v>
      </c>
      <c r="G98" s="867">
        <v>2262</v>
      </c>
      <c r="H98" s="523">
        <v>900</v>
      </c>
      <c r="I98" s="1228" t="s">
        <v>1461</v>
      </c>
    </row>
    <row r="99" spans="1:9" ht="12.75" customHeight="1" x14ac:dyDescent="0.2">
      <c r="A99" s="1255"/>
      <c r="B99" s="1215"/>
      <c r="C99" s="1216"/>
      <c r="D99" s="951">
        <v>0</v>
      </c>
      <c r="E99" s="953">
        <v>0</v>
      </c>
      <c r="F99" s="952">
        <v>350</v>
      </c>
      <c r="G99" s="867">
        <v>2363</v>
      </c>
      <c r="H99" s="523">
        <v>350</v>
      </c>
      <c r="I99" s="1256"/>
    </row>
    <row r="100" spans="1:9" ht="12.75" customHeight="1" x14ac:dyDescent="0.2">
      <c r="A100" s="1246"/>
      <c r="B100" s="1226"/>
      <c r="C100" s="1227"/>
      <c r="D100" s="951">
        <v>0</v>
      </c>
      <c r="E100" s="953">
        <v>0</v>
      </c>
      <c r="F100" s="952">
        <v>80</v>
      </c>
      <c r="G100" s="867">
        <v>2279</v>
      </c>
      <c r="H100" s="523">
        <v>80</v>
      </c>
      <c r="I100" s="1229"/>
    </row>
    <row r="101" spans="1:9" x14ac:dyDescent="0.2">
      <c r="A101" s="869">
        <v>44</v>
      </c>
      <c r="B101" s="1210" t="s">
        <v>1507</v>
      </c>
      <c r="C101" s="1211"/>
      <c r="D101" s="951">
        <v>0</v>
      </c>
      <c r="E101" s="953">
        <v>0</v>
      </c>
      <c r="F101" s="952">
        <v>50</v>
      </c>
      <c r="G101" s="868">
        <v>2279</v>
      </c>
      <c r="H101" s="534">
        <v>50</v>
      </c>
      <c r="I101" s="525" t="s">
        <v>1461</v>
      </c>
    </row>
    <row r="102" spans="1:9" x14ac:dyDescent="0.2">
      <c r="A102" s="1245">
        <v>45</v>
      </c>
      <c r="B102" s="1210" t="s">
        <v>1508</v>
      </c>
      <c r="C102" s="1211"/>
      <c r="D102" s="951">
        <v>0</v>
      </c>
      <c r="E102" s="953">
        <v>0</v>
      </c>
      <c r="F102" s="952">
        <v>800</v>
      </c>
      <c r="G102" s="867">
        <v>2262</v>
      </c>
      <c r="H102" s="523">
        <v>800</v>
      </c>
      <c r="I102" s="1228" t="s">
        <v>1461</v>
      </c>
    </row>
    <row r="103" spans="1:9" ht="12.75" customHeight="1" x14ac:dyDescent="0.2">
      <c r="A103" s="1255"/>
      <c r="B103" s="1215"/>
      <c r="C103" s="1216"/>
      <c r="D103" s="951">
        <v>0</v>
      </c>
      <c r="E103" s="953">
        <v>0</v>
      </c>
      <c r="F103" s="952">
        <v>150</v>
      </c>
      <c r="G103" s="867">
        <v>2322</v>
      </c>
      <c r="H103" s="523">
        <v>150</v>
      </c>
      <c r="I103" s="1256"/>
    </row>
    <row r="104" spans="1:9" ht="12.75" customHeight="1" x14ac:dyDescent="0.2">
      <c r="A104" s="1255"/>
      <c r="B104" s="1215"/>
      <c r="C104" s="1216"/>
      <c r="D104" s="951">
        <v>0</v>
      </c>
      <c r="E104" s="953">
        <v>0</v>
      </c>
      <c r="F104" s="952">
        <v>1800</v>
      </c>
      <c r="G104" s="867">
        <v>2363</v>
      </c>
      <c r="H104" s="523">
        <v>1800</v>
      </c>
      <c r="I104" s="1256"/>
    </row>
    <row r="105" spans="1:9" ht="12.75" customHeight="1" x14ac:dyDescent="0.2">
      <c r="A105" s="1255"/>
      <c r="B105" s="1215"/>
      <c r="C105" s="1216"/>
      <c r="D105" s="951">
        <v>0</v>
      </c>
      <c r="E105" s="953">
        <v>0</v>
      </c>
      <c r="F105" s="952">
        <v>120</v>
      </c>
      <c r="G105" s="867">
        <v>2279</v>
      </c>
      <c r="H105" s="523">
        <v>120</v>
      </c>
      <c r="I105" s="1256"/>
    </row>
    <row r="106" spans="1:9" ht="12.75" customHeight="1" x14ac:dyDescent="0.2">
      <c r="A106" s="1246"/>
      <c r="B106" s="1226"/>
      <c r="C106" s="1227"/>
      <c r="D106" s="951">
        <v>0</v>
      </c>
      <c r="E106" s="953">
        <v>0</v>
      </c>
      <c r="F106" s="952">
        <v>300</v>
      </c>
      <c r="G106" s="867">
        <v>2231</v>
      </c>
      <c r="H106" s="523">
        <v>300</v>
      </c>
      <c r="I106" s="1229"/>
    </row>
    <row r="107" spans="1:9" x14ac:dyDescent="0.2">
      <c r="A107" s="869">
        <v>46</v>
      </c>
      <c r="B107" s="1195" t="s">
        <v>1509</v>
      </c>
      <c r="C107" s="1196"/>
      <c r="D107" s="951">
        <v>0</v>
      </c>
      <c r="E107" s="953">
        <v>0</v>
      </c>
      <c r="F107" s="952">
        <v>300</v>
      </c>
      <c r="G107" s="867">
        <v>2262</v>
      </c>
      <c r="H107" s="523">
        <v>300</v>
      </c>
      <c r="I107" s="525" t="s">
        <v>1510</v>
      </c>
    </row>
    <row r="108" spans="1:9" x14ac:dyDescent="0.2">
      <c r="A108" s="1245">
        <v>47</v>
      </c>
      <c r="B108" s="1210" t="s">
        <v>1511</v>
      </c>
      <c r="C108" s="1211"/>
      <c r="D108" s="951">
        <v>0</v>
      </c>
      <c r="E108" s="953">
        <v>0</v>
      </c>
      <c r="F108" s="952">
        <v>800</v>
      </c>
      <c r="G108" s="867">
        <v>2262</v>
      </c>
      <c r="H108" s="523">
        <v>800</v>
      </c>
      <c r="I108" s="1228" t="s">
        <v>1461</v>
      </c>
    </row>
    <row r="109" spans="1:9" ht="12.75" customHeight="1" x14ac:dyDescent="0.2">
      <c r="A109" s="1255"/>
      <c r="B109" s="1215"/>
      <c r="C109" s="1216"/>
      <c r="D109" s="951">
        <v>0</v>
      </c>
      <c r="E109" s="953">
        <v>0</v>
      </c>
      <c r="F109" s="952">
        <v>60</v>
      </c>
      <c r="G109" s="867">
        <v>2279</v>
      </c>
      <c r="H109" s="523">
        <v>60</v>
      </c>
      <c r="I109" s="1256"/>
    </row>
    <row r="110" spans="1:9" ht="12.75" customHeight="1" x14ac:dyDescent="0.2">
      <c r="A110" s="1246"/>
      <c r="B110" s="1226"/>
      <c r="C110" s="1227"/>
      <c r="D110" s="951">
        <v>0</v>
      </c>
      <c r="E110" s="953">
        <v>0</v>
      </c>
      <c r="F110" s="952">
        <v>210</v>
      </c>
      <c r="G110" s="867">
        <v>2363</v>
      </c>
      <c r="H110" s="523">
        <v>210</v>
      </c>
      <c r="I110" s="1229"/>
    </row>
    <row r="111" spans="1:9" x14ac:dyDescent="0.2">
      <c r="A111" s="1245">
        <v>48</v>
      </c>
      <c r="B111" s="1259" t="s">
        <v>1512</v>
      </c>
      <c r="C111" s="1260"/>
      <c r="D111" s="954">
        <v>800</v>
      </c>
      <c r="E111" s="955">
        <v>754.36</v>
      </c>
      <c r="F111" s="956">
        <v>800</v>
      </c>
      <c r="G111" s="621">
        <v>1150</v>
      </c>
      <c r="H111" s="545">
        <v>800</v>
      </c>
      <c r="I111" s="1265" t="s">
        <v>820</v>
      </c>
    </row>
    <row r="112" spans="1:9" ht="12.75" customHeight="1" x14ac:dyDescent="0.2">
      <c r="A112" s="1255"/>
      <c r="B112" s="1261"/>
      <c r="C112" s="1262"/>
      <c r="D112" s="954">
        <v>143</v>
      </c>
      <c r="E112" s="955">
        <v>143</v>
      </c>
      <c r="F112" s="956">
        <v>150</v>
      </c>
      <c r="G112" s="621">
        <v>2219</v>
      </c>
      <c r="H112" s="545">
        <v>150</v>
      </c>
      <c r="I112" s="1266"/>
    </row>
    <row r="113" spans="1:9" ht="12.75" customHeight="1" x14ac:dyDescent="0.2">
      <c r="A113" s="1255"/>
      <c r="B113" s="1261"/>
      <c r="C113" s="1262"/>
      <c r="D113" s="954">
        <v>100</v>
      </c>
      <c r="E113" s="955">
        <v>100</v>
      </c>
      <c r="F113" s="956">
        <v>100</v>
      </c>
      <c r="G113" s="621">
        <v>2279</v>
      </c>
      <c r="H113" s="545">
        <v>100</v>
      </c>
      <c r="I113" s="1266"/>
    </row>
    <row r="114" spans="1:9" ht="12.75" customHeight="1" x14ac:dyDescent="0.2">
      <c r="A114" s="1255"/>
      <c r="B114" s="1261"/>
      <c r="C114" s="1262"/>
      <c r="D114" s="954">
        <v>100</v>
      </c>
      <c r="E114" s="955">
        <v>100</v>
      </c>
      <c r="F114" s="956">
        <v>100</v>
      </c>
      <c r="G114" s="621">
        <v>2311</v>
      </c>
      <c r="H114" s="545">
        <v>100</v>
      </c>
      <c r="I114" s="1266"/>
    </row>
    <row r="115" spans="1:9" ht="12.75" customHeight="1" x14ac:dyDescent="0.2">
      <c r="A115" s="1255"/>
      <c r="B115" s="1261"/>
      <c r="C115" s="1262"/>
      <c r="D115" s="954">
        <v>1000</v>
      </c>
      <c r="E115" s="955">
        <v>1000</v>
      </c>
      <c r="F115" s="956">
        <v>1000</v>
      </c>
      <c r="G115" s="621">
        <v>2314</v>
      </c>
      <c r="H115" s="545">
        <v>1000</v>
      </c>
      <c r="I115" s="1266"/>
    </row>
    <row r="116" spans="1:9" ht="12.75" customHeight="1" x14ac:dyDescent="0.2">
      <c r="A116" s="1255"/>
      <c r="B116" s="1261"/>
      <c r="C116" s="1262"/>
      <c r="D116" s="954">
        <v>310</v>
      </c>
      <c r="E116" s="955">
        <v>307.5</v>
      </c>
      <c r="F116" s="956">
        <v>300</v>
      </c>
      <c r="G116" s="621">
        <v>2231</v>
      </c>
      <c r="H116" s="545">
        <v>300</v>
      </c>
      <c r="I116" s="1266"/>
    </row>
    <row r="117" spans="1:9" ht="12.75" customHeight="1" x14ac:dyDescent="0.2">
      <c r="A117" s="1246"/>
      <c r="B117" s="1263"/>
      <c r="C117" s="1264"/>
      <c r="D117" s="957">
        <v>1000</v>
      </c>
      <c r="E117" s="958">
        <v>999.8</v>
      </c>
      <c r="F117" s="959">
        <v>1000</v>
      </c>
      <c r="G117" s="960">
        <v>2314</v>
      </c>
      <c r="H117" s="523">
        <v>1000</v>
      </c>
      <c r="I117" s="1267"/>
    </row>
    <row r="118" spans="1:9" x14ac:dyDescent="0.2">
      <c r="A118" s="1245">
        <v>49</v>
      </c>
      <c r="B118" s="1210" t="s">
        <v>1513</v>
      </c>
      <c r="C118" s="1211"/>
      <c r="D118" s="951">
        <v>0</v>
      </c>
      <c r="E118" s="953">
        <v>0</v>
      </c>
      <c r="F118" s="952">
        <v>3875</v>
      </c>
      <c r="G118" s="867">
        <v>1150</v>
      </c>
      <c r="H118" s="523">
        <v>3875</v>
      </c>
      <c r="I118" s="1228" t="s">
        <v>820</v>
      </c>
    </row>
    <row r="119" spans="1:9" ht="12.75" customHeight="1" x14ac:dyDescent="0.2">
      <c r="A119" s="1255"/>
      <c r="B119" s="1215"/>
      <c r="C119" s="1216"/>
      <c r="D119" s="951">
        <v>0</v>
      </c>
      <c r="E119" s="953">
        <v>0</v>
      </c>
      <c r="F119" s="952">
        <v>240</v>
      </c>
      <c r="G119" s="867">
        <v>2243</v>
      </c>
      <c r="H119" s="523">
        <v>240</v>
      </c>
      <c r="I119" s="1256"/>
    </row>
    <row r="120" spans="1:9" ht="12.75" customHeight="1" x14ac:dyDescent="0.2">
      <c r="A120" s="1255"/>
      <c r="B120" s="1215"/>
      <c r="C120" s="1216"/>
      <c r="D120" s="951">
        <v>0</v>
      </c>
      <c r="E120" s="953">
        <v>0</v>
      </c>
      <c r="F120" s="952">
        <v>850</v>
      </c>
      <c r="G120" s="867">
        <v>2314</v>
      </c>
      <c r="H120" s="523">
        <v>850</v>
      </c>
      <c r="I120" s="1256"/>
    </row>
    <row r="121" spans="1:9" ht="12.75" customHeight="1" x14ac:dyDescent="0.2">
      <c r="A121" s="1255"/>
      <c r="B121" s="1215"/>
      <c r="C121" s="1216"/>
      <c r="D121" s="951">
        <v>0</v>
      </c>
      <c r="E121" s="953">
        <v>0</v>
      </c>
      <c r="F121" s="952">
        <v>625</v>
      </c>
      <c r="G121" s="867">
        <v>2231</v>
      </c>
      <c r="H121" s="523">
        <v>625</v>
      </c>
      <c r="I121" s="1256"/>
    </row>
    <row r="122" spans="1:9" ht="12.75" customHeight="1" x14ac:dyDescent="0.2">
      <c r="A122" s="1246"/>
      <c r="B122" s="1226"/>
      <c r="C122" s="1227"/>
      <c r="D122" s="951">
        <v>0</v>
      </c>
      <c r="E122" s="953">
        <v>0</v>
      </c>
      <c r="F122" s="952">
        <v>4000</v>
      </c>
      <c r="G122" s="867">
        <v>6422</v>
      </c>
      <c r="H122" s="523">
        <v>4000</v>
      </c>
      <c r="I122" s="1229"/>
    </row>
    <row r="123" spans="1:9" ht="24" customHeight="1" x14ac:dyDescent="0.2">
      <c r="A123" s="878">
        <v>50</v>
      </c>
      <c r="B123" s="1195" t="s">
        <v>1514</v>
      </c>
      <c r="C123" s="1196"/>
      <c r="D123" s="951">
        <v>585</v>
      </c>
      <c r="E123" s="953">
        <v>585</v>
      </c>
      <c r="F123" s="952">
        <v>300</v>
      </c>
      <c r="G123" s="868">
        <v>2314</v>
      </c>
      <c r="H123" s="549">
        <v>300</v>
      </c>
      <c r="I123" s="525" t="s">
        <v>1461</v>
      </c>
    </row>
    <row r="124" spans="1:9" ht="12.75" customHeight="1" x14ac:dyDescent="0.2">
      <c r="A124" s="878">
        <v>51</v>
      </c>
      <c r="B124" s="1257" t="s">
        <v>1515</v>
      </c>
      <c r="C124" s="1258"/>
      <c r="D124" s="954">
        <v>1300</v>
      </c>
      <c r="E124" s="955">
        <v>1300</v>
      </c>
      <c r="F124" s="956">
        <v>100</v>
      </c>
      <c r="G124" s="623">
        <v>2314</v>
      </c>
      <c r="H124" s="859">
        <v>100</v>
      </c>
      <c r="I124" s="525" t="s">
        <v>1461</v>
      </c>
    </row>
    <row r="125" spans="1:9" x14ac:dyDescent="0.2">
      <c r="A125" s="869">
        <v>52</v>
      </c>
      <c r="B125" s="1195" t="s">
        <v>1516</v>
      </c>
      <c r="C125" s="1196"/>
      <c r="D125" s="951">
        <v>0</v>
      </c>
      <c r="E125" s="953">
        <v>0</v>
      </c>
      <c r="F125" s="961">
        <v>400</v>
      </c>
      <c r="G125" s="868">
        <v>2314</v>
      </c>
      <c r="H125" s="549">
        <v>400</v>
      </c>
      <c r="I125" s="525" t="s">
        <v>1458</v>
      </c>
    </row>
    <row r="126" spans="1:9" ht="14.25" customHeight="1" x14ac:dyDescent="0.2">
      <c r="A126" s="1255">
        <v>53</v>
      </c>
      <c r="B126" s="1215" t="s">
        <v>1517</v>
      </c>
      <c r="C126" s="1216"/>
      <c r="D126" s="951">
        <v>200</v>
      </c>
      <c r="E126" s="953">
        <v>200</v>
      </c>
      <c r="F126" s="952">
        <v>200</v>
      </c>
      <c r="G126" s="868">
        <v>2279</v>
      </c>
      <c r="H126" s="549">
        <v>200</v>
      </c>
      <c r="I126" s="1228" t="s">
        <v>1458</v>
      </c>
    </row>
    <row r="127" spans="1:9" ht="14.25" customHeight="1" x14ac:dyDescent="0.2">
      <c r="A127" s="1246"/>
      <c r="B127" s="1226"/>
      <c r="C127" s="1227"/>
      <c r="D127" s="951">
        <v>200</v>
      </c>
      <c r="E127" s="953">
        <v>200</v>
      </c>
      <c r="F127" s="952">
        <v>200</v>
      </c>
      <c r="G127" s="868">
        <v>2314</v>
      </c>
      <c r="H127" s="549">
        <v>200</v>
      </c>
      <c r="I127" s="1229"/>
    </row>
    <row r="128" spans="1:9" ht="9" customHeight="1" x14ac:dyDescent="0.2">
      <c r="A128" s="552"/>
      <c r="B128" s="552"/>
      <c r="C128" s="552"/>
      <c r="D128" s="552"/>
      <c r="E128" s="552"/>
      <c r="F128" s="552"/>
      <c r="G128" s="552"/>
      <c r="H128" s="552"/>
      <c r="I128" s="552"/>
    </row>
    <row r="129" spans="1:9" x14ac:dyDescent="0.2">
      <c r="A129" s="1079" t="s">
        <v>6</v>
      </c>
      <c r="B129" s="1079"/>
      <c r="C129" s="1214" t="s">
        <v>1254</v>
      </c>
      <c r="D129" s="1214"/>
      <c r="E129" s="1214"/>
      <c r="F129" s="1214"/>
      <c r="G129" s="1214"/>
      <c r="H129" s="1214"/>
      <c r="I129" s="1214"/>
    </row>
    <row r="130" spans="1:9" x14ac:dyDescent="0.2">
      <c r="A130" s="1214" t="s">
        <v>5</v>
      </c>
      <c r="B130" s="1214"/>
      <c r="C130" s="1221" t="s">
        <v>1453</v>
      </c>
      <c r="D130" s="1221"/>
      <c r="E130" s="1221"/>
      <c r="F130" s="1221"/>
      <c r="G130" s="1221"/>
      <c r="H130" s="1221"/>
      <c r="I130" s="1221"/>
    </row>
    <row r="131" spans="1:9" ht="60.75" customHeight="1" x14ac:dyDescent="0.2">
      <c r="A131" s="500" t="s">
        <v>4</v>
      </c>
      <c r="B131" s="1190" t="s">
        <v>3</v>
      </c>
      <c r="C131" s="1191"/>
      <c r="D131" s="500" t="s">
        <v>11</v>
      </c>
      <c r="E131" s="500" t="s">
        <v>12</v>
      </c>
      <c r="F131" s="500" t="s">
        <v>13</v>
      </c>
      <c r="G131" s="500" t="s">
        <v>2</v>
      </c>
      <c r="H131" s="424" t="s">
        <v>180</v>
      </c>
      <c r="I131" s="500" t="s">
        <v>1</v>
      </c>
    </row>
    <row r="132" spans="1:9" x14ac:dyDescent="0.2">
      <c r="A132" s="1192" t="s">
        <v>14</v>
      </c>
      <c r="B132" s="1193"/>
      <c r="C132" s="1194"/>
      <c r="D132" s="503">
        <f>SUM(D133:D196)</f>
        <v>9135</v>
      </c>
      <c r="E132" s="503">
        <f>SUM(E133:E196)</f>
        <v>9125.130000000001</v>
      </c>
      <c r="F132" s="503">
        <f>SUM(F133:F196)</f>
        <v>12961.14</v>
      </c>
      <c r="G132" s="503"/>
      <c r="H132" s="503">
        <f>SUM(H133:H196)</f>
        <v>12960</v>
      </c>
      <c r="I132" s="503"/>
    </row>
    <row r="133" spans="1:9" x14ac:dyDescent="0.2">
      <c r="A133" s="550">
        <v>1</v>
      </c>
      <c r="B133" s="1195" t="s">
        <v>1518</v>
      </c>
      <c r="C133" s="1196"/>
      <c r="D133" s="508">
        <v>114</v>
      </c>
      <c r="E133" s="508">
        <v>113.3</v>
      </c>
      <c r="F133" s="508">
        <v>110</v>
      </c>
      <c r="G133" s="858">
        <v>2314</v>
      </c>
      <c r="H133" s="962">
        <v>110</v>
      </c>
      <c r="I133" s="525" t="s">
        <v>1461</v>
      </c>
    </row>
    <row r="134" spans="1:9" x14ac:dyDescent="0.2">
      <c r="A134" s="1224">
        <v>2</v>
      </c>
      <c r="B134" s="1210" t="s">
        <v>1519</v>
      </c>
      <c r="C134" s="1211"/>
      <c r="D134" s="508">
        <v>114</v>
      </c>
      <c r="E134" s="508">
        <v>133.29</v>
      </c>
      <c r="F134" s="508">
        <v>110</v>
      </c>
      <c r="G134" s="858">
        <v>2314</v>
      </c>
      <c r="H134" s="962">
        <v>110</v>
      </c>
      <c r="I134" s="1237" t="s">
        <v>1461</v>
      </c>
    </row>
    <row r="135" spans="1:9" ht="12.75" customHeight="1" x14ac:dyDescent="0.2">
      <c r="A135" s="1236"/>
      <c r="B135" s="1215"/>
      <c r="C135" s="1216"/>
      <c r="D135" s="508">
        <v>143</v>
      </c>
      <c r="E135" s="508">
        <v>143</v>
      </c>
      <c r="F135" s="508">
        <v>86</v>
      </c>
      <c r="G135" s="858">
        <v>1150</v>
      </c>
      <c r="H135" s="962">
        <v>86</v>
      </c>
      <c r="I135" s="1238"/>
    </row>
    <row r="136" spans="1:9" ht="12.75" customHeight="1" x14ac:dyDescent="0.2">
      <c r="A136" s="1225"/>
      <c r="B136" s="1226"/>
      <c r="C136" s="1227"/>
      <c r="D136" s="508">
        <v>35</v>
      </c>
      <c r="E136" s="508">
        <v>33.74</v>
      </c>
      <c r="F136" s="508">
        <v>21</v>
      </c>
      <c r="G136" s="858">
        <v>1210</v>
      </c>
      <c r="H136" s="962">
        <v>21</v>
      </c>
      <c r="I136" s="1239"/>
    </row>
    <row r="137" spans="1:9" x14ac:dyDescent="0.2">
      <c r="A137" s="1224">
        <v>3</v>
      </c>
      <c r="B137" s="1210" t="s">
        <v>1520</v>
      </c>
      <c r="C137" s="1211"/>
      <c r="D137" s="508">
        <v>143</v>
      </c>
      <c r="E137" s="508">
        <v>142.15</v>
      </c>
      <c r="F137" s="508">
        <v>140</v>
      </c>
      <c r="G137" s="858">
        <v>2314</v>
      </c>
      <c r="H137" s="962">
        <v>140</v>
      </c>
      <c r="I137" s="1237" t="s">
        <v>1461</v>
      </c>
    </row>
    <row r="138" spans="1:9" ht="12.75" customHeight="1" x14ac:dyDescent="0.2">
      <c r="A138" s="1236"/>
      <c r="B138" s="1215"/>
      <c r="C138" s="1216"/>
      <c r="D138" s="508">
        <v>0</v>
      </c>
      <c r="E138" s="508">
        <v>0</v>
      </c>
      <c r="F138" s="508">
        <v>86</v>
      </c>
      <c r="G138" s="858">
        <v>1150</v>
      </c>
      <c r="H138" s="962">
        <v>86</v>
      </c>
      <c r="I138" s="1238"/>
    </row>
    <row r="139" spans="1:9" ht="12.75" customHeight="1" x14ac:dyDescent="0.2">
      <c r="A139" s="1225"/>
      <c r="B139" s="1226"/>
      <c r="C139" s="1227"/>
      <c r="D139" s="508">
        <v>0</v>
      </c>
      <c r="E139" s="508">
        <v>0</v>
      </c>
      <c r="F139" s="508">
        <v>21</v>
      </c>
      <c r="G139" s="858">
        <v>1210</v>
      </c>
      <c r="H139" s="962">
        <v>21</v>
      </c>
      <c r="I139" s="1239"/>
    </row>
    <row r="140" spans="1:9" x14ac:dyDescent="0.2">
      <c r="A140" s="550">
        <v>4</v>
      </c>
      <c r="B140" s="1195" t="s">
        <v>1521</v>
      </c>
      <c r="C140" s="1196"/>
      <c r="D140" s="508">
        <v>143</v>
      </c>
      <c r="E140" s="508">
        <v>143</v>
      </c>
      <c r="F140" s="508">
        <v>140</v>
      </c>
      <c r="G140" s="858">
        <v>2314</v>
      </c>
      <c r="H140" s="962">
        <v>140</v>
      </c>
      <c r="I140" s="525" t="s">
        <v>1461</v>
      </c>
    </row>
    <row r="141" spans="1:9" x14ac:dyDescent="0.2">
      <c r="A141" s="550">
        <v>5</v>
      </c>
      <c r="B141" s="1195" t="s">
        <v>1522</v>
      </c>
      <c r="C141" s="1196"/>
      <c r="D141" s="508">
        <v>285</v>
      </c>
      <c r="E141" s="508">
        <v>284.19</v>
      </c>
      <c r="F141" s="508">
        <v>285</v>
      </c>
      <c r="G141" s="858">
        <v>2314</v>
      </c>
      <c r="H141" s="962">
        <v>285</v>
      </c>
      <c r="I141" s="525" t="s">
        <v>1461</v>
      </c>
    </row>
    <row r="142" spans="1:9" x14ac:dyDescent="0.2">
      <c r="A142" s="550">
        <v>6</v>
      </c>
      <c r="B142" s="1195" t="s">
        <v>1523</v>
      </c>
      <c r="C142" s="1196"/>
      <c r="D142" s="508">
        <v>114</v>
      </c>
      <c r="E142" s="508">
        <v>113.62</v>
      </c>
      <c r="F142" s="508">
        <v>110</v>
      </c>
      <c r="G142" s="858">
        <v>2314</v>
      </c>
      <c r="H142" s="962">
        <v>110</v>
      </c>
      <c r="I142" s="525" t="s">
        <v>1461</v>
      </c>
    </row>
    <row r="143" spans="1:9" x14ac:dyDescent="0.2">
      <c r="A143" s="550">
        <v>7</v>
      </c>
      <c r="B143" s="1195" t="s">
        <v>1524</v>
      </c>
      <c r="C143" s="1196"/>
      <c r="D143" s="508">
        <v>143</v>
      </c>
      <c r="E143" s="508">
        <v>143</v>
      </c>
      <c r="F143" s="508">
        <v>140</v>
      </c>
      <c r="G143" s="858">
        <v>2314</v>
      </c>
      <c r="H143" s="962">
        <v>140</v>
      </c>
      <c r="I143" s="525" t="s">
        <v>1461</v>
      </c>
    </row>
    <row r="144" spans="1:9" x14ac:dyDescent="0.2">
      <c r="A144" s="1224">
        <v>8</v>
      </c>
      <c r="B144" s="1210" t="s">
        <v>1525</v>
      </c>
      <c r="C144" s="1211"/>
      <c r="D144" s="508">
        <v>143</v>
      </c>
      <c r="E144" s="508">
        <v>142</v>
      </c>
      <c r="F144" s="508">
        <v>140</v>
      </c>
      <c r="G144" s="858">
        <v>2314</v>
      </c>
      <c r="H144" s="962">
        <v>140</v>
      </c>
      <c r="I144" s="1237" t="s">
        <v>1461</v>
      </c>
    </row>
    <row r="145" spans="1:9" ht="12.75" customHeight="1" x14ac:dyDescent="0.2">
      <c r="A145" s="1236"/>
      <c r="B145" s="1215"/>
      <c r="C145" s="1216"/>
      <c r="D145" s="508">
        <v>0</v>
      </c>
      <c r="E145" s="508">
        <v>0</v>
      </c>
      <c r="F145" s="508">
        <v>86</v>
      </c>
      <c r="G145" s="858">
        <v>1150</v>
      </c>
      <c r="H145" s="962">
        <v>86</v>
      </c>
      <c r="I145" s="1238"/>
    </row>
    <row r="146" spans="1:9" ht="12.75" customHeight="1" x14ac:dyDescent="0.2">
      <c r="A146" s="1225"/>
      <c r="B146" s="1226"/>
      <c r="C146" s="1227"/>
      <c r="D146" s="508">
        <v>0</v>
      </c>
      <c r="E146" s="508">
        <v>0</v>
      </c>
      <c r="F146" s="508">
        <v>21</v>
      </c>
      <c r="G146" s="858">
        <v>1210</v>
      </c>
      <c r="H146" s="962">
        <v>21</v>
      </c>
      <c r="I146" s="1239"/>
    </row>
    <row r="147" spans="1:9" x14ac:dyDescent="0.2">
      <c r="A147" s="1268">
        <v>9</v>
      </c>
      <c r="B147" s="1259" t="s">
        <v>1526</v>
      </c>
      <c r="C147" s="1271"/>
      <c r="D147" s="947">
        <v>236</v>
      </c>
      <c r="E147" s="947">
        <v>236</v>
      </c>
      <c r="F147" s="947">
        <v>1130</v>
      </c>
      <c r="G147" s="963">
        <v>1150</v>
      </c>
      <c r="H147" s="964">
        <v>1130</v>
      </c>
      <c r="I147" s="1242" t="s">
        <v>1461</v>
      </c>
    </row>
    <row r="148" spans="1:9" ht="12.75" customHeight="1" x14ac:dyDescent="0.2">
      <c r="A148" s="1269"/>
      <c r="B148" s="1261"/>
      <c r="C148" s="1272"/>
      <c r="D148" s="947">
        <v>56</v>
      </c>
      <c r="E148" s="947">
        <v>56</v>
      </c>
      <c r="F148" s="947">
        <v>266.57</v>
      </c>
      <c r="G148" s="963">
        <v>1210</v>
      </c>
      <c r="H148" s="964">
        <v>267</v>
      </c>
      <c r="I148" s="1243"/>
    </row>
    <row r="149" spans="1:9" x14ac:dyDescent="0.2">
      <c r="A149" s="1270"/>
      <c r="B149" s="1263"/>
      <c r="C149" s="1273"/>
      <c r="D149" s="947">
        <v>143</v>
      </c>
      <c r="E149" s="947">
        <v>143</v>
      </c>
      <c r="F149" s="947">
        <v>450</v>
      </c>
      <c r="G149" s="963">
        <v>2314</v>
      </c>
      <c r="H149" s="964">
        <v>450</v>
      </c>
      <c r="I149" s="1244"/>
    </row>
    <row r="150" spans="1:9" x14ac:dyDescent="0.2">
      <c r="A150" s="1268">
        <v>10</v>
      </c>
      <c r="B150" s="1259" t="s">
        <v>1527</v>
      </c>
      <c r="C150" s="1271"/>
      <c r="D150" s="947">
        <v>177</v>
      </c>
      <c r="E150" s="947">
        <v>177</v>
      </c>
      <c r="F150" s="947">
        <v>177</v>
      </c>
      <c r="G150" s="963">
        <v>1150</v>
      </c>
      <c r="H150" s="964">
        <v>177</v>
      </c>
      <c r="I150" s="1242" t="s">
        <v>1461</v>
      </c>
    </row>
    <row r="151" spans="1:9" ht="12.75" customHeight="1" x14ac:dyDescent="0.2">
      <c r="A151" s="1269"/>
      <c r="B151" s="1261"/>
      <c r="C151" s="1272"/>
      <c r="D151" s="947">
        <v>42</v>
      </c>
      <c r="E151" s="947">
        <v>42</v>
      </c>
      <c r="F151" s="947">
        <v>42</v>
      </c>
      <c r="G151" s="963">
        <v>1210</v>
      </c>
      <c r="H151" s="964">
        <v>42</v>
      </c>
      <c r="I151" s="1243"/>
    </row>
    <row r="152" spans="1:9" ht="12.75" customHeight="1" x14ac:dyDescent="0.2">
      <c r="A152" s="1270"/>
      <c r="B152" s="1263"/>
      <c r="C152" s="1273"/>
      <c r="D152" s="947">
        <v>160</v>
      </c>
      <c r="E152" s="947">
        <v>160</v>
      </c>
      <c r="F152" s="947">
        <v>160</v>
      </c>
      <c r="G152" s="963">
        <v>2314</v>
      </c>
      <c r="H152" s="964">
        <v>160</v>
      </c>
      <c r="I152" s="1244"/>
    </row>
    <row r="153" spans="1:9" x14ac:dyDescent="0.2">
      <c r="A153" s="1268">
        <v>11</v>
      </c>
      <c r="B153" s="1259" t="s">
        <v>1528</v>
      </c>
      <c r="C153" s="1271"/>
      <c r="D153" s="947">
        <v>236</v>
      </c>
      <c r="E153" s="947">
        <v>236</v>
      </c>
      <c r="F153" s="947">
        <v>1130</v>
      </c>
      <c r="G153" s="963">
        <v>1150</v>
      </c>
      <c r="H153" s="964">
        <v>1130</v>
      </c>
      <c r="I153" s="1242" t="s">
        <v>1461</v>
      </c>
    </row>
    <row r="154" spans="1:9" ht="12.75" customHeight="1" x14ac:dyDescent="0.2">
      <c r="A154" s="1269"/>
      <c r="B154" s="1261"/>
      <c r="C154" s="1272"/>
      <c r="D154" s="947">
        <v>56</v>
      </c>
      <c r="E154" s="947">
        <v>56</v>
      </c>
      <c r="F154" s="947">
        <v>266.57</v>
      </c>
      <c r="G154" s="963">
        <v>1210</v>
      </c>
      <c r="H154" s="964">
        <v>267</v>
      </c>
      <c r="I154" s="1243"/>
    </row>
    <row r="155" spans="1:9" x14ac:dyDescent="0.2">
      <c r="A155" s="1270"/>
      <c r="B155" s="1263"/>
      <c r="C155" s="1273"/>
      <c r="D155" s="947">
        <v>143</v>
      </c>
      <c r="E155" s="947">
        <v>143</v>
      </c>
      <c r="F155" s="947">
        <v>500</v>
      </c>
      <c r="G155" s="963">
        <v>2314</v>
      </c>
      <c r="H155" s="964">
        <v>500</v>
      </c>
      <c r="I155" s="1244"/>
    </row>
    <row r="156" spans="1:9" x14ac:dyDescent="0.2">
      <c r="A156" s="1224">
        <v>12</v>
      </c>
      <c r="B156" s="1210" t="s">
        <v>1529</v>
      </c>
      <c r="C156" s="1211"/>
      <c r="D156" s="508">
        <v>143</v>
      </c>
      <c r="E156" s="508">
        <v>143</v>
      </c>
      <c r="F156" s="508">
        <v>143</v>
      </c>
      <c r="G156" s="858">
        <v>1150</v>
      </c>
      <c r="H156" s="962">
        <v>143</v>
      </c>
      <c r="I156" s="1237" t="s">
        <v>1461</v>
      </c>
    </row>
    <row r="157" spans="1:9" ht="12.75" customHeight="1" x14ac:dyDescent="0.2">
      <c r="A157" s="1236"/>
      <c r="B157" s="1215"/>
      <c r="C157" s="1216"/>
      <c r="D157" s="508">
        <v>35</v>
      </c>
      <c r="E157" s="508">
        <v>35</v>
      </c>
      <c r="F157" s="508">
        <v>35</v>
      </c>
      <c r="G157" s="858">
        <v>1210</v>
      </c>
      <c r="H157" s="962">
        <v>35</v>
      </c>
      <c r="I157" s="1238"/>
    </row>
    <row r="158" spans="1:9" ht="12.75" customHeight="1" x14ac:dyDescent="0.2">
      <c r="A158" s="1225"/>
      <c r="B158" s="1226"/>
      <c r="C158" s="1227"/>
      <c r="D158" s="508">
        <v>143</v>
      </c>
      <c r="E158" s="508">
        <v>143</v>
      </c>
      <c r="F158" s="508">
        <v>140</v>
      </c>
      <c r="G158" s="858">
        <v>2314</v>
      </c>
      <c r="H158" s="962">
        <v>140</v>
      </c>
      <c r="I158" s="1239"/>
    </row>
    <row r="159" spans="1:9" x14ac:dyDescent="0.2">
      <c r="A159" s="1224">
        <v>13</v>
      </c>
      <c r="B159" s="1210" t="s">
        <v>1530</v>
      </c>
      <c r="C159" s="1211"/>
      <c r="D159" s="508">
        <v>177</v>
      </c>
      <c r="E159" s="508">
        <v>177</v>
      </c>
      <c r="F159" s="508">
        <v>177</v>
      </c>
      <c r="G159" s="858">
        <v>1150</v>
      </c>
      <c r="H159" s="962">
        <v>177</v>
      </c>
      <c r="I159" s="1237" t="s">
        <v>1461</v>
      </c>
    </row>
    <row r="160" spans="1:9" ht="12.75" customHeight="1" x14ac:dyDescent="0.2">
      <c r="A160" s="1236"/>
      <c r="B160" s="1215"/>
      <c r="C160" s="1216"/>
      <c r="D160" s="508">
        <v>42</v>
      </c>
      <c r="E160" s="508">
        <v>42</v>
      </c>
      <c r="F160" s="508">
        <v>42</v>
      </c>
      <c r="G160" s="858">
        <v>1210</v>
      </c>
      <c r="H160" s="962">
        <v>42</v>
      </c>
      <c r="I160" s="1238"/>
    </row>
    <row r="161" spans="1:9" ht="12.75" customHeight="1" x14ac:dyDescent="0.2">
      <c r="A161" s="1225"/>
      <c r="B161" s="1226"/>
      <c r="C161" s="1227"/>
      <c r="D161" s="508">
        <v>100</v>
      </c>
      <c r="E161" s="508">
        <v>100</v>
      </c>
      <c r="F161" s="508">
        <v>140</v>
      </c>
      <c r="G161" s="858">
        <v>2314</v>
      </c>
      <c r="H161" s="962">
        <v>140</v>
      </c>
      <c r="I161" s="1239"/>
    </row>
    <row r="162" spans="1:9" x14ac:dyDescent="0.2">
      <c r="A162" s="1224">
        <v>14</v>
      </c>
      <c r="B162" s="1210" t="s">
        <v>1531</v>
      </c>
      <c r="C162" s="1211"/>
      <c r="D162" s="508">
        <v>531</v>
      </c>
      <c r="E162" s="508">
        <v>531</v>
      </c>
      <c r="F162" s="508">
        <v>430</v>
      </c>
      <c r="G162" s="858">
        <v>1150</v>
      </c>
      <c r="H162" s="962">
        <v>430</v>
      </c>
      <c r="I162" s="1237" t="s">
        <v>1461</v>
      </c>
    </row>
    <row r="163" spans="1:9" ht="12.75" customHeight="1" x14ac:dyDescent="0.2">
      <c r="A163" s="1236"/>
      <c r="B163" s="1215"/>
      <c r="C163" s="1216"/>
      <c r="D163" s="508">
        <v>126</v>
      </c>
      <c r="E163" s="508">
        <v>126</v>
      </c>
      <c r="F163" s="508">
        <v>102</v>
      </c>
      <c r="G163" s="858">
        <v>1210</v>
      </c>
      <c r="H163" s="962">
        <v>102</v>
      </c>
      <c r="I163" s="1238"/>
    </row>
    <row r="164" spans="1:9" x14ac:dyDescent="0.2">
      <c r="A164" s="1225"/>
      <c r="B164" s="1226"/>
      <c r="C164" s="1227"/>
      <c r="D164" s="508">
        <v>300</v>
      </c>
      <c r="E164" s="508">
        <v>300</v>
      </c>
      <c r="F164" s="508">
        <v>200</v>
      </c>
      <c r="G164" s="858">
        <v>2314</v>
      </c>
      <c r="H164" s="962">
        <v>200</v>
      </c>
      <c r="I164" s="1239"/>
    </row>
    <row r="165" spans="1:9" x14ac:dyDescent="0.2">
      <c r="A165" s="1224">
        <v>15</v>
      </c>
      <c r="B165" s="1210" t="s">
        <v>1532</v>
      </c>
      <c r="C165" s="1211"/>
      <c r="D165" s="508">
        <v>129</v>
      </c>
      <c r="E165" s="508">
        <v>129</v>
      </c>
      <c r="F165" s="508">
        <v>120</v>
      </c>
      <c r="G165" s="855">
        <v>2314</v>
      </c>
      <c r="H165" s="965">
        <v>120</v>
      </c>
      <c r="I165" s="1237" t="s">
        <v>1461</v>
      </c>
    </row>
    <row r="166" spans="1:9" ht="12.75" customHeight="1" x14ac:dyDescent="0.2">
      <c r="A166" s="1236"/>
      <c r="B166" s="1215"/>
      <c r="C166" s="1216"/>
      <c r="D166" s="508">
        <v>0</v>
      </c>
      <c r="E166" s="508">
        <v>0</v>
      </c>
      <c r="F166" s="508">
        <v>86</v>
      </c>
      <c r="G166" s="855">
        <v>1150</v>
      </c>
      <c r="H166" s="965">
        <v>86</v>
      </c>
      <c r="I166" s="1238"/>
    </row>
    <row r="167" spans="1:9" ht="12.75" customHeight="1" x14ac:dyDescent="0.2">
      <c r="A167" s="1225"/>
      <c r="B167" s="1226"/>
      <c r="C167" s="1227"/>
      <c r="D167" s="508">
        <v>0</v>
      </c>
      <c r="E167" s="508">
        <v>0</v>
      </c>
      <c r="F167" s="508">
        <v>21</v>
      </c>
      <c r="G167" s="855">
        <v>1210</v>
      </c>
      <c r="H167" s="965">
        <v>21</v>
      </c>
      <c r="I167" s="1239"/>
    </row>
    <row r="168" spans="1:9" x14ac:dyDescent="0.2">
      <c r="A168" s="1224">
        <v>16</v>
      </c>
      <c r="B168" s="1210" t="s">
        <v>1533</v>
      </c>
      <c r="C168" s="1211"/>
      <c r="D168" s="508">
        <v>160</v>
      </c>
      <c r="E168" s="508">
        <v>160</v>
      </c>
      <c r="F168" s="508">
        <v>500</v>
      </c>
      <c r="G168" s="855">
        <v>2314</v>
      </c>
      <c r="H168" s="622">
        <v>500</v>
      </c>
      <c r="I168" s="1237" t="s">
        <v>1461</v>
      </c>
    </row>
    <row r="169" spans="1:9" x14ac:dyDescent="0.2">
      <c r="A169" s="1236"/>
      <c r="B169" s="1215"/>
      <c r="C169" s="1216"/>
      <c r="D169" s="508">
        <v>177</v>
      </c>
      <c r="E169" s="508">
        <v>177</v>
      </c>
      <c r="F169" s="508">
        <v>630</v>
      </c>
      <c r="G169" s="855">
        <v>1150</v>
      </c>
      <c r="H169" s="622">
        <v>630</v>
      </c>
      <c r="I169" s="1238"/>
    </row>
    <row r="170" spans="1:9" ht="12.75" customHeight="1" x14ac:dyDescent="0.2">
      <c r="A170" s="1225"/>
      <c r="B170" s="1226"/>
      <c r="C170" s="1227"/>
      <c r="D170" s="508">
        <v>42</v>
      </c>
      <c r="E170" s="508">
        <v>42</v>
      </c>
      <c r="F170" s="508">
        <v>149</v>
      </c>
      <c r="G170" s="855">
        <v>1210</v>
      </c>
      <c r="H170" s="622">
        <v>149</v>
      </c>
      <c r="I170" s="1239"/>
    </row>
    <row r="171" spans="1:9" x14ac:dyDescent="0.2">
      <c r="A171" s="1224">
        <v>17</v>
      </c>
      <c r="B171" s="1210" t="s">
        <v>1534</v>
      </c>
      <c r="C171" s="1211"/>
      <c r="D171" s="508">
        <v>143</v>
      </c>
      <c r="E171" s="508">
        <v>143</v>
      </c>
      <c r="F171" s="508">
        <v>143</v>
      </c>
      <c r="G171" s="855">
        <v>2314</v>
      </c>
      <c r="H171" s="965">
        <v>143</v>
      </c>
      <c r="I171" s="1237" t="s">
        <v>1461</v>
      </c>
    </row>
    <row r="172" spans="1:9" ht="12.75" customHeight="1" x14ac:dyDescent="0.2">
      <c r="A172" s="1236"/>
      <c r="B172" s="1215"/>
      <c r="C172" s="1216"/>
      <c r="D172" s="508">
        <v>236</v>
      </c>
      <c r="E172" s="508">
        <v>236</v>
      </c>
      <c r="F172" s="508">
        <v>236</v>
      </c>
      <c r="G172" s="855">
        <v>1150</v>
      </c>
      <c r="H172" s="965">
        <v>236</v>
      </c>
      <c r="I172" s="1238"/>
    </row>
    <row r="173" spans="1:9" ht="12.75" customHeight="1" x14ac:dyDescent="0.2">
      <c r="A173" s="1225"/>
      <c r="B173" s="1226"/>
      <c r="C173" s="1227"/>
      <c r="D173" s="508">
        <v>56</v>
      </c>
      <c r="E173" s="508">
        <v>56</v>
      </c>
      <c r="F173" s="508">
        <v>56</v>
      </c>
      <c r="G173" s="855">
        <v>1210</v>
      </c>
      <c r="H173" s="965">
        <v>56</v>
      </c>
      <c r="I173" s="1239"/>
    </row>
    <row r="174" spans="1:9" x14ac:dyDescent="0.2">
      <c r="A174" s="1224">
        <v>18</v>
      </c>
      <c r="B174" s="1210" t="s">
        <v>1535</v>
      </c>
      <c r="C174" s="1211"/>
      <c r="D174" s="508">
        <v>143</v>
      </c>
      <c r="E174" s="508">
        <v>143</v>
      </c>
      <c r="F174" s="508">
        <v>140</v>
      </c>
      <c r="G174" s="855">
        <v>2314</v>
      </c>
      <c r="H174" s="965">
        <v>140</v>
      </c>
      <c r="I174" s="1237" t="s">
        <v>1461</v>
      </c>
    </row>
    <row r="175" spans="1:9" ht="12.75" customHeight="1" x14ac:dyDescent="0.2">
      <c r="A175" s="1236"/>
      <c r="B175" s="1215"/>
      <c r="C175" s="1216"/>
      <c r="D175" s="508">
        <v>236</v>
      </c>
      <c r="E175" s="508">
        <v>236</v>
      </c>
      <c r="F175" s="508">
        <v>86</v>
      </c>
      <c r="G175" s="855">
        <v>1150</v>
      </c>
      <c r="H175" s="965">
        <v>86</v>
      </c>
      <c r="I175" s="1238"/>
    </row>
    <row r="176" spans="1:9" ht="12.75" customHeight="1" x14ac:dyDescent="0.2">
      <c r="A176" s="1225"/>
      <c r="B176" s="1226"/>
      <c r="C176" s="1227"/>
      <c r="D176" s="508">
        <v>56</v>
      </c>
      <c r="E176" s="508">
        <v>56</v>
      </c>
      <c r="F176" s="508">
        <v>22</v>
      </c>
      <c r="G176" s="855">
        <v>1210</v>
      </c>
      <c r="H176" s="965">
        <v>21</v>
      </c>
      <c r="I176" s="1239"/>
    </row>
    <row r="177" spans="1:9" x14ac:dyDescent="0.2">
      <c r="A177" s="1274">
        <v>19</v>
      </c>
      <c r="B177" s="1275" t="s">
        <v>1536</v>
      </c>
      <c r="C177" s="1275"/>
      <c r="D177" s="508">
        <v>129</v>
      </c>
      <c r="E177" s="508">
        <v>129</v>
      </c>
      <c r="F177" s="508">
        <v>130</v>
      </c>
      <c r="G177" s="855">
        <v>2314</v>
      </c>
      <c r="H177" s="965">
        <v>130</v>
      </c>
      <c r="I177" s="1276" t="s">
        <v>1461</v>
      </c>
    </row>
    <row r="178" spans="1:9" ht="12.75" customHeight="1" x14ac:dyDescent="0.2">
      <c r="A178" s="1274"/>
      <c r="B178" s="1275"/>
      <c r="C178" s="1275"/>
      <c r="D178" s="508">
        <v>86</v>
      </c>
      <c r="E178" s="508">
        <v>86</v>
      </c>
      <c r="F178" s="508">
        <v>86</v>
      </c>
      <c r="G178" s="855">
        <v>1150</v>
      </c>
      <c r="H178" s="965">
        <v>86</v>
      </c>
      <c r="I178" s="1276"/>
    </row>
    <row r="179" spans="1:9" ht="12.75" customHeight="1" x14ac:dyDescent="0.2">
      <c r="A179" s="1274"/>
      <c r="B179" s="1275"/>
      <c r="C179" s="1275"/>
      <c r="D179" s="508">
        <v>22</v>
      </c>
      <c r="E179" s="508">
        <v>22</v>
      </c>
      <c r="F179" s="508">
        <v>22</v>
      </c>
      <c r="G179" s="855">
        <v>1210</v>
      </c>
      <c r="H179" s="965">
        <v>21</v>
      </c>
      <c r="I179" s="1276"/>
    </row>
    <row r="180" spans="1:9" x14ac:dyDescent="0.2">
      <c r="A180" s="1274">
        <v>20</v>
      </c>
      <c r="B180" s="1275" t="s">
        <v>1537</v>
      </c>
      <c r="C180" s="1275"/>
      <c r="D180" s="508">
        <v>170</v>
      </c>
      <c r="E180" s="508">
        <v>170</v>
      </c>
      <c r="F180" s="508">
        <v>170</v>
      </c>
      <c r="G180" s="855">
        <v>2314</v>
      </c>
      <c r="H180" s="965">
        <v>170</v>
      </c>
      <c r="I180" s="1276" t="s">
        <v>1461</v>
      </c>
    </row>
    <row r="181" spans="1:9" ht="12.75" customHeight="1" x14ac:dyDescent="0.2">
      <c r="A181" s="1274"/>
      <c r="B181" s="1275"/>
      <c r="C181" s="1275"/>
      <c r="D181" s="508">
        <v>0</v>
      </c>
      <c r="E181" s="508">
        <v>0</v>
      </c>
      <c r="F181" s="508">
        <v>86</v>
      </c>
      <c r="G181" s="855">
        <v>1150</v>
      </c>
      <c r="H181" s="965">
        <v>86</v>
      </c>
      <c r="I181" s="1276"/>
    </row>
    <row r="182" spans="1:9" ht="12.75" customHeight="1" x14ac:dyDescent="0.2">
      <c r="A182" s="1274"/>
      <c r="B182" s="1275"/>
      <c r="C182" s="1275"/>
      <c r="D182" s="508">
        <v>0</v>
      </c>
      <c r="E182" s="508">
        <v>0</v>
      </c>
      <c r="F182" s="508">
        <v>21</v>
      </c>
      <c r="G182" s="855">
        <v>1210</v>
      </c>
      <c r="H182" s="965">
        <v>21</v>
      </c>
      <c r="I182" s="1276"/>
    </row>
    <row r="183" spans="1:9" x14ac:dyDescent="0.2">
      <c r="A183" s="550">
        <v>21</v>
      </c>
      <c r="B183" s="1275" t="s">
        <v>1538</v>
      </c>
      <c r="C183" s="1275"/>
      <c r="D183" s="508">
        <v>143</v>
      </c>
      <c r="E183" s="508">
        <v>142.41999999999999</v>
      </c>
      <c r="F183" s="508">
        <v>140</v>
      </c>
      <c r="G183" s="855">
        <v>2314</v>
      </c>
      <c r="H183" s="965">
        <v>140</v>
      </c>
      <c r="I183" s="525" t="s">
        <v>1461</v>
      </c>
    </row>
    <row r="184" spans="1:9" x14ac:dyDescent="0.2">
      <c r="A184" s="550">
        <v>22</v>
      </c>
      <c r="B184" s="1275" t="s">
        <v>1539</v>
      </c>
      <c r="C184" s="1275"/>
      <c r="D184" s="508">
        <v>171</v>
      </c>
      <c r="E184" s="508">
        <v>171</v>
      </c>
      <c r="F184" s="508">
        <v>170</v>
      </c>
      <c r="G184" s="855">
        <v>2314</v>
      </c>
      <c r="H184" s="965">
        <v>170</v>
      </c>
      <c r="I184" s="525" t="s">
        <v>1461</v>
      </c>
    </row>
    <row r="185" spans="1:9" x14ac:dyDescent="0.2">
      <c r="A185" s="550">
        <v>23</v>
      </c>
      <c r="B185" s="1275" t="s">
        <v>1540</v>
      </c>
      <c r="C185" s="1275"/>
      <c r="D185" s="508">
        <v>143</v>
      </c>
      <c r="E185" s="508">
        <v>143</v>
      </c>
      <c r="F185" s="508">
        <v>170</v>
      </c>
      <c r="G185" s="855">
        <v>2314</v>
      </c>
      <c r="H185" s="965">
        <v>170</v>
      </c>
      <c r="I185" s="525" t="s">
        <v>1461</v>
      </c>
    </row>
    <row r="186" spans="1:9" x14ac:dyDescent="0.2">
      <c r="A186" s="550">
        <v>24</v>
      </c>
      <c r="B186" s="1275" t="s">
        <v>1541</v>
      </c>
      <c r="C186" s="1275"/>
      <c r="D186" s="508">
        <v>171</v>
      </c>
      <c r="E186" s="508">
        <v>158.5</v>
      </c>
      <c r="F186" s="508">
        <v>170</v>
      </c>
      <c r="G186" s="855">
        <v>2314</v>
      </c>
      <c r="H186" s="965">
        <v>170</v>
      </c>
      <c r="I186" s="525" t="s">
        <v>1461</v>
      </c>
    </row>
    <row r="187" spans="1:9" x14ac:dyDescent="0.2">
      <c r="A187" s="550">
        <v>25</v>
      </c>
      <c r="B187" s="1275" t="s">
        <v>1542</v>
      </c>
      <c r="C187" s="1275"/>
      <c r="D187" s="508">
        <v>140</v>
      </c>
      <c r="E187" s="508">
        <v>139.38999999999999</v>
      </c>
      <c r="F187" s="508">
        <v>170</v>
      </c>
      <c r="G187" s="855">
        <v>2314</v>
      </c>
      <c r="H187" s="965">
        <v>170</v>
      </c>
      <c r="I187" s="525" t="s">
        <v>820</v>
      </c>
    </row>
    <row r="188" spans="1:9" x14ac:dyDescent="0.2">
      <c r="A188" s="550">
        <v>26</v>
      </c>
      <c r="B188" s="1275" t="s">
        <v>1543</v>
      </c>
      <c r="C188" s="1275"/>
      <c r="D188" s="508">
        <v>143</v>
      </c>
      <c r="E188" s="508">
        <v>143</v>
      </c>
      <c r="F188" s="508">
        <v>170</v>
      </c>
      <c r="G188" s="855">
        <v>2314</v>
      </c>
      <c r="H188" s="965">
        <v>170</v>
      </c>
      <c r="I188" s="525" t="s">
        <v>1461</v>
      </c>
    </row>
    <row r="189" spans="1:9" x14ac:dyDescent="0.2">
      <c r="A189" s="550">
        <v>27</v>
      </c>
      <c r="B189" s="1277" t="s">
        <v>1544</v>
      </c>
      <c r="C189" s="1277"/>
      <c r="D189" s="508">
        <v>143</v>
      </c>
      <c r="E189" s="508">
        <v>143</v>
      </c>
      <c r="F189" s="508">
        <v>170</v>
      </c>
      <c r="G189" s="855">
        <v>2314</v>
      </c>
      <c r="H189" s="965">
        <v>170</v>
      </c>
      <c r="I189" s="525" t="s">
        <v>1461</v>
      </c>
    </row>
    <row r="190" spans="1:9" x14ac:dyDescent="0.2">
      <c r="A190" s="550">
        <v>28</v>
      </c>
      <c r="B190" s="1275" t="s">
        <v>1545</v>
      </c>
      <c r="C190" s="1275"/>
      <c r="D190" s="508">
        <v>143</v>
      </c>
      <c r="E190" s="508">
        <v>143</v>
      </c>
      <c r="F190" s="508">
        <v>140</v>
      </c>
      <c r="G190" s="855">
        <v>2314</v>
      </c>
      <c r="H190" s="965">
        <v>140</v>
      </c>
      <c r="I190" s="525" t="s">
        <v>1461</v>
      </c>
    </row>
    <row r="191" spans="1:9" x14ac:dyDescent="0.2">
      <c r="A191" s="550">
        <v>29</v>
      </c>
      <c r="B191" s="1275" t="s">
        <v>1546</v>
      </c>
      <c r="C191" s="1275"/>
      <c r="D191" s="508">
        <v>257</v>
      </c>
      <c r="E191" s="508">
        <v>257</v>
      </c>
      <c r="F191" s="508">
        <v>250</v>
      </c>
      <c r="G191" s="855">
        <v>2314</v>
      </c>
      <c r="H191" s="965">
        <v>250</v>
      </c>
      <c r="I191" s="525" t="s">
        <v>1461</v>
      </c>
    </row>
    <row r="192" spans="1:9" x14ac:dyDescent="0.2">
      <c r="A192" s="550">
        <v>30</v>
      </c>
      <c r="B192" s="1275" t="s">
        <v>1547</v>
      </c>
      <c r="C192" s="1275"/>
      <c r="D192" s="508">
        <v>1050</v>
      </c>
      <c r="E192" s="508">
        <v>1050</v>
      </c>
      <c r="F192" s="508">
        <v>850</v>
      </c>
      <c r="G192" s="855">
        <v>2314</v>
      </c>
      <c r="H192" s="965">
        <v>850</v>
      </c>
      <c r="I192" s="525" t="s">
        <v>1461</v>
      </c>
    </row>
    <row r="193" spans="1:9" x14ac:dyDescent="0.2">
      <c r="A193" s="550">
        <v>31</v>
      </c>
      <c r="B193" s="1275" t="s">
        <v>1548</v>
      </c>
      <c r="C193" s="1275"/>
      <c r="D193" s="508">
        <v>150</v>
      </c>
      <c r="E193" s="508">
        <v>148.99</v>
      </c>
      <c r="F193" s="508">
        <v>150</v>
      </c>
      <c r="G193" s="855">
        <v>2314</v>
      </c>
      <c r="H193" s="508">
        <v>150</v>
      </c>
      <c r="I193" s="525" t="s">
        <v>1461</v>
      </c>
    </row>
    <row r="194" spans="1:9" x14ac:dyDescent="0.2">
      <c r="A194" s="550">
        <v>32</v>
      </c>
      <c r="B194" s="1275" t="s">
        <v>1549</v>
      </c>
      <c r="C194" s="1275"/>
      <c r="D194" s="508">
        <v>150</v>
      </c>
      <c r="E194" s="508">
        <v>140.84</v>
      </c>
      <c r="F194" s="508">
        <v>200</v>
      </c>
      <c r="G194" s="855">
        <v>2314</v>
      </c>
      <c r="H194" s="508">
        <v>200</v>
      </c>
      <c r="I194" s="525" t="s">
        <v>1461</v>
      </c>
    </row>
    <row r="195" spans="1:9" x14ac:dyDescent="0.2">
      <c r="A195" s="550">
        <v>33</v>
      </c>
      <c r="B195" s="1275" t="s">
        <v>1550</v>
      </c>
      <c r="C195" s="1275"/>
      <c r="D195" s="508">
        <v>180</v>
      </c>
      <c r="E195" s="508">
        <v>180</v>
      </c>
      <c r="F195" s="508">
        <v>180</v>
      </c>
      <c r="G195" s="855">
        <v>2314</v>
      </c>
      <c r="H195" s="508">
        <v>180</v>
      </c>
      <c r="I195" s="525" t="s">
        <v>1461</v>
      </c>
    </row>
    <row r="196" spans="1:9" ht="24" x14ac:dyDescent="0.2">
      <c r="A196" s="550">
        <v>34</v>
      </c>
      <c r="B196" s="1275" t="s">
        <v>1551</v>
      </c>
      <c r="C196" s="1275"/>
      <c r="D196" s="523">
        <v>143</v>
      </c>
      <c r="E196" s="523">
        <v>142.69999999999999</v>
      </c>
      <c r="F196" s="523">
        <v>300</v>
      </c>
      <c r="G196" s="867">
        <v>2314</v>
      </c>
      <c r="H196" s="545">
        <v>300</v>
      </c>
      <c r="I196" s="525" t="s">
        <v>1552</v>
      </c>
    </row>
    <row r="197" spans="1:9" x14ac:dyDescent="0.2">
      <c r="A197" s="488"/>
      <c r="B197" s="888"/>
      <c r="C197" s="888"/>
      <c r="D197" s="889"/>
      <c r="E197" s="889"/>
      <c r="F197" s="889"/>
      <c r="G197" s="889"/>
      <c r="H197" s="889"/>
      <c r="I197" s="889"/>
    </row>
    <row r="198" spans="1:9" x14ac:dyDescent="0.2">
      <c r="A198" s="1079" t="s">
        <v>6</v>
      </c>
      <c r="B198" s="1079"/>
      <c r="C198" s="1214" t="s">
        <v>1553</v>
      </c>
      <c r="D198" s="1214"/>
      <c r="E198" s="1214"/>
      <c r="F198" s="1214"/>
      <c r="G198" s="1214"/>
      <c r="H198" s="1214"/>
      <c r="I198" s="1214"/>
    </row>
    <row r="199" spans="1:9" x14ac:dyDescent="0.2">
      <c r="A199" s="1214" t="s">
        <v>5</v>
      </c>
      <c r="B199" s="1214"/>
      <c r="C199" s="1221" t="s">
        <v>1453</v>
      </c>
      <c r="D199" s="1221"/>
      <c r="E199" s="1221"/>
      <c r="F199" s="1221"/>
      <c r="G199" s="1221"/>
      <c r="H199" s="1221"/>
      <c r="I199" s="1221"/>
    </row>
    <row r="200" spans="1:9" ht="60.75" customHeight="1" x14ac:dyDescent="0.2">
      <c r="A200" s="500" t="s">
        <v>4</v>
      </c>
      <c r="B200" s="1190" t="s">
        <v>3</v>
      </c>
      <c r="C200" s="1191"/>
      <c r="D200" s="500" t="s">
        <v>11</v>
      </c>
      <c r="E200" s="500" t="s">
        <v>12</v>
      </c>
      <c r="F200" s="500" t="s">
        <v>13</v>
      </c>
      <c r="G200" s="500" t="s">
        <v>2</v>
      </c>
      <c r="H200" s="424" t="s">
        <v>180</v>
      </c>
      <c r="I200" s="500" t="s">
        <v>1</v>
      </c>
    </row>
    <row r="201" spans="1:9" x14ac:dyDescent="0.2">
      <c r="A201" s="1192" t="s">
        <v>14</v>
      </c>
      <c r="B201" s="1193"/>
      <c r="C201" s="1194"/>
      <c r="D201" s="503">
        <f>SUM(D202:D267)</f>
        <v>91171</v>
      </c>
      <c r="E201" s="503">
        <f>SUM(E202:E267)</f>
        <v>91171</v>
      </c>
      <c r="F201" s="503">
        <f>SUM(F202:F267)</f>
        <v>98492</v>
      </c>
      <c r="G201" s="503"/>
      <c r="H201" s="503">
        <f>SUM(H202:H267)</f>
        <v>83187</v>
      </c>
      <c r="I201" s="858"/>
    </row>
    <row r="202" spans="1:9" ht="12.75" customHeight="1" x14ac:dyDescent="0.2">
      <c r="A202" s="1236">
        <v>1</v>
      </c>
      <c r="B202" s="1215" t="s">
        <v>1554</v>
      </c>
      <c r="C202" s="1216"/>
      <c r="D202" s="508">
        <v>115</v>
      </c>
      <c r="E202" s="508">
        <v>115</v>
      </c>
      <c r="F202" s="508">
        <v>115</v>
      </c>
      <c r="G202" s="858">
        <v>2314</v>
      </c>
      <c r="H202" s="966">
        <v>115</v>
      </c>
      <c r="I202" s="1237" t="s">
        <v>1555</v>
      </c>
    </row>
    <row r="203" spans="1:9" x14ac:dyDescent="0.2">
      <c r="A203" s="1225"/>
      <c r="B203" s="1226"/>
      <c r="C203" s="1227"/>
      <c r="D203" s="508">
        <v>100</v>
      </c>
      <c r="E203" s="508">
        <v>100</v>
      </c>
      <c r="F203" s="508">
        <v>100</v>
      </c>
      <c r="G203" s="858">
        <v>2363</v>
      </c>
      <c r="H203" s="966">
        <v>100</v>
      </c>
      <c r="I203" s="1239"/>
    </row>
    <row r="204" spans="1:9" ht="27" customHeight="1" x14ac:dyDescent="0.2">
      <c r="A204" s="863">
        <v>2</v>
      </c>
      <c r="B204" s="1195" t="s">
        <v>1556</v>
      </c>
      <c r="C204" s="1196"/>
      <c r="D204" s="508">
        <v>80</v>
      </c>
      <c r="E204" s="508">
        <v>80</v>
      </c>
      <c r="F204" s="508">
        <v>80</v>
      </c>
      <c r="G204" s="858">
        <v>2314</v>
      </c>
      <c r="H204" s="966">
        <v>80</v>
      </c>
      <c r="I204" s="525" t="s">
        <v>577</v>
      </c>
    </row>
    <row r="205" spans="1:9" ht="12.75" customHeight="1" x14ac:dyDescent="0.2">
      <c r="A205" s="1224">
        <v>3</v>
      </c>
      <c r="B205" s="1215" t="s">
        <v>1557</v>
      </c>
      <c r="C205" s="1216"/>
      <c r="D205" s="508">
        <v>150</v>
      </c>
      <c r="E205" s="508">
        <v>150</v>
      </c>
      <c r="F205" s="508">
        <v>150</v>
      </c>
      <c r="G205" s="858">
        <v>2314</v>
      </c>
      <c r="H205" s="966">
        <v>150</v>
      </c>
      <c r="I205" s="1237" t="s">
        <v>1482</v>
      </c>
    </row>
    <row r="206" spans="1:9" ht="12.75" customHeight="1" x14ac:dyDescent="0.2">
      <c r="A206" s="1225"/>
      <c r="B206" s="1226"/>
      <c r="C206" s="1227"/>
      <c r="D206" s="508">
        <v>300</v>
      </c>
      <c r="E206" s="508">
        <v>300</v>
      </c>
      <c r="F206" s="508">
        <v>300</v>
      </c>
      <c r="G206" s="858">
        <v>2262</v>
      </c>
      <c r="H206" s="966">
        <v>300</v>
      </c>
      <c r="I206" s="1239"/>
    </row>
    <row r="207" spans="1:9" x14ac:dyDescent="0.2">
      <c r="A207" s="550">
        <v>4</v>
      </c>
      <c r="B207" s="1195" t="s">
        <v>1558</v>
      </c>
      <c r="C207" s="1196"/>
      <c r="D207" s="508">
        <v>100</v>
      </c>
      <c r="E207" s="508">
        <v>100</v>
      </c>
      <c r="F207" s="508">
        <v>100</v>
      </c>
      <c r="G207" s="858">
        <v>2314</v>
      </c>
      <c r="H207" s="966">
        <v>100</v>
      </c>
      <c r="I207" s="525" t="s">
        <v>1482</v>
      </c>
    </row>
    <row r="208" spans="1:9" ht="12.75" customHeight="1" x14ac:dyDescent="0.2">
      <c r="A208" s="1236">
        <v>5</v>
      </c>
      <c r="B208" s="1210" t="s">
        <v>1559</v>
      </c>
      <c r="C208" s="1211"/>
      <c r="D208" s="508">
        <v>63</v>
      </c>
      <c r="E208" s="508">
        <v>63</v>
      </c>
      <c r="F208" s="508">
        <v>70</v>
      </c>
      <c r="G208" s="858">
        <v>2363</v>
      </c>
      <c r="H208" s="966">
        <v>70</v>
      </c>
      <c r="I208" s="1237" t="s">
        <v>1461</v>
      </c>
    </row>
    <row r="209" spans="1:9" x14ac:dyDescent="0.2">
      <c r="A209" s="1225"/>
      <c r="B209" s="1226"/>
      <c r="C209" s="1227"/>
      <c r="D209" s="508">
        <v>220</v>
      </c>
      <c r="E209" s="508">
        <v>220</v>
      </c>
      <c r="F209" s="508">
        <v>250</v>
      </c>
      <c r="G209" s="858">
        <v>2279</v>
      </c>
      <c r="H209" s="966">
        <v>250</v>
      </c>
      <c r="I209" s="1239"/>
    </row>
    <row r="210" spans="1:9" ht="12.75" customHeight="1" x14ac:dyDescent="0.2">
      <c r="A210" s="1236">
        <v>6</v>
      </c>
      <c r="B210" s="1215" t="s">
        <v>1560</v>
      </c>
      <c r="C210" s="1216"/>
      <c r="D210" s="508">
        <v>640</v>
      </c>
      <c r="E210" s="508">
        <v>640</v>
      </c>
      <c r="F210" s="508">
        <v>640</v>
      </c>
      <c r="G210" s="858">
        <v>2279</v>
      </c>
      <c r="H210" s="966">
        <v>640</v>
      </c>
      <c r="I210" s="1237" t="s">
        <v>1461</v>
      </c>
    </row>
    <row r="211" spans="1:9" ht="12.75" customHeight="1" x14ac:dyDescent="0.2">
      <c r="A211" s="1236"/>
      <c r="B211" s="1215"/>
      <c r="C211" s="1216"/>
      <c r="D211" s="508">
        <v>300</v>
      </c>
      <c r="E211" s="508">
        <v>300</v>
      </c>
      <c r="F211" s="508">
        <v>300</v>
      </c>
      <c r="G211" s="858">
        <v>2370</v>
      </c>
      <c r="H211" s="966">
        <v>300</v>
      </c>
      <c r="I211" s="1238"/>
    </row>
    <row r="212" spans="1:9" ht="12.75" customHeight="1" x14ac:dyDescent="0.2">
      <c r="A212" s="1236"/>
      <c r="B212" s="1215"/>
      <c r="C212" s="1216"/>
      <c r="D212" s="508">
        <v>300</v>
      </c>
      <c r="E212" s="508">
        <v>300</v>
      </c>
      <c r="F212" s="508">
        <v>300</v>
      </c>
      <c r="G212" s="858">
        <v>2314</v>
      </c>
      <c r="H212" s="966">
        <v>300</v>
      </c>
      <c r="I212" s="1238"/>
    </row>
    <row r="213" spans="1:9" ht="12.75" customHeight="1" x14ac:dyDescent="0.2">
      <c r="A213" s="1236"/>
      <c r="B213" s="1215"/>
      <c r="C213" s="1216"/>
      <c r="D213" s="508">
        <v>967</v>
      </c>
      <c r="E213" s="508">
        <v>967</v>
      </c>
      <c r="F213" s="508">
        <v>967</v>
      </c>
      <c r="G213" s="858">
        <v>2363</v>
      </c>
      <c r="H213" s="966">
        <v>967</v>
      </c>
      <c r="I213" s="1238"/>
    </row>
    <row r="214" spans="1:9" ht="12.75" customHeight="1" x14ac:dyDescent="0.2">
      <c r="A214" s="1236"/>
      <c r="B214" s="1215"/>
      <c r="C214" s="1216"/>
      <c r="D214" s="508">
        <v>1250</v>
      </c>
      <c r="E214" s="508">
        <v>1250</v>
      </c>
      <c r="F214" s="508">
        <v>1250</v>
      </c>
      <c r="G214" s="858">
        <v>1150</v>
      </c>
      <c r="H214" s="966">
        <v>1250</v>
      </c>
      <c r="I214" s="1238"/>
    </row>
    <row r="215" spans="1:9" ht="12" customHeight="1" x14ac:dyDescent="0.2">
      <c r="A215" s="1225"/>
      <c r="B215" s="1226"/>
      <c r="C215" s="1227"/>
      <c r="D215" s="508">
        <v>300</v>
      </c>
      <c r="E215" s="508">
        <v>300</v>
      </c>
      <c r="F215" s="508">
        <v>300</v>
      </c>
      <c r="G215" s="858">
        <v>1210</v>
      </c>
      <c r="H215" s="966">
        <v>300</v>
      </c>
      <c r="I215" s="1239"/>
    </row>
    <row r="216" spans="1:9" ht="26.25" customHeight="1" x14ac:dyDescent="0.2">
      <c r="A216" s="550">
        <v>7</v>
      </c>
      <c r="B216" s="1195" t="s">
        <v>1561</v>
      </c>
      <c r="C216" s="1196"/>
      <c r="D216" s="508">
        <v>8000</v>
      </c>
      <c r="E216" s="508">
        <v>8000</v>
      </c>
      <c r="F216" s="508">
        <v>4000</v>
      </c>
      <c r="G216" s="858">
        <v>2279</v>
      </c>
      <c r="H216" s="966">
        <v>4000</v>
      </c>
      <c r="I216" s="525" t="s">
        <v>577</v>
      </c>
    </row>
    <row r="217" spans="1:9" x14ac:dyDescent="0.2">
      <c r="A217" s="550">
        <v>8</v>
      </c>
      <c r="B217" s="1275" t="s">
        <v>1562</v>
      </c>
      <c r="C217" s="1275"/>
      <c r="D217" s="508">
        <v>0</v>
      </c>
      <c r="E217" s="508">
        <v>0</v>
      </c>
      <c r="F217" s="508">
        <v>4000</v>
      </c>
      <c r="G217" s="858">
        <v>2279</v>
      </c>
      <c r="H217" s="966">
        <v>4000</v>
      </c>
      <c r="I217" s="525" t="s">
        <v>577</v>
      </c>
    </row>
    <row r="218" spans="1:9" ht="12" customHeight="1" x14ac:dyDescent="0.2">
      <c r="A218" s="1236">
        <v>9</v>
      </c>
      <c r="B218" s="1215" t="s">
        <v>1563</v>
      </c>
      <c r="C218" s="1216"/>
      <c r="D218" s="508">
        <v>50</v>
      </c>
      <c r="E218" s="508">
        <v>50</v>
      </c>
      <c r="F218" s="508">
        <v>50</v>
      </c>
      <c r="G218" s="858">
        <v>2311</v>
      </c>
      <c r="H218" s="966">
        <v>50</v>
      </c>
      <c r="I218" s="1242" t="s">
        <v>1485</v>
      </c>
    </row>
    <row r="219" spans="1:9" ht="12.75" customHeight="1" x14ac:dyDescent="0.2">
      <c r="A219" s="1236"/>
      <c r="B219" s="1215"/>
      <c r="C219" s="1216"/>
      <c r="D219" s="508">
        <v>300</v>
      </c>
      <c r="E219" s="508">
        <v>300</v>
      </c>
      <c r="F219" s="508">
        <v>300</v>
      </c>
      <c r="G219" s="858">
        <v>2231</v>
      </c>
      <c r="H219" s="966">
        <v>300</v>
      </c>
      <c r="I219" s="1243"/>
    </row>
    <row r="220" spans="1:9" ht="12" customHeight="1" x14ac:dyDescent="0.2">
      <c r="A220" s="1225"/>
      <c r="B220" s="1226"/>
      <c r="C220" s="1227"/>
      <c r="D220" s="508">
        <v>300</v>
      </c>
      <c r="E220" s="508">
        <v>300</v>
      </c>
      <c r="F220" s="508">
        <v>150</v>
      </c>
      <c r="G220" s="858">
        <v>2314</v>
      </c>
      <c r="H220" s="966">
        <v>150</v>
      </c>
      <c r="I220" s="1244"/>
    </row>
    <row r="221" spans="1:9" ht="12" customHeight="1" x14ac:dyDescent="0.2">
      <c r="A221" s="863">
        <v>10</v>
      </c>
      <c r="B221" s="1210" t="s">
        <v>1564</v>
      </c>
      <c r="C221" s="1211"/>
      <c r="D221" s="508">
        <v>0</v>
      </c>
      <c r="E221" s="508">
        <v>0</v>
      </c>
      <c r="F221" s="508">
        <v>100</v>
      </c>
      <c r="G221" s="858">
        <v>2314</v>
      </c>
      <c r="H221" s="966">
        <v>100</v>
      </c>
      <c r="I221" s="515" t="s">
        <v>1485</v>
      </c>
    </row>
    <row r="222" spans="1:9" x14ac:dyDescent="0.2">
      <c r="A222" s="1224">
        <v>11</v>
      </c>
      <c r="B222" s="1278" t="s">
        <v>1565</v>
      </c>
      <c r="C222" s="1279"/>
      <c r="D222" s="967">
        <v>1000</v>
      </c>
      <c r="E222" s="508">
        <v>1000</v>
      </c>
      <c r="F222" s="508">
        <v>500</v>
      </c>
      <c r="G222" s="858">
        <v>2231</v>
      </c>
      <c r="H222" s="966">
        <v>500</v>
      </c>
      <c r="I222" s="1242" t="s">
        <v>1566</v>
      </c>
    </row>
    <row r="223" spans="1:9" ht="12" customHeight="1" x14ac:dyDescent="0.2">
      <c r="A223" s="1225"/>
      <c r="B223" s="1257"/>
      <c r="C223" s="1258"/>
      <c r="D223" s="967">
        <v>1000</v>
      </c>
      <c r="E223" s="508">
        <v>1000</v>
      </c>
      <c r="F223" s="508">
        <v>1000</v>
      </c>
      <c r="G223" s="858">
        <v>2314</v>
      </c>
      <c r="H223" s="966">
        <v>1000</v>
      </c>
      <c r="I223" s="1244"/>
    </row>
    <row r="224" spans="1:9" ht="12.75" customHeight="1" x14ac:dyDescent="0.2">
      <c r="A224" s="550">
        <v>12</v>
      </c>
      <c r="B224" s="1275" t="s">
        <v>1567</v>
      </c>
      <c r="C224" s="1275"/>
      <c r="D224" s="967">
        <v>5000</v>
      </c>
      <c r="E224" s="508">
        <v>5000</v>
      </c>
      <c r="F224" s="508">
        <v>4000</v>
      </c>
      <c r="G224" s="858">
        <v>2314</v>
      </c>
      <c r="H224" s="966">
        <v>4000</v>
      </c>
      <c r="I224" s="526" t="s">
        <v>1461</v>
      </c>
    </row>
    <row r="225" spans="1:9" x14ac:dyDescent="0.2">
      <c r="A225" s="1274">
        <v>13</v>
      </c>
      <c r="B225" s="1275" t="s">
        <v>1568</v>
      </c>
      <c r="C225" s="1275"/>
      <c r="D225" s="967">
        <v>0</v>
      </c>
      <c r="E225" s="508">
        <v>0</v>
      </c>
      <c r="F225" s="947">
        <v>2000</v>
      </c>
      <c r="G225" s="858">
        <v>2314</v>
      </c>
      <c r="H225" s="968">
        <v>1445</v>
      </c>
      <c r="I225" s="1242" t="s">
        <v>1566</v>
      </c>
    </row>
    <row r="226" spans="1:9" x14ac:dyDescent="0.2">
      <c r="A226" s="1274"/>
      <c r="B226" s="1275"/>
      <c r="C226" s="1275"/>
      <c r="D226" s="967">
        <v>20000</v>
      </c>
      <c r="E226" s="508">
        <v>20000</v>
      </c>
      <c r="F226" s="508">
        <v>13000</v>
      </c>
      <c r="G226" s="858">
        <v>6422</v>
      </c>
      <c r="H226" s="968">
        <v>3950</v>
      </c>
      <c r="I226" s="1244"/>
    </row>
    <row r="227" spans="1:9" x14ac:dyDescent="0.2">
      <c r="A227" s="1274">
        <v>14</v>
      </c>
      <c r="B227" s="1275" t="s">
        <v>1569</v>
      </c>
      <c r="C227" s="1275"/>
      <c r="D227" s="967">
        <v>0</v>
      </c>
      <c r="E227" s="508">
        <v>0</v>
      </c>
      <c r="F227" s="508">
        <v>3000</v>
      </c>
      <c r="G227" s="858">
        <v>2314</v>
      </c>
      <c r="H227" s="966">
        <v>3000</v>
      </c>
      <c r="I227" s="1237" t="s">
        <v>1461</v>
      </c>
    </row>
    <row r="228" spans="1:9" ht="12" customHeight="1" x14ac:dyDescent="0.2">
      <c r="A228" s="1274"/>
      <c r="B228" s="1275"/>
      <c r="C228" s="1275"/>
      <c r="D228" s="967">
        <v>19750</v>
      </c>
      <c r="E228" s="508">
        <v>19750</v>
      </c>
      <c r="F228" s="508">
        <v>25000</v>
      </c>
      <c r="G228" s="858">
        <v>6422</v>
      </c>
      <c r="H228" s="966">
        <v>20000</v>
      </c>
      <c r="I228" s="1239"/>
    </row>
    <row r="229" spans="1:9" ht="12" customHeight="1" x14ac:dyDescent="0.2">
      <c r="A229" s="550">
        <v>15</v>
      </c>
      <c r="B229" s="1275" t="s">
        <v>1570</v>
      </c>
      <c r="C229" s="1275"/>
      <c r="D229" s="967">
        <v>2000</v>
      </c>
      <c r="E229" s="508">
        <v>2000</v>
      </c>
      <c r="F229" s="508">
        <v>1500</v>
      </c>
      <c r="G229" s="858">
        <v>2314</v>
      </c>
      <c r="H229" s="966">
        <v>1500</v>
      </c>
      <c r="I229" s="525" t="s">
        <v>1456</v>
      </c>
    </row>
    <row r="230" spans="1:9" ht="26.25" customHeight="1" x14ac:dyDescent="0.2">
      <c r="A230" s="550">
        <v>16</v>
      </c>
      <c r="B230" s="1275" t="s">
        <v>1571</v>
      </c>
      <c r="C230" s="1275"/>
      <c r="D230" s="961">
        <v>300</v>
      </c>
      <c r="E230" s="951">
        <v>300</v>
      </c>
      <c r="F230" s="952">
        <v>300</v>
      </c>
      <c r="G230" s="868">
        <v>2314</v>
      </c>
      <c r="H230" s="549">
        <v>300</v>
      </c>
      <c r="I230" s="969" t="s">
        <v>1572</v>
      </c>
    </row>
    <row r="231" spans="1:9" ht="27" customHeight="1" x14ac:dyDescent="0.2">
      <c r="A231" s="1274">
        <v>17</v>
      </c>
      <c r="B231" s="1275" t="s">
        <v>1573</v>
      </c>
      <c r="C231" s="1275"/>
      <c r="D231" s="961">
        <v>177</v>
      </c>
      <c r="E231" s="951">
        <v>177</v>
      </c>
      <c r="F231" s="952">
        <v>500</v>
      </c>
      <c r="G231" s="868">
        <v>1150</v>
      </c>
      <c r="H231" s="859">
        <v>300</v>
      </c>
      <c r="I231" s="1228" t="s">
        <v>1510</v>
      </c>
    </row>
    <row r="232" spans="1:9" ht="12" customHeight="1" x14ac:dyDescent="0.2">
      <c r="A232" s="1274"/>
      <c r="B232" s="1275"/>
      <c r="C232" s="1275"/>
      <c r="D232" s="961">
        <v>0</v>
      </c>
      <c r="E232" s="951">
        <v>0</v>
      </c>
      <c r="F232" s="952">
        <v>200</v>
      </c>
      <c r="G232" s="868">
        <v>2314</v>
      </c>
      <c r="H232" s="859">
        <v>100</v>
      </c>
      <c r="I232" s="1229"/>
    </row>
    <row r="233" spans="1:9" ht="12.75" customHeight="1" x14ac:dyDescent="0.2">
      <c r="A233" s="1274">
        <v>18</v>
      </c>
      <c r="B233" s="1275" t="s">
        <v>1574</v>
      </c>
      <c r="C233" s="1275"/>
      <c r="D233" s="961">
        <v>0</v>
      </c>
      <c r="E233" s="951">
        <v>0</v>
      </c>
      <c r="F233" s="952">
        <v>2800</v>
      </c>
      <c r="G233" s="623">
        <v>2231</v>
      </c>
      <c r="H233" s="859">
        <v>2800</v>
      </c>
      <c r="I233" s="1265" t="s">
        <v>1456</v>
      </c>
    </row>
    <row r="234" spans="1:9" ht="12.75" customHeight="1" x14ac:dyDescent="0.2">
      <c r="A234" s="1274"/>
      <c r="B234" s="1275"/>
      <c r="C234" s="1275"/>
      <c r="D234" s="961">
        <v>0</v>
      </c>
      <c r="E234" s="951">
        <v>0</v>
      </c>
      <c r="F234" s="952">
        <v>920</v>
      </c>
      <c r="G234" s="623">
        <v>1150</v>
      </c>
      <c r="H234" s="859">
        <v>920</v>
      </c>
      <c r="I234" s="1266"/>
    </row>
    <row r="235" spans="1:9" ht="12" customHeight="1" x14ac:dyDescent="0.2">
      <c r="A235" s="1274"/>
      <c r="B235" s="1275"/>
      <c r="C235" s="1275"/>
      <c r="D235" s="961">
        <v>0</v>
      </c>
      <c r="E235" s="951">
        <v>0</v>
      </c>
      <c r="F235" s="952">
        <v>280</v>
      </c>
      <c r="G235" s="623">
        <v>2231</v>
      </c>
      <c r="H235" s="859">
        <v>280</v>
      </c>
      <c r="I235" s="1267"/>
    </row>
    <row r="236" spans="1:9" ht="12.75" customHeight="1" x14ac:dyDescent="0.2">
      <c r="A236" s="1274">
        <v>19</v>
      </c>
      <c r="B236" s="1275" t="s">
        <v>1575</v>
      </c>
      <c r="C236" s="1275"/>
      <c r="D236" s="961">
        <v>0</v>
      </c>
      <c r="E236" s="951">
        <v>0</v>
      </c>
      <c r="F236" s="952">
        <v>500</v>
      </c>
      <c r="G236" s="868">
        <v>2231</v>
      </c>
      <c r="H236" s="549">
        <v>500</v>
      </c>
      <c r="I236" s="1265" t="s">
        <v>1456</v>
      </c>
    </row>
    <row r="237" spans="1:9" ht="12.75" customHeight="1" x14ac:dyDescent="0.2">
      <c r="A237" s="1274"/>
      <c r="B237" s="1275"/>
      <c r="C237" s="1275"/>
      <c r="D237" s="961">
        <v>0</v>
      </c>
      <c r="E237" s="951">
        <v>0</v>
      </c>
      <c r="F237" s="952">
        <v>128</v>
      </c>
      <c r="G237" s="868">
        <v>2231</v>
      </c>
      <c r="H237" s="549">
        <v>128</v>
      </c>
      <c r="I237" s="1266"/>
    </row>
    <row r="238" spans="1:9" ht="12" customHeight="1" x14ac:dyDescent="0.2">
      <c r="A238" s="1274"/>
      <c r="B238" s="1275"/>
      <c r="C238" s="1275"/>
      <c r="D238" s="961">
        <v>0</v>
      </c>
      <c r="E238" s="951">
        <v>0</v>
      </c>
      <c r="F238" s="952">
        <v>2000</v>
      </c>
      <c r="G238" s="868">
        <v>1150</v>
      </c>
      <c r="H238" s="549">
        <v>2000</v>
      </c>
      <c r="I238" s="1267"/>
    </row>
    <row r="239" spans="1:9" ht="12.75" customHeight="1" x14ac:dyDescent="0.2">
      <c r="A239" s="1274">
        <v>20</v>
      </c>
      <c r="B239" s="1275" t="s">
        <v>1576</v>
      </c>
      <c r="C239" s="1275"/>
      <c r="D239" s="961">
        <v>1200</v>
      </c>
      <c r="E239" s="951">
        <v>1200</v>
      </c>
      <c r="F239" s="952">
        <v>1200</v>
      </c>
      <c r="G239" s="868">
        <v>2314</v>
      </c>
      <c r="H239" s="549">
        <v>1200</v>
      </c>
      <c r="I239" s="1228" t="s">
        <v>1555</v>
      </c>
    </row>
    <row r="240" spans="1:9" ht="12.75" customHeight="1" x14ac:dyDescent="0.2">
      <c r="A240" s="1274"/>
      <c r="B240" s="1275"/>
      <c r="C240" s="1275"/>
      <c r="D240" s="961">
        <v>400</v>
      </c>
      <c r="E240" s="951">
        <v>400</v>
      </c>
      <c r="F240" s="952">
        <v>400</v>
      </c>
      <c r="G240" s="868">
        <v>2279</v>
      </c>
      <c r="H240" s="549">
        <v>400</v>
      </c>
      <c r="I240" s="1256"/>
    </row>
    <row r="241" spans="1:9" ht="12.75" customHeight="1" x14ac:dyDescent="0.2">
      <c r="A241" s="1274"/>
      <c r="B241" s="1275"/>
      <c r="C241" s="1275"/>
      <c r="D241" s="961">
        <v>300</v>
      </c>
      <c r="E241" s="951">
        <v>300</v>
      </c>
      <c r="F241" s="952">
        <v>300</v>
      </c>
      <c r="G241" s="868">
        <v>2261</v>
      </c>
      <c r="H241" s="549">
        <v>300</v>
      </c>
      <c r="I241" s="1256"/>
    </row>
    <row r="242" spans="1:9" ht="12.75" customHeight="1" x14ac:dyDescent="0.2">
      <c r="A242" s="1274"/>
      <c r="B242" s="1275"/>
      <c r="C242" s="1275"/>
      <c r="D242" s="961">
        <v>400</v>
      </c>
      <c r="E242" s="951">
        <v>400</v>
      </c>
      <c r="F242" s="952">
        <v>400</v>
      </c>
      <c r="G242" s="868">
        <v>2363</v>
      </c>
      <c r="H242" s="549">
        <v>400</v>
      </c>
      <c r="I242" s="1256"/>
    </row>
    <row r="243" spans="1:9" ht="12.75" customHeight="1" x14ac:dyDescent="0.2">
      <c r="A243" s="1274"/>
      <c r="B243" s="1275"/>
      <c r="C243" s="1275"/>
      <c r="D243" s="961">
        <v>180</v>
      </c>
      <c r="E243" s="951">
        <v>180</v>
      </c>
      <c r="F243" s="952">
        <v>180</v>
      </c>
      <c r="G243" s="868">
        <v>2322</v>
      </c>
      <c r="H243" s="549">
        <v>180</v>
      </c>
      <c r="I243" s="1256"/>
    </row>
    <row r="244" spans="1:9" x14ac:dyDescent="0.2">
      <c r="A244" s="1274"/>
      <c r="B244" s="1275"/>
      <c r="C244" s="1275"/>
      <c r="D244" s="961">
        <v>680</v>
      </c>
      <c r="E244" s="951">
        <v>680</v>
      </c>
      <c r="F244" s="952">
        <v>680</v>
      </c>
      <c r="G244" s="868">
        <v>2231</v>
      </c>
      <c r="H244" s="549">
        <v>680</v>
      </c>
      <c r="I244" s="1229"/>
    </row>
    <row r="245" spans="1:9" ht="12.75" customHeight="1" x14ac:dyDescent="0.2">
      <c r="A245" s="1274">
        <v>21</v>
      </c>
      <c r="B245" s="1275" t="s">
        <v>1577</v>
      </c>
      <c r="C245" s="1275"/>
      <c r="D245" s="961">
        <v>2120</v>
      </c>
      <c r="E245" s="951">
        <v>2120</v>
      </c>
      <c r="F245" s="952">
        <v>2120</v>
      </c>
      <c r="G245" s="868">
        <v>1150</v>
      </c>
      <c r="H245" s="549">
        <v>2120</v>
      </c>
      <c r="I245" s="1228" t="s">
        <v>1555</v>
      </c>
    </row>
    <row r="246" spans="1:9" ht="12.75" customHeight="1" x14ac:dyDescent="0.2">
      <c r="A246" s="1274"/>
      <c r="B246" s="1275"/>
      <c r="C246" s="1275"/>
      <c r="D246" s="961">
        <v>520</v>
      </c>
      <c r="E246" s="951">
        <v>520</v>
      </c>
      <c r="F246" s="952">
        <v>520</v>
      </c>
      <c r="G246" s="868">
        <v>1210</v>
      </c>
      <c r="H246" s="549">
        <v>520</v>
      </c>
      <c r="I246" s="1256"/>
    </row>
    <row r="247" spans="1:9" ht="12.75" customHeight="1" x14ac:dyDescent="0.2">
      <c r="A247" s="1274"/>
      <c r="B247" s="1275"/>
      <c r="C247" s="1275"/>
      <c r="D247" s="961">
        <v>400</v>
      </c>
      <c r="E247" s="951">
        <v>400</v>
      </c>
      <c r="F247" s="952">
        <v>800</v>
      </c>
      <c r="G247" s="868">
        <v>2314</v>
      </c>
      <c r="H247" s="859">
        <v>400</v>
      </c>
      <c r="I247" s="1256"/>
    </row>
    <row r="248" spans="1:9" ht="12.75" customHeight="1" x14ac:dyDescent="0.2">
      <c r="A248" s="1274"/>
      <c r="B248" s="1275"/>
      <c r="C248" s="1275"/>
      <c r="D248" s="961">
        <v>961</v>
      </c>
      <c r="E248" s="951">
        <v>961</v>
      </c>
      <c r="F248" s="952">
        <v>961</v>
      </c>
      <c r="G248" s="868">
        <v>2279</v>
      </c>
      <c r="H248" s="549">
        <v>961</v>
      </c>
      <c r="I248" s="1256"/>
    </row>
    <row r="249" spans="1:9" ht="12.75" customHeight="1" x14ac:dyDescent="0.2">
      <c r="A249" s="1274"/>
      <c r="B249" s="1275"/>
      <c r="C249" s="1275"/>
      <c r="D249" s="961">
        <v>200</v>
      </c>
      <c r="E249" s="951">
        <v>200</v>
      </c>
      <c r="F249" s="952">
        <v>200</v>
      </c>
      <c r="G249" s="868">
        <v>2322</v>
      </c>
      <c r="H249" s="549">
        <v>200</v>
      </c>
      <c r="I249" s="1256"/>
    </row>
    <row r="250" spans="1:9" ht="12.75" customHeight="1" x14ac:dyDescent="0.2">
      <c r="A250" s="1274"/>
      <c r="B250" s="1275"/>
      <c r="C250" s="1275"/>
      <c r="D250" s="961">
        <v>720</v>
      </c>
      <c r="E250" s="951">
        <v>720</v>
      </c>
      <c r="F250" s="952">
        <v>720</v>
      </c>
      <c r="G250" s="868">
        <v>2262</v>
      </c>
      <c r="H250" s="549">
        <v>720</v>
      </c>
      <c r="I250" s="1256"/>
    </row>
    <row r="251" spans="1:9" ht="14.25" customHeight="1" x14ac:dyDescent="0.2">
      <c r="A251" s="1274"/>
      <c r="B251" s="1275"/>
      <c r="C251" s="1275"/>
      <c r="D251" s="961">
        <v>1797</v>
      </c>
      <c r="E251" s="951">
        <v>1797</v>
      </c>
      <c r="F251" s="952">
        <v>1600</v>
      </c>
      <c r="G251" s="868">
        <v>2235</v>
      </c>
      <c r="H251" s="549">
        <v>1600</v>
      </c>
      <c r="I251" s="1229"/>
    </row>
    <row r="252" spans="1:9" ht="26.25" customHeight="1" x14ac:dyDescent="0.2">
      <c r="A252" s="550">
        <v>22</v>
      </c>
      <c r="B252" s="1275" t="s">
        <v>1578</v>
      </c>
      <c r="C252" s="1275"/>
      <c r="D252" s="961">
        <v>1500</v>
      </c>
      <c r="E252" s="951">
        <v>1500</v>
      </c>
      <c r="F252" s="952">
        <v>1500</v>
      </c>
      <c r="G252" s="510">
        <v>2235</v>
      </c>
      <c r="H252" s="549">
        <v>1500</v>
      </c>
      <c r="I252" s="542" t="s">
        <v>1555</v>
      </c>
    </row>
    <row r="253" spans="1:9" x14ac:dyDescent="0.2">
      <c r="A253" s="860">
        <v>23</v>
      </c>
      <c r="B253" s="1226" t="s">
        <v>1579</v>
      </c>
      <c r="C253" s="1227"/>
      <c r="D253" s="951">
        <v>5000</v>
      </c>
      <c r="E253" s="951">
        <v>5000</v>
      </c>
      <c r="F253" s="952">
        <v>4000</v>
      </c>
      <c r="G253" s="970">
        <v>2279</v>
      </c>
      <c r="H253" s="549">
        <v>4000</v>
      </c>
      <c r="I253" s="542" t="s">
        <v>1555</v>
      </c>
    </row>
    <row r="254" spans="1:9" ht="26.25" customHeight="1" x14ac:dyDescent="0.2">
      <c r="A254" s="550">
        <v>24</v>
      </c>
      <c r="B254" s="1195" t="s">
        <v>1580</v>
      </c>
      <c r="C254" s="1196"/>
      <c r="D254" s="951">
        <v>1500</v>
      </c>
      <c r="E254" s="951">
        <v>1500</v>
      </c>
      <c r="F254" s="952">
        <v>1500</v>
      </c>
      <c r="G254" s="868">
        <v>2252</v>
      </c>
      <c r="H254" s="549">
        <v>1500</v>
      </c>
      <c r="I254" s="542" t="s">
        <v>1581</v>
      </c>
    </row>
    <row r="255" spans="1:9" ht="12" customHeight="1" x14ac:dyDescent="0.2">
      <c r="A255" s="1274">
        <v>25</v>
      </c>
      <c r="B255" s="1210" t="s">
        <v>1582</v>
      </c>
      <c r="C255" s="1211"/>
      <c r="D255" s="951">
        <v>524</v>
      </c>
      <c r="E255" s="951">
        <v>524</v>
      </c>
      <c r="F255" s="952">
        <v>524</v>
      </c>
      <c r="G255" s="868">
        <v>1150</v>
      </c>
      <c r="H255" s="549">
        <v>524</v>
      </c>
      <c r="I255" s="1228" t="s">
        <v>1555</v>
      </c>
    </row>
    <row r="256" spans="1:9" ht="12.75" customHeight="1" x14ac:dyDescent="0.2">
      <c r="A256" s="1274"/>
      <c r="B256" s="1215"/>
      <c r="C256" s="1216"/>
      <c r="D256" s="951">
        <v>300</v>
      </c>
      <c r="E256" s="951">
        <v>300</v>
      </c>
      <c r="F256" s="952">
        <v>300</v>
      </c>
      <c r="G256" s="868">
        <v>2279</v>
      </c>
      <c r="H256" s="549">
        <v>300</v>
      </c>
      <c r="I256" s="1256"/>
    </row>
    <row r="257" spans="1:9" ht="12.75" customHeight="1" x14ac:dyDescent="0.2">
      <c r="A257" s="1274"/>
      <c r="B257" s="1215"/>
      <c r="C257" s="1216"/>
      <c r="D257" s="951">
        <v>16</v>
      </c>
      <c r="E257" s="951">
        <v>16</v>
      </c>
      <c r="F257" s="952">
        <v>16</v>
      </c>
      <c r="G257" s="868">
        <v>2322</v>
      </c>
      <c r="H257" s="549">
        <v>16</v>
      </c>
      <c r="I257" s="1256"/>
    </row>
    <row r="258" spans="1:9" ht="12.75" customHeight="1" x14ac:dyDescent="0.2">
      <c r="A258" s="1274"/>
      <c r="B258" s="1215"/>
      <c r="C258" s="1216"/>
      <c r="D258" s="951">
        <v>200</v>
      </c>
      <c r="E258" s="951">
        <v>200</v>
      </c>
      <c r="F258" s="952">
        <v>200</v>
      </c>
      <c r="G258" s="868">
        <v>1210</v>
      </c>
      <c r="H258" s="549">
        <v>200</v>
      </c>
      <c r="I258" s="1256"/>
    </row>
    <row r="259" spans="1:9" ht="12" customHeight="1" x14ac:dyDescent="0.2">
      <c r="A259" s="1274"/>
      <c r="B259" s="1226"/>
      <c r="C259" s="1227"/>
      <c r="D259" s="951">
        <v>200</v>
      </c>
      <c r="E259" s="951">
        <v>200</v>
      </c>
      <c r="F259" s="952">
        <v>200</v>
      </c>
      <c r="G259" s="868">
        <v>2314</v>
      </c>
      <c r="H259" s="549">
        <v>200</v>
      </c>
      <c r="I259" s="1229"/>
    </row>
    <row r="260" spans="1:9" x14ac:dyDescent="0.2">
      <c r="A260" s="550">
        <v>26</v>
      </c>
      <c r="B260" s="1195" t="s">
        <v>1583</v>
      </c>
      <c r="C260" s="1196"/>
      <c r="D260" s="508">
        <v>0</v>
      </c>
      <c r="E260" s="508">
        <v>0</v>
      </c>
      <c r="F260" s="508">
        <v>30</v>
      </c>
      <c r="G260" s="858">
        <v>2314</v>
      </c>
      <c r="H260" s="966">
        <v>30</v>
      </c>
      <c r="I260" s="525" t="s">
        <v>1584</v>
      </c>
    </row>
    <row r="261" spans="1:9" x14ac:dyDescent="0.2">
      <c r="A261" s="550">
        <v>27</v>
      </c>
      <c r="B261" s="1195" t="s">
        <v>1585</v>
      </c>
      <c r="C261" s="1196"/>
      <c r="D261" s="508">
        <v>1500</v>
      </c>
      <c r="E261" s="508">
        <v>1500</v>
      </c>
      <c r="F261" s="508">
        <v>1200</v>
      </c>
      <c r="G261" s="858">
        <v>2314</v>
      </c>
      <c r="H261" s="966">
        <v>1200</v>
      </c>
      <c r="I261" s="542" t="s">
        <v>1586</v>
      </c>
    </row>
    <row r="262" spans="1:9" x14ac:dyDescent="0.2">
      <c r="A262" s="1274">
        <v>28</v>
      </c>
      <c r="B262" s="1195" t="s">
        <v>1587</v>
      </c>
      <c r="C262" s="1196"/>
      <c r="D262" s="951">
        <v>300</v>
      </c>
      <c r="E262" s="951">
        <v>300</v>
      </c>
      <c r="F262" s="952">
        <v>300</v>
      </c>
      <c r="G262" s="868">
        <v>2279</v>
      </c>
      <c r="H262" s="549">
        <v>300</v>
      </c>
      <c r="I262" s="1228" t="s">
        <v>1566</v>
      </c>
    </row>
    <row r="263" spans="1:9" ht="12" customHeight="1" x14ac:dyDescent="0.2">
      <c r="A263" s="1274"/>
      <c r="B263" s="1195"/>
      <c r="C263" s="1196"/>
      <c r="D263" s="951">
        <v>500</v>
      </c>
      <c r="E263" s="951">
        <v>500</v>
      </c>
      <c r="F263" s="952">
        <v>500</v>
      </c>
      <c r="G263" s="868">
        <v>2314</v>
      </c>
      <c r="H263" s="549">
        <v>500</v>
      </c>
      <c r="I263" s="1229"/>
    </row>
    <row r="264" spans="1:9" ht="12.75" customHeight="1" x14ac:dyDescent="0.2">
      <c r="A264" s="1274">
        <v>29</v>
      </c>
      <c r="B264" s="1195" t="s">
        <v>1588</v>
      </c>
      <c r="C264" s="1196"/>
      <c r="D264" s="951">
        <v>400</v>
      </c>
      <c r="E264" s="951">
        <v>400</v>
      </c>
      <c r="F264" s="952">
        <v>400</v>
      </c>
      <c r="G264" s="868">
        <v>1150</v>
      </c>
      <c r="H264" s="549">
        <v>400</v>
      </c>
      <c r="I264" s="1228" t="s">
        <v>1566</v>
      </c>
    </row>
    <row r="265" spans="1:9" ht="12" customHeight="1" x14ac:dyDescent="0.2">
      <c r="A265" s="1274"/>
      <c r="B265" s="1195"/>
      <c r="C265" s="1196"/>
      <c r="D265" s="951">
        <v>95</v>
      </c>
      <c r="E265" s="951">
        <v>95</v>
      </c>
      <c r="F265" s="952">
        <v>95</v>
      </c>
      <c r="G265" s="868">
        <v>1210</v>
      </c>
      <c r="H265" s="549">
        <v>95</v>
      </c>
      <c r="I265" s="1229"/>
    </row>
    <row r="266" spans="1:9" ht="12.75" customHeight="1" x14ac:dyDescent="0.2">
      <c r="A266" s="1282">
        <v>30</v>
      </c>
      <c r="B266" s="1195" t="s">
        <v>1589</v>
      </c>
      <c r="C266" s="1196"/>
      <c r="D266" s="951">
        <v>5170</v>
      </c>
      <c r="E266" s="951">
        <v>5170</v>
      </c>
      <c r="F266" s="952">
        <v>5170</v>
      </c>
      <c r="G266" s="868">
        <v>1150</v>
      </c>
      <c r="H266" s="549">
        <v>5170</v>
      </c>
      <c r="I266" s="1228" t="s">
        <v>1491</v>
      </c>
    </row>
    <row r="267" spans="1:9" ht="12.75" customHeight="1" x14ac:dyDescent="0.2">
      <c r="A267" s="1282"/>
      <c r="B267" s="1195"/>
      <c r="C267" s="1196"/>
      <c r="D267" s="951">
        <v>1326</v>
      </c>
      <c r="E267" s="951">
        <v>1326</v>
      </c>
      <c r="F267" s="952">
        <v>1326</v>
      </c>
      <c r="G267" s="868">
        <v>1210</v>
      </c>
      <c r="H267" s="549">
        <v>1326</v>
      </c>
      <c r="I267" s="1229"/>
    </row>
    <row r="268" spans="1:9" ht="12" customHeight="1" x14ac:dyDescent="0.2">
      <c r="A268" s="488"/>
      <c r="D268" s="889"/>
      <c r="E268" s="889"/>
      <c r="F268" s="889"/>
      <c r="G268" s="971"/>
      <c r="H268" s="889"/>
      <c r="I268" s="889"/>
    </row>
    <row r="269" spans="1:9" x14ac:dyDescent="0.2">
      <c r="A269" s="1079" t="s">
        <v>6</v>
      </c>
      <c r="B269" s="1079"/>
      <c r="C269" s="554" t="s">
        <v>1590</v>
      </c>
      <c r="D269" s="554"/>
      <c r="E269" s="554"/>
      <c r="F269" s="554"/>
      <c r="G269" s="972"/>
      <c r="H269" s="554"/>
      <c r="I269" s="554"/>
    </row>
    <row r="270" spans="1:9" x14ac:dyDescent="0.2">
      <c r="A270" s="554" t="s">
        <v>5</v>
      </c>
      <c r="C270" s="973" t="s">
        <v>1591</v>
      </c>
      <c r="D270" s="554"/>
      <c r="E270" s="554"/>
      <c r="F270" s="554"/>
      <c r="G270" s="972"/>
      <c r="H270" s="554"/>
      <c r="I270" s="554"/>
    </row>
    <row r="271" spans="1:9" ht="62.25" customHeight="1" x14ac:dyDescent="0.2">
      <c r="A271" s="500" t="s">
        <v>4</v>
      </c>
      <c r="B271" s="1190" t="s">
        <v>3</v>
      </c>
      <c r="C271" s="1191"/>
      <c r="D271" s="500" t="s">
        <v>11</v>
      </c>
      <c r="E271" s="500" t="s">
        <v>12</v>
      </c>
      <c r="F271" s="500" t="s">
        <v>13</v>
      </c>
      <c r="G271" s="500" t="s">
        <v>2</v>
      </c>
      <c r="H271" s="424" t="s">
        <v>180</v>
      </c>
      <c r="I271" s="500" t="s">
        <v>1</v>
      </c>
    </row>
    <row r="272" spans="1:9" x14ac:dyDescent="0.2">
      <c r="A272" s="1192" t="s">
        <v>14</v>
      </c>
      <c r="B272" s="1193"/>
      <c r="C272" s="1194"/>
      <c r="D272" s="503">
        <f>SUM(D273:D274)</f>
        <v>2800</v>
      </c>
      <c r="E272" s="503">
        <f>SUM(E273:E274)</f>
        <v>2559</v>
      </c>
      <c r="F272" s="503">
        <f>SUM(F273:F274)</f>
        <v>1950</v>
      </c>
      <c r="G272" s="503"/>
      <c r="H272" s="503">
        <f>SUM(H273:H274)</f>
        <v>1950</v>
      </c>
      <c r="I272" s="503"/>
    </row>
    <row r="273" spans="1:9" ht="12" customHeight="1" x14ac:dyDescent="0.2">
      <c r="A273" s="974">
        <v>1</v>
      </c>
      <c r="B273" s="1280" t="s">
        <v>1592</v>
      </c>
      <c r="C273" s="1281"/>
      <c r="D273" s="523">
        <v>329</v>
      </c>
      <c r="E273" s="523">
        <v>329</v>
      </c>
      <c r="F273" s="523">
        <v>350</v>
      </c>
      <c r="G273" s="867">
        <v>2370</v>
      </c>
      <c r="H273" s="523">
        <v>350</v>
      </c>
      <c r="I273" s="542" t="s">
        <v>183</v>
      </c>
    </row>
    <row r="274" spans="1:9" ht="12" customHeight="1" x14ac:dyDescent="0.2">
      <c r="A274" s="974">
        <v>2</v>
      </c>
      <c r="B274" s="1280" t="s">
        <v>1593</v>
      </c>
      <c r="C274" s="1281"/>
      <c r="D274" s="523">
        <v>2471</v>
      </c>
      <c r="E274" s="523">
        <v>2230</v>
      </c>
      <c r="F274" s="523">
        <v>1600</v>
      </c>
      <c r="G274" s="867">
        <v>2239</v>
      </c>
      <c r="H274" s="523">
        <v>1600</v>
      </c>
      <c r="I274" s="542" t="s">
        <v>183</v>
      </c>
    </row>
    <row r="275" spans="1:9" x14ac:dyDescent="0.2">
      <c r="A275" s="488"/>
      <c r="B275" s="888"/>
      <c r="C275" s="888"/>
      <c r="D275" s="889"/>
      <c r="E275" s="889"/>
      <c r="F275" s="889"/>
      <c r="G275" s="889"/>
      <c r="H275" s="889"/>
      <c r="I275" s="889"/>
    </row>
    <row r="276" spans="1:9" x14ac:dyDescent="0.2">
      <c r="A276" s="1079" t="s">
        <v>6</v>
      </c>
      <c r="B276" s="1079"/>
      <c r="C276" s="554" t="s">
        <v>1594</v>
      </c>
      <c r="D276" s="554"/>
      <c r="E276" s="554"/>
      <c r="F276" s="554"/>
      <c r="G276" s="554"/>
      <c r="H276" s="554"/>
      <c r="I276" s="554"/>
    </row>
    <row r="277" spans="1:9" x14ac:dyDescent="0.2">
      <c r="A277" s="554" t="s">
        <v>5</v>
      </c>
      <c r="C277" s="973" t="s">
        <v>1595</v>
      </c>
      <c r="D277" s="554"/>
      <c r="E277" s="554"/>
      <c r="F277" s="554"/>
      <c r="G277" s="554"/>
      <c r="H277" s="554"/>
      <c r="I277" s="554"/>
    </row>
    <row r="278" spans="1:9" ht="59.25" customHeight="1" x14ac:dyDescent="0.2">
      <c r="A278" s="500" t="s">
        <v>4</v>
      </c>
      <c r="B278" s="1190" t="s">
        <v>3</v>
      </c>
      <c r="C278" s="1191"/>
      <c r="D278" s="500" t="s">
        <v>11</v>
      </c>
      <c r="E278" s="500" t="s">
        <v>12</v>
      </c>
      <c r="F278" s="500" t="s">
        <v>13</v>
      </c>
      <c r="G278" s="500" t="s">
        <v>2</v>
      </c>
      <c r="H278" s="424" t="s">
        <v>180</v>
      </c>
      <c r="I278" s="500" t="s">
        <v>1</v>
      </c>
    </row>
    <row r="279" spans="1:9" ht="12" customHeight="1" x14ac:dyDescent="0.2">
      <c r="A279" s="1192" t="s">
        <v>14</v>
      </c>
      <c r="B279" s="1193"/>
      <c r="C279" s="1194"/>
      <c r="D279" s="503">
        <f>SUM(D280:D280)</f>
        <v>0</v>
      </c>
      <c r="E279" s="503">
        <f>SUM(E280:E280)</f>
        <v>0</v>
      </c>
      <c r="F279" s="503">
        <f>SUM(F280:F280)</f>
        <v>105000</v>
      </c>
      <c r="G279" s="503"/>
      <c r="H279" s="503">
        <f>SUM(H280:H280)</f>
        <v>86000</v>
      </c>
      <c r="I279" s="503"/>
    </row>
    <row r="280" spans="1:9" x14ac:dyDescent="0.2">
      <c r="A280" s="550">
        <v>1</v>
      </c>
      <c r="B280" s="1195" t="s">
        <v>1596</v>
      </c>
      <c r="C280" s="1196"/>
      <c r="D280" s="549"/>
      <c r="E280" s="549"/>
      <c r="F280" s="549">
        <v>105000</v>
      </c>
      <c r="G280" s="868">
        <v>3262</v>
      </c>
      <c r="H280" s="859">
        <v>86000</v>
      </c>
      <c r="I280" s="542" t="s">
        <v>183</v>
      </c>
    </row>
    <row r="281" spans="1:9" x14ac:dyDescent="0.2">
      <c r="A281" s="975"/>
      <c r="B281" s="976"/>
      <c r="C281" s="976"/>
      <c r="D281" s="900"/>
      <c r="E281" s="900"/>
      <c r="F281" s="900"/>
      <c r="H281" s="900"/>
      <c r="I281" s="900"/>
    </row>
    <row r="282" spans="1:9" x14ac:dyDescent="0.2">
      <c r="A282" s="485" t="s">
        <v>399</v>
      </c>
      <c r="B282" s="977"/>
      <c r="C282" s="978"/>
    </row>
    <row r="283" spans="1:9" x14ac:dyDescent="0.2">
      <c r="A283" s="1" t="s">
        <v>1338</v>
      </c>
      <c r="B283" s="1"/>
      <c r="C283" s="978"/>
    </row>
    <row r="284" spans="1:9" x14ac:dyDescent="0.2">
      <c r="A284" s="1"/>
      <c r="B284" s="1" t="s">
        <v>1435</v>
      </c>
      <c r="C284" s="978"/>
    </row>
    <row r="285" spans="1:9" x14ac:dyDescent="0.2">
      <c r="A285" s="1"/>
      <c r="B285" s="1"/>
      <c r="C285" s="979" t="s">
        <v>1436</v>
      </c>
    </row>
    <row r="286" spans="1:9" x14ac:dyDescent="0.2">
      <c r="A286" s="1"/>
      <c r="B286" s="1" t="s">
        <v>1597</v>
      </c>
      <c r="C286" s="978"/>
    </row>
    <row r="287" spans="1:9" x14ac:dyDescent="0.2">
      <c r="A287" s="1"/>
      <c r="B287" s="1"/>
      <c r="C287" s="979" t="s">
        <v>1598</v>
      </c>
    </row>
    <row r="288" spans="1:9" x14ac:dyDescent="0.2">
      <c r="A288" s="1"/>
      <c r="B288" s="1" t="s">
        <v>1599</v>
      </c>
      <c r="C288" s="979"/>
    </row>
    <row r="289" spans="1:3" x14ac:dyDescent="0.2">
      <c r="A289" s="1"/>
      <c r="B289" s="1"/>
      <c r="C289" s="979" t="s">
        <v>1600</v>
      </c>
    </row>
    <row r="290" spans="1:3" x14ac:dyDescent="0.2">
      <c r="A290" s="1"/>
      <c r="B290" s="1"/>
      <c r="C290" s="979" t="s">
        <v>1601</v>
      </c>
    </row>
    <row r="291" spans="1:3" x14ac:dyDescent="0.2">
      <c r="A291" s="1"/>
      <c r="B291" s="1" t="s">
        <v>1602</v>
      </c>
      <c r="C291" s="979"/>
    </row>
    <row r="292" spans="1:3" x14ac:dyDescent="0.2">
      <c r="A292" s="1"/>
      <c r="B292" s="1"/>
      <c r="C292" s="979" t="s">
        <v>1603</v>
      </c>
    </row>
    <row r="293" spans="1:3" x14ac:dyDescent="0.2">
      <c r="A293" s="1"/>
      <c r="B293" s="1"/>
      <c r="C293" s="979" t="s">
        <v>1604</v>
      </c>
    </row>
    <row r="294" spans="1:3" x14ac:dyDescent="0.2">
      <c r="A294" s="1"/>
      <c r="B294" s="1"/>
      <c r="C294" s="979" t="s">
        <v>1605</v>
      </c>
    </row>
    <row r="295" spans="1:3" x14ac:dyDescent="0.2">
      <c r="A295" s="1"/>
      <c r="B295" s="1"/>
      <c r="C295" s="979" t="s">
        <v>1606</v>
      </c>
    </row>
    <row r="296" spans="1:3" x14ac:dyDescent="0.2">
      <c r="A296" s="1"/>
      <c r="B296" s="1"/>
      <c r="C296" s="979" t="s">
        <v>1607</v>
      </c>
    </row>
    <row r="297" spans="1:3" x14ac:dyDescent="0.2">
      <c r="A297" s="1"/>
      <c r="B297" s="1" t="s">
        <v>1608</v>
      </c>
      <c r="C297" s="978"/>
    </row>
    <row r="298" spans="1:3" x14ac:dyDescent="0.2">
      <c r="A298" s="1"/>
      <c r="B298" s="1"/>
      <c r="C298" s="1" t="s">
        <v>1609</v>
      </c>
    </row>
    <row r="299" spans="1:3" x14ac:dyDescent="0.2">
      <c r="A299" s="1"/>
      <c r="C299" s="1" t="s">
        <v>1610</v>
      </c>
    </row>
    <row r="300" spans="1:3" x14ac:dyDescent="0.2">
      <c r="A300" s="1"/>
      <c r="C300" s="1" t="s">
        <v>1611</v>
      </c>
    </row>
    <row r="301" spans="1:3" x14ac:dyDescent="0.2">
      <c r="A301" s="1"/>
      <c r="B301" s="1"/>
      <c r="C301" s="1" t="s">
        <v>1612</v>
      </c>
    </row>
    <row r="302" spans="1:3" x14ac:dyDescent="0.2">
      <c r="A302" s="1"/>
      <c r="B302" s="1"/>
      <c r="C302" s="1" t="s">
        <v>1613</v>
      </c>
    </row>
    <row r="303" spans="1:3" x14ac:dyDescent="0.2">
      <c r="A303" s="1"/>
      <c r="B303" s="1"/>
      <c r="C303" s="1" t="s">
        <v>1614</v>
      </c>
    </row>
    <row r="304" spans="1:3" x14ac:dyDescent="0.2">
      <c r="B304" s="978"/>
      <c r="C304" s="1" t="s">
        <v>1615</v>
      </c>
    </row>
    <row r="305" spans="1:9" x14ac:dyDescent="0.2">
      <c r="B305" s="979" t="s">
        <v>1616</v>
      </c>
      <c r="C305" s="1"/>
    </row>
    <row r="306" spans="1:9" x14ac:dyDescent="0.2">
      <c r="B306" s="978"/>
      <c r="C306" s="1" t="s">
        <v>1617</v>
      </c>
    </row>
    <row r="307" spans="1:9" x14ac:dyDescent="0.2">
      <c r="B307" s="979" t="s">
        <v>1618</v>
      </c>
      <c r="C307" s="1"/>
    </row>
    <row r="308" spans="1:9" x14ac:dyDescent="0.2">
      <c r="B308" s="978"/>
      <c r="C308" s="1" t="s">
        <v>1619</v>
      </c>
    </row>
    <row r="309" spans="1:9" x14ac:dyDescent="0.2">
      <c r="B309" s="978"/>
      <c r="C309" s="1"/>
    </row>
    <row r="310" spans="1:9" x14ac:dyDescent="0.2">
      <c r="B310" s="978"/>
      <c r="C310" s="1"/>
    </row>
    <row r="311" spans="1:9" x14ac:dyDescent="0.2">
      <c r="B311" s="978"/>
      <c r="C311" s="1"/>
    </row>
    <row r="312" spans="1:9" x14ac:dyDescent="0.2">
      <c r="B312" s="978"/>
      <c r="C312" s="1"/>
    </row>
    <row r="313" spans="1:9" x14ac:dyDescent="0.2">
      <c r="B313" s="980"/>
      <c r="C313" s="980"/>
    </row>
    <row r="314" spans="1:9" ht="12.75" customHeight="1" x14ac:dyDescent="0.2">
      <c r="A314" s="665"/>
      <c r="B314" s="665"/>
      <c r="C314" s="665"/>
      <c r="D314" s="665"/>
      <c r="E314" s="665"/>
      <c r="F314" s="665"/>
      <c r="G314" s="665"/>
      <c r="H314" s="665"/>
      <c r="I314" s="665"/>
    </row>
    <row r="315" spans="1:9" x14ac:dyDescent="0.2">
      <c r="B315" s="978"/>
      <c r="C315" s="978"/>
    </row>
    <row r="316" spans="1:9" x14ac:dyDescent="0.2">
      <c r="B316" s="978"/>
      <c r="C316" s="978"/>
    </row>
    <row r="317" spans="1:9" x14ac:dyDescent="0.2">
      <c r="B317" s="978"/>
      <c r="C317" s="978"/>
    </row>
    <row r="318" spans="1:9" x14ac:dyDescent="0.2">
      <c r="B318" s="978"/>
      <c r="C318" s="978"/>
    </row>
    <row r="319" spans="1:9" x14ac:dyDescent="0.2">
      <c r="B319" s="978"/>
      <c r="C319" s="978"/>
    </row>
    <row r="320" spans="1:9" x14ac:dyDescent="0.2">
      <c r="B320" s="978"/>
      <c r="C320" s="978"/>
    </row>
    <row r="321" spans="2:3" x14ac:dyDescent="0.2">
      <c r="B321" s="978"/>
      <c r="C321" s="978"/>
    </row>
    <row r="322" spans="2:3" x14ac:dyDescent="0.2">
      <c r="B322" s="978"/>
      <c r="C322" s="978"/>
    </row>
    <row r="323" spans="2:3" x14ac:dyDescent="0.2">
      <c r="B323" s="978"/>
      <c r="C323" s="978"/>
    </row>
    <row r="324" spans="2:3" x14ac:dyDescent="0.2">
      <c r="B324" s="978"/>
      <c r="C324" s="978"/>
    </row>
    <row r="325" spans="2:3" x14ac:dyDescent="0.2">
      <c r="B325" s="978"/>
      <c r="C325" s="978"/>
    </row>
    <row r="326" spans="2:3" x14ac:dyDescent="0.2">
      <c r="B326" s="978"/>
      <c r="C326" s="978"/>
    </row>
    <row r="327" spans="2:3" x14ac:dyDescent="0.2">
      <c r="B327" s="978"/>
      <c r="C327" s="978"/>
    </row>
    <row r="328" spans="2:3" x14ac:dyDescent="0.2">
      <c r="B328" s="978"/>
      <c r="C328" s="978"/>
    </row>
    <row r="329" spans="2:3" x14ac:dyDescent="0.2">
      <c r="B329" s="978"/>
      <c r="C329" s="978"/>
    </row>
  </sheetData>
  <sheetProtection algorithmName="SHA-512" hashValue="508IzaGh2oLJ3s2QLC0tYxFcQSyrT81QE2OaDDUpEd4wwBxuopWY4nY0ROhDKoehobwxkD6q/MIojokX56UM8w==" saltValue="d0dQ0q8QpNkORLRjUap1mw==" spinCount="100000" sheet="1" objects="1" scenarios="1" selectLockedCells="1" selectUnlockedCells="1"/>
  <mergeCells count="276">
    <mergeCell ref="B273:C273"/>
    <mergeCell ref="B274:C274"/>
    <mergeCell ref="A276:B276"/>
    <mergeCell ref="B278:C278"/>
    <mergeCell ref="A279:C279"/>
    <mergeCell ref="B280:C280"/>
    <mergeCell ref="A266:A267"/>
    <mergeCell ref="B266:C267"/>
    <mergeCell ref="I266:I267"/>
    <mergeCell ref="A269:B269"/>
    <mergeCell ref="B271:C271"/>
    <mergeCell ref="A272:C272"/>
    <mergeCell ref="B260:C260"/>
    <mergeCell ref="B261:C261"/>
    <mergeCell ref="A262:A263"/>
    <mergeCell ref="B262:C263"/>
    <mergeCell ref="I262:I263"/>
    <mergeCell ref="A264:A265"/>
    <mergeCell ref="B264:C265"/>
    <mergeCell ref="I264:I265"/>
    <mergeCell ref="B252:C252"/>
    <mergeCell ref="B253:C253"/>
    <mergeCell ref="B254:C254"/>
    <mergeCell ref="A255:A259"/>
    <mergeCell ref="B255:C259"/>
    <mergeCell ref="I255:I259"/>
    <mergeCell ref="A239:A244"/>
    <mergeCell ref="B239:C244"/>
    <mergeCell ref="I239:I244"/>
    <mergeCell ref="A245:A251"/>
    <mergeCell ref="B245:C251"/>
    <mergeCell ref="I245:I251"/>
    <mergeCell ref="A233:A235"/>
    <mergeCell ref="B233:C235"/>
    <mergeCell ref="I233:I235"/>
    <mergeCell ref="A236:A238"/>
    <mergeCell ref="B236:C238"/>
    <mergeCell ref="I236:I238"/>
    <mergeCell ref="A227:A228"/>
    <mergeCell ref="B227:C228"/>
    <mergeCell ref="I227:I228"/>
    <mergeCell ref="B229:C229"/>
    <mergeCell ref="B230:C230"/>
    <mergeCell ref="A231:A232"/>
    <mergeCell ref="B231:C232"/>
    <mergeCell ref="I231:I232"/>
    <mergeCell ref="B221:C221"/>
    <mergeCell ref="A222:A223"/>
    <mergeCell ref="B222:C223"/>
    <mergeCell ref="I222:I223"/>
    <mergeCell ref="B224:C224"/>
    <mergeCell ref="A225:A226"/>
    <mergeCell ref="B225:C226"/>
    <mergeCell ref="I225:I226"/>
    <mergeCell ref="A210:A215"/>
    <mergeCell ref="B210:C215"/>
    <mergeCell ref="I210:I215"/>
    <mergeCell ref="B216:C216"/>
    <mergeCell ref="B217:C217"/>
    <mergeCell ref="A218:A220"/>
    <mergeCell ref="B218:C220"/>
    <mergeCell ref="I218:I220"/>
    <mergeCell ref="A205:A206"/>
    <mergeCell ref="B205:C206"/>
    <mergeCell ref="I205:I206"/>
    <mergeCell ref="B207:C207"/>
    <mergeCell ref="A208:A209"/>
    <mergeCell ref="B208:C209"/>
    <mergeCell ref="I208:I209"/>
    <mergeCell ref="B200:C200"/>
    <mergeCell ref="A201:C201"/>
    <mergeCell ref="A202:A203"/>
    <mergeCell ref="B202:C203"/>
    <mergeCell ref="I202:I203"/>
    <mergeCell ref="B204:C204"/>
    <mergeCell ref="B195:C195"/>
    <mergeCell ref="B196:C196"/>
    <mergeCell ref="A198:B198"/>
    <mergeCell ref="C198:I198"/>
    <mergeCell ref="A199:B199"/>
    <mergeCell ref="C199:I199"/>
    <mergeCell ref="B189:C189"/>
    <mergeCell ref="B190:C190"/>
    <mergeCell ref="B191:C191"/>
    <mergeCell ref="B192:C192"/>
    <mergeCell ref="B193:C193"/>
    <mergeCell ref="B194:C194"/>
    <mergeCell ref="B183:C183"/>
    <mergeCell ref="B184:C184"/>
    <mergeCell ref="B185:C185"/>
    <mergeCell ref="B186:C186"/>
    <mergeCell ref="B187:C187"/>
    <mergeCell ref="B188:C188"/>
    <mergeCell ref="A177:A179"/>
    <mergeCell ref="B177:C179"/>
    <mergeCell ref="I177:I179"/>
    <mergeCell ref="A180:A182"/>
    <mergeCell ref="B180:C182"/>
    <mergeCell ref="I180:I182"/>
    <mergeCell ref="A171:A173"/>
    <mergeCell ref="B171:C173"/>
    <mergeCell ref="I171:I173"/>
    <mergeCell ref="A174:A176"/>
    <mergeCell ref="B174:C176"/>
    <mergeCell ref="I174:I176"/>
    <mergeCell ref="A165:A167"/>
    <mergeCell ref="B165:C167"/>
    <mergeCell ref="I165:I167"/>
    <mergeCell ref="A168:A170"/>
    <mergeCell ref="B168:C170"/>
    <mergeCell ref="I168:I170"/>
    <mergeCell ref="A159:A161"/>
    <mergeCell ref="B159:C161"/>
    <mergeCell ref="I159:I161"/>
    <mergeCell ref="A162:A164"/>
    <mergeCell ref="B162:C164"/>
    <mergeCell ref="I162:I164"/>
    <mergeCell ref="A153:A155"/>
    <mergeCell ref="B153:C155"/>
    <mergeCell ref="I153:I155"/>
    <mergeCell ref="A156:A158"/>
    <mergeCell ref="B156:C158"/>
    <mergeCell ref="I156:I158"/>
    <mergeCell ref="I144:I146"/>
    <mergeCell ref="A147:A149"/>
    <mergeCell ref="B147:C149"/>
    <mergeCell ref="I147:I149"/>
    <mergeCell ref="A150:A152"/>
    <mergeCell ref="B150:C152"/>
    <mergeCell ref="I150:I152"/>
    <mergeCell ref="B140:C140"/>
    <mergeCell ref="B141:C141"/>
    <mergeCell ref="B142:C142"/>
    <mergeCell ref="B143:C143"/>
    <mergeCell ref="A144:A146"/>
    <mergeCell ref="B144:C146"/>
    <mergeCell ref="B133:C133"/>
    <mergeCell ref="A134:A136"/>
    <mergeCell ref="B134:C136"/>
    <mergeCell ref="I134:I136"/>
    <mergeCell ref="A137:A139"/>
    <mergeCell ref="B137:C139"/>
    <mergeCell ref="I137:I139"/>
    <mergeCell ref="A129:B129"/>
    <mergeCell ref="C129:I129"/>
    <mergeCell ref="A130:B130"/>
    <mergeCell ref="C130:I130"/>
    <mergeCell ref="B131:C131"/>
    <mergeCell ref="A132:C132"/>
    <mergeCell ref="B123:C123"/>
    <mergeCell ref="B124:C124"/>
    <mergeCell ref="B125:C125"/>
    <mergeCell ref="A126:A127"/>
    <mergeCell ref="B126:C127"/>
    <mergeCell ref="I126:I127"/>
    <mergeCell ref="A111:A117"/>
    <mergeCell ref="B111:C117"/>
    <mergeCell ref="I111:I117"/>
    <mergeCell ref="A118:A122"/>
    <mergeCell ref="B118:C122"/>
    <mergeCell ref="I118:I122"/>
    <mergeCell ref="B101:C101"/>
    <mergeCell ref="A102:A106"/>
    <mergeCell ref="B102:C106"/>
    <mergeCell ref="I102:I106"/>
    <mergeCell ref="B107:C107"/>
    <mergeCell ref="A108:A110"/>
    <mergeCell ref="B108:C110"/>
    <mergeCell ref="I108:I110"/>
    <mergeCell ref="A94:A97"/>
    <mergeCell ref="B94:C97"/>
    <mergeCell ref="I94:I97"/>
    <mergeCell ref="A98:A100"/>
    <mergeCell ref="B98:C100"/>
    <mergeCell ref="I98:I100"/>
    <mergeCell ref="A88:A89"/>
    <mergeCell ref="B88:C89"/>
    <mergeCell ref="A90:A91"/>
    <mergeCell ref="B90:C91"/>
    <mergeCell ref="B92:C92"/>
    <mergeCell ref="B93:C93"/>
    <mergeCell ref="A82:A84"/>
    <mergeCell ref="B82:C84"/>
    <mergeCell ref="I82:I84"/>
    <mergeCell ref="B85:C85"/>
    <mergeCell ref="A86:A87"/>
    <mergeCell ref="B86:C87"/>
    <mergeCell ref="I86:I87"/>
    <mergeCell ref="A77:A78"/>
    <mergeCell ref="B77:C78"/>
    <mergeCell ref="I77:I78"/>
    <mergeCell ref="B79:C79"/>
    <mergeCell ref="B80:C80"/>
    <mergeCell ref="B81:C81"/>
    <mergeCell ref="A73:A74"/>
    <mergeCell ref="B73:C74"/>
    <mergeCell ref="I73:I74"/>
    <mergeCell ref="A75:A76"/>
    <mergeCell ref="B75:C76"/>
    <mergeCell ref="I75:I76"/>
    <mergeCell ref="A64:A67"/>
    <mergeCell ref="B64:C67"/>
    <mergeCell ref="I64:I67"/>
    <mergeCell ref="A68:A72"/>
    <mergeCell ref="B68:C72"/>
    <mergeCell ref="I68:I72"/>
    <mergeCell ref="A59:A60"/>
    <mergeCell ref="B59:C60"/>
    <mergeCell ref="B61:C61"/>
    <mergeCell ref="A62:A63"/>
    <mergeCell ref="B62:C63"/>
    <mergeCell ref="I62:I63"/>
    <mergeCell ref="A50:A52"/>
    <mergeCell ref="B50:C52"/>
    <mergeCell ref="I50:I52"/>
    <mergeCell ref="B53:C53"/>
    <mergeCell ref="A54:A58"/>
    <mergeCell ref="B54:C58"/>
    <mergeCell ref="I54:I58"/>
    <mergeCell ref="B45:C45"/>
    <mergeCell ref="B46:C46"/>
    <mergeCell ref="B47:C47"/>
    <mergeCell ref="A48:A49"/>
    <mergeCell ref="B48:C49"/>
    <mergeCell ref="I48:I49"/>
    <mergeCell ref="B39:C39"/>
    <mergeCell ref="B40:C40"/>
    <mergeCell ref="B41:C41"/>
    <mergeCell ref="B42:C42"/>
    <mergeCell ref="B43:C43"/>
    <mergeCell ref="B44:C44"/>
    <mergeCell ref="A33:A34"/>
    <mergeCell ref="B33:C34"/>
    <mergeCell ref="I33:I34"/>
    <mergeCell ref="A35:A38"/>
    <mergeCell ref="B35:C38"/>
    <mergeCell ref="I35:I38"/>
    <mergeCell ref="A28:A29"/>
    <mergeCell ref="B28:C29"/>
    <mergeCell ref="I28:I29"/>
    <mergeCell ref="A30:A32"/>
    <mergeCell ref="B30:C32"/>
    <mergeCell ref="I30:I32"/>
    <mergeCell ref="A23:A25"/>
    <mergeCell ref="B23:C25"/>
    <mergeCell ref="I23:I25"/>
    <mergeCell ref="A26:A27"/>
    <mergeCell ref="B26:C27"/>
    <mergeCell ref="I26:I27"/>
    <mergeCell ref="A16:A18"/>
    <mergeCell ref="B16:C18"/>
    <mergeCell ref="I16:I18"/>
    <mergeCell ref="A19:A22"/>
    <mergeCell ref="B19:C22"/>
    <mergeCell ref="I19:I22"/>
    <mergeCell ref="B10:C10"/>
    <mergeCell ref="A11:A12"/>
    <mergeCell ref="B11:C12"/>
    <mergeCell ref="I11:I12"/>
    <mergeCell ref="B13:C13"/>
    <mergeCell ref="A14:A15"/>
    <mergeCell ref="B14:C15"/>
    <mergeCell ref="I14:I15"/>
    <mergeCell ref="A6:B6"/>
    <mergeCell ref="C6:I6"/>
    <mergeCell ref="A7:B7"/>
    <mergeCell ref="C7:I7"/>
    <mergeCell ref="B8:C8"/>
    <mergeCell ref="A9:C9"/>
    <mergeCell ref="A1:B1"/>
    <mergeCell ref="C1:I1"/>
    <mergeCell ref="A2:B2"/>
    <mergeCell ref="C2:I2"/>
    <mergeCell ref="A3:I3"/>
    <mergeCell ref="A5:B5"/>
    <mergeCell ref="C5:I5"/>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&amp;R&amp;"Times New Roman,Regular"&amp;8
22.pielikums Jūrmalas pilsētas domes
2016.gada 16.decembra saistošajiem noteikumiem Nr.47
(protokols Nr.19, 19.punkts)</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5"/>
  <sheetViews>
    <sheetView view="pageLayout" zoomScaleNormal="100" zoomScaleSheetLayoutView="100" workbookViewId="0">
      <selection activeCell="J37" sqref="J37"/>
    </sheetView>
  </sheetViews>
  <sheetFormatPr defaultRowHeight="12" x14ac:dyDescent="0.2"/>
  <cols>
    <col min="1" max="1" width="6.140625" style="1" customWidth="1"/>
    <col min="2" max="2" width="17.28515625" style="1" customWidth="1"/>
    <col min="3" max="3" width="21.5703125" style="1" customWidth="1"/>
    <col min="4" max="4" width="11.85546875" style="1" hidden="1" customWidth="1"/>
    <col min="5" max="5" width="11.140625" style="1" hidden="1" customWidth="1"/>
    <col min="6" max="6" width="10.28515625" style="1" hidden="1" customWidth="1"/>
    <col min="7" max="7" width="10.5703125" style="1" customWidth="1"/>
    <col min="8" max="8" width="9.7109375" style="1" customWidth="1"/>
    <col min="9" max="9" width="17.42578125" style="1" customWidth="1"/>
    <col min="10" max="16384" width="9.140625" style="1"/>
  </cols>
  <sheetData>
    <row r="1" spans="1:9" x14ac:dyDescent="0.2">
      <c r="A1" s="1016" t="s">
        <v>8</v>
      </c>
      <c r="B1" s="1016"/>
      <c r="C1" s="1016" t="s">
        <v>214</v>
      </c>
      <c r="D1" s="1016"/>
      <c r="E1" s="1016"/>
      <c r="F1" s="1016"/>
      <c r="G1" s="1016"/>
      <c r="H1" s="1016"/>
      <c r="I1" s="1016"/>
    </row>
    <row r="2" spans="1:9" x14ac:dyDescent="0.2">
      <c r="A2" s="1016" t="s">
        <v>7</v>
      </c>
      <c r="B2" s="1016"/>
      <c r="C2" s="1016">
        <v>90000594245</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1017" t="s">
        <v>215</v>
      </c>
      <c r="D5" s="1017"/>
      <c r="E5" s="1017"/>
      <c r="F5" s="1017"/>
      <c r="G5" s="1017"/>
      <c r="H5" s="1017"/>
      <c r="I5" s="1017"/>
    </row>
    <row r="6" spans="1:9" x14ac:dyDescent="0.2">
      <c r="A6" s="1016" t="s">
        <v>6</v>
      </c>
      <c r="B6" s="1016"/>
      <c r="C6" s="1016" t="s">
        <v>216</v>
      </c>
      <c r="D6" s="1016"/>
      <c r="E6" s="1016"/>
      <c r="F6" s="1016"/>
      <c r="G6" s="1016"/>
      <c r="H6" s="1016"/>
      <c r="I6" s="1016"/>
    </row>
    <row r="7" spans="1:9" x14ac:dyDescent="0.2">
      <c r="A7" s="1016" t="s">
        <v>5</v>
      </c>
      <c r="B7" s="1016"/>
      <c r="C7" s="1019" t="s">
        <v>217</v>
      </c>
      <c r="D7" s="1019"/>
      <c r="E7" s="1019"/>
      <c r="F7" s="1019"/>
      <c r="G7" s="1019"/>
      <c r="H7" s="1019"/>
      <c r="I7" s="1019"/>
    </row>
    <row r="8" spans="1:9" ht="48" x14ac:dyDescent="0.2">
      <c r="A8" s="6" t="s">
        <v>4</v>
      </c>
      <c r="B8" s="1020" t="s">
        <v>3</v>
      </c>
      <c r="C8" s="1021"/>
      <c r="D8" s="6" t="s">
        <v>11</v>
      </c>
      <c r="E8" s="6" t="s">
        <v>12</v>
      </c>
      <c r="F8" s="6" t="s">
        <v>13</v>
      </c>
      <c r="G8" s="6" t="s">
        <v>2</v>
      </c>
      <c r="H8" s="6" t="s">
        <v>180</v>
      </c>
      <c r="I8" s="6" t="s">
        <v>1</v>
      </c>
    </row>
    <row r="9" spans="1:9" ht="12.75" customHeight="1" x14ac:dyDescent="0.2">
      <c r="A9" s="1286" t="s">
        <v>14</v>
      </c>
      <c r="B9" s="1287"/>
      <c r="C9" s="1288"/>
      <c r="D9" s="297">
        <f>SUM(D10:D18)</f>
        <v>220948</v>
      </c>
      <c r="E9" s="297">
        <f>SUM(E10:E18)</f>
        <v>202799</v>
      </c>
      <c r="F9" s="297">
        <f>SUM(F10:F18)</f>
        <v>223313</v>
      </c>
      <c r="G9" s="297"/>
      <c r="H9" s="297">
        <f>SUM(H10:H18)</f>
        <v>215313</v>
      </c>
      <c r="I9" s="297"/>
    </row>
    <row r="10" spans="1:9" ht="24" x14ac:dyDescent="0.2">
      <c r="A10" s="3">
        <v>1</v>
      </c>
      <c r="B10" s="1283" t="s">
        <v>218</v>
      </c>
      <c r="C10" s="1283"/>
      <c r="D10" s="298">
        <v>14400</v>
      </c>
      <c r="E10" s="298">
        <v>13041</v>
      </c>
      <c r="F10" s="298">
        <f>285*12*3</f>
        <v>10260</v>
      </c>
      <c r="G10" s="299">
        <v>6255</v>
      </c>
      <c r="H10" s="288">
        <v>10260</v>
      </c>
      <c r="I10" s="300" t="s">
        <v>219</v>
      </c>
    </row>
    <row r="11" spans="1:9" ht="24" x14ac:dyDescent="0.2">
      <c r="A11" s="3">
        <v>2</v>
      </c>
      <c r="B11" s="1283" t="s">
        <v>220</v>
      </c>
      <c r="C11" s="1283"/>
      <c r="D11" s="298">
        <v>2736</v>
      </c>
      <c r="E11" s="298">
        <v>2394</v>
      </c>
      <c r="F11" s="298">
        <f>114*12</f>
        <v>1368</v>
      </c>
      <c r="G11" s="299">
        <v>6423</v>
      </c>
      <c r="H11" s="288">
        <v>1368</v>
      </c>
      <c r="I11" s="300" t="s">
        <v>219</v>
      </c>
    </row>
    <row r="12" spans="1:9" ht="24" x14ac:dyDescent="0.2">
      <c r="A12" s="3">
        <v>3</v>
      </c>
      <c r="B12" s="1283" t="s">
        <v>221</v>
      </c>
      <c r="C12" s="1283"/>
      <c r="D12" s="298">
        <v>178000</v>
      </c>
      <c r="E12" s="298">
        <v>163000</v>
      </c>
      <c r="F12" s="298">
        <v>188000</v>
      </c>
      <c r="G12" s="299">
        <v>6423</v>
      </c>
      <c r="H12" s="288">
        <v>180000</v>
      </c>
      <c r="I12" s="300" t="s">
        <v>222</v>
      </c>
    </row>
    <row r="13" spans="1:9" ht="24" x14ac:dyDescent="0.2">
      <c r="A13" s="3">
        <v>4</v>
      </c>
      <c r="B13" s="1283" t="s">
        <v>223</v>
      </c>
      <c r="C13" s="1283"/>
      <c r="D13" s="301">
        <v>11668</v>
      </c>
      <c r="E13" s="298">
        <v>11220</v>
      </c>
      <c r="F13" s="298">
        <v>10560</v>
      </c>
      <c r="G13" s="299">
        <v>6423</v>
      </c>
      <c r="H13" s="288">
        <v>10560</v>
      </c>
      <c r="I13" s="300" t="s">
        <v>219</v>
      </c>
    </row>
    <row r="14" spans="1:9" ht="24.75" customHeight="1" x14ac:dyDescent="0.2">
      <c r="A14" s="3">
        <v>5</v>
      </c>
      <c r="B14" s="1283" t="s">
        <v>224</v>
      </c>
      <c r="C14" s="1283"/>
      <c r="D14" s="301">
        <v>4600</v>
      </c>
      <c r="E14" s="298">
        <v>3600</v>
      </c>
      <c r="F14" s="298">
        <v>3600</v>
      </c>
      <c r="G14" s="299">
        <v>6423</v>
      </c>
      <c r="H14" s="288">
        <v>3600</v>
      </c>
      <c r="I14" s="300" t="s">
        <v>225</v>
      </c>
    </row>
    <row r="15" spans="1:9" ht="12.75" customHeight="1" x14ac:dyDescent="0.2">
      <c r="A15" s="1030">
        <v>6</v>
      </c>
      <c r="B15" s="1291" t="s">
        <v>226</v>
      </c>
      <c r="C15" s="1292"/>
      <c r="D15" s="301">
        <v>430</v>
      </c>
      <c r="E15" s="298">
        <v>430</v>
      </c>
      <c r="F15" s="298">
        <v>430</v>
      </c>
      <c r="G15" s="299">
        <v>2314</v>
      </c>
      <c r="H15" s="288">
        <v>430</v>
      </c>
      <c r="I15" s="1107" t="s">
        <v>219</v>
      </c>
    </row>
    <row r="16" spans="1:9" x14ac:dyDescent="0.2">
      <c r="A16" s="1065"/>
      <c r="B16" s="1291"/>
      <c r="C16" s="1292"/>
      <c r="D16" s="301">
        <v>230</v>
      </c>
      <c r="E16" s="298">
        <v>230</v>
      </c>
      <c r="F16" s="298">
        <v>230</v>
      </c>
      <c r="G16" s="299">
        <v>2279</v>
      </c>
      <c r="H16" s="288">
        <v>230</v>
      </c>
      <c r="I16" s="1108"/>
    </row>
    <row r="17" spans="1:9" x14ac:dyDescent="0.2">
      <c r="A17" s="1031"/>
      <c r="B17" s="1289"/>
      <c r="C17" s="1290"/>
      <c r="D17" s="301">
        <v>1750</v>
      </c>
      <c r="E17" s="298">
        <v>1750</v>
      </c>
      <c r="F17" s="298">
        <v>1750</v>
      </c>
      <c r="G17" s="299">
        <v>2314</v>
      </c>
      <c r="H17" s="288">
        <v>1750</v>
      </c>
      <c r="I17" s="1109"/>
    </row>
    <row r="18" spans="1:9" ht="23.25" customHeight="1" x14ac:dyDescent="0.2">
      <c r="A18" s="3">
        <v>7</v>
      </c>
      <c r="B18" s="1289" t="s">
        <v>227</v>
      </c>
      <c r="C18" s="1290"/>
      <c r="D18" s="301">
        <v>7134</v>
      </c>
      <c r="E18" s="298">
        <v>7134</v>
      </c>
      <c r="F18" s="298">
        <f>7134-19</f>
        <v>7115</v>
      </c>
      <c r="G18" s="299">
        <v>6412</v>
      </c>
      <c r="H18" s="288">
        <v>7115</v>
      </c>
      <c r="I18" s="302" t="s">
        <v>228</v>
      </c>
    </row>
    <row r="19" spans="1:9" x14ac:dyDescent="0.2">
      <c r="A19" s="303"/>
      <c r="B19" s="303"/>
      <c r="C19" s="303"/>
      <c r="D19" s="303"/>
      <c r="E19" s="303"/>
      <c r="F19" s="303"/>
      <c r="G19" s="303"/>
      <c r="H19" s="303"/>
      <c r="I19" s="304"/>
    </row>
    <row r="20" spans="1:9" ht="12.75" x14ac:dyDescent="0.2">
      <c r="A20" s="1016" t="s">
        <v>6</v>
      </c>
      <c r="B20" s="1016"/>
      <c r="C20" s="305" t="s">
        <v>229</v>
      </c>
      <c r="D20" s="306"/>
      <c r="E20" s="306"/>
      <c r="F20" s="306"/>
      <c r="G20" s="306"/>
      <c r="H20" s="306"/>
      <c r="I20" s="307"/>
    </row>
    <row r="21" spans="1:9" ht="12.75" x14ac:dyDescent="0.2">
      <c r="A21" s="1016" t="s">
        <v>5</v>
      </c>
      <c r="B21" s="1016"/>
      <c r="C21" s="308" t="s">
        <v>230</v>
      </c>
      <c r="D21" s="306"/>
      <c r="E21" s="306"/>
      <c r="F21" s="306"/>
      <c r="G21" s="306"/>
      <c r="H21" s="306"/>
      <c r="I21" s="306"/>
    </row>
    <row r="22" spans="1:9" ht="48" x14ac:dyDescent="0.2">
      <c r="A22" s="6" t="s">
        <v>4</v>
      </c>
      <c r="B22" s="1020" t="s">
        <v>3</v>
      </c>
      <c r="C22" s="1021"/>
      <c r="D22" s="6" t="s">
        <v>11</v>
      </c>
      <c r="E22" s="6" t="s">
        <v>12</v>
      </c>
      <c r="F22" s="6" t="s">
        <v>13</v>
      </c>
      <c r="G22" s="6" t="s">
        <v>2</v>
      </c>
      <c r="H22" s="6" t="s">
        <v>180</v>
      </c>
      <c r="I22" s="6" t="s">
        <v>1</v>
      </c>
    </row>
    <row r="23" spans="1:9" x14ac:dyDescent="0.2">
      <c r="A23" s="1286" t="s">
        <v>14</v>
      </c>
      <c r="B23" s="1287"/>
      <c r="C23" s="1288"/>
      <c r="D23" s="297">
        <f>SUM(D24:D24)</f>
        <v>19500</v>
      </c>
      <c r="E23" s="297">
        <f>SUM(E24:E24)</f>
        <v>19500</v>
      </c>
      <c r="F23" s="297">
        <f>SUM(F24:F24)</f>
        <v>21600</v>
      </c>
      <c r="G23" s="297"/>
      <c r="H23" s="297">
        <f>SUM(H24:H24)</f>
        <v>21600</v>
      </c>
      <c r="I23" s="297"/>
    </row>
    <row r="24" spans="1:9" ht="52.5" customHeight="1" x14ac:dyDescent="0.2">
      <c r="A24" s="3">
        <v>1</v>
      </c>
      <c r="B24" s="1284" t="s">
        <v>231</v>
      </c>
      <c r="C24" s="1285"/>
      <c r="D24" s="298">
        <v>19500</v>
      </c>
      <c r="E24" s="298">
        <v>19500</v>
      </c>
      <c r="F24" s="298">
        <v>21600</v>
      </c>
      <c r="G24" s="299">
        <v>6255</v>
      </c>
      <c r="H24" s="309">
        <v>21600</v>
      </c>
      <c r="I24" s="300" t="s">
        <v>232</v>
      </c>
    </row>
    <row r="25" spans="1:9" x14ac:dyDescent="0.2">
      <c r="A25" s="303"/>
      <c r="B25" s="303"/>
      <c r="C25" s="303"/>
      <c r="D25" s="303"/>
      <c r="E25" s="303"/>
      <c r="F25" s="303"/>
      <c r="G25" s="303"/>
      <c r="H25" s="310"/>
      <c r="I25" s="310"/>
    </row>
    <row r="26" spans="1:9" ht="12.75" x14ac:dyDescent="0.2">
      <c r="A26" s="1016" t="s">
        <v>6</v>
      </c>
      <c r="B26" s="1016"/>
      <c r="C26" s="305" t="s">
        <v>233</v>
      </c>
      <c r="D26" s="306"/>
      <c r="E26" s="306"/>
      <c r="F26" s="306"/>
      <c r="G26" s="306"/>
      <c r="H26" s="306"/>
      <c r="I26" s="306"/>
    </row>
    <row r="27" spans="1:9" ht="12.75" x14ac:dyDescent="0.2">
      <c r="A27" s="1016" t="s">
        <v>5</v>
      </c>
      <c r="B27" s="1016"/>
      <c r="C27" s="308" t="s">
        <v>234</v>
      </c>
      <c r="D27" s="306"/>
      <c r="E27" s="306"/>
      <c r="F27" s="306"/>
      <c r="G27" s="306"/>
      <c r="H27" s="306"/>
      <c r="I27" s="306"/>
    </row>
    <row r="28" spans="1:9" ht="48" x14ac:dyDescent="0.2">
      <c r="A28" s="6" t="s">
        <v>4</v>
      </c>
      <c r="B28" s="1020" t="s">
        <v>3</v>
      </c>
      <c r="C28" s="1021"/>
      <c r="D28" s="6" t="s">
        <v>11</v>
      </c>
      <c r="E28" s="6" t="s">
        <v>12</v>
      </c>
      <c r="F28" s="6" t="s">
        <v>13</v>
      </c>
      <c r="G28" s="6" t="s">
        <v>2</v>
      </c>
      <c r="H28" s="6" t="s">
        <v>180</v>
      </c>
      <c r="I28" s="6" t="s">
        <v>1</v>
      </c>
    </row>
    <row r="29" spans="1:9" x14ac:dyDescent="0.2">
      <c r="A29" s="1286" t="s">
        <v>14</v>
      </c>
      <c r="B29" s="1287"/>
      <c r="C29" s="1288"/>
      <c r="D29" s="297">
        <f>SUM(D30:D33)</f>
        <v>37265</v>
      </c>
      <c r="E29" s="297">
        <f>SUM(E30:E33)</f>
        <v>37633</v>
      </c>
      <c r="F29" s="297">
        <f>SUM(F30:F33)</f>
        <v>38825</v>
      </c>
      <c r="G29" s="297"/>
      <c r="H29" s="297">
        <f>SUM(H30:H33)</f>
        <v>36825</v>
      </c>
      <c r="I29" s="297"/>
    </row>
    <row r="30" spans="1:9" ht="24" x14ac:dyDescent="0.2">
      <c r="A30" s="3">
        <v>1</v>
      </c>
      <c r="B30" s="1283" t="s">
        <v>235</v>
      </c>
      <c r="C30" s="1283"/>
      <c r="D30" s="311">
        <v>9096</v>
      </c>
      <c r="E30" s="312">
        <v>9504</v>
      </c>
      <c r="F30" s="312">
        <v>8640</v>
      </c>
      <c r="G30" s="313">
        <v>6423</v>
      </c>
      <c r="H30" s="314">
        <v>8640</v>
      </c>
      <c r="I30" s="300" t="s">
        <v>222</v>
      </c>
    </row>
    <row r="31" spans="1:9" ht="24" x14ac:dyDescent="0.2">
      <c r="A31" s="3">
        <v>2</v>
      </c>
      <c r="B31" s="1283" t="s">
        <v>236</v>
      </c>
      <c r="C31" s="1283"/>
      <c r="D31" s="301">
        <v>7500</v>
      </c>
      <c r="E31" s="298">
        <v>7500</v>
      </c>
      <c r="F31" s="298">
        <v>7500</v>
      </c>
      <c r="G31" s="299">
        <v>6423</v>
      </c>
      <c r="H31" s="315">
        <v>5500</v>
      </c>
      <c r="I31" s="300" t="s">
        <v>228</v>
      </c>
    </row>
    <row r="32" spans="1:9" ht="36.75" customHeight="1" x14ac:dyDescent="0.2">
      <c r="A32" s="3">
        <v>3</v>
      </c>
      <c r="B32" s="1049" t="s">
        <v>237</v>
      </c>
      <c r="C32" s="1049"/>
      <c r="D32" s="301">
        <v>15500</v>
      </c>
      <c r="E32" s="298">
        <v>15460</v>
      </c>
      <c r="F32" s="298">
        <v>16000</v>
      </c>
      <c r="G32" s="299">
        <v>6255</v>
      </c>
      <c r="H32" s="315">
        <v>16000</v>
      </c>
      <c r="I32" s="300" t="s">
        <v>222</v>
      </c>
    </row>
    <row r="33" spans="1:9" ht="25.5" customHeight="1" x14ac:dyDescent="0.2">
      <c r="A33" s="3">
        <v>4</v>
      </c>
      <c r="B33" s="1049" t="s">
        <v>238</v>
      </c>
      <c r="C33" s="1049"/>
      <c r="D33" s="301">
        <v>5169</v>
      </c>
      <c r="E33" s="298">
        <v>5169</v>
      </c>
      <c r="F33" s="298">
        <f>((250+129)*15)+(4*250)</f>
        <v>6685</v>
      </c>
      <c r="G33" s="299">
        <v>6255</v>
      </c>
      <c r="H33" s="315">
        <v>6685</v>
      </c>
      <c r="I33" s="300" t="s">
        <v>222</v>
      </c>
    </row>
    <row r="34" spans="1:9" x14ac:dyDescent="0.2">
      <c r="A34" s="316"/>
      <c r="B34" s="316"/>
      <c r="C34" s="316"/>
      <c r="D34" s="317"/>
      <c r="E34" s="317"/>
      <c r="F34" s="317"/>
      <c r="G34" s="316"/>
      <c r="H34" s="317"/>
      <c r="I34" s="317"/>
    </row>
    <row r="35" spans="1:9" x14ac:dyDescent="0.2">
      <c r="A35" s="318" t="s">
        <v>184</v>
      </c>
      <c r="B35" s="319"/>
      <c r="C35" s="319"/>
      <c r="D35" s="319"/>
      <c r="E35" s="319"/>
      <c r="F35" s="319"/>
      <c r="G35" s="319"/>
      <c r="H35" s="319"/>
      <c r="I35" s="319"/>
    </row>
    <row r="36" spans="1:9" x14ac:dyDescent="0.2">
      <c r="A36" s="320" t="s">
        <v>239</v>
      </c>
      <c r="B36" s="319"/>
      <c r="C36" s="319"/>
      <c r="D36" s="319"/>
      <c r="E36" s="319"/>
      <c r="F36" s="319"/>
      <c r="G36" s="319"/>
      <c r="H36" s="319"/>
      <c r="I36" s="319"/>
    </row>
    <row r="37" spans="1:9" x14ac:dyDescent="0.2">
      <c r="A37" s="320"/>
      <c r="B37" s="319"/>
      <c r="C37" s="319" t="s">
        <v>240</v>
      </c>
      <c r="D37" s="319"/>
      <c r="E37" s="319"/>
      <c r="F37" s="319"/>
      <c r="G37" s="319"/>
      <c r="H37" s="319"/>
      <c r="I37" s="319"/>
    </row>
    <row r="38" spans="1:9" x14ac:dyDescent="0.2">
      <c r="A38" s="320"/>
      <c r="B38" s="319"/>
      <c r="C38" s="319"/>
      <c r="D38" s="319"/>
      <c r="E38" s="319"/>
      <c r="F38" s="319"/>
      <c r="G38" s="319"/>
      <c r="H38" s="319"/>
      <c r="I38" s="319"/>
    </row>
    <row r="39" spans="1:9" x14ac:dyDescent="0.2">
      <c r="A39" s="1" t="s">
        <v>185</v>
      </c>
    </row>
    <row r="40" spans="1:9" x14ac:dyDescent="0.2">
      <c r="B40" s="1" t="s">
        <v>241</v>
      </c>
    </row>
    <row r="41" spans="1:9" x14ac:dyDescent="0.2">
      <c r="C41" s="1" t="s">
        <v>242</v>
      </c>
    </row>
    <row r="42" spans="1:9" x14ac:dyDescent="0.2">
      <c r="C42" s="1" t="s">
        <v>243</v>
      </c>
    </row>
    <row r="43" spans="1:9" x14ac:dyDescent="0.2">
      <c r="C43" s="1" t="s">
        <v>244</v>
      </c>
    </row>
    <row r="44" spans="1:9" x14ac:dyDescent="0.2">
      <c r="C44" s="1" t="s">
        <v>245</v>
      </c>
    </row>
    <row r="45" spans="1:9" x14ac:dyDescent="0.2">
      <c r="C45" s="1" t="s">
        <v>246</v>
      </c>
    </row>
  </sheetData>
  <sheetProtection algorithmName="SHA-512" hashValue="YMk5DNRIwVS4xlp1anYY0k2LRDwfgGd4fYZsUgxWDKwnlPe0Qidsf2HZkuUB+EN5wA+5yEO0/WauRBFQvIjiQQ==" saltValue="hRojxuXsHEw8P+JKAU83fQ==" spinCount="100000" sheet="1" objects="1" scenarios="1" selectLockedCells="1" selectUnlockedCells="1"/>
  <mergeCells count="35">
    <mergeCell ref="A9:C9"/>
    <mergeCell ref="A1:B1"/>
    <mergeCell ref="C1:I1"/>
    <mergeCell ref="A2:B2"/>
    <mergeCell ref="C2:I2"/>
    <mergeCell ref="A3:I3"/>
    <mergeCell ref="A5:B5"/>
    <mergeCell ref="C5:I5"/>
    <mergeCell ref="A6:B6"/>
    <mergeCell ref="C6:I6"/>
    <mergeCell ref="A7:B7"/>
    <mergeCell ref="C7:I7"/>
    <mergeCell ref="B8:C8"/>
    <mergeCell ref="A23:C23"/>
    <mergeCell ref="B10:C10"/>
    <mergeCell ref="B11:C11"/>
    <mergeCell ref="B12:C12"/>
    <mergeCell ref="B13:C13"/>
    <mergeCell ref="B14:C14"/>
    <mergeCell ref="A15:A17"/>
    <mergeCell ref="B15:C17"/>
    <mergeCell ref="I15:I17"/>
    <mergeCell ref="B18:C18"/>
    <mergeCell ref="A20:B20"/>
    <mergeCell ref="A21:B21"/>
    <mergeCell ref="B22:C22"/>
    <mergeCell ref="B31:C31"/>
    <mergeCell ref="B32:C32"/>
    <mergeCell ref="B33:C33"/>
    <mergeCell ref="B24:C24"/>
    <mergeCell ref="A26:B26"/>
    <mergeCell ref="A27:B27"/>
    <mergeCell ref="B28:C28"/>
    <mergeCell ref="A29:C29"/>
    <mergeCell ref="B30:C30"/>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&amp;R&amp;"Times New Roman,Regular"&amp;8
23.pielikums Jūrmalas pilsētas domes
2016.gada 16.decembra saistošajiem noteikumiem Nr.47
(protokols Nr.19, 19.punkts)</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8"/>
  <sheetViews>
    <sheetView view="pageLayout" zoomScaleNormal="120" zoomScaleSheetLayoutView="100" workbookViewId="0">
      <selection activeCell="J37" sqref="J37"/>
    </sheetView>
  </sheetViews>
  <sheetFormatPr defaultRowHeight="12" x14ac:dyDescent="0.2"/>
  <cols>
    <col min="1" max="1" width="4.5703125" style="1" customWidth="1"/>
    <col min="2" max="2" width="17.28515625" style="1" customWidth="1"/>
    <col min="3" max="3" width="20.140625" style="1" customWidth="1"/>
    <col min="4" max="4" width="8.7109375" style="1" hidden="1" customWidth="1"/>
    <col min="5" max="5" width="8" style="1" hidden="1" customWidth="1"/>
    <col min="6" max="6" width="10.28515625" style="1" hidden="1" customWidth="1"/>
    <col min="7" max="7" width="10.5703125" style="1" customWidth="1"/>
    <col min="8" max="8" width="8.5703125" style="1" customWidth="1"/>
    <col min="9" max="9" width="18.42578125" style="1" customWidth="1"/>
    <col min="10" max="16384" width="9.140625" style="1"/>
  </cols>
  <sheetData>
    <row r="1" spans="1:9" x14ac:dyDescent="0.2">
      <c r="A1" s="1016" t="s">
        <v>8</v>
      </c>
      <c r="B1" s="1016"/>
      <c r="C1" s="1016" t="s">
        <v>214</v>
      </c>
      <c r="D1" s="1016"/>
      <c r="E1" s="1016"/>
      <c r="F1" s="1016"/>
      <c r="G1" s="1016"/>
      <c r="H1" s="1016"/>
      <c r="I1" s="1016"/>
    </row>
    <row r="2" spans="1:9" x14ac:dyDescent="0.2">
      <c r="A2" s="1016" t="s">
        <v>247</v>
      </c>
      <c r="B2" s="1016"/>
      <c r="C2" s="1016">
        <v>90000594245</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1017" t="s">
        <v>248</v>
      </c>
      <c r="D5" s="1017"/>
      <c r="E5" s="1017"/>
      <c r="F5" s="1017"/>
      <c r="G5" s="1017"/>
      <c r="H5" s="1017"/>
      <c r="I5" s="1017"/>
    </row>
    <row r="6" spans="1:9" ht="12.75" x14ac:dyDescent="0.2">
      <c r="A6" s="1016" t="s">
        <v>6</v>
      </c>
      <c r="B6" s="1016"/>
      <c r="C6" s="305" t="s">
        <v>249</v>
      </c>
      <c r="D6" s="306"/>
      <c r="E6" s="306"/>
      <c r="F6" s="306"/>
      <c r="G6" s="306"/>
      <c r="H6" s="306"/>
      <c r="I6" s="306"/>
    </row>
    <row r="7" spans="1:9" ht="12.75" x14ac:dyDescent="0.2">
      <c r="A7" s="1016" t="s">
        <v>5</v>
      </c>
      <c r="B7" s="1016"/>
      <c r="C7" s="308" t="s">
        <v>250</v>
      </c>
      <c r="D7" s="306"/>
      <c r="E7" s="306"/>
      <c r="F7" s="306"/>
      <c r="G7" s="306"/>
      <c r="H7" s="306"/>
      <c r="I7" s="306"/>
    </row>
    <row r="8" spans="1:9" ht="48" x14ac:dyDescent="0.2">
      <c r="A8" s="6" t="s">
        <v>4</v>
      </c>
      <c r="B8" s="1020" t="s">
        <v>3</v>
      </c>
      <c r="C8" s="1021"/>
      <c r="D8" s="6" t="s">
        <v>11</v>
      </c>
      <c r="E8" s="6" t="s">
        <v>12</v>
      </c>
      <c r="F8" s="6" t="s">
        <v>13</v>
      </c>
      <c r="G8" s="6" t="s">
        <v>2</v>
      </c>
      <c r="H8" s="6" t="s">
        <v>180</v>
      </c>
      <c r="I8" s="6" t="s">
        <v>1</v>
      </c>
    </row>
    <row r="9" spans="1:9" ht="12.75" customHeight="1" x14ac:dyDescent="0.2">
      <c r="A9" s="1286" t="s">
        <v>14</v>
      </c>
      <c r="B9" s="1287"/>
      <c r="C9" s="1288"/>
      <c r="D9" s="297">
        <f>SUM(D10:D12)</f>
        <v>3748</v>
      </c>
      <c r="E9" s="297">
        <f>SUM(E10:E12)</f>
        <v>3748</v>
      </c>
      <c r="F9" s="297">
        <f>SUM(F10:F12)</f>
        <v>3748</v>
      </c>
      <c r="G9" s="297"/>
      <c r="H9" s="297">
        <f>SUM(H10:H12)</f>
        <v>3748</v>
      </c>
      <c r="I9" s="297"/>
    </row>
    <row r="10" spans="1:9" ht="25.5" x14ac:dyDescent="0.2">
      <c r="A10" s="1030">
        <v>1</v>
      </c>
      <c r="B10" s="1283" t="s">
        <v>251</v>
      </c>
      <c r="C10" s="1283"/>
      <c r="D10" s="301">
        <v>1500</v>
      </c>
      <c r="E10" s="298">
        <v>1500</v>
      </c>
      <c r="F10" s="298">
        <v>1500</v>
      </c>
      <c r="G10" s="321">
        <v>6259</v>
      </c>
      <c r="H10" s="309">
        <v>1500</v>
      </c>
      <c r="I10" s="322" t="s">
        <v>222</v>
      </c>
    </row>
    <row r="11" spans="1:9" ht="25.5" x14ac:dyDescent="0.2">
      <c r="A11" s="1031"/>
      <c r="B11" s="1283"/>
      <c r="C11" s="1283"/>
      <c r="D11" s="301">
        <v>750</v>
      </c>
      <c r="E11" s="298">
        <v>750</v>
      </c>
      <c r="F11" s="298">
        <v>750</v>
      </c>
      <c r="G11" s="321">
        <v>6423</v>
      </c>
      <c r="H11" s="309">
        <v>750</v>
      </c>
      <c r="I11" s="322" t="s">
        <v>222</v>
      </c>
    </row>
    <row r="12" spans="1:9" ht="25.5" customHeight="1" x14ac:dyDescent="0.2">
      <c r="A12" s="3">
        <v>2</v>
      </c>
      <c r="B12" s="1301" t="s">
        <v>252</v>
      </c>
      <c r="C12" s="1302"/>
      <c r="D12" s="301">
        <f>925+573</f>
        <v>1498</v>
      </c>
      <c r="E12" s="298">
        <v>1498</v>
      </c>
      <c r="F12" s="298">
        <v>1498</v>
      </c>
      <c r="G12" s="321">
        <v>6423</v>
      </c>
      <c r="H12" s="309">
        <v>1498</v>
      </c>
      <c r="I12" s="322" t="s">
        <v>222</v>
      </c>
    </row>
    <row r="13" spans="1:9" x14ac:dyDescent="0.2">
      <c r="A13" s="303"/>
      <c r="B13" s="303"/>
      <c r="C13" s="303"/>
      <c r="D13" s="303"/>
      <c r="E13" s="303"/>
      <c r="F13" s="303"/>
      <c r="G13" s="303"/>
      <c r="H13" s="303"/>
      <c r="I13" s="303"/>
    </row>
    <row r="14" spans="1:9" ht="12.75" x14ac:dyDescent="0.2">
      <c r="A14" s="1016" t="s">
        <v>6</v>
      </c>
      <c r="B14" s="1016"/>
      <c r="C14" s="305" t="s">
        <v>253</v>
      </c>
      <c r="D14" s="306"/>
      <c r="E14" s="306"/>
      <c r="F14" s="306"/>
      <c r="G14" s="306"/>
      <c r="H14" s="306"/>
      <c r="I14" s="306"/>
    </row>
    <row r="15" spans="1:9" ht="12.75" x14ac:dyDescent="0.2">
      <c r="A15" s="1016" t="s">
        <v>5</v>
      </c>
      <c r="B15" s="1016"/>
      <c r="C15" s="308" t="s">
        <v>254</v>
      </c>
      <c r="D15" s="306"/>
      <c r="E15" s="306"/>
      <c r="F15" s="306"/>
      <c r="G15" s="306"/>
      <c r="H15" s="306"/>
      <c r="I15" s="306"/>
    </row>
    <row r="16" spans="1:9" ht="48" x14ac:dyDescent="0.2">
      <c r="A16" s="6" t="s">
        <v>4</v>
      </c>
      <c r="B16" s="1020" t="s">
        <v>3</v>
      </c>
      <c r="C16" s="1021"/>
      <c r="D16" s="6" t="s">
        <v>11</v>
      </c>
      <c r="E16" s="6" t="s">
        <v>12</v>
      </c>
      <c r="F16" s="6" t="s">
        <v>13</v>
      </c>
      <c r="G16" s="6" t="s">
        <v>2</v>
      </c>
      <c r="H16" s="6" t="s">
        <v>180</v>
      </c>
      <c r="I16" s="6" t="s">
        <v>1</v>
      </c>
    </row>
    <row r="17" spans="1:9" x14ac:dyDescent="0.2">
      <c r="A17" s="1286" t="s">
        <v>14</v>
      </c>
      <c r="B17" s="1287"/>
      <c r="C17" s="1288"/>
      <c r="D17" s="297">
        <f>SUM(D18:D20)</f>
        <v>34000</v>
      </c>
      <c r="E17" s="297">
        <f>SUM(E18:E20)</f>
        <v>34000</v>
      </c>
      <c r="F17" s="297">
        <f>SUM(F18:F20)</f>
        <v>645750</v>
      </c>
      <c r="G17" s="297"/>
      <c r="H17" s="297">
        <f>SUM(H18:H20)</f>
        <v>643768</v>
      </c>
      <c r="I17" s="297"/>
    </row>
    <row r="18" spans="1:9" ht="25.5" x14ac:dyDescent="0.2">
      <c r="A18" s="1030">
        <v>1</v>
      </c>
      <c r="B18" s="1299" t="s">
        <v>255</v>
      </c>
      <c r="C18" s="1300"/>
      <c r="D18" s="301">
        <v>22300</v>
      </c>
      <c r="E18" s="298">
        <v>22300</v>
      </c>
      <c r="F18" s="298">
        <v>23500</v>
      </c>
      <c r="G18" s="321">
        <v>6252</v>
      </c>
      <c r="H18" s="315">
        <v>23500</v>
      </c>
      <c r="I18" s="322" t="s">
        <v>222</v>
      </c>
    </row>
    <row r="19" spans="1:9" ht="25.5" x14ac:dyDescent="0.2">
      <c r="A19" s="1031"/>
      <c r="B19" s="1289"/>
      <c r="C19" s="1290"/>
      <c r="D19" s="301">
        <v>11700</v>
      </c>
      <c r="E19" s="298">
        <v>11700</v>
      </c>
      <c r="F19" s="298">
        <v>11500</v>
      </c>
      <c r="G19" s="321">
        <v>6423</v>
      </c>
      <c r="H19" s="315">
        <v>11500</v>
      </c>
      <c r="I19" s="322" t="s">
        <v>222</v>
      </c>
    </row>
    <row r="20" spans="1:9" ht="24" customHeight="1" x14ac:dyDescent="0.2">
      <c r="A20" s="278">
        <v>2</v>
      </c>
      <c r="B20" s="1297" t="s">
        <v>256</v>
      </c>
      <c r="C20" s="1298"/>
      <c r="D20" s="288"/>
      <c r="E20" s="323"/>
      <c r="F20" s="323">
        <v>610750</v>
      </c>
      <c r="G20" s="286">
        <v>6423</v>
      </c>
      <c r="H20" s="288">
        <v>608768</v>
      </c>
      <c r="I20" s="322" t="s">
        <v>222</v>
      </c>
    </row>
    <row r="21" spans="1:9" ht="19.5" customHeight="1" x14ac:dyDescent="0.2">
      <c r="A21" s="324"/>
      <c r="B21" s="325"/>
      <c r="C21" s="325"/>
      <c r="D21" s="326"/>
      <c r="E21" s="326"/>
      <c r="F21" s="326"/>
      <c r="G21" s="326"/>
      <c r="H21" s="326"/>
      <c r="I21" s="326"/>
    </row>
    <row r="22" spans="1:9" ht="12.75" x14ac:dyDescent="0.2">
      <c r="A22" s="1016" t="s">
        <v>6</v>
      </c>
      <c r="B22" s="1016"/>
      <c r="C22" s="327" t="s">
        <v>216</v>
      </c>
      <c r="D22" s="328"/>
      <c r="E22" s="328"/>
      <c r="F22" s="328"/>
      <c r="G22" s="328"/>
      <c r="H22" s="328"/>
      <c r="I22" s="328"/>
    </row>
    <row r="23" spans="1:9" ht="12.75" x14ac:dyDescent="0.2">
      <c r="A23" s="1016" t="s">
        <v>5</v>
      </c>
      <c r="B23" s="1016"/>
      <c r="C23" s="308" t="s">
        <v>217</v>
      </c>
      <c r="D23" s="306"/>
      <c r="E23" s="306"/>
      <c r="F23" s="306"/>
      <c r="G23" s="306"/>
      <c r="H23" s="306"/>
      <c r="I23" s="306"/>
    </row>
    <row r="24" spans="1:9" ht="48" x14ac:dyDescent="0.2">
      <c r="A24" s="6" t="s">
        <v>4</v>
      </c>
      <c r="B24" s="1020" t="s">
        <v>3</v>
      </c>
      <c r="C24" s="1021"/>
      <c r="D24" s="6" t="s">
        <v>11</v>
      </c>
      <c r="E24" s="6" t="s">
        <v>12</v>
      </c>
      <c r="F24" s="6" t="s">
        <v>13</v>
      </c>
      <c r="G24" s="6" t="s">
        <v>2</v>
      </c>
      <c r="H24" s="6" t="s">
        <v>180</v>
      </c>
      <c r="I24" s="6" t="s">
        <v>1</v>
      </c>
    </row>
    <row r="25" spans="1:9" x14ac:dyDescent="0.2">
      <c r="A25" s="1286" t="s">
        <v>14</v>
      </c>
      <c r="B25" s="1287"/>
      <c r="C25" s="1288"/>
      <c r="D25" s="297">
        <f>SUM(D26:D32)</f>
        <v>101000</v>
      </c>
      <c r="E25" s="297">
        <f>SUM(E26:E32)</f>
        <v>96100</v>
      </c>
      <c r="F25" s="297">
        <f>SUM(F26:F32)</f>
        <v>98040</v>
      </c>
      <c r="G25" s="297"/>
      <c r="H25" s="297">
        <f>SUM(H26:H32)</f>
        <v>98040</v>
      </c>
      <c r="I25" s="297"/>
    </row>
    <row r="26" spans="1:9" ht="26.25" customHeight="1" x14ac:dyDescent="0.2">
      <c r="A26" s="3">
        <v>1</v>
      </c>
      <c r="B26" s="1049" t="s">
        <v>257</v>
      </c>
      <c r="C26" s="1049"/>
      <c r="D26" s="301">
        <v>45000</v>
      </c>
      <c r="E26" s="298">
        <v>45000</v>
      </c>
      <c r="F26" s="298">
        <v>45540</v>
      </c>
      <c r="G26" s="299">
        <v>6260</v>
      </c>
      <c r="H26" s="315">
        <v>45540</v>
      </c>
      <c r="I26" s="322" t="s">
        <v>222</v>
      </c>
    </row>
    <row r="27" spans="1:9" ht="25.5" x14ac:dyDescent="0.2">
      <c r="A27" s="329">
        <v>2</v>
      </c>
      <c r="B27" s="1283" t="s">
        <v>255</v>
      </c>
      <c r="C27" s="1283"/>
      <c r="D27" s="301">
        <v>14500</v>
      </c>
      <c r="E27" s="298">
        <v>14500</v>
      </c>
      <c r="F27" s="298">
        <v>14500</v>
      </c>
      <c r="G27" s="299">
        <v>6252</v>
      </c>
      <c r="H27" s="315">
        <v>14500</v>
      </c>
      <c r="I27" s="322" t="s">
        <v>222</v>
      </c>
    </row>
    <row r="28" spans="1:9" ht="26.25" customHeight="1" x14ac:dyDescent="0.2">
      <c r="A28" s="3">
        <v>3</v>
      </c>
      <c r="B28" s="1283" t="s">
        <v>258</v>
      </c>
      <c r="C28" s="1283"/>
      <c r="D28" s="301">
        <v>24000</v>
      </c>
      <c r="E28" s="298">
        <v>23100</v>
      </c>
      <c r="F28" s="298">
        <v>23500</v>
      </c>
      <c r="G28" s="299">
        <v>6423</v>
      </c>
      <c r="H28" s="315">
        <v>23500</v>
      </c>
      <c r="I28" s="322" t="s">
        <v>222</v>
      </c>
    </row>
    <row r="29" spans="1:9" ht="25.5" x14ac:dyDescent="0.2">
      <c r="A29" s="3">
        <v>4</v>
      </c>
      <c r="B29" s="1283" t="s">
        <v>259</v>
      </c>
      <c r="C29" s="1283"/>
      <c r="D29" s="301">
        <v>7000</v>
      </c>
      <c r="E29" s="298">
        <v>6000</v>
      </c>
      <c r="F29" s="298">
        <v>6000</v>
      </c>
      <c r="G29" s="299">
        <v>6423</v>
      </c>
      <c r="H29" s="315">
        <v>6000</v>
      </c>
      <c r="I29" s="322" t="s">
        <v>225</v>
      </c>
    </row>
    <row r="30" spans="1:9" ht="25.5" x14ac:dyDescent="0.2">
      <c r="A30" s="1030">
        <v>5</v>
      </c>
      <c r="B30" s="1283" t="s">
        <v>260</v>
      </c>
      <c r="C30" s="1283"/>
      <c r="D30" s="301">
        <v>7000</v>
      </c>
      <c r="E30" s="298">
        <v>7000</v>
      </c>
      <c r="F30" s="298">
        <v>8000</v>
      </c>
      <c r="G30" s="299">
        <v>6259</v>
      </c>
      <c r="H30" s="315">
        <v>8000</v>
      </c>
      <c r="I30" s="322" t="s">
        <v>222</v>
      </c>
    </row>
    <row r="31" spans="1:9" ht="25.5" x14ac:dyDescent="0.2">
      <c r="A31" s="1031"/>
      <c r="B31" s="1283"/>
      <c r="C31" s="1283"/>
      <c r="D31" s="288">
        <v>3500</v>
      </c>
      <c r="E31" s="323">
        <v>500</v>
      </c>
      <c r="F31" s="288">
        <v>500</v>
      </c>
      <c r="G31" s="286">
        <v>6423</v>
      </c>
      <c r="H31" s="288">
        <v>500</v>
      </c>
      <c r="I31" s="322" t="s">
        <v>222</v>
      </c>
    </row>
    <row r="32" spans="1:9" x14ac:dyDescent="0.2">
      <c r="A32" s="330"/>
      <c r="B32" s="1296"/>
      <c r="C32" s="1296"/>
      <c r="D32" s="331"/>
      <c r="E32" s="331"/>
      <c r="F32" s="331"/>
      <c r="G32" s="332"/>
      <c r="H32" s="333"/>
      <c r="I32" s="332"/>
    </row>
    <row r="33" spans="1:9" ht="12.75" x14ac:dyDescent="0.2">
      <c r="A33" s="1016" t="s">
        <v>6</v>
      </c>
      <c r="B33" s="1016"/>
      <c r="C33" s="305" t="s">
        <v>229</v>
      </c>
      <c r="D33" s="306"/>
      <c r="E33" s="306"/>
      <c r="F33" s="306"/>
      <c r="G33" s="306"/>
      <c r="H33" s="306"/>
      <c r="I33" s="306"/>
    </row>
    <row r="34" spans="1:9" ht="12.75" x14ac:dyDescent="0.2">
      <c r="A34" s="1016" t="s">
        <v>5</v>
      </c>
      <c r="B34" s="1016"/>
      <c r="C34" s="308" t="s">
        <v>230</v>
      </c>
      <c r="D34" s="306"/>
      <c r="E34" s="306"/>
      <c r="F34" s="306"/>
      <c r="G34" s="306"/>
      <c r="H34" s="306"/>
      <c r="I34" s="306"/>
    </row>
    <row r="35" spans="1:9" ht="48" x14ac:dyDescent="0.2">
      <c r="A35" s="6" t="s">
        <v>4</v>
      </c>
      <c r="B35" s="1020" t="s">
        <v>3</v>
      </c>
      <c r="C35" s="1021"/>
      <c r="D35" s="6" t="s">
        <v>11</v>
      </c>
      <c r="E35" s="6" t="s">
        <v>12</v>
      </c>
      <c r="F35" s="6" t="s">
        <v>13</v>
      </c>
      <c r="G35" s="6" t="s">
        <v>2</v>
      </c>
      <c r="H35" s="6" t="s">
        <v>180</v>
      </c>
      <c r="I35" s="6" t="s">
        <v>1</v>
      </c>
    </row>
    <row r="36" spans="1:9" x14ac:dyDescent="0.2">
      <c r="A36" s="1286" t="s">
        <v>14</v>
      </c>
      <c r="B36" s="1287"/>
      <c r="C36" s="1288"/>
      <c r="D36" s="297">
        <f>SUM(D37:D41)</f>
        <v>214100</v>
      </c>
      <c r="E36" s="297">
        <f>SUM(E37:E41)</f>
        <v>214100</v>
      </c>
      <c r="F36" s="297">
        <f>SUM(F37:F41)</f>
        <v>215000</v>
      </c>
      <c r="G36" s="297"/>
      <c r="H36" s="297">
        <f>SUM(H37:H41)</f>
        <v>214000</v>
      </c>
      <c r="I36" s="297"/>
    </row>
    <row r="37" spans="1:9" ht="25.5" x14ac:dyDescent="0.2">
      <c r="A37" s="1041">
        <v>1</v>
      </c>
      <c r="B37" s="1042" t="s">
        <v>261</v>
      </c>
      <c r="C37" s="1042"/>
      <c r="D37" s="288">
        <v>179000</v>
      </c>
      <c r="E37" s="288">
        <v>179000</v>
      </c>
      <c r="F37" s="288">
        <v>180000</v>
      </c>
      <c r="G37" s="286">
        <v>6360</v>
      </c>
      <c r="H37" s="288">
        <v>179000</v>
      </c>
      <c r="I37" s="322" t="s">
        <v>222</v>
      </c>
    </row>
    <row r="38" spans="1:9" ht="25.5" x14ac:dyDescent="0.2">
      <c r="A38" s="1041"/>
      <c r="B38" s="1042"/>
      <c r="C38" s="1042"/>
      <c r="D38" s="288">
        <v>3000</v>
      </c>
      <c r="E38" s="288">
        <v>3000</v>
      </c>
      <c r="F38" s="288">
        <v>3000</v>
      </c>
      <c r="G38" s="286">
        <v>6270</v>
      </c>
      <c r="H38" s="288">
        <v>3000</v>
      </c>
      <c r="I38" s="322" t="s">
        <v>222</v>
      </c>
    </row>
    <row r="39" spans="1:9" ht="25.5" x14ac:dyDescent="0.2">
      <c r="A39" s="1041"/>
      <c r="B39" s="1042"/>
      <c r="C39" s="1042"/>
      <c r="D39" s="288">
        <v>1000</v>
      </c>
      <c r="E39" s="288">
        <v>1000</v>
      </c>
      <c r="F39" s="288">
        <v>1000</v>
      </c>
      <c r="G39" s="286">
        <v>6324</v>
      </c>
      <c r="H39" s="288">
        <v>1000</v>
      </c>
      <c r="I39" s="322" t="s">
        <v>222</v>
      </c>
    </row>
    <row r="40" spans="1:9" ht="25.5" x14ac:dyDescent="0.2">
      <c r="A40" s="1041"/>
      <c r="B40" s="1042"/>
      <c r="C40" s="1042"/>
      <c r="D40" s="288">
        <v>1000</v>
      </c>
      <c r="E40" s="288">
        <v>1000</v>
      </c>
      <c r="F40" s="288">
        <v>1000</v>
      </c>
      <c r="G40" s="286">
        <v>6255</v>
      </c>
      <c r="H40" s="288">
        <v>1000</v>
      </c>
      <c r="I40" s="322" t="s">
        <v>222</v>
      </c>
    </row>
    <row r="41" spans="1:9" ht="25.5" x14ac:dyDescent="0.2">
      <c r="A41" s="1041"/>
      <c r="B41" s="1042"/>
      <c r="C41" s="1042"/>
      <c r="D41" s="288">
        <v>30100</v>
      </c>
      <c r="E41" s="288">
        <v>30100</v>
      </c>
      <c r="F41" s="288">
        <v>30000</v>
      </c>
      <c r="G41" s="286">
        <v>6423</v>
      </c>
      <c r="H41" s="288">
        <v>30000</v>
      </c>
      <c r="I41" s="322" t="s">
        <v>222</v>
      </c>
    </row>
    <row r="42" spans="1:9" x14ac:dyDescent="0.2">
      <c r="A42" s="335"/>
      <c r="B42" s="336"/>
      <c r="C42" s="336"/>
      <c r="D42" s="337"/>
      <c r="E42" s="337"/>
      <c r="F42" s="337"/>
      <c r="G42" s="337"/>
      <c r="H42" s="326"/>
      <c r="I42" s="326"/>
    </row>
    <row r="43" spans="1:9" ht="12.75" x14ac:dyDescent="0.2">
      <c r="A43" s="1016" t="s">
        <v>6</v>
      </c>
      <c r="B43" s="1016"/>
      <c r="C43" s="305" t="s">
        <v>233</v>
      </c>
      <c r="D43" s="306"/>
      <c r="E43" s="306"/>
      <c r="F43" s="306"/>
      <c r="G43" s="306"/>
      <c r="H43" s="306"/>
      <c r="I43" s="306"/>
    </row>
    <row r="44" spans="1:9" ht="13.5" customHeight="1" x14ac:dyDescent="0.2">
      <c r="A44" s="1016" t="s">
        <v>5</v>
      </c>
      <c r="B44" s="1016"/>
      <c r="C44" s="308" t="s">
        <v>234</v>
      </c>
      <c r="D44" s="306"/>
      <c r="E44" s="306"/>
      <c r="F44" s="306"/>
      <c r="G44" s="306"/>
      <c r="H44" s="306"/>
      <c r="I44" s="306"/>
    </row>
    <row r="45" spans="1:9" ht="48" x14ac:dyDescent="0.2">
      <c r="A45" s="6" t="s">
        <v>4</v>
      </c>
      <c r="B45" s="1020" t="s">
        <v>3</v>
      </c>
      <c r="C45" s="1021"/>
      <c r="D45" s="6" t="s">
        <v>11</v>
      </c>
      <c r="E45" s="6" t="s">
        <v>12</v>
      </c>
      <c r="F45" s="6" t="s">
        <v>13</v>
      </c>
      <c r="G45" s="6" t="s">
        <v>2</v>
      </c>
      <c r="H45" s="6" t="s">
        <v>262</v>
      </c>
      <c r="I45" s="6" t="s">
        <v>1</v>
      </c>
    </row>
    <row r="46" spans="1:9" x14ac:dyDescent="0.2">
      <c r="A46" s="1295" t="s">
        <v>14</v>
      </c>
      <c r="B46" s="1295"/>
      <c r="C46" s="1295"/>
      <c r="D46" s="297">
        <f>SUM(D47:D51)</f>
        <v>96000</v>
      </c>
      <c r="E46" s="297">
        <f>SUM(E47:E51)</f>
        <v>94000</v>
      </c>
      <c r="F46" s="297">
        <f>SUM(F47:F51)</f>
        <v>97000</v>
      </c>
      <c r="G46" s="297"/>
      <c r="H46" s="297">
        <f>SUM(H47:H51)</f>
        <v>94500</v>
      </c>
      <c r="I46" s="297"/>
    </row>
    <row r="47" spans="1:9" ht="25.5" customHeight="1" x14ac:dyDescent="0.2">
      <c r="A47" s="3">
        <v>1</v>
      </c>
      <c r="B47" s="1049" t="s">
        <v>257</v>
      </c>
      <c r="C47" s="1049"/>
      <c r="D47" s="298">
        <v>59000</v>
      </c>
      <c r="E47" s="298">
        <v>57000</v>
      </c>
      <c r="F47" s="298">
        <v>60000</v>
      </c>
      <c r="G47" s="299">
        <v>6260</v>
      </c>
      <c r="H47" s="315">
        <v>57500</v>
      </c>
      <c r="I47" s="322" t="s">
        <v>222</v>
      </c>
    </row>
    <row r="48" spans="1:9" ht="25.5" x14ac:dyDescent="0.2">
      <c r="A48" s="3">
        <v>2</v>
      </c>
      <c r="B48" s="1283" t="s">
        <v>255</v>
      </c>
      <c r="C48" s="1283"/>
      <c r="D48" s="301">
        <v>10500</v>
      </c>
      <c r="E48" s="298">
        <v>10500</v>
      </c>
      <c r="F48" s="298">
        <v>10500</v>
      </c>
      <c r="G48" s="299">
        <v>6252</v>
      </c>
      <c r="H48" s="315">
        <v>10500</v>
      </c>
      <c r="I48" s="322" t="s">
        <v>222</v>
      </c>
    </row>
    <row r="49" spans="1:9" ht="25.5" x14ac:dyDescent="0.2">
      <c r="A49" s="3">
        <v>3</v>
      </c>
      <c r="B49" s="1283" t="s">
        <v>263</v>
      </c>
      <c r="C49" s="1283"/>
      <c r="D49" s="301">
        <v>8000</v>
      </c>
      <c r="E49" s="298">
        <v>8000</v>
      </c>
      <c r="F49" s="298">
        <v>8000</v>
      </c>
      <c r="G49" s="299">
        <v>6423</v>
      </c>
      <c r="H49" s="315">
        <v>8000</v>
      </c>
      <c r="I49" s="322" t="s">
        <v>222</v>
      </c>
    </row>
    <row r="50" spans="1:9" ht="25.5" x14ac:dyDescent="0.2">
      <c r="A50" s="1041">
        <v>4</v>
      </c>
      <c r="B50" s="1283" t="s">
        <v>264</v>
      </c>
      <c r="C50" s="1283"/>
      <c r="D50" s="301">
        <v>6700</v>
      </c>
      <c r="E50" s="298">
        <v>6700</v>
      </c>
      <c r="F50" s="298">
        <v>6700</v>
      </c>
      <c r="G50" s="321">
        <v>6254</v>
      </c>
      <c r="H50" s="315">
        <v>6700</v>
      </c>
      <c r="I50" s="322" t="s">
        <v>222</v>
      </c>
    </row>
    <row r="51" spans="1:9" ht="25.5" x14ac:dyDescent="0.2">
      <c r="A51" s="1041"/>
      <c r="B51" s="1283"/>
      <c r="C51" s="1283"/>
      <c r="D51" s="301">
        <v>11800</v>
      </c>
      <c r="E51" s="298">
        <v>11800</v>
      </c>
      <c r="F51" s="298">
        <v>11800</v>
      </c>
      <c r="G51" s="321">
        <v>6423</v>
      </c>
      <c r="H51" s="315">
        <v>11800</v>
      </c>
      <c r="I51" s="322" t="s">
        <v>222</v>
      </c>
    </row>
    <row r="52" spans="1:9" x14ac:dyDescent="0.2">
      <c r="A52" s="303"/>
      <c r="B52" s="303"/>
      <c r="C52" s="303"/>
      <c r="D52" s="303"/>
      <c r="E52" s="303"/>
      <c r="F52" s="303"/>
      <c r="G52" s="303"/>
      <c r="H52" s="310"/>
      <c r="I52" s="310"/>
    </row>
    <row r="53" spans="1:9" ht="12.75" x14ac:dyDescent="0.2">
      <c r="A53" s="1016" t="s">
        <v>6</v>
      </c>
      <c r="B53" s="1016"/>
      <c r="C53" s="305" t="s">
        <v>265</v>
      </c>
      <c r="D53" s="306"/>
      <c r="E53" s="306"/>
      <c r="F53" s="306"/>
      <c r="G53" s="306"/>
      <c r="H53" s="306"/>
      <c r="I53" s="306"/>
    </row>
    <row r="54" spans="1:9" ht="13.5" customHeight="1" x14ac:dyDescent="0.2">
      <c r="A54" s="1016" t="s">
        <v>5</v>
      </c>
      <c r="B54" s="1016"/>
      <c r="C54" s="308" t="s">
        <v>266</v>
      </c>
      <c r="D54" s="306"/>
      <c r="E54" s="306"/>
      <c r="F54" s="306"/>
      <c r="G54" s="306"/>
      <c r="H54" s="306"/>
      <c r="I54" s="306"/>
    </row>
    <row r="55" spans="1:9" ht="48" x14ac:dyDescent="0.2">
      <c r="A55" s="6" t="s">
        <v>4</v>
      </c>
      <c r="B55" s="1020" t="s">
        <v>3</v>
      </c>
      <c r="C55" s="1021"/>
      <c r="D55" s="6" t="s">
        <v>11</v>
      </c>
      <c r="E55" s="6" t="s">
        <v>12</v>
      </c>
      <c r="F55" s="6" t="s">
        <v>13</v>
      </c>
      <c r="G55" s="6" t="s">
        <v>2</v>
      </c>
      <c r="H55" s="6" t="s">
        <v>262</v>
      </c>
      <c r="I55" s="6" t="s">
        <v>1</v>
      </c>
    </row>
    <row r="56" spans="1:9" x14ac:dyDescent="0.2">
      <c r="A56" s="1286" t="s">
        <v>14</v>
      </c>
      <c r="B56" s="1287"/>
      <c r="C56" s="1288"/>
      <c r="D56" s="297">
        <f>SUM(D57:D59)</f>
        <v>372216</v>
      </c>
      <c r="E56" s="297">
        <f>SUM(E57:E59)</f>
        <v>372216</v>
      </c>
      <c r="F56" s="297">
        <f>SUM(F57:F59)</f>
        <v>375240</v>
      </c>
      <c r="G56" s="297"/>
      <c r="H56" s="297">
        <f>SUM(H57:H59)</f>
        <v>375240</v>
      </c>
      <c r="I56" s="297"/>
    </row>
    <row r="57" spans="1:9" ht="26.25" customHeight="1" x14ac:dyDescent="0.2">
      <c r="A57" s="3">
        <v>1</v>
      </c>
      <c r="B57" s="1049" t="s">
        <v>267</v>
      </c>
      <c r="C57" s="1049"/>
      <c r="D57" s="298">
        <v>358816</v>
      </c>
      <c r="E57" s="298">
        <v>358816</v>
      </c>
      <c r="F57" s="298">
        <f>410*72*12</f>
        <v>354240</v>
      </c>
      <c r="G57" s="299">
        <v>6423</v>
      </c>
      <c r="H57" s="315">
        <v>354240</v>
      </c>
      <c r="I57" s="322" t="s">
        <v>222</v>
      </c>
    </row>
    <row r="58" spans="1:9" ht="25.5" x14ac:dyDescent="0.2">
      <c r="A58" s="3">
        <v>2</v>
      </c>
      <c r="B58" s="1049" t="s">
        <v>268</v>
      </c>
      <c r="C58" s="1049"/>
      <c r="D58" s="298">
        <v>1800</v>
      </c>
      <c r="E58" s="298">
        <v>1800</v>
      </c>
      <c r="F58" s="298">
        <v>1800</v>
      </c>
      <c r="G58" s="299">
        <v>6423</v>
      </c>
      <c r="H58" s="315">
        <v>1800</v>
      </c>
      <c r="I58" s="322" t="s">
        <v>222</v>
      </c>
    </row>
    <row r="59" spans="1:9" ht="26.25" customHeight="1" x14ac:dyDescent="0.2">
      <c r="A59" s="3">
        <v>3</v>
      </c>
      <c r="B59" s="1293" t="s">
        <v>269</v>
      </c>
      <c r="C59" s="1293"/>
      <c r="D59" s="338">
        <v>11600</v>
      </c>
      <c r="E59" s="339">
        <v>11600</v>
      </c>
      <c r="F59" s="339">
        <f>11*12*100+6000</f>
        <v>19200</v>
      </c>
      <c r="G59" s="340">
        <v>6423</v>
      </c>
      <c r="H59" s="341">
        <v>19200</v>
      </c>
      <c r="I59" s="322" t="s">
        <v>222</v>
      </c>
    </row>
    <row r="60" spans="1:9" x14ac:dyDescent="0.2">
      <c r="D60" s="342"/>
      <c r="E60" s="342"/>
      <c r="F60" s="342"/>
      <c r="H60" s="342"/>
      <c r="I60" s="342"/>
    </row>
    <row r="61" spans="1:9" x14ac:dyDescent="0.2">
      <c r="A61" s="1" t="s">
        <v>184</v>
      </c>
    </row>
    <row r="62" spans="1:9" ht="12" customHeight="1" x14ac:dyDescent="0.2">
      <c r="A62" s="320" t="s">
        <v>239</v>
      </c>
      <c r="B62" s="319"/>
      <c r="C62" s="319"/>
      <c r="D62" s="319"/>
      <c r="E62" s="319"/>
      <c r="F62" s="319"/>
      <c r="G62" s="319"/>
      <c r="H62" s="319"/>
      <c r="I62" s="319"/>
    </row>
    <row r="63" spans="1:9" ht="12" customHeight="1" x14ac:dyDescent="0.2">
      <c r="A63" s="320"/>
      <c r="B63" s="319"/>
      <c r="C63" s="319" t="s">
        <v>240</v>
      </c>
      <c r="D63" s="319"/>
      <c r="E63" s="319"/>
      <c r="F63" s="319"/>
      <c r="G63" s="319"/>
      <c r="H63" s="319"/>
      <c r="I63" s="319"/>
    </row>
    <row r="64" spans="1:9" ht="12" customHeight="1" x14ac:dyDescent="0.2">
      <c r="A64" s="320"/>
      <c r="B64" s="319"/>
      <c r="C64" s="319"/>
      <c r="D64" s="319"/>
      <c r="E64" s="319"/>
      <c r="F64" s="319"/>
      <c r="G64" s="319"/>
      <c r="H64" s="319"/>
      <c r="I64" s="319"/>
    </row>
    <row r="65" spans="1:9" x14ac:dyDescent="0.2">
      <c r="A65" s="1294" t="s">
        <v>185</v>
      </c>
      <c r="B65" s="1294"/>
      <c r="C65" s="1294"/>
      <c r="D65" s="1294"/>
      <c r="E65" s="1294"/>
      <c r="F65" s="1294"/>
      <c r="G65" s="1294"/>
      <c r="H65" s="1294"/>
      <c r="I65" s="1294"/>
    </row>
    <row r="66" spans="1:9" x14ac:dyDescent="0.2">
      <c r="B66" s="1" t="s">
        <v>241</v>
      </c>
    </row>
    <row r="67" spans="1:9" x14ac:dyDescent="0.2">
      <c r="C67" s="1" t="s">
        <v>243</v>
      </c>
    </row>
    <row r="68" spans="1:9" x14ac:dyDescent="0.2">
      <c r="C68" s="1" t="s">
        <v>245</v>
      </c>
    </row>
  </sheetData>
  <sheetProtection algorithmName="SHA-512" hashValue="U6S8pzgIK7YoW4oBm/3OhDKOErhqUrzO7HvJY3d6R3AZqm8D/7zOxoVIc4ZyDikrlVDhQ2lhs4eI1JjPaTHEKg==" saltValue="WjmNi3TPQCyF8vww3Fvhsg==" spinCount="100000" sheet="1" objects="1" scenarios="1" selectLockedCells="1" selectUnlockedCells="1"/>
  <mergeCells count="55">
    <mergeCell ref="A5:B5"/>
    <mergeCell ref="C5:I5"/>
    <mergeCell ref="A1:B1"/>
    <mergeCell ref="C1:I1"/>
    <mergeCell ref="A2:B2"/>
    <mergeCell ref="C2:I2"/>
    <mergeCell ref="A3:I3"/>
    <mergeCell ref="A18:A19"/>
    <mergeCell ref="B18:C19"/>
    <mergeCell ref="A6:B6"/>
    <mergeCell ref="A7:B7"/>
    <mergeCell ref="B8:C8"/>
    <mergeCell ref="A9:C9"/>
    <mergeCell ref="A10:A11"/>
    <mergeCell ref="B10:C11"/>
    <mergeCell ref="B12:C12"/>
    <mergeCell ref="A14:B14"/>
    <mergeCell ref="A15:B15"/>
    <mergeCell ref="B16:C16"/>
    <mergeCell ref="A17:C17"/>
    <mergeCell ref="B32:C32"/>
    <mergeCell ref="B20:C20"/>
    <mergeCell ref="A22:B22"/>
    <mergeCell ref="A23:B23"/>
    <mergeCell ref="B24:C24"/>
    <mergeCell ref="A25:C25"/>
    <mergeCell ref="B26:C26"/>
    <mergeCell ref="B27:C27"/>
    <mergeCell ref="B28:C28"/>
    <mergeCell ref="B29:C29"/>
    <mergeCell ref="A30:A31"/>
    <mergeCell ref="B30:C31"/>
    <mergeCell ref="A33:B33"/>
    <mergeCell ref="A34:B34"/>
    <mergeCell ref="B35:C35"/>
    <mergeCell ref="A36:C36"/>
    <mergeCell ref="A37:A41"/>
    <mergeCell ref="B37:C41"/>
    <mergeCell ref="B55:C55"/>
    <mergeCell ref="A43:B43"/>
    <mergeCell ref="A44:B44"/>
    <mergeCell ref="B45:C45"/>
    <mergeCell ref="A46:C46"/>
    <mergeCell ref="B47:C47"/>
    <mergeCell ref="B48:C48"/>
    <mergeCell ref="B49:C49"/>
    <mergeCell ref="A50:A51"/>
    <mergeCell ref="B50:C51"/>
    <mergeCell ref="A53:B53"/>
    <mergeCell ref="A54:B54"/>
    <mergeCell ref="A56:C56"/>
    <mergeCell ref="B57:C57"/>
    <mergeCell ref="B58:C58"/>
    <mergeCell ref="B59:C59"/>
    <mergeCell ref="A65:I65"/>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&amp;R&amp;"Times New Roman,Regular"&amp;8
24.pielikums Jūrmalas pilsētas domes
2016.gada 16.decembra saistošajiem noteikumiem Nr.47
(protokols Nr.19, 19.punkts)</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1"/>
  <sheetViews>
    <sheetView view="pageLayout" zoomScaleNormal="100" zoomScaleSheetLayoutView="100" workbookViewId="0">
      <selection activeCell="J37" sqref="J37"/>
    </sheetView>
  </sheetViews>
  <sheetFormatPr defaultRowHeight="12" x14ac:dyDescent="0.2"/>
  <cols>
    <col min="1" max="1" width="4.42578125" style="1" customWidth="1"/>
    <col min="2" max="2" width="17.28515625" style="1" customWidth="1"/>
    <col min="3" max="3" width="20.42578125" style="1" customWidth="1"/>
    <col min="4" max="4" width="8.5703125" style="1" hidden="1" customWidth="1"/>
    <col min="5" max="5" width="9.28515625" style="1" hidden="1" customWidth="1"/>
    <col min="6" max="6" width="10.28515625" style="1" hidden="1" customWidth="1"/>
    <col min="7" max="7" width="10" style="1" customWidth="1"/>
    <col min="8" max="8" width="9.140625" style="1" customWidth="1"/>
    <col min="9" max="9" width="17.140625" style="1" customWidth="1"/>
    <col min="10" max="16384" width="9.140625" style="1"/>
  </cols>
  <sheetData>
    <row r="1" spans="1:9" x14ac:dyDescent="0.2">
      <c r="A1" s="1016" t="s">
        <v>8</v>
      </c>
      <c r="B1" s="1016"/>
      <c r="C1" s="1016" t="s">
        <v>214</v>
      </c>
      <c r="D1" s="1016"/>
      <c r="E1" s="1016"/>
      <c r="F1" s="1016"/>
      <c r="G1" s="1016"/>
      <c r="H1" s="1016"/>
      <c r="I1" s="1016"/>
    </row>
    <row r="2" spans="1:9" x14ac:dyDescent="0.2">
      <c r="A2" s="1016" t="s">
        <v>247</v>
      </c>
      <c r="B2" s="1016"/>
      <c r="C2" s="1016">
        <v>90000594245</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1017" t="s">
        <v>270</v>
      </c>
      <c r="D5" s="1017"/>
      <c r="E5" s="1017"/>
      <c r="F5" s="1017"/>
      <c r="G5" s="1017"/>
      <c r="H5" s="1017"/>
      <c r="I5" s="1017"/>
    </row>
    <row r="6" spans="1:9" ht="12.75" x14ac:dyDescent="0.2">
      <c r="A6" s="1016" t="s">
        <v>6</v>
      </c>
      <c r="B6" s="1016"/>
      <c r="C6" s="305" t="s">
        <v>271</v>
      </c>
      <c r="D6" s="306"/>
      <c r="E6" s="306"/>
      <c r="F6" s="306"/>
      <c r="G6" s="306"/>
      <c r="H6" s="306"/>
      <c r="I6" s="306"/>
    </row>
    <row r="7" spans="1:9" ht="12.75" x14ac:dyDescent="0.2">
      <c r="A7" s="1016" t="s">
        <v>5</v>
      </c>
      <c r="B7" s="1016"/>
      <c r="C7" s="308" t="s">
        <v>272</v>
      </c>
      <c r="D7" s="306"/>
      <c r="E7" s="306"/>
      <c r="F7" s="306"/>
      <c r="G7" s="306"/>
      <c r="H7" s="306"/>
      <c r="I7" s="306"/>
    </row>
    <row r="8" spans="1:9" ht="51.75" customHeight="1" x14ac:dyDescent="0.2">
      <c r="A8" s="6" t="s">
        <v>4</v>
      </c>
      <c r="B8" s="1020" t="s">
        <v>3</v>
      </c>
      <c r="C8" s="1021"/>
      <c r="D8" s="6" t="s">
        <v>11</v>
      </c>
      <c r="E8" s="6" t="s">
        <v>12</v>
      </c>
      <c r="F8" s="6" t="s">
        <v>13</v>
      </c>
      <c r="G8" s="6" t="s">
        <v>2</v>
      </c>
      <c r="H8" s="6" t="s">
        <v>180</v>
      </c>
      <c r="I8" s="6" t="s">
        <v>1</v>
      </c>
    </row>
    <row r="9" spans="1:9" ht="12.75" customHeight="1" x14ac:dyDescent="0.2">
      <c r="A9" s="1286" t="s">
        <v>14</v>
      </c>
      <c r="B9" s="1287"/>
      <c r="C9" s="1288"/>
      <c r="D9" s="297">
        <f>SUM(D10:D10)</f>
        <v>143</v>
      </c>
      <c r="E9" s="297">
        <f>SUM(E10:E10)</f>
        <v>0</v>
      </c>
      <c r="F9" s="297">
        <f>SUM(F10:F10)</f>
        <v>143</v>
      </c>
      <c r="G9" s="297"/>
      <c r="H9" s="297">
        <f>SUM(H10:H10)</f>
        <v>143</v>
      </c>
      <c r="I9" s="297"/>
    </row>
    <row r="10" spans="1:9" ht="25.5" customHeight="1" x14ac:dyDescent="0.2">
      <c r="A10" s="3">
        <v>1</v>
      </c>
      <c r="B10" s="1284" t="s">
        <v>273</v>
      </c>
      <c r="C10" s="1285"/>
      <c r="D10" s="301">
        <v>143</v>
      </c>
      <c r="E10" s="301">
        <v>0</v>
      </c>
      <c r="F10" s="301">
        <v>143</v>
      </c>
      <c r="G10" s="321">
        <v>2279</v>
      </c>
      <c r="H10" s="343">
        <v>143</v>
      </c>
      <c r="I10" s="344" t="s">
        <v>274</v>
      </c>
    </row>
    <row r="11" spans="1:9" x14ac:dyDescent="0.2">
      <c r="A11" s="303"/>
      <c r="B11" s="303"/>
      <c r="C11" s="303"/>
      <c r="D11" s="303"/>
      <c r="E11" s="303"/>
      <c r="F11" s="303"/>
      <c r="G11" s="303"/>
      <c r="H11" s="303"/>
      <c r="I11" s="303"/>
    </row>
    <row r="12" spans="1:9" ht="12.75" x14ac:dyDescent="0.2">
      <c r="A12" s="1016" t="s">
        <v>6</v>
      </c>
      <c r="B12" s="1016"/>
      <c r="C12" s="305" t="s">
        <v>249</v>
      </c>
      <c r="D12" s="306"/>
      <c r="E12" s="306"/>
      <c r="F12" s="306"/>
      <c r="G12" s="306"/>
      <c r="H12" s="306"/>
      <c r="I12" s="306"/>
    </row>
    <row r="13" spans="1:9" ht="12.75" x14ac:dyDescent="0.2">
      <c r="A13" s="1016" t="s">
        <v>5</v>
      </c>
      <c r="B13" s="1016"/>
      <c r="C13" s="308" t="s">
        <v>250</v>
      </c>
      <c r="D13" s="306"/>
      <c r="E13" s="306"/>
      <c r="F13" s="306"/>
      <c r="G13" s="306"/>
      <c r="H13" s="306"/>
      <c r="I13" s="306"/>
    </row>
    <row r="14" spans="1:9" ht="50.25" customHeight="1" x14ac:dyDescent="0.2">
      <c r="A14" s="6" t="s">
        <v>4</v>
      </c>
      <c r="B14" s="1020" t="s">
        <v>3</v>
      </c>
      <c r="C14" s="1021"/>
      <c r="D14" s="6" t="s">
        <v>11</v>
      </c>
      <c r="E14" s="6" t="s">
        <v>12</v>
      </c>
      <c r="F14" s="6" t="s">
        <v>13</v>
      </c>
      <c r="G14" s="6" t="s">
        <v>2</v>
      </c>
      <c r="H14" s="6" t="s">
        <v>180</v>
      </c>
      <c r="I14" s="6" t="s">
        <v>1</v>
      </c>
    </row>
    <row r="15" spans="1:9" x14ac:dyDescent="0.2">
      <c r="A15" s="1286" t="s">
        <v>14</v>
      </c>
      <c r="B15" s="1287"/>
      <c r="C15" s="1288"/>
      <c r="D15" s="297">
        <f>SUM(D16:D24)</f>
        <v>300036</v>
      </c>
      <c r="E15" s="297">
        <f>SUM(E16:E24)</f>
        <v>181245</v>
      </c>
      <c r="F15" s="297">
        <f>SUM(F16:F24)</f>
        <v>184316</v>
      </c>
      <c r="G15" s="297"/>
      <c r="H15" s="297">
        <f>SUM(H16:H24)</f>
        <v>184266</v>
      </c>
      <c r="I15" s="297"/>
    </row>
    <row r="16" spans="1:9" ht="24" x14ac:dyDescent="0.2">
      <c r="A16" s="276">
        <v>1</v>
      </c>
      <c r="B16" s="1283" t="s">
        <v>275</v>
      </c>
      <c r="C16" s="1283"/>
      <c r="D16" s="301">
        <v>5000</v>
      </c>
      <c r="E16" s="298">
        <v>0</v>
      </c>
      <c r="F16" s="298">
        <v>2900</v>
      </c>
      <c r="G16" s="321">
        <v>6330</v>
      </c>
      <c r="H16" s="345">
        <v>2850</v>
      </c>
      <c r="I16" s="344" t="s">
        <v>276</v>
      </c>
    </row>
    <row r="17" spans="1:9" ht="26.25" customHeight="1" x14ac:dyDescent="0.2">
      <c r="A17" s="276">
        <v>2</v>
      </c>
      <c r="B17" s="1283" t="s">
        <v>277</v>
      </c>
      <c r="C17" s="1283"/>
      <c r="D17" s="301">
        <v>86</v>
      </c>
      <c r="E17" s="298">
        <v>0</v>
      </c>
      <c r="F17" s="298">
        <v>86</v>
      </c>
      <c r="G17" s="321">
        <v>2239</v>
      </c>
      <c r="H17" s="345">
        <v>86</v>
      </c>
      <c r="I17" s="344" t="s">
        <v>276</v>
      </c>
    </row>
    <row r="18" spans="1:9" ht="24" x14ac:dyDescent="0.2">
      <c r="A18" s="276">
        <v>3</v>
      </c>
      <c r="B18" s="1283" t="s">
        <v>278</v>
      </c>
      <c r="C18" s="1283"/>
      <c r="D18" s="301">
        <v>6720</v>
      </c>
      <c r="E18" s="298">
        <v>6720</v>
      </c>
      <c r="F18" s="298">
        <v>6720</v>
      </c>
      <c r="G18" s="321">
        <v>2279</v>
      </c>
      <c r="H18" s="345">
        <v>6720</v>
      </c>
      <c r="I18" s="344" t="s">
        <v>222</v>
      </c>
    </row>
    <row r="19" spans="1:9" ht="24" x14ac:dyDescent="0.2">
      <c r="A19" s="1084">
        <v>4</v>
      </c>
      <c r="B19" s="1307" t="s">
        <v>279</v>
      </c>
      <c r="C19" s="1307"/>
      <c r="D19" s="301">
        <v>4150</v>
      </c>
      <c r="E19" s="298">
        <v>4150</v>
      </c>
      <c r="F19" s="298">
        <v>4150</v>
      </c>
      <c r="G19" s="321">
        <v>1150</v>
      </c>
      <c r="H19" s="346">
        <v>4150</v>
      </c>
      <c r="I19" s="344" t="s">
        <v>280</v>
      </c>
    </row>
    <row r="20" spans="1:9" ht="24" x14ac:dyDescent="0.2">
      <c r="A20" s="1306"/>
      <c r="B20" s="1307"/>
      <c r="C20" s="1307"/>
      <c r="D20" s="301">
        <v>900</v>
      </c>
      <c r="E20" s="298">
        <v>815</v>
      </c>
      <c r="F20" s="298">
        <v>900</v>
      </c>
      <c r="G20" s="321">
        <v>1210</v>
      </c>
      <c r="H20" s="346">
        <v>900</v>
      </c>
      <c r="I20" s="344" t="s">
        <v>280</v>
      </c>
    </row>
    <row r="21" spans="1:9" ht="24" x14ac:dyDescent="0.2">
      <c r="A21" s="1308">
        <v>5</v>
      </c>
      <c r="B21" s="1124" t="s">
        <v>281</v>
      </c>
      <c r="C21" s="1125"/>
      <c r="D21" s="301">
        <v>200000</v>
      </c>
      <c r="E21" s="298">
        <v>120200</v>
      </c>
      <c r="F21" s="298">
        <v>120200</v>
      </c>
      <c r="G21" s="321">
        <v>1150</v>
      </c>
      <c r="H21" s="346">
        <v>120200</v>
      </c>
      <c r="I21" s="344" t="s">
        <v>222</v>
      </c>
    </row>
    <row r="22" spans="1:9" ht="24" x14ac:dyDescent="0.2">
      <c r="A22" s="1309"/>
      <c r="B22" s="1126"/>
      <c r="C22" s="1127"/>
      <c r="D22" s="301">
        <v>30000</v>
      </c>
      <c r="E22" s="298">
        <v>18000</v>
      </c>
      <c r="F22" s="298">
        <v>18000</v>
      </c>
      <c r="G22" s="321">
        <v>2279</v>
      </c>
      <c r="H22" s="346">
        <v>18000</v>
      </c>
      <c r="I22" s="344" t="s">
        <v>222</v>
      </c>
    </row>
    <row r="23" spans="1:9" ht="24" x14ac:dyDescent="0.2">
      <c r="A23" s="1309"/>
      <c r="B23" s="1126"/>
      <c r="C23" s="1127"/>
      <c r="D23" s="301">
        <v>6000</v>
      </c>
      <c r="E23" s="298">
        <v>3000</v>
      </c>
      <c r="F23" s="298">
        <v>3000</v>
      </c>
      <c r="G23" s="321">
        <v>2322</v>
      </c>
      <c r="H23" s="346">
        <v>3000</v>
      </c>
      <c r="I23" s="344" t="s">
        <v>222</v>
      </c>
    </row>
    <row r="24" spans="1:9" ht="24" x14ac:dyDescent="0.2">
      <c r="A24" s="1310"/>
      <c r="B24" s="1301"/>
      <c r="C24" s="1302"/>
      <c r="D24" s="301">
        <v>47180</v>
      </c>
      <c r="E24" s="298">
        <v>28360</v>
      </c>
      <c r="F24" s="298">
        <v>28360</v>
      </c>
      <c r="G24" s="321">
        <v>1210</v>
      </c>
      <c r="H24" s="346">
        <v>28360</v>
      </c>
      <c r="I24" s="344" t="s">
        <v>222</v>
      </c>
    </row>
    <row r="25" spans="1:9" x14ac:dyDescent="0.2">
      <c r="A25" s="303"/>
      <c r="B25" s="303"/>
      <c r="C25" s="303"/>
      <c r="D25" s="303"/>
      <c r="E25" s="303"/>
      <c r="F25" s="303"/>
      <c r="G25" s="303"/>
      <c r="H25" s="303"/>
      <c r="I25" s="303"/>
    </row>
    <row r="26" spans="1:9" ht="12.75" x14ac:dyDescent="0.2">
      <c r="A26" s="1016" t="s">
        <v>6</v>
      </c>
      <c r="B26" s="1016"/>
      <c r="C26" s="305" t="s">
        <v>253</v>
      </c>
      <c r="D26" s="306"/>
      <c r="E26" s="306"/>
      <c r="F26" s="306"/>
      <c r="G26" s="306"/>
      <c r="H26" s="306"/>
      <c r="I26" s="306"/>
    </row>
    <row r="27" spans="1:9" ht="12.75" x14ac:dyDescent="0.2">
      <c r="A27" s="1016" t="s">
        <v>5</v>
      </c>
      <c r="B27" s="1016"/>
      <c r="C27" s="308" t="s">
        <v>254</v>
      </c>
      <c r="D27" s="306"/>
      <c r="E27" s="306"/>
      <c r="F27" s="306"/>
      <c r="G27" s="306"/>
      <c r="H27" s="306"/>
      <c r="I27" s="306"/>
    </row>
    <row r="28" spans="1:9" ht="50.25" customHeight="1" x14ac:dyDescent="0.2">
      <c r="A28" s="6" t="s">
        <v>4</v>
      </c>
      <c r="B28" s="1020" t="s">
        <v>3</v>
      </c>
      <c r="C28" s="1021"/>
      <c r="D28" s="6" t="s">
        <v>11</v>
      </c>
      <c r="E28" s="6" t="s">
        <v>12</v>
      </c>
      <c r="F28" s="6" t="s">
        <v>13</v>
      </c>
      <c r="G28" s="6" t="s">
        <v>2</v>
      </c>
      <c r="H28" s="6" t="s">
        <v>180</v>
      </c>
      <c r="I28" s="6" t="s">
        <v>1</v>
      </c>
    </row>
    <row r="29" spans="1:9" x14ac:dyDescent="0.2">
      <c r="A29" s="1286" t="s">
        <v>14</v>
      </c>
      <c r="B29" s="1287"/>
      <c r="C29" s="1288"/>
      <c r="D29" s="297">
        <f>SUM(D30:D31)</f>
        <v>160714</v>
      </c>
      <c r="E29" s="297">
        <f>SUM(E30:E31)</f>
        <v>160714</v>
      </c>
      <c r="F29" s="297">
        <f>SUM(F30:F31)</f>
        <v>160716</v>
      </c>
      <c r="G29" s="297"/>
      <c r="H29" s="297">
        <f>SUM(H30:H31)</f>
        <v>154558</v>
      </c>
      <c r="I29" s="297"/>
    </row>
    <row r="30" spans="1:9" ht="27.75" customHeight="1" x14ac:dyDescent="0.2">
      <c r="A30" s="3">
        <v>1</v>
      </c>
      <c r="B30" s="1283" t="s">
        <v>282</v>
      </c>
      <c r="C30" s="1283"/>
      <c r="D30" s="301">
        <v>156444</v>
      </c>
      <c r="E30" s="298">
        <v>156444</v>
      </c>
      <c r="F30" s="298">
        <v>156444</v>
      </c>
      <c r="G30" s="321">
        <v>6412</v>
      </c>
      <c r="H30" s="338">
        <v>150288</v>
      </c>
      <c r="I30" s="344" t="s">
        <v>228</v>
      </c>
    </row>
    <row r="31" spans="1:9" ht="26.25" customHeight="1" x14ac:dyDescent="0.2">
      <c r="A31" s="3">
        <v>2</v>
      </c>
      <c r="B31" s="1283" t="s">
        <v>283</v>
      </c>
      <c r="C31" s="1283"/>
      <c r="D31" s="301">
        <v>4270</v>
      </c>
      <c r="E31" s="298">
        <v>4270</v>
      </c>
      <c r="F31" s="298">
        <v>4272</v>
      </c>
      <c r="G31" s="321">
        <v>6412</v>
      </c>
      <c r="H31" s="338">
        <v>4270</v>
      </c>
      <c r="I31" s="344" t="s">
        <v>228</v>
      </c>
    </row>
    <row r="32" spans="1:9" x14ac:dyDescent="0.2">
      <c r="A32" s="303"/>
      <c r="B32" s="303"/>
      <c r="C32" s="303"/>
      <c r="D32" s="303"/>
      <c r="E32" s="303"/>
      <c r="F32" s="303"/>
      <c r="G32" s="303"/>
      <c r="H32" s="303"/>
      <c r="I32" s="303"/>
    </row>
    <row r="33" spans="1:9" ht="12.75" x14ac:dyDescent="0.2">
      <c r="A33" s="1016" t="s">
        <v>6</v>
      </c>
      <c r="B33" s="1016"/>
      <c r="C33" s="305" t="s">
        <v>229</v>
      </c>
      <c r="D33" s="306"/>
      <c r="E33" s="306"/>
      <c r="F33" s="306"/>
      <c r="G33" s="306"/>
      <c r="H33" s="306"/>
      <c r="I33" s="306"/>
    </row>
    <row r="34" spans="1:9" ht="12.75" x14ac:dyDescent="0.2">
      <c r="A34" s="1016" t="s">
        <v>5</v>
      </c>
      <c r="B34" s="1016"/>
      <c r="C34" s="308" t="s">
        <v>230</v>
      </c>
      <c r="D34" s="306"/>
      <c r="E34" s="306"/>
      <c r="F34" s="306"/>
      <c r="G34" s="306"/>
      <c r="H34" s="306"/>
      <c r="I34" s="306"/>
    </row>
    <row r="35" spans="1:9" ht="51" customHeight="1" x14ac:dyDescent="0.2">
      <c r="A35" s="6" t="s">
        <v>4</v>
      </c>
      <c r="B35" s="1020" t="s">
        <v>3</v>
      </c>
      <c r="C35" s="1021"/>
      <c r="D35" s="6" t="s">
        <v>11</v>
      </c>
      <c r="E35" s="6" t="s">
        <v>12</v>
      </c>
      <c r="F35" s="6" t="s">
        <v>13</v>
      </c>
      <c r="G35" s="6" t="s">
        <v>2</v>
      </c>
      <c r="H35" s="6" t="s">
        <v>180</v>
      </c>
      <c r="I35" s="6" t="s">
        <v>1</v>
      </c>
    </row>
    <row r="36" spans="1:9" x14ac:dyDescent="0.2">
      <c r="A36" s="1286" t="s">
        <v>14</v>
      </c>
      <c r="B36" s="1287"/>
      <c r="C36" s="1288"/>
      <c r="D36" s="297">
        <f>SUM(D37:D37)</f>
        <v>30200</v>
      </c>
      <c r="E36" s="297">
        <f>SUM(E37:E37)</f>
        <v>30200</v>
      </c>
      <c r="F36" s="297">
        <f>SUM(F37:F37)</f>
        <v>30200</v>
      </c>
      <c r="G36" s="297"/>
      <c r="H36" s="297">
        <f>SUM(H37:H37)</f>
        <v>30200</v>
      </c>
      <c r="I36" s="297"/>
    </row>
    <row r="37" spans="1:9" ht="24" x14ac:dyDescent="0.2">
      <c r="A37" s="3">
        <v>1</v>
      </c>
      <c r="B37" s="1304" t="s">
        <v>284</v>
      </c>
      <c r="C37" s="1305"/>
      <c r="D37" s="301">
        <v>30200</v>
      </c>
      <c r="E37" s="298">
        <v>30200</v>
      </c>
      <c r="F37" s="298">
        <v>30200</v>
      </c>
      <c r="G37" s="299">
        <v>6330</v>
      </c>
      <c r="H37" s="345">
        <v>30200</v>
      </c>
      <c r="I37" s="344" t="s">
        <v>232</v>
      </c>
    </row>
    <row r="38" spans="1:9" x14ac:dyDescent="0.2">
      <c r="A38" s="303"/>
      <c r="B38" s="303"/>
      <c r="C38" s="303"/>
      <c r="D38" s="303"/>
      <c r="E38" s="303"/>
      <c r="F38" s="303"/>
      <c r="G38" s="303"/>
      <c r="H38" s="310"/>
      <c r="I38" s="310"/>
    </row>
    <row r="39" spans="1:9" ht="12.75" x14ac:dyDescent="0.2">
      <c r="A39" s="1016" t="s">
        <v>6</v>
      </c>
      <c r="B39" s="1016"/>
      <c r="C39" s="305" t="s">
        <v>285</v>
      </c>
      <c r="D39" s="306"/>
      <c r="E39" s="306"/>
      <c r="F39" s="306"/>
      <c r="G39" s="306"/>
      <c r="H39" s="306"/>
      <c r="I39" s="306"/>
    </row>
    <row r="40" spans="1:9" ht="12.75" x14ac:dyDescent="0.2">
      <c r="A40" s="1016" t="s">
        <v>5</v>
      </c>
      <c r="B40" s="1016"/>
      <c r="C40" s="308" t="s">
        <v>234</v>
      </c>
      <c r="D40" s="306"/>
      <c r="E40" s="306"/>
      <c r="F40" s="306"/>
      <c r="G40" s="306"/>
      <c r="H40" s="306"/>
      <c r="I40" s="306"/>
    </row>
    <row r="41" spans="1:9" ht="51" customHeight="1" x14ac:dyDescent="0.2">
      <c r="A41" s="6" t="s">
        <v>4</v>
      </c>
      <c r="B41" s="1020" t="s">
        <v>3</v>
      </c>
      <c r="C41" s="1021"/>
      <c r="D41" s="6" t="s">
        <v>11</v>
      </c>
      <c r="E41" s="6" t="s">
        <v>12</v>
      </c>
      <c r="F41" s="6" t="s">
        <v>13</v>
      </c>
      <c r="G41" s="6" t="s">
        <v>2</v>
      </c>
      <c r="H41" s="6" t="s">
        <v>180</v>
      </c>
      <c r="I41" s="6" t="s">
        <v>1</v>
      </c>
    </row>
    <row r="42" spans="1:9" x14ac:dyDescent="0.2">
      <c r="A42" s="1286" t="s">
        <v>14</v>
      </c>
      <c r="B42" s="1287"/>
      <c r="C42" s="1288"/>
      <c r="D42" s="297">
        <f>SUM(D43:D47)</f>
        <v>320065</v>
      </c>
      <c r="E42" s="297">
        <f>SUM(E43:E47)</f>
        <v>320065</v>
      </c>
      <c r="F42" s="297">
        <f>SUM(F43:F47)</f>
        <v>325065</v>
      </c>
      <c r="G42" s="297"/>
      <c r="H42" s="297">
        <f>SUM(H43:H47)</f>
        <v>330203</v>
      </c>
      <c r="I42" s="297"/>
    </row>
    <row r="43" spans="1:9" ht="38.25" customHeight="1" x14ac:dyDescent="0.2">
      <c r="A43" s="3">
        <v>1</v>
      </c>
      <c r="B43" s="1049" t="s">
        <v>286</v>
      </c>
      <c r="C43" s="1049"/>
      <c r="D43" s="301">
        <v>86222</v>
      </c>
      <c r="E43" s="298">
        <v>86222</v>
      </c>
      <c r="F43" s="298">
        <v>86222</v>
      </c>
      <c r="G43" s="321">
        <v>6419</v>
      </c>
      <c r="H43" s="338">
        <v>94647</v>
      </c>
      <c r="I43" s="344" t="s">
        <v>228</v>
      </c>
    </row>
    <row r="44" spans="1:9" ht="25.5" customHeight="1" x14ac:dyDescent="0.2">
      <c r="A44" s="3">
        <v>2</v>
      </c>
      <c r="B44" s="1049" t="s">
        <v>287</v>
      </c>
      <c r="C44" s="1049"/>
      <c r="D44" s="301">
        <v>151055</v>
      </c>
      <c r="E44" s="298">
        <v>151055</v>
      </c>
      <c r="F44" s="298">
        <v>151055</v>
      </c>
      <c r="G44" s="299">
        <v>6419</v>
      </c>
      <c r="H44" s="338">
        <v>150768</v>
      </c>
      <c r="I44" s="344" t="s">
        <v>228</v>
      </c>
    </row>
    <row r="45" spans="1:9" ht="24" x14ac:dyDescent="0.2">
      <c r="A45" s="3">
        <v>3</v>
      </c>
      <c r="B45" s="1283" t="s">
        <v>288</v>
      </c>
      <c r="C45" s="1283"/>
      <c r="D45" s="301">
        <v>6000</v>
      </c>
      <c r="E45" s="298">
        <v>6000</v>
      </c>
      <c r="F45" s="298">
        <v>8000</v>
      </c>
      <c r="G45" s="299">
        <v>2279</v>
      </c>
      <c r="H45" s="338">
        <v>8000</v>
      </c>
      <c r="I45" s="344" t="s">
        <v>289</v>
      </c>
    </row>
    <row r="46" spans="1:9" ht="24" x14ac:dyDescent="0.2">
      <c r="A46" s="3">
        <v>4</v>
      </c>
      <c r="B46" s="1283" t="s">
        <v>290</v>
      </c>
      <c r="C46" s="1283"/>
      <c r="D46" s="301">
        <v>4788</v>
      </c>
      <c r="E46" s="298">
        <v>4788</v>
      </c>
      <c r="F46" s="298">
        <v>4788</v>
      </c>
      <c r="G46" s="299">
        <v>6423</v>
      </c>
      <c r="H46" s="338">
        <v>4788</v>
      </c>
      <c r="I46" s="344" t="s">
        <v>228</v>
      </c>
    </row>
    <row r="47" spans="1:9" ht="36" customHeight="1" x14ac:dyDescent="0.2">
      <c r="A47" s="3">
        <v>5</v>
      </c>
      <c r="B47" s="1303" t="s">
        <v>291</v>
      </c>
      <c r="C47" s="1303"/>
      <c r="D47" s="347">
        <v>72000</v>
      </c>
      <c r="E47" s="348">
        <v>72000</v>
      </c>
      <c r="F47" s="348">
        <v>75000</v>
      </c>
      <c r="G47" s="349">
        <v>6419</v>
      </c>
      <c r="H47" s="338">
        <v>72000</v>
      </c>
      <c r="I47" s="344" t="s">
        <v>228</v>
      </c>
    </row>
    <row r="48" spans="1:9" ht="12" customHeight="1" x14ac:dyDescent="0.2">
      <c r="A48" s="350"/>
      <c r="B48" s="351"/>
      <c r="C48" s="351"/>
      <c r="D48" s="352"/>
      <c r="E48" s="353"/>
      <c r="F48" s="353"/>
      <c r="G48" s="354"/>
      <c r="H48" s="355"/>
      <c r="I48" s="356"/>
    </row>
    <row r="49" spans="1:9" x14ac:dyDescent="0.2">
      <c r="A49" s="316" t="s">
        <v>184</v>
      </c>
    </row>
    <row r="50" spans="1:9" x14ac:dyDescent="0.2">
      <c r="A50" s="320" t="s">
        <v>239</v>
      </c>
      <c r="B50" s="319"/>
      <c r="C50" s="319"/>
      <c r="D50" s="319"/>
      <c r="E50" s="319"/>
      <c r="F50" s="319"/>
      <c r="G50" s="319"/>
      <c r="H50" s="319"/>
      <c r="I50" s="319"/>
    </row>
    <row r="51" spans="1:9" x14ac:dyDescent="0.2">
      <c r="A51" s="320"/>
      <c r="C51" s="319" t="s">
        <v>292</v>
      </c>
      <c r="D51" s="319"/>
      <c r="E51" s="319"/>
      <c r="F51" s="319"/>
      <c r="G51" s="319"/>
      <c r="H51" s="319"/>
      <c r="I51" s="319"/>
    </row>
    <row r="52" spans="1:9" x14ac:dyDescent="0.2">
      <c r="A52" s="320"/>
      <c r="C52" s="319" t="s">
        <v>293</v>
      </c>
      <c r="D52" s="319"/>
      <c r="E52" s="319"/>
      <c r="F52" s="319"/>
      <c r="G52" s="319"/>
      <c r="H52" s="319"/>
      <c r="I52" s="319"/>
    </row>
    <row r="53" spans="1:9" x14ac:dyDescent="0.2">
      <c r="A53" s="320"/>
      <c r="C53" s="319" t="s">
        <v>240</v>
      </c>
      <c r="D53" s="319"/>
      <c r="E53" s="319"/>
      <c r="F53" s="319"/>
      <c r="G53" s="319"/>
      <c r="H53" s="319"/>
      <c r="I53" s="319"/>
    </row>
    <row r="54" spans="1:9" x14ac:dyDescent="0.2">
      <c r="A54" s="320"/>
      <c r="B54" s="319"/>
      <c r="C54" s="319"/>
      <c r="D54" s="319"/>
      <c r="E54" s="319"/>
      <c r="F54" s="319"/>
      <c r="G54" s="319"/>
      <c r="H54" s="319"/>
      <c r="I54" s="319"/>
    </row>
    <row r="55" spans="1:9" ht="13.5" customHeight="1" x14ac:dyDescent="0.2">
      <c r="A55" s="1294" t="s">
        <v>185</v>
      </c>
      <c r="B55" s="1294"/>
      <c r="C55" s="1294"/>
      <c r="D55" s="1294"/>
      <c r="E55" s="1294"/>
      <c r="F55" s="1294"/>
      <c r="G55" s="1294"/>
      <c r="H55" s="1294"/>
      <c r="I55" s="1294"/>
    </row>
    <row r="56" spans="1:9" x14ac:dyDescent="0.2">
      <c r="B56" s="1" t="s">
        <v>241</v>
      </c>
    </row>
    <row r="57" spans="1:9" x14ac:dyDescent="0.2">
      <c r="C57" s="1" t="s">
        <v>242</v>
      </c>
    </row>
    <row r="58" spans="1:9" x14ac:dyDescent="0.2">
      <c r="C58" s="1" t="s">
        <v>244</v>
      </c>
    </row>
    <row r="59" spans="1:9" x14ac:dyDescent="0.2">
      <c r="C59" s="1" t="s">
        <v>245</v>
      </c>
    </row>
    <row r="60" spans="1:9" x14ac:dyDescent="0.2">
      <c r="C60" s="1" t="s">
        <v>246</v>
      </c>
    </row>
    <row r="61" spans="1:9" x14ac:dyDescent="0.2">
      <c r="C61" s="1" t="s">
        <v>294</v>
      </c>
    </row>
  </sheetData>
  <sheetProtection algorithmName="SHA-512" hashValue="2K1yr8MdFj7DPrPVyiqW0xhmrCjHTwAiafFth2qe0WEXHbG+2VsbE06vTWNG5LFd/VSCs60bW8qZ78yCtt4oMg==" saltValue="HXiT7eZFQ029IZ+OhFE8rw==" spinCount="100000" sheet="1" objects="1" scenarios="1" selectLockedCells="1" selectUnlockedCells="1"/>
  <mergeCells count="44">
    <mergeCell ref="A12:B12"/>
    <mergeCell ref="A1:B1"/>
    <mergeCell ref="C1:I1"/>
    <mergeCell ref="A2:B2"/>
    <mergeCell ref="C2:I2"/>
    <mergeCell ref="A3:I3"/>
    <mergeCell ref="A5:B5"/>
    <mergeCell ref="C5:I5"/>
    <mergeCell ref="A6:B6"/>
    <mergeCell ref="A7:B7"/>
    <mergeCell ref="B8:C8"/>
    <mergeCell ref="A9:C9"/>
    <mergeCell ref="B10:C10"/>
    <mergeCell ref="A27:B27"/>
    <mergeCell ref="A13:B13"/>
    <mergeCell ref="B14:C14"/>
    <mergeCell ref="A15:C15"/>
    <mergeCell ref="B16:C16"/>
    <mergeCell ref="B17:C17"/>
    <mergeCell ref="B18:C18"/>
    <mergeCell ref="A19:A20"/>
    <mergeCell ref="B19:C20"/>
    <mergeCell ref="A21:A24"/>
    <mergeCell ref="B21:C24"/>
    <mergeCell ref="A26:B26"/>
    <mergeCell ref="B41:C41"/>
    <mergeCell ref="B28:C28"/>
    <mergeCell ref="A29:C29"/>
    <mergeCell ref="B30:C30"/>
    <mergeCell ref="B31:C31"/>
    <mergeCell ref="A33:B33"/>
    <mergeCell ref="A34:B34"/>
    <mergeCell ref="B35:C35"/>
    <mergeCell ref="A36:C36"/>
    <mergeCell ref="B37:C37"/>
    <mergeCell ref="A39:B39"/>
    <mergeCell ref="A40:B40"/>
    <mergeCell ref="A55:I55"/>
    <mergeCell ref="A42:C42"/>
    <mergeCell ref="B43:C43"/>
    <mergeCell ref="B44:C44"/>
    <mergeCell ref="B45:C45"/>
    <mergeCell ref="B46:C46"/>
    <mergeCell ref="B47:C47"/>
  </mergeCells>
  <printOptions horizontalCentered="1"/>
  <pageMargins left="0.78740157480314965" right="0.39370078740157483" top="0.59055118110236227" bottom="0.39370078740157483" header="0.23622047244094491" footer="0.23622047244094491"/>
  <pageSetup paperSize="9" scale="65" orientation="portrait" r:id="rId1"/>
  <headerFooter differentFirst="1">
    <oddHeader xml:space="preserve">&amp;R&amp;"Times New Roman,Regular"&amp;8
</oddHeader>
    <oddFooter>&amp;L&amp;"Times New Roman,Regular"&amp;8&amp;D;&amp;T&amp;R&amp;"Times New Roman,Regular"&amp;8&amp;P(&amp;N)</oddFooter>
    <firstHeader>&amp;R&amp;"Times New Roman,Regular"&amp;8
25.pielikums Jūrmalas pilsētas domes
2016.gada 16.decembra saistošajiem noteikumiem Nr.47
(protokols Nr.19, 19.punkts)</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view="pageLayout" zoomScaleNormal="100" zoomScaleSheetLayoutView="100" workbookViewId="0">
      <selection activeCell="J37" sqref="J37"/>
    </sheetView>
  </sheetViews>
  <sheetFormatPr defaultRowHeight="12" x14ac:dyDescent="0.2"/>
  <cols>
    <col min="1" max="1" width="4.42578125" style="1" customWidth="1"/>
    <col min="2" max="2" width="17.28515625" style="1" customWidth="1"/>
    <col min="3" max="3" width="19" style="1" customWidth="1"/>
    <col min="4" max="4" width="8.28515625" style="1" hidden="1" customWidth="1"/>
    <col min="5" max="5" width="8.42578125" style="1" hidden="1" customWidth="1"/>
    <col min="6" max="6" width="10.28515625" style="1" hidden="1" customWidth="1"/>
    <col min="7" max="7" width="10.5703125" style="1" customWidth="1"/>
    <col min="8" max="8" width="8.5703125" style="1" customWidth="1"/>
    <col min="9" max="9" width="17.5703125" style="1" customWidth="1"/>
    <col min="10" max="16384" width="9.140625" style="1"/>
  </cols>
  <sheetData>
    <row r="1" spans="1:9" x14ac:dyDescent="0.2">
      <c r="A1" s="1016" t="s">
        <v>8</v>
      </c>
      <c r="B1" s="1016"/>
      <c r="C1" s="1016" t="s">
        <v>214</v>
      </c>
      <c r="D1" s="1016"/>
      <c r="E1" s="1016"/>
      <c r="F1" s="1016"/>
      <c r="G1" s="1016"/>
      <c r="H1" s="1016"/>
      <c r="I1" s="1016"/>
    </row>
    <row r="2" spans="1:9" x14ac:dyDescent="0.2">
      <c r="A2" s="1016" t="s">
        <v>7</v>
      </c>
      <c r="B2" s="1016"/>
      <c r="C2" s="1016">
        <v>90000594245</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357" t="s">
        <v>295</v>
      </c>
      <c r="D5" s="358"/>
      <c r="E5" s="358"/>
      <c r="F5" s="358"/>
      <c r="G5" s="358"/>
      <c r="H5" s="358"/>
      <c r="I5" s="358"/>
    </row>
    <row r="6" spans="1:9" x14ac:dyDescent="0.2">
      <c r="A6" s="1016" t="s">
        <v>6</v>
      </c>
      <c r="B6" s="1016"/>
      <c r="C6" s="305" t="s">
        <v>296</v>
      </c>
      <c r="D6" s="359"/>
      <c r="E6" s="360"/>
      <c r="F6" s="305"/>
      <c r="G6" s="305"/>
      <c r="H6" s="359"/>
      <c r="I6" s="360"/>
    </row>
    <row r="7" spans="1:9" x14ac:dyDescent="0.2">
      <c r="A7" s="1016" t="s">
        <v>5</v>
      </c>
      <c r="B7" s="1016"/>
      <c r="C7" s="308" t="s">
        <v>297</v>
      </c>
      <c r="D7" s="359"/>
      <c r="E7" s="360"/>
      <c r="F7" s="305"/>
      <c r="G7" s="305"/>
      <c r="H7" s="359"/>
      <c r="I7" s="360"/>
    </row>
    <row r="8" spans="1:9" ht="48" x14ac:dyDescent="0.2">
      <c r="A8" s="6" t="s">
        <v>4</v>
      </c>
      <c r="B8" s="1020" t="s">
        <v>3</v>
      </c>
      <c r="C8" s="1021"/>
      <c r="D8" s="6" t="s">
        <v>11</v>
      </c>
      <c r="E8" s="6" t="s">
        <v>12</v>
      </c>
      <c r="F8" s="6" t="s">
        <v>13</v>
      </c>
      <c r="G8" s="6" t="s">
        <v>2</v>
      </c>
      <c r="H8" s="6" t="s">
        <v>180</v>
      </c>
      <c r="I8" s="6" t="s">
        <v>1</v>
      </c>
    </row>
    <row r="9" spans="1:9" ht="12.75" customHeight="1" x14ac:dyDescent="0.2">
      <c r="A9" s="1286" t="s">
        <v>14</v>
      </c>
      <c r="B9" s="1287"/>
      <c r="C9" s="1288"/>
      <c r="D9" s="297">
        <f>SUM(D10:D11)</f>
        <v>40712</v>
      </c>
      <c r="E9" s="297">
        <f>SUM(E10:E11)</f>
        <v>40712</v>
      </c>
      <c r="F9" s="297">
        <f>SUM(F10:F11)</f>
        <v>40712</v>
      </c>
      <c r="G9" s="297"/>
      <c r="H9" s="297">
        <f>SUM(H10:H11)</f>
        <v>40712</v>
      </c>
      <c r="I9" s="297"/>
    </row>
    <row r="10" spans="1:9" ht="36" x14ac:dyDescent="0.2">
      <c r="A10" s="3">
        <v>1</v>
      </c>
      <c r="B10" s="1025" t="s">
        <v>298</v>
      </c>
      <c r="C10" s="1026"/>
      <c r="D10" s="288">
        <v>40000</v>
      </c>
      <c r="E10" s="288">
        <v>40000</v>
      </c>
      <c r="F10" s="288">
        <v>40000</v>
      </c>
      <c r="G10" s="286">
        <v>2279</v>
      </c>
      <c r="H10" s="288">
        <v>40000</v>
      </c>
      <c r="I10" s="361" t="s">
        <v>299</v>
      </c>
    </row>
    <row r="11" spans="1:9" ht="36" x14ac:dyDescent="0.2">
      <c r="A11" s="3">
        <v>2</v>
      </c>
      <c r="B11" s="1025" t="s">
        <v>300</v>
      </c>
      <c r="C11" s="1026"/>
      <c r="D11" s="288">
        <v>712</v>
      </c>
      <c r="E11" s="288">
        <v>712</v>
      </c>
      <c r="F11" s="288">
        <v>712</v>
      </c>
      <c r="G11" s="286">
        <v>2239</v>
      </c>
      <c r="H11" s="288">
        <v>712</v>
      </c>
      <c r="I11" s="361" t="s">
        <v>299</v>
      </c>
    </row>
    <row r="12" spans="1:9" x14ac:dyDescent="0.2">
      <c r="A12" s="303"/>
      <c r="B12" s="303"/>
      <c r="C12" s="303"/>
      <c r="D12" s="303"/>
      <c r="E12" s="303"/>
      <c r="F12" s="303"/>
      <c r="G12" s="303"/>
      <c r="H12" s="303"/>
      <c r="I12" s="303"/>
    </row>
    <row r="13" spans="1:9" x14ac:dyDescent="0.2">
      <c r="A13" s="1016" t="s">
        <v>6</v>
      </c>
      <c r="B13" s="1016"/>
      <c r="C13" s="305" t="s">
        <v>301</v>
      </c>
      <c r="D13" s="305"/>
      <c r="E13" s="305"/>
      <c r="F13" s="305"/>
      <c r="G13" s="305"/>
      <c r="H13" s="305"/>
      <c r="I13" s="305"/>
    </row>
    <row r="14" spans="1:9" x14ac:dyDescent="0.2">
      <c r="A14" s="1016" t="s">
        <v>5</v>
      </c>
      <c r="B14" s="1016"/>
      <c r="C14" s="308" t="s">
        <v>302</v>
      </c>
      <c r="D14" s="305"/>
      <c r="E14" s="305"/>
      <c r="F14" s="305"/>
      <c r="G14" s="305"/>
      <c r="H14" s="305"/>
      <c r="I14" s="305"/>
    </row>
    <row r="15" spans="1:9" ht="48" x14ac:dyDescent="0.2">
      <c r="A15" s="6" t="s">
        <v>4</v>
      </c>
      <c r="B15" s="1020" t="s">
        <v>3</v>
      </c>
      <c r="C15" s="1021"/>
      <c r="D15" s="6" t="s">
        <v>11</v>
      </c>
      <c r="E15" s="6" t="s">
        <v>12</v>
      </c>
      <c r="F15" s="6" t="s">
        <v>13</v>
      </c>
      <c r="G15" s="6" t="s">
        <v>2</v>
      </c>
      <c r="H15" s="6" t="s">
        <v>180</v>
      </c>
      <c r="I15" s="6" t="s">
        <v>1</v>
      </c>
    </row>
    <row r="16" spans="1:9" x14ac:dyDescent="0.2">
      <c r="A16" s="1286" t="s">
        <v>14</v>
      </c>
      <c r="B16" s="1287"/>
      <c r="C16" s="1288"/>
      <c r="D16" s="297" t="e">
        <f>SUM(#REF!+D23+D24)</f>
        <v>#REF!</v>
      </c>
      <c r="E16" s="297" t="e">
        <f>SUM(#REF!+E23+E24)</f>
        <v>#REF!</v>
      </c>
      <c r="F16" s="297" t="e">
        <f>SUM(#REF!+F23+F24)</f>
        <v>#REF!</v>
      </c>
      <c r="G16" s="297"/>
      <c r="H16" s="297">
        <f>SUM(H17:H24)</f>
        <v>26513</v>
      </c>
      <c r="I16" s="1311" t="s">
        <v>303</v>
      </c>
    </row>
    <row r="17" spans="1:9" x14ac:dyDescent="0.2">
      <c r="A17" s="1030">
        <v>1</v>
      </c>
      <c r="B17" s="1032" t="s">
        <v>304</v>
      </c>
      <c r="C17" s="1033"/>
      <c r="D17" s="345">
        <v>314</v>
      </c>
      <c r="E17" s="345">
        <v>314</v>
      </c>
      <c r="F17" s="346">
        <v>314</v>
      </c>
      <c r="G17" s="299">
        <v>2244</v>
      </c>
      <c r="H17" s="288">
        <v>314</v>
      </c>
      <c r="I17" s="1312"/>
    </row>
    <row r="18" spans="1:9" ht="15" customHeight="1" x14ac:dyDescent="0.2">
      <c r="A18" s="1065"/>
      <c r="B18" s="1066"/>
      <c r="C18" s="1067"/>
      <c r="D18" s="345">
        <v>90</v>
      </c>
      <c r="E18" s="345">
        <v>90</v>
      </c>
      <c r="F18" s="346">
        <v>122</v>
      </c>
      <c r="G18" s="299">
        <v>2212</v>
      </c>
      <c r="H18" s="288">
        <v>122</v>
      </c>
      <c r="I18" s="1312"/>
    </row>
    <row r="19" spans="1:9" ht="13.5" customHeight="1" x14ac:dyDescent="0.2">
      <c r="A19" s="1065"/>
      <c r="B19" s="1066"/>
      <c r="C19" s="1067"/>
      <c r="D19" s="345">
        <v>125</v>
      </c>
      <c r="E19" s="345">
        <v>125</v>
      </c>
      <c r="F19" s="346">
        <v>125</v>
      </c>
      <c r="G19" s="362">
        <v>2221</v>
      </c>
      <c r="H19" s="288">
        <v>125</v>
      </c>
      <c r="I19" s="1312"/>
    </row>
    <row r="20" spans="1:9" ht="12.75" customHeight="1" x14ac:dyDescent="0.2">
      <c r="A20" s="1065"/>
      <c r="B20" s="1066"/>
      <c r="C20" s="1067"/>
      <c r="D20" s="345">
        <v>0</v>
      </c>
      <c r="E20" s="345">
        <v>0</v>
      </c>
      <c r="F20" s="346">
        <v>240</v>
      </c>
      <c r="G20" s="363">
        <v>2311</v>
      </c>
      <c r="H20" s="288">
        <v>240</v>
      </c>
      <c r="I20" s="1312"/>
    </row>
    <row r="21" spans="1:9" ht="12.75" customHeight="1" x14ac:dyDescent="0.2">
      <c r="A21" s="1065"/>
      <c r="B21" s="1066"/>
      <c r="C21" s="1067"/>
      <c r="D21" s="345">
        <v>314</v>
      </c>
      <c r="E21" s="345">
        <v>314</v>
      </c>
      <c r="F21" s="346">
        <v>314</v>
      </c>
      <c r="G21" s="363">
        <v>2279</v>
      </c>
      <c r="H21" s="288">
        <v>314</v>
      </c>
      <c r="I21" s="1312"/>
    </row>
    <row r="22" spans="1:9" ht="15" customHeight="1" x14ac:dyDescent="0.2">
      <c r="A22" s="1031"/>
      <c r="B22" s="1034"/>
      <c r="C22" s="1035"/>
      <c r="D22" s="345">
        <v>22759</v>
      </c>
      <c r="E22" s="345">
        <v>22759</v>
      </c>
      <c r="F22" s="346">
        <v>22759</v>
      </c>
      <c r="G22" s="321">
        <v>2279</v>
      </c>
      <c r="H22" s="288">
        <v>22759</v>
      </c>
      <c r="I22" s="1313"/>
    </row>
    <row r="23" spans="1:9" ht="36" x14ac:dyDescent="0.2">
      <c r="A23" s="3">
        <v>2</v>
      </c>
      <c r="B23" s="1284" t="s">
        <v>305</v>
      </c>
      <c r="C23" s="1285"/>
      <c r="D23" s="345">
        <v>1139</v>
      </c>
      <c r="E23" s="345">
        <v>1139</v>
      </c>
      <c r="F23" s="345">
        <v>1139</v>
      </c>
      <c r="G23" s="363">
        <v>2279</v>
      </c>
      <c r="H23" s="288">
        <v>1139</v>
      </c>
      <c r="I23" s="361" t="s">
        <v>303</v>
      </c>
    </row>
    <row r="24" spans="1:9" ht="22.5" customHeight="1" x14ac:dyDescent="0.2">
      <c r="A24" s="3">
        <v>3</v>
      </c>
      <c r="B24" s="1284" t="s">
        <v>306</v>
      </c>
      <c r="C24" s="1285"/>
      <c r="D24" s="345">
        <v>1500</v>
      </c>
      <c r="E24" s="345">
        <v>1500</v>
      </c>
      <c r="F24" s="345">
        <v>1500</v>
      </c>
      <c r="G24" s="363">
        <v>2279</v>
      </c>
      <c r="H24" s="288">
        <v>1500</v>
      </c>
      <c r="I24" s="361" t="s">
        <v>303</v>
      </c>
    </row>
    <row r="25" spans="1:9" x14ac:dyDescent="0.2">
      <c r="A25" s="303"/>
      <c r="B25" s="303"/>
      <c r="C25" s="303"/>
      <c r="D25" s="303"/>
      <c r="E25" s="303"/>
      <c r="F25" s="303"/>
      <c r="G25" s="303"/>
      <c r="H25" s="310"/>
      <c r="I25" s="310"/>
    </row>
    <row r="26" spans="1:9" x14ac:dyDescent="0.2">
      <c r="A26" s="1016" t="s">
        <v>6</v>
      </c>
      <c r="B26" s="1016"/>
      <c r="C26" s="305" t="s">
        <v>307</v>
      </c>
      <c r="D26" s="305"/>
      <c r="E26" s="305"/>
      <c r="F26" s="305"/>
      <c r="G26" s="305"/>
      <c r="H26" s="305"/>
      <c r="I26" s="305"/>
    </row>
    <row r="27" spans="1:9" x14ac:dyDescent="0.2">
      <c r="A27" s="1016" t="s">
        <v>5</v>
      </c>
      <c r="B27" s="1016"/>
      <c r="C27" s="308" t="s">
        <v>308</v>
      </c>
      <c r="D27" s="305"/>
      <c r="E27" s="305"/>
      <c r="F27" s="305"/>
      <c r="G27" s="305"/>
      <c r="H27" s="305"/>
      <c r="I27" s="305"/>
    </row>
    <row r="28" spans="1:9" ht="48" x14ac:dyDescent="0.2">
      <c r="A28" s="6" t="s">
        <v>4</v>
      </c>
      <c r="B28" s="1020" t="s">
        <v>3</v>
      </c>
      <c r="C28" s="1021"/>
      <c r="D28" s="6" t="s">
        <v>11</v>
      </c>
      <c r="E28" s="6" t="s">
        <v>12</v>
      </c>
      <c r="F28" s="6" t="s">
        <v>13</v>
      </c>
      <c r="G28" s="6" t="s">
        <v>2</v>
      </c>
      <c r="H28" s="6" t="s">
        <v>180</v>
      </c>
      <c r="I28" s="6" t="s">
        <v>1</v>
      </c>
    </row>
    <row r="29" spans="1:9" x14ac:dyDescent="0.2">
      <c r="A29" s="1286" t="s">
        <v>14</v>
      </c>
      <c r="B29" s="1287"/>
      <c r="C29" s="1288"/>
      <c r="D29" s="297">
        <f>SUM(D30:D39)</f>
        <v>88508</v>
      </c>
      <c r="E29" s="297">
        <f>SUM(E30:E39)</f>
        <v>85130</v>
      </c>
      <c r="F29" s="297">
        <f>SUM(F30:F39)</f>
        <v>68361</v>
      </c>
      <c r="G29" s="297"/>
      <c r="H29" s="297">
        <f>SUM(H30:H39)</f>
        <v>65761</v>
      </c>
      <c r="I29" s="297"/>
    </row>
    <row r="30" spans="1:9" ht="24" x14ac:dyDescent="0.2">
      <c r="A30" s="3">
        <v>1</v>
      </c>
      <c r="B30" s="1283" t="s">
        <v>309</v>
      </c>
      <c r="C30" s="1283"/>
      <c r="D30" s="345">
        <v>3500</v>
      </c>
      <c r="E30" s="345">
        <v>3000</v>
      </c>
      <c r="F30" s="345">
        <v>5000</v>
      </c>
      <c r="G30" s="364">
        <v>2279</v>
      </c>
      <c r="H30" s="343">
        <v>3500</v>
      </c>
      <c r="I30" s="361" t="s">
        <v>310</v>
      </c>
    </row>
    <row r="31" spans="1:9" ht="24" x14ac:dyDescent="0.2">
      <c r="A31" s="3">
        <v>2</v>
      </c>
      <c r="B31" s="1049" t="s">
        <v>311</v>
      </c>
      <c r="C31" s="1049"/>
      <c r="D31" s="345">
        <v>200</v>
      </c>
      <c r="E31" s="345">
        <v>200</v>
      </c>
      <c r="F31" s="345">
        <v>200</v>
      </c>
      <c r="G31" s="364">
        <v>2279</v>
      </c>
      <c r="H31" s="343">
        <v>200</v>
      </c>
      <c r="I31" s="361" t="s">
        <v>310</v>
      </c>
    </row>
    <row r="32" spans="1:9" ht="24" x14ac:dyDescent="0.2">
      <c r="A32" s="3">
        <v>3</v>
      </c>
      <c r="B32" s="1283" t="s">
        <v>312</v>
      </c>
      <c r="C32" s="1283"/>
      <c r="D32" s="345">
        <v>5305</v>
      </c>
      <c r="E32" s="345">
        <v>5262</v>
      </c>
      <c r="F32" s="345">
        <v>5370</v>
      </c>
      <c r="G32" s="364">
        <v>2279</v>
      </c>
      <c r="H32" s="343">
        <v>5370</v>
      </c>
      <c r="I32" s="361" t="s">
        <v>310</v>
      </c>
    </row>
    <row r="33" spans="1:9" ht="23.25" customHeight="1" x14ac:dyDescent="0.2">
      <c r="A33" s="3">
        <v>4</v>
      </c>
      <c r="B33" s="1283" t="s">
        <v>313</v>
      </c>
      <c r="C33" s="1283"/>
      <c r="D33" s="345">
        <v>1000</v>
      </c>
      <c r="E33" s="345">
        <v>756</v>
      </c>
      <c r="F33" s="345">
        <v>1000</v>
      </c>
      <c r="G33" s="364">
        <v>2279</v>
      </c>
      <c r="H33" s="343">
        <v>900</v>
      </c>
      <c r="I33" s="361" t="s">
        <v>310</v>
      </c>
    </row>
    <row r="34" spans="1:9" ht="24" x14ac:dyDescent="0.2">
      <c r="A34" s="3">
        <v>5</v>
      </c>
      <c r="B34" s="1283" t="s">
        <v>314</v>
      </c>
      <c r="C34" s="1283"/>
      <c r="D34" s="345">
        <v>9000</v>
      </c>
      <c r="E34" s="345">
        <v>9000</v>
      </c>
      <c r="F34" s="345">
        <v>10000</v>
      </c>
      <c r="G34" s="364">
        <v>2279</v>
      </c>
      <c r="H34" s="343">
        <v>9000</v>
      </c>
      <c r="I34" s="361" t="s">
        <v>310</v>
      </c>
    </row>
    <row r="35" spans="1:9" ht="27.75" customHeight="1" x14ac:dyDescent="0.2">
      <c r="A35" s="3">
        <v>6</v>
      </c>
      <c r="B35" s="1283" t="s">
        <v>315</v>
      </c>
      <c r="C35" s="1283"/>
      <c r="D35" s="345">
        <v>12000</v>
      </c>
      <c r="E35" s="345">
        <v>12000</v>
      </c>
      <c r="F35" s="345">
        <v>15000</v>
      </c>
      <c r="G35" s="364">
        <v>2279</v>
      </c>
      <c r="H35" s="343">
        <v>15000</v>
      </c>
      <c r="I35" s="361" t="s">
        <v>310</v>
      </c>
    </row>
    <row r="36" spans="1:9" ht="27.75" customHeight="1" x14ac:dyDescent="0.2">
      <c r="A36" s="3">
        <v>7</v>
      </c>
      <c r="B36" s="1283" t="s">
        <v>316</v>
      </c>
      <c r="C36" s="1283"/>
      <c r="D36" s="345">
        <v>10000</v>
      </c>
      <c r="E36" s="346">
        <v>10000</v>
      </c>
      <c r="F36" s="346">
        <v>16000</v>
      </c>
      <c r="G36" s="364">
        <v>2279</v>
      </c>
      <c r="H36" s="343">
        <v>16000</v>
      </c>
      <c r="I36" s="361" t="s">
        <v>310</v>
      </c>
    </row>
    <row r="37" spans="1:9" ht="24.75" customHeight="1" x14ac:dyDescent="0.2">
      <c r="A37" s="3">
        <v>8</v>
      </c>
      <c r="B37" s="1283" t="s">
        <v>317</v>
      </c>
      <c r="C37" s="1283"/>
      <c r="D37" s="345">
        <v>46303</v>
      </c>
      <c r="E37" s="346">
        <f>46303-2591</f>
        <v>43712</v>
      </c>
      <c r="F37" s="345">
        <f>12000+382+618+221+470+402+498</f>
        <v>14591</v>
      </c>
      <c r="G37" s="365">
        <v>3263</v>
      </c>
      <c r="H37" s="343">
        <v>14591</v>
      </c>
      <c r="I37" s="361" t="s">
        <v>310</v>
      </c>
    </row>
    <row r="38" spans="1:9" ht="24" x14ac:dyDescent="0.2">
      <c r="A38" s="3">
        <v>9</v>
      </c>
      <c r="B38" s="1283" t="s">
        <v>318</v>
      </c>
      <c r="C38" s="1283"/>
      <c r="D38" s="346">
        <v>200</v>
      </c>
      <c r="E38" s="346">
        <v>200</v>
      </c>
      <c r="F38" s="345">
        <v>200</v>
      </c>
      <c r="G38" s="365">
        <v>2231</v>
      </c>
      <c r="H38" s="343">
        <v>200</v>
      </c>
      <c r="I38" s="361" t="s">
        <v>310</v>
      </c>
    </row>
    <row r="39" spans="1:9" ht="25.5" customHeight="1" x14ac:dyDescent="0.2">
      <c r="A39" s="3">
        <v>10</v>
      </c>
      <c r="B39" s="1283" t="s">
        <v>319</v>
      </c>
      <c r="C39" s="1283"/>
      <c r="D39" s="345">
        <v>1000</v>
      </c>
      <c r="E39" s="346">
        <v>1000</v>
      </c>
      <c r="F39" s="345">
        <v>1000</v>
      </c>
      <c r="G39" s="365">
        <v>2231</v>
      </c>
      <c r="H39" s="343">
        <v>1000</v>
      </c>
      <c r="I39" s="361" t="s">
        <v>310</v>
      </c>
    </row>
    <row r="40" spans="1:9" x14ac:dyDescent="0.2">
      <c r="A40" s="335"/>
      <c r="B40" s="366"/>
      <c r="C40" s="366"/>
      <c r="D40" s="367"/>
      <c r="E40" s="368"/>
      <c r="F40" s="367"/>
      <c r="G40" s="369"/>
      <c r="H40" s="370"/>
      <c r="I40" s="371"/>
    </row>
    <row r="41" spans="1:9" x14ac:dyDescent="0.2">
      <c r="A41" s="1" t="s">
        <v>184</v>
      </c>
    </row>
    <row r="42" spans="1:9" x14ac:dyDescent="0.2">
      <c r="A42" s="1" t="s">
        <v>239</v>
      </c>
    </row>
    <row r="43" spans="1:9" x14ac:dyDescent="0.2">
      <c r="C43" s="1" t="s">
        <v>320</v>
      </c>
    </row>
    <row r="45" spans="1:9" x14ac:dyDescent="0.2">
      <c r="A45" s="372" t="s">
        <v>326</v>
      </c>
    </row>
    <row r="46" spans="1:9" x14ac:dyDescent="0.2">
      <c r="A46" s="372"/>
      <c r="C46" s="1" t="s">
        <v>327</v>
      </c>
    </row>
    <row r="47" spans="1:9" x14ac:dyDescent="0.2">
      <c r="A47" s="372"/>
      <c r="C47" s="1" t="s">
        <v>328</v>
      </c>
    </row>
    <row r="49" spans="1:3" x14ac:dyDescent="0.2">
      <c r="A49" s="1" t="s">
        <v>321</v>
      </c>
    </row>
    <row r="50" spans="1:3" x14ac:dyDescent="0.2">
      <c r="B50" s="1" t="s">
        <v>322</v>
      </c>
    </row>
    <row r="51" spans="1:3" x14ac:dyDescent="0.2">
      <c r="C51" s="1" t="s">
        <v>323</v>
      </c>
    </row>
    <row r="52" spans="1:3" x14ac:dyDescent="0.2">
      <c r="B52" s="1" t="s">
        <v>324</v>
      </c>
    </row>
    <row r="53" spans="1:3" x14ac:dyDescent="0.2">
      <c r="C53" s="1" t="s">
        <v>325</v>
      </c>
    </row>
  </sheetData>
  <sheetProtection algorithmName="SHA-512" hashValue="kWmxegTgpN/HFIb960sd62KZKNcDvDjpyiogBou4YxgIGhVWbJx2XeYAJH1Lq4eKeLn9X6frAsWsR2qcW+DZmA==" saltValue="GXCBwq9wnfEAVfYtE+A/Rw==" spinCount="100000" sheet="1" objects="1" scenarios="1" selectLockedCells="1" selectUnlockedCells="1"/>
  <mergeCells count="35">
    <mergeCell ref="A5:B5"/>
    <mergeCell ref="A1:B1"/>
    <mergeCell ref="C1:I1"/>
    <mergeCell ref="A2:B2"/>
    <mergeCell ref="C2:I2"/>
    <mergeCell ref="A3:I3"/>
    <mergeCell ref="I16:I22"/>
    <mergeCell ref="A17:A22"/>
    <mergeCell ref="B17:C22"/>
    <mergeCell ref="A6:B6"/>
    <mergeCell ref="A7:B7"/>
    <mergeCell ref="B8:C8"/>
    <mergeCell ref="A9:C9"/>
    <mergeCell ref="B10:C10"/>
    <mergeCell ref="B11:C11"/>
    <mergeCell ref="A29:C29"/>
    <mergeCell ref="A13:B13"/>
    <mergeCell ref="A14:B14"/>
    <mergeCell ref="B15:C15"/>
    <mergeCell ref="A16:C16"/>
    <mergeCell ref="B23:C23"/>
    <mergeCell ref="B24:C24"/>
    <mergeCell ref="A26:B26"/>
    <mergeCell ref="A27:B27"/>
    <mergeCell ref="B28:C28"/>
    <mergeCell ref="B36:C36"/>
    <mergeCell ref="B37:C37"/>
    <mergeCell ref="B38:C38"/>
    <mergeCell ref="B39:C39"/>
    <mergeCell ref="B30:C30"/>
    <mergeCell ref="B31:C31"/>
    <mergeCell ref="B32:C32"/>
    <mergeCell ref="B33:C33"/>
    <mergeCell ref="B34:C34"/>
    <mergeCell ref="B35:C35"/>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 xml:space="preserve">&amp;R&amp;"Times New Roman,Regular"&amp;8
26.pielikums Jūrmalas pilsētas domes
2016.gada 16.decembra saistošajiem noteikumiem Nr.47
(protokols Nr.19, 19.punkts)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1"/>
  <sheetViews>
    <sheetView view="pageLayout" zoomScaleNormal="90" zoomScaleSheetLayoutView="100" workbookViewId="0">
      <selection activeCell="J37" sqref="J37"/>
    </sheetView>
  </sheetViews>
  <sheetFormatPr defaultRowHeight="12" x14ac:dyDescent="0.2"/>
  <cols>
    <col min="1" max="1" width="4.5703125" style="1" customWidth="1"/>
    <col min="2" max="2" width="17.28515625" style="1" customWidth="1"/>
    <col min="3" max="3" width="19.5703125" style="1" customWidth="1"/>
    <col min="4" max="4" width="8.7109375" style="1" hidden="1" customWidth="1"/>
    <col min="5" max="5" width="9.140625" style="1" hidden="1" customWidth="1"/>
    <col min="6" max="6" width="10.28515625" style="1" hidden="1" customWidth="1"/>
    <col min="7" max="7" width="10.5703125" style="1" customWidth="1"/>
    <col min="8" max="8" width="9.7109375" style="1" customWidth="1"/>
    <col min="9" max="9" width="18" style="1" customWidth="1"/>
    <col min="10" max="16384" width="9.140625" style="1"/>
  </cols>
  <sheetData>
    <row r="1" spans="1:13" x14ac:dyDescent="0.2">
      <c r="A1" s="373" t="s">
        <v>329</v>
      </c>
      <c r="B1" s="373"/>
      <c r="C1" s="1016" t="s">
        <v>214</v>
      </c>
      <c r="D1" s="1016"/>
      <c r="E1" s="1016"/>
      <c r="F1" s="1016"/>
      <c r="G1" s="1016"/>
      <c r="H1" s="1016"/>
      <c r="I1" s="1016"/>
    </row>
    <row r="2" spans="1:13" x14ac:dyDescent="0.2">
      <c r="A2" s="1" t="s">
        <v>7</v>
      </c>
      <c r="C2" s="1016">
        <v>90000594245</v>
      </c>
      <c r="D2" s="1016"/>
      <c r="E2" s="1016"/>
      <c r="F2" s="1016"/>
      <c r="G2" s="1016"/>
      <c r="H2" s="1016"/>
      <c r="I2" s="1016"/>
    </row>
    <row r="3" spans="1:13" ht="15.75" x14ac:dyDescent="0.25">
      <c r="A3" s="1018" t="s">
        <v>9</v>
      </c>
      <c r="B3" s="1018"/>
      <c r="C3" s="1018"/>
      <c r="D3" s="1018"/>
      <c r="E3" s="1018"/>
      <c r="F3" s="1018"/>
      <c r="G3" s="1018"/>
      <c r="H3" s="1018"/>
      <c r="I3" s="1018"/>
    </row>
    <row r="4" spans="1:13" ht="15.75" x14ac:dyDescent="0.25">
      <c r="A4" s="275"/>
      <c r="B4" s="275"/>
      <c r="C4" s="275"/>
      <c r="D4" s="275"/>
      <c r="E4" s="275"/>
      <c r="F4" s="275"/>
      <c r="G4" s="275"/>
      <c r="H4" s="275"/>
      <c r="I4" s="275"/>
    </row>
    <row r="5" spans="1:13" ht="15.75" x14ac:dyDescent="0.25">
      <c r="A5" s="1016" t="s">
        <v>330</v>
      </c>
      <c r="B5" s="1016"/>
      <c r="C5" s="1017" t="s">
        <v>331</v>
      </c>
      <c r="D5" s="1017"/>
      <c r="E5" s="1017"/>
      <c r="F5" s="1017"/>
      <c r="G5" s="1017"/>
      <c r="H5" s="1017"/>
      <c r="I5" s="1017"/>
    </row>
    <row r="6" spans="1:13" ht="12.75" x14ac:dyDescent="0.2">
      <c r="A6" s="1016" t="s">
        <v>6</v>
      </c>
      <c r="B6" s="1016"/>
      <c r="C6" s="374" t="s">
        <v>332</v>
      </c>
      <c r="D6" s="375"/>
      <c r="E6" s="375"/>
      <c r="F6" s="375"/>
      <c r="G6" s="375"/>
      <c r="H6" s="375"/>
      <c r="I6" s="375"/>
    </row>
    <row r="7" spans="1:13" ht="12.75" x14ac:dyDescent="0.2">
      <c r="A7" s="1016" t="s">
        <v>5</v>
      </c>
      <c r="B7" s="1016"/>
      <c r="C7" s="374" t="s">
        <v>333</v>
      </c>
      <c r="D7" s="375"/>
      <c r="E7" s="375"/>
      <c r="F7" s="375"/>
      <c r="G7" s="375"/>
      <c r="H7" s="375"/>
      <c r="I7" s="375"/>
    </row>
    <row r="8" spans="1:13" ht="48" x14ac:dyDescent="0.2">
      <c r="A8" s="6" t="s">
        <v>4</v>
      </c>
      <c r="B8" s="1020" t="s">
        <v>3</v>
      </c>
      <c r="C8" s="1021"/>
      <c r="D8" s="6" t="s">
        <v>11</v>
      </c>
      <c r="E8" s="6" t="s">
        <v>12</v>
      </c>
      <c r="F8" s="6" t="s">
        <v>13</v>
      </c>
      <c r="G8" s="6" t="s">
        <v>2</v>
      </c>
      <c r="H8" s="6" t="s">
        <v>180</v>
      </c>
      <c r="I8" s="6" t="s">
        <v>1</v>
      </c>
    </row>
    <row r="9" spans="1:13" ht="12.75" customHeight="1" x14ac:dyDescent="0.2">
      <c r="A9" s="1286" t="s">
        <v>14</v>
      </c>
      <c r="B9" s="1287"/>
      <c r="C9" s="1288"/>
      <c r="D9" s="376">
        <f>SUM(D10:D10)</f>
        <v>38562</v>
      </c>
      <c r="E9" s="376">
        <f>SUM(E10:E10)</f>
        <v>38562</v>
      </c>
      <c r="F9" s="376">
        <f>SUM(F10:F10)</f>
        <v>41442</v>
      </c>
      <c r="G9" s="297"/>
      <c r="H9" s="297">
        <f>SUM(H10:H10)</f>
        <v>41442</v>
      </c>
      <c r="I9" s="297"/>
    </row>
    <row r="10" spans="1:13" ht="33" customHeight="1" x14ac:dyDescent="0.2">
      <c r="A10" s="3">
        <v>1</v>
      </c>
      <c r="B10" s="1339" t="s">
        <v>334</v>
      </c>
      <c r="C10" s="1340"/>
      <c r="D10" s="377">
        <v>38562</v>
      </c>
      <c r="E10" s="377">
        <f>44228-5666</f>
        <v>38562</v>
      </c>
      <c r="F10" s="378">
        <f>42000+626+288+603+227+2803+561-5666</f>
        <v>41442</v>
      </c>
      <c r="G10" s="379">
        <v>3263</v>
      </c>
      <c r="H10" s="378">
        <v>41442</v>
      </c>
      <c r="I10" s="380" t="s">
        <v>335</v>
      </c>
      <c r="M10" s="381"/>
    </row>
    <row r="11" spans="1:13" x14ac:dyDescent="0.2">
      <c r="A11" s="303"/>
      <c r="B11" s="303"/>
      <c r="C11" s="303"/>
      <c r="D11" s="303"/>
      <c r="E11" s="303"/>
      <c r="F11" s="303"/>
      <c r="G11" s="303"/>
      <c r="H11" s="303"/>
      <c r="I11" s="303"/>
    </row>
    <row r="12" spans="1:13" x14ac:dyDescent="0.2">
      <c r="A12" s="1016" t="s">
        <v>6</v>
      </c>
      <c r="B12" s="1016"/>
      <c r="C12" s="381" t="s">
        <v>336</v>
      </c>
      <c r="D12" s="381"/>
      <c r="E12" s="381"/>
      <c r="F12" s="381"/>
      <c r="G12" s="381"/>
      <c r="H12" s="381"/>
      <c r="I12" s="381"/>
    </row>
    <row r="13" spans="1:13" x14ac:dyDescent="0.2">
      <c r="A13" s="1016" t="s">
        <v>5</v>
      </c>
      <c r="B13" s="1016"/>
      <c r="C13" s="382" t="s">
        <v>337</v>
      </c>
      <c r="D13" s="381"/>
      <c r="E13" s="381"/>
      <c r="F13" s="381"/>
      <c r="G13" s="381"/>
      <c r="H13" s="381"/>
      <c r="I13" s="381"/>
    </row>
    <row r="14" spans="1:13" ht="48" x14ac:dyDescent="0.2">
      <c r="A14" s="6" t="s">
        <v>4</v>
      </c>
      <c r="B14" s="1020" t="s">
        <v>3</v>
      </c>
      <c r="C14" s="1021"/>
      <c r="D14" s="6" t="s">
        <v>11</v>
      </c>
      <c r="E14" s="6" t="s">
        <v>12</v>
      </c>
      <c r="F14" s="6" t="s">
        <v>13</v>
      </c>
      <c r="G14" s="6" t="s">
        <v>2</v>
      </c>
      <c r="H14" s="6" t="s">
        <v>180</v>
      </c>
      <c r="I14" s="6" t="s">
        <v>1</v>
      </c>
    </row>
    <row r="15" spans="1:13" x14ac:dyDescent="0.2">
      <c r="A15" s="1286" t="s">
        <v>14</v>
      </c>
      <c r="B15" s="1287"/>
      <c r="C15" s="1288"/>
      <c r="D15" s="376">
        <f>SUM(D16:D21)</f>
        <v>3100</v>
      </c>
      <c r="E15" s="376">
        <f>SUM(E16:E21)</f>
        <v>3100</v>
      </c>
      <c r="F15" s="376">
        <f>SUM(F16:F21)</f>
        <v>11800</v>
      </c>
      <c r="G15" s="297"/>
      <c r="H15" s="376">
        <f>SUM(H16:H21)</f>
        <v>11300</v>
      </c>
      <c r="I15" s="297"/>
    </row>
    <row r="16" spans="1:13" x14ac:dyDescent="0.2">
      <c r="A16" s="1030">
        <v>1</v>
      </c>
      <c r="B16" s="1032" t="s">
        <v>338</v>
      </c>
      <c r="C16" s="1033"/>
      <c r="D16" s="383"/>
      <c r="E16" s="383"/>
      <c r="F16" s="384">
        <v>500</v>
      </c>
      <c r="G16" s="385">
        <v>2279</v>
      </c>
      <c r="H16" s="384">
        <v>500</v>
      </c>
      <c r="I16" s="1320" t="s">
        <v>339</v>
      </c>
    </row>
    <row r="17" spans="1:9" ht="12.75" customHeight="1" x14ac:dyDescent="0.2">
      <c r="A17" s="1065"/>
      <c r="B17" s="1066"/>
      <c r="C17" s="1067"/>
      <c r="D17" s="383"/>
      <c r="E17" s="383"/>
      <c r="F17" s="384">
        <v>200</v>
      </c>
      <c r="G17" s="385">
        <v>2279</v>
      </c>
      <c r="H17" s="384">
        <v>200</v>
      </c>
      <c r="I17" s="1321"/>
    </row>
    <row r="18" spans="1:9" ht="12.75" customHeight="1" x14ac:dyDescent="0.2">
      <c r="A18" s="1065"/>
      <c r="B18" s="1066"/>
      <c r="C18" s="1067"/>
      <c r="D18" s="383"/>
      <c r="E18" s="383"/>
      <c r="F18" s="384">
        <v>750</v>
      </c>
      <c r="G18" s="385">
        <v>2279</v>
      </c>
      <c r="H18" s="384">
        <v>750</v>
      </c>
      <c r="I18" s="1321"/>
    </row>
    <row r="19" spans="1:9" ht="12.75" customHeight="1" x14ac:dyDescent="0.2">
      <c r="A19" s="1031"/>
      <c r="B19" s="1034"/>
      <c r="C19" s="1035"/>
      <c r="D19" s="383"/>
      <c r="E19" s="383"/>
      <c r="F19" s="384">
        <v>300</v>
      </c>
      <c r="G19" s="385">
        <v>2231</v>
      </c>
      <c r="H19" s="384">
        <v>300</v>
      </c>
      <c r="I19" s="1322"/>
    </row>
    <row r="20" spans="1:9" ht="24" x14ac:dyDescent="0.2">
      <c r="A20" s="3">
        <v>2</v>
      </c>
      <c r="B20" s="1025" t="s">
        <v>340</v>
      </c>
      <c r="C20" s="1026"/>
      <c r="D20" s="386"/>
      <c r="E20" s="386"/>
      <c r="F20" s="384">
        <v>6450</v>
      </c>
      <c r="G20" s="385">
        <v>2279</v>
      </c>
      <c r="H20" s="387">
        <v>6450</v>
      </c>
      <c r="I20" s="388" t="s">
        <v>339</v>
      </c>
    </row>
    <row r="21" spans="1:9" ht="24.75" customHeight="1" x14ac:dyDescent="0.2">
      <c r="A21" s="3">
        <v>3</v>
      </c>
      <c r="B21" s="1025" t="s">
        <v>341</v>
      </c>
      <c r="C21" s="1026"/>
      <c r="D21" s="383">
        <v>3100</v>
      </c>
      <c r="E21" s="383">
        <v>3100</v>
      </c>
      <c r="F21" s="384">
        <v>3600</v>
      </c>
      <c r="G21" s="389">
        <v>2279</v>
      </c>
      <c r="H21" s="378">
        <v>3100</v>
      </c>
      <c r="I21" s="388" t="s">
        <v>339</v>
      </c>
    </row>
    <row r="22" spans="1:9" x14ac:dyDescent="0.2">
      <c r="A22" s="303"/>
      <c r="B22" s="303"/>
      <c r="C22" s="303"/>
      <c r="D22" s="303"/>
      <c r="E22" s="303"/>
      <c r="F22" s="303"/>
      <c r="G22" s="303"/>
      <c r="H22" s="303"/>
      <c r="I22" s="303"/>
    </row>
    <row r="23" spans="1:9" x14ac:dyDescent="0.2">
      <c r="A23" s="1016" t="s">
        <v>6</v>
      </c>
      <c r="B23" s="1016"/>
      <c r="C23" s="381" t="s">
        <v>342</v>
      </c>
      <c r="D23" s="381"/>
      <c r="E23" s="381"/>
      <c r="F23" s="381"/>
      <c r="G23" s="381"/>
      <c r="H23" s="381"/>
      <c r="I23" s="381"/>
    </row>
    <row r="24" spans="1:9" x14ac:dyDescent="0.2">
      <c r="A24" s="1016" t="s">
        <v>5</v>
      </c>
      <c r="B24" s="1016"/>
      <c r="C24" s="390" t="s">
        <v>337</v>
      </c>
      <c r="D24" s="381"/>
      <c r="E24" s="381"/>
      <c r="F24" s="381"/>
      <c r="G24" s="381"/>
      <c r="H24" s="381"/>
      <c r="I24" s="381"/>
    </row>
    <row r="25" spans="1:9" ht="48" x14ac:dyDescent="0.2">
      <c r="A25" s="6" t="s">
        <v>4</v>
      </c>
      <c r="B25" s="1020" t="s">
        <v>3</v>
      </c>
      <c r="C25" s="1021"/>
      <c r="D25" s="6" t="s">
        <v>11</v>
      </c>
      <c r="E25" s="6" t="s">
        <v>12</v>
      </c>
      <c r="F25" s="6" t="s">
        <v>13</v>
      </c>
      <c r="G25" s="6" t="s">
        <v>2</v>
      </c>
      <c r="H25" s="6" t="s">
        <v>180</v>
      </c>
      <c r="I25" s="6" t="s">
        <v>1</v>
      </c>
    </row>
    <row r="26" spans="1:9" x14ac:dyDescent="0.2">
      <c r="A26" s="1286" t="s">
        <v>14</v>
      </c>
      <c r="B26" s="1287"/>
      <c r="C26" s="1288"/>
      <c r="D26" s="376">
        <f>SUM(D27:D27)</f>
        <v>20000</v>
      </c>
      <c r="E26" s="376">
        <f>SUM(E27:E27)</f>
        <v>11000</v>
      </c>
      <c r="F26" s="376">
        <f>SUM(F27:F27)</f>
        <v>12000</v>
      </c>
      <c r="G26" s="365"/>
      <c r="H26" s="376">
        <f>SUM(H27:H27)</f>
        <v>12000</v>
      </c>
      <c r="I26" s="297"/>
    </row>
    <row r="27" spans="1:9" ht="24" customHeight="1" x14ac:dyDescent="0.2">
      <c r="A27" s="3">
        <v>1</v>
      </c>
      <c r="B27" s="1025" t="s">
        <v>343</v>
      </c>
      <c r="C27" s="1026"/>
      <c r="D27" s="288">
        <v>20000</v>
      </c>
      <c r="E27" s="288">
        <v>11000</v>
      </c>
      <c r="F27" s="288">
        <v>12000</v>
      </c>
      <c r="G27" s="286">
        <v>2279</v>
      </c>
      <c r="H27" s="288">
        <v>12000</v>
      </c>
      <c r="I27" s="388" t="s">
        <v>339</v>
      </c>
    </row>
    <row r="28" spans="1:9" x14ac:dyDescent="0.2">
      <c r="A28" s="303"/>
      <c r="B28" s="303"/>
      <c r="C28" s="303"/>
      <c r="D28" s="303"/>
      <c r="E28" s="303"/>
      <c r="F28" s="303"/>
      <c r="G28" s="303"/>
      <c r="H28" s="303"/>
      <c r="I28" s="303"/>
    </row>
    <row r="29" spans="1:9" x14ac:dyDescent="0.2">
      <c r="A29" s="1016" t="s">
        <v>6</v>
      </c>
      <c r="B29" s="1016"/>
      <c r="C29" s="381" t="s">
        <v>344</v>
      </c>
      <c r="D29" s="381"/>
      <c r="E29" s="381"/>
      <c r="F29" s="381"/>
      <c r="G29" s="381"/>
      <c r="H29" s="381"/>
      <c r="I29" s="381"/>
    </row>
    <row r="30" spans="1:9" x14ac:dyDescent="0.2">
      <c r="A30" s="1016" t="s">
        <v>5</v>
      </c>
      <c r="B30" s="1016"/>
      <c r="C30" s="390" t="s">
        <v>337</v>
      </c>
      <c r="D30" s="381"/>
      <c r="E30" s="381"/>
      <c r="F30" s="381"/>
      <c r="G30" s="381"/>
      <c r="H30" s="381"/>
      <c r="I30" s="381"/>
    </row>
    <row r="31" spans="1:9" ht="48" x14ac:dyDescent="0.2">
      <c r="A31" s="6" t="s">
        <v>4</v>
      </c>
      <c r="B31" s="1020" t="s">
        <v>3</v>
      </c>
      <c r="C31" s="1021"/>
      <c r="D31" s="6" t="s">
        <v>11</v>
      </c>
      <c r="E31" s="6" t="s">
        <v>12</v>
      </c>
      <c r="F31" s="6" t="s">
        <v>13</v>
      </c>
      <c r="G31" s="6" t="s">
        <v>2</v>
      </c>
      <c r="H31" s="6" t="s">
        <v>180</v>
      </c>
      <c r="I31" s="6" t="s">
        <v>1</v>
      </c>
    </row>
    <row r="32" spans="1:9" x14ac:dyDescent="0.2">
      <c r="A32" s="1286" t="s">
        <v>14</v>
      </c>
      <c r="B32" s="1287"/>
      <c r="C32" s="1288"/>
      <c r="D32" s="376">
        <f>SUM(D33:D38)</f>
        <v>5100</v>
      </c>
      <c r="E32" s="376">
        <f>SUM(E33:E38)</f>
        <v>4405</v>
      </c>
      <c r="F32" s="376">
        <f>SUM(F33:F38)</f>
        <v>12950</v>
      </c>
      <c r="G32" s="365"/>
      <c r="H32" s="297">
        <f>SUM(H33:H38)</f>
        <v>11000</v>
      </c>
      <c r="I32" s="297"/>
    </row>
    <row r="33" spans="1:9" ht="24" x14ac:dyDescent="0.2">
      <c r="A33" s="3">
        <v>1</v>
      </c>
      <c r="B33" s="1025" t="s">
        <v>345</v>
      </c>
      <c r="C33" s="1026"/>
      <c r="D33" s="288">
        <v>4000</v>
      </c>
      <c r="E33" s="288">
        <v>3305</v>
      </c>
      <c r="F33" s="323">
        <v>6650</v>
      </c>
      <c r="G33" s="286">
        <v>2279</v>
      </c>
      <c r="H33" s="288">
        <v>4700</v>
      </c>
      <c r="I33" s="388" t="s">
        <v>339</v>
      </c>
    </row>
    <row r="34" spans="1:9" ht="24" x14ac:dyDescent="0.2">
      <c r="A34" s="3">
        <v>2</v>
      </c>
      <c r="B34" s="1025" t="s">
        <v>346</v>
      </c>
      <c r="C34" s="1026"/>
      <c r="D34" s="288">
        <v>1100</v>
      </c>
      <c r="E34" s="288">
        <v>1100</v>
      </c>
      <c r="F34" s="288">
        <v>1100</v>
      </c>
      <c r="G34" s="286">
        <v>2279</v>
      </c>
      <c r="H34" s="288">
        <v>1100</v>
      </c>
      <c r="I34" s="388" t="s">
        <v>339</v>
      </c>
    </row>
    <row r="35" spans="1:9" ht="12.75" customHeight="1" x14ac:dyDescent="0.2">
      <c r="A35" s="1030">
        <v>3</v>
      </c>
      <c r="B35" s="1335" t="s">
        <v>347</v>
      </c>
      <c r="C35" s="1336"/>
      <c r="D35" s="391"/>
      <c r="E35" s="391"/>
      <c r="F35" s="288">
        <v>1925</v>
      </c>
      <c r="G35" s="286">
        <v>2279</v>
      </c>
      <c r="H35" s="288">
        <v>1925</v>
      </c>
      <c r="I35" s="1107" t="s">
        <v>339</v>
      </c>
    </row>
    <row r="36" spans="1:9" ht="12.75" customHeight="1" x14ac:dyDescent="0.2">
      <c r="A36" s="1031"/>
      <c r="B36" s="1337"/>
      <c r="C36" s="1338"/>
      <c r="D36" s="391"/>
      <c r="E36" s="391"/>
      <c r="F36" s="288">
        <v>75</v>
      </c>
      <c r="G36" s="286">
        <v>2314</v>
      </c>
      <c r="H36" s="288">
        <v>75</v>
      </c>
      <c r="I36" s="1109"/>
    </row>
    <row r="37" spans="1:9" x14ac:dyDescent="0.2">
      <c r="A37" s="1030">
        <v>4</v>
      </c>
      <c r="B37" s="1335" t="s">
        <v>348</v>
      </c>
      <c r="C37" s="1336"/>
      <c r="D37" s="391"/>
      <c r="E37" s="391"/>
      <c r="F37" s="288">
        <v>2700</v>
      </c>
      <c r="G37" s="286">
        <v>2279</v>
      </c>
      <c r="H37" s="288">
        <v>2700</v>
      </c>
      <c r="I37" s="1107" t="s">
        <v>339</v>
      </c>
    </row>
    <row r="38" spans="1:9" ht="12.75" customHeight="1" x14ac:dyDescent="0.2">
      <c r="A38" s="1031"/>
      <c r="B38" s="1337"/>
      <c r="C38" s="1338"/>
      <c r="D38" s="391"/>
      <c r="E38" s="391"/>
      <c r="F38" s="392">
        <v>500</v>
      </c>
      <c r="G38" s="286">
        <v>2314</v>
      </c>
      <c r="H38" s="288">
        <v>500</v>
      </c>
      <c r="I38" s="1109"/>
    </row>
    <row r="39" spans="1:9" x14ac:dyDescent="0.2">
      <c r="A39" s="303"/>
      <c r="B39" s="303"/>
      <c r="C39" s="303"/>
      <c r="D39" s="303"/>
      <c r="E39" s="303"/>
      <c r="F39" s="303"/>
      <c r="G39" s="303"/>
      <c r="H39" s="303"/>
      <c r="I39" s="303"/>
    </row>
    <row r="40" spans="1:9" x14ac:dyDescent="0.2">
      <c r="A40" s="1016" t="s">
        <v>6</v>
      </c>
      <c r="B40" s="1016"/>
      <c r="C40" s="1016" t="s">
        <v>349</v>
      </c>
      <c r="D40" s="1016"/>
      <c r="E40" s="1016"/>
      <c r="F40" s="1016"/>
      <c r="G40" s="1016"/>
      <c r="H40" s="1016"/>
      <c r="I40" s="1016"/>
    </row>
    <row r="41" spans="1:9" x14ac:dyDescent="0.2">
      <c r="A41" s="1016" t="s">
        <v>5</v>
      </c>
      <c r="B41" s="1016"/>
      <c r="C41" s="1019" t="s">
        <v>337</v>
      </c>
      <c r="D41" s="1019"/>
      <c r="E41" s="1019"/>
      <c r="F41" s="1019"/>
      <c r="G41" s="1019"/>
      <c r="H41" s="1019"/>
      <c r="I41" s="1019"/>
    </row>
    <row r="42" spans="1:9" ht="48" x14ac:dyDescent="0.2">
      <c r="A42" s="6" t="s">
        <v>4</v>
      </c>
      <c r="B42" s="1020" t="s">
        <v>3</v>
      </c>
      <c r="C42" s="1021"/>
      <c r="D42" s="6" t="s">
        <v>11</v>
      </c>
      <c r="E42" s="6" t="s">
        <v>12</v>
      </c>
      <c r="F42" s="6" t="s">
        <v>13</v>
      </c>
      <c r="G42" s="6" t="s">
        <v>2</v>
      </c>
      <c r="H42" s="6" t="s">
        <v>180</v>
      </c>
      <c r="I42" s="6" t="s">
        <v>1</v>
      </c>
    </row>
    <row r="43" spans="1:9" x14ac:dyDescent="0.2">
      <c r="A43" s="1286" t="s">
        <v>14</v>
      </c>
      <c r="B43" s="1287"/>
      <c r="C43" s="1288"/>
      <c r="D43" s="297">
        <f>SUM(D44:D56)</f>
        <v>29064</v>
      </c>
      <c r="E43" s="297">
        <f>SUM(E44:E56)</f>
        <v>28369</v>
      </c>
      <c r="F43" s="297">
        <f>SUM(F44:F56)</f>
        <v>41189</v>
      </c>
      <c r="G43" s="297"/>
      <c r="H43" s="376">
        <f>SUM(H44:H56)</f>
        <v>35389</v>
      </c>
      <c r="I43" s="297"/>
    </row>
    <row r="44" spans="1:9" x14ac:dyDescent="0.2">
      <c r="A44" s="1030">
        <v>1</v>
      </c>
      <c r="B44" s="1314" t="s">
        <v>350</v>
      </c>
      <c r="C44" s="1315"/>
      <c r="D44" s="393">
        <v>600</v>
      </c>
      <c r="E44" s="393">
        <v>600</v>
      </c>
      <c r="F44" s="394">
        <v>720</v>
      </c>
      <c r="G44" s="389">
        <v>2314</v>
      </c>
      <c r="H44" s="395">
        <v>720</v>
      </c>
      <c r="I44" s="1332" t="s">
        <v>339</v>
      </c>
    </row>
    <row r="45" spans="1:9" ht="12.75" customHeight="1" x14ac:dyDescent="0.2">
      <c r="A45" s="1031"/>
      <c r="B45" s="1318"/>
      <c r="C45" s="1319"/>
      <c r="D45" s="393">
        <v>1000</v>
      </c>
      <c r="E45" s="393">
        <v>1000</v>
      </c>
      <c r="F45" s="394">
        <v>1100</v>
      </c>
      <c r="G45" s="389">
        <v>2279</v>
      </c>
      <c r="H45" s="395">
        <v>1100</v>
      </c>
      <c r="I45" s="1334"/>
    </row>
    <row r="46" spans="1:9" ht="27" customHeight="1" x14ac:dyDescent="0.2">
      <c r="A46" s="3">
        <v>2</v>
      </c>
      <c r="B46" s="1330" t="s">
        <v>351</v>
      </c>
      <c r="C46" s="1331"/>
      <c r="D46" s="393">
        <v>2774</v>
      </c>
      <c r="E46" s="393">
        <v>2774</v>
      </c>
      <c r="F46" s="394">
        <v>2774</v>
      </c>
      <c r="G46" s="389">
        <v>2314</v>
      </c>
      <c r="H46" s="395">
        <v>2774</v>
      </c>
      <c r="I46" s="388" t="s">
        <v>339</v>
      </c>
    </row>
    <row r="47" spans="1:9" ht="24" x14ac:dyDescent="0.2">
      <c r="A47" s="3">
        <v>3</v>
      </c>
      <c r="B47" s="1330" t="s">
        <v>352</v>
      </c>
      <c r="C47" s="1331"/>
      <c r="D47" s="393">
        <v>7000</v>
      </c>
      <c r="E47" s="396">
        <v>7000</v>
      </c>
      <c r="F47" s="394">
        <v>12000</v>
      </c>
      <c r="G47" s="389">
        <v>2279</v>
      </c>
      <c r="H47" s="395">
        <v>7000</v>
      </c>
      <c r="I47" s="388" t="s">
        <v>339</v>
      </c>
    </row>
    <row r="48" spans="1:9" ht="24.75" customHeight="1" x14ac:dyDescent="0.2">
      <c r="A48" s="3">
        <v>4</v>
      </c>
      <c r="B48" s="1330" t="s">
        <v>353</v>
      </c>
      <c r="C48" s="1331"/>
      <c r="D48" s="393">
        <v>5000</v>
      </c>
      <c r="E48" s="396">
        <v>5000</v>
      </c>
      <c r="F48" s="394">
        <v>5000</v>
      </c>
      <c r="G48" s="389">
        <v>2279</v>
      </c>
      <c r="H48" s="395">
        <v>5000</v>
      </c>
      <c r="I48" s="388" t="s">
        <v>339</v>
      </c>
    </row>
    <row r="49" spans="1:9" ht="12.75" customHeight="1" x14ac:dyDescent="0.2">
      <c r="A49" s="1030">
        <v>5</v>
      </c>
      <c r="B49" s="1316" t="s">
        <v>354</v>
      </c>
      <c r="C49" s="1317"/>
      <c r="D49" s="393"/>
      <c r="E49" s="394"/>
      <c r="F49" s="394">
        <v>500</v>
      </c>
      <c r="G49" s="389">
        <v>2279</v>
      </c>
      <c r="H49" s="395">
        <v>500</v>
      </c>
      <c r="I49" s="1332" t="s">
        <v>339</v>
      </c>
    </row>
    <row r="50" spans="1:9" ht="12.75" customHeight="1" x14ac:dyDescent="0.2">
      <c r="A50" s="1065"/>
      <c r="B50" s="1316"/>
      <c r="C50" s="1317"/>
      <c r="D50" s="393"/>
      <c r="E50" s="394"/>
      <c r="F50" s="394">
        <v>300</v>
      </c>
      <c r="G50" s="389">
        <v>2231</v>
      </c>
      <c r="H50" s="395">
        <v>300</v>
      </c>
      <c r="I50" s="1333"/>
    </row>
    <row r="51" spans="1:9" ht="12.75" customHeight="1" x14ac:dyDescent="0.2">
      <c r="A51" s="1031"/>
      <c r="B51" s="1318"/>
      <c r="C51" s="1319"/>
      <c r="D51" s="393"/>
      <c r="E51" s="394"/>
      <c r="F51" s="394">
        <v>100</v>
      </c>
      <c r="G51" s="389">
        <v>2314</v>
      </c>
      <c r="H51" s="395">
        <v>100</v>
      </c>
      <c r="I51" s="1334"/>
    </row>
    <row r="52" spans="1:9" ht="24" x14ac:dyDescent="0.2">
      <c r="A52" s="3">
        <v>6</v>
      </c>
      <c r="B52" s="1330" t="s">
        <v>355</v>
      </c>
      <c r="C52" s="1331"/>
      <c r="D52" s="393">
        <v>5600</v>
      </c>
      <c r="E52" s="394">
        <v>5600</v>
      </c>
      <c r="F52" s="394">
        <v>12000</v>
      </c>
      <c r="G52" s="389">
        <v>2279</v>
      </c>
      <c r="H52" s="378">
        <v>11200</v>
      </c>
      <c r="I52" s="388" t="s">
        <v>339</v>
      </c>
    </row>
    <row r="53" spans="1:9" ht="12" customHeight="1" x14ac:dyDescent="0.2">
      <c r="A53" s="1030">
        <v>7</v>
      </c>
      <c r="B53" s="1314" t="s">
        <v>356</v>
      </c>
      <c r="C53" s="1315"/>
      <c r="D53" s="393">
        <v>1740</v>
      </c>
      <c r="E53" s="396">
        <v>1445</v>
      </c>
      <c r="F53" s="394">
        <v>1445</v>
      </c>
      <c r="G53" s="389">
        <v>2231</v>
      </c>
      <c r="H53" s="395">
        <v>1445</v>
      </c>
      <c r="I53" s="1320" t="s">
        <v>357</v>
      </c>
    </row>
    <row r="54" spans="1:9" ht="12.75" customHeight="1" x14ac:dyDescent="0.2">
      <c r="A54" s="1065"/>
      <c r="B54" s="1316"/>
      <c r="C54" s="1317"/>
      <c r="D54" s="393">
        <v>1400</v>
      </c>
      <c r="E54" s="396">
        <v>1000</v>
      </c>
      <c r="F54" s="394">
        <v>1000</v>
      </c>
      <c r="G54" s="389">
        <v>2279</v>
      </c>
      <c r="H54" s="395">
        <v>1000</v>
      </c>
      <c r="I54" s="1321"/>
    </row>
    <row r="55" spans="1:9" ht="12.75" customHeight="1" x14ac:dyDescent="0.2">
      <c r="A55" s="1065"/>
      <c r="B55" s="1316"/>
      <c r="C55" s="1317"/>
      <c r="D55" s="393"/>
      <c r="E55" s="396"/>
      <c r="F55" s="394">
        <v>300</v>
      </c>
      <c r="G55" s="389">
        <v>2279</v>
      </c>
      <c r="H55" s="395">
        <v>300</v>
      </c>
      <c r="I55" s="1321"/>
    </row>
    <row r="56" spans="1:9" ht="12.75" customHeight="1" x14ac:dyDescent="0.2">
      <c r="A56" s="1031"/>
      <c r="B56" s="1318"/>
      <c r="C56" s="1319"/>
      <c r="D56" s="4">
        <v>3950</v>
      </c>
      <c r="E56" s="4">
        <v>3950</v>
      </c>
      <c r="F56" s="4">
        <v>3950</v>
      </c>
      <c r="G56" s="389">
        <v>6422</v>
      </c>
      <c r="H56" s="288">
        <v>3950</v>
      </c>
      <c r="I56" s="1322"/>
    </row>
    <row r="57" spans="1:9" x14ac:dyDescent="0.2">
      <c r="A57" s="324"/>
      <c r="B57" s="336"/>
      <c r="C57" s="336"/>
      <c r="D57" s="326"/>
      <c r="E57" s="326"/>
      <c r="F57" s="326"/>
      <c r="G57" s="326"/>
      <c r="H57" s="326"/>
      <c r="I57" s="326"/>
    </row>
    <row r="58" spans="1:9" x14ac:dyDescent="0.2">
      <c r="A58" s="1016" t="s">
        <v>6</v>
      </c>
      <c r="B58" s="1016"/>
      <c r="C58" s="381" t="s">
        <v>358</v>
      </c>
      <c r="D58" s="381"/>
      <c r="E58" s="381"/>
      <c r="F58" s="381"/>
      <c r="G58" s="381"/>
      <c r="H58" s="381"/>
      <c r="I58" s="381"/>
    </row>
    <row r="59" spans="1:9" x14ac:dyDescent="0.2">
      <c r="A59" s="1016" t="s">
        <v>5</v>
      </c>
      <c r="B59" s="1016"/>
      <c r="C59" s="390" t="s">
        <v>337</v>
      </c>
      <c r="D59" s="381"/>
      <c r="E59" s="381"/>
      <c r="F59" s="381"/>
      <c r="G59" s="381"/>
      <c r="H59" s="381"/>
      <c r="I59" s="381"/>
    </row>
    <row r="60" spans="1:9" ht="48" x14ac:dyDescent="0.2">
      <c r="A60" s="6" t="s">
        <v>4</v>
      </c>
      <c r="B60" s="1020" t="s">
        <v>3</v>
      </c>
      <c r="C60" s="1021"/>
      <c r="D60" s="6" t="s">
        <v>11</v>
      </c>
      <c r="E60" s="6" t="s">
        <v>12</v>
      </c>
      <c r="F60" s="6" t="s">
        <v>13</v>
      </c>
      <c r="G60" s="6" t="s">
        <v>2</v>
      </c>
      <c r="H60" s="6" t="s">
        <v>180</v>
      </c>
      <c r="I60" s="6" t="s">
        <v>1</v>
      </c>
    </row>
    <row r="61" spans="1:9" x14ac:dyDescent="0.2">
      <c r="A61" s="1286" t="s">
        <v>14</v>
      </c>
      <c r="B61" s="1287"/>
      <c r="C61" s="1288"/>
      <c r="D61" s="376">
        <f>SUM(D62:D65)</f>
        <v>5685</v>
      </c>
      <c r="E61" s="376">
        <f>SUM(E62:E65)</f>
        <v>5685</v>
      </c>
      <c r="F61" s="376">
        <f>SUM(F62:F65)</f>
        <v>4205</v>
      </c>
      <c r="G61" s="297"/>
      <c r="H61" s="376">
        <f>SUM(H62:H65)</f>
        <v>4205</v>
      </c>
      <c r="I61" s="297"/>
    </row>
    <row r="62" spans="1:9" ht="36.75" customHeight="1" x14ac:dyDescent="0.2">
      <c r="A62" s="277">
        <v>1</v>
      </c>
      <c r="B62" s="1330" t="s">
        <v>359</v>
      </c>
      <c r="C62" s="1331"/>
      <c r="D62" s="288">
        <v>85</v>
      </c>
      <c r="E62" s="288">
        <v>85</v>
      </c>
      <c r="F62" s="343">
        <v>45</v>
      </c>
      <c r="G62" s="389">
        <v>2352</v>
      </c>
      <c r="H62" s="378">
        <v>45</v>
      </c>
      <c r="I62" s="380" t="s">
        <v>339</v>
      </c>
    </row>
    <row r="63" spans="1:9" ht="12" customHeight="1" x14ac:dyDescent="0.2">
      <c r="A63" s="1030">
        <v>2</v>
      </c>
      <c r="B63" s="1314" t="s">
        <v>360</v>
      </c>
      <c r="C63" s="1315"/>
      <c r="D63" s="288">
        <v>1600</v>
      </c>
      <c r="E63" s="288">
        <v>1600</v>
      </c>
      <c r="F63" s="343">
        <v>2000</v>
      </c>
      <c r="G63" s="389">
        <v>2279</v>
      </c>
      <c r="H63" s="378">
        <v>2000</v>
      </c>
      <c r="I63" s="1320" t="s">
        <v>339</v>
      </c>
    </row>
    <row r="64" spans="1:9" ht="12.75" customHeight="1" x14ac:dyDescent="0.2">
      <c r="A64" s="1031"/>
      <c r="B64" s="1318"/>
      <c r="C64" s="1319"/>
      <c r="D64" s="397">
        <v>2000</v>
      </c>
      <c r="E64" s="397">
        <v>2000</v>
      </c>
      <c r="F64" s="343">
        <v>160</v>
      </c>
      <c r="G64" s="389">
        <v>2279</v>
      </c>
      <c r="H64" s="378">
        <v>160</v>
      </c>
      <c r="I64" s="1322"/>
    </row>
    <row r="65" spans="1:9" ht="26.25" customHeight="1" x14ac:dyDescent="0.2">
      <c r="A65" s="329">
        <v>3</v>
      </c>
      <c r="B65" s="1328" t="s">
        <v>361</v>
      </c>
      <c r="C65" s="1329"/>
      <c r="D65" s="397">
        <v>2000</v>
      </c>
      <c r="E65" s="397">
        <v>2000</v>
      </c>
      <c r="F65" s="343">
        <v>2000</v>
      </c>
      <c r="G65" s="389">
        <v>2239</v>
      </c>
      <c r="H65" s="378">
        <v>2000</v>
      </c>
      <c r="I65" s="388" t="s">
        <v>339</v>
      </c>
    </row>
    <row r="66" spans="1:9" x14ac:dyDescent="0.2">
      <c r="A66" s="303"/>
      <c r="B66" s="303"/>
      <c r="C66" s="303"/>
      <c r="D66" s="303"/>
      <c r="E66" s="303"/>
      <c r="F66" s="303"/>
      <c r="G66" s="303"/>
      <c r="H66" s="310"/>
      <c r="I66" s="310"/>
    </row>
    <row r="67" spans="1:9" x14ac:dyDescent="0.2">
      <c r="A67" s="1016" t="s">
        <v>6</v>
      </c>
      <c r="B67" s="1016"/>
      <c r="C67" s="381" t="s">
        <v>362</v>
      </c>
      <c r="D67" s="381"/>
      <c r="E67" s="381"/>
      <c r="F67" s="381"/>
      <c r="G67" s="381"/>
      <c r="H67" s="381"/>
      <c r="I67" s="381"/>
    </row>
    <row r="68" spans="1:9" x14ac:dyDescent="0.2">
      <c r="A68" s="1016" t="s">
        <v>5</v>
      </c>
      <c r="B68" s="1016"/>
      <c r="C68" s="390" t="s">
        <v>337</v>
      </c>
      <c r="D68" s="381"/>
      <c r="E68" s="381"/>
      <c r="F68" s="381"/>
      <c r="G68" s="381"/>
      <c r="H68" s="381"/>
      <c r="I68" s="381"/>
    </row>
    <row r="69" spans="1:9" ht="48" x14ac:dyDescent="0.2">
      <c r="A69" s="6" t="s">
        <v>4</v>
      </c>
      <c r="B69" s="1020" t="s">
        <v>3</v>
      </c>
      <c r="C69" s="1021"/>
      <c r="D69" s="6" t="s">
        <v>11</v>
      </c>
      <c r="E69" s="6" t="s">
        <v>12</v>
      </c>
      <c r="F69" s="6" t="s">
        <v>13</v>
      </c>
      <c r="G69" s="6" t="s">
        <v>2</v>
      </c>
      <c r="H69" s="6" t="s">
        <v>180</v>
      </c>
      <c r="I69" s="6" t="s">
        <v>1</v>
      </c>
    </row>
    <row r="70" spans="1:9" x14ac:dyDescent="0.2">
      <c r="A70" s="1286" t="s">
        <v>14</v>
      </c>
      <c r="B70" s="1287"/>
      <c r="C70" s="1288"/>
      <c r="D70" s="297">
        <f>SUM(D71:D80)</f>
        <v>13360</v>
      </c>
      <c r="E70" s="297">
        <f>SUM(E71:E80)</f>
        <v>12445</v>
      </c>
      <c r="F70" s="297">
        <f>SUM(F71:F80)</f>
        <v>5580</v>
      </c>
      <c r="G70" s="297"/>
      <c r="H70" s="376">
        <f>SUM(H71:H80)</f>
        <v>5420</v>
      </c>
      <c r="I70" s="297"/>
    </row>
    <row r="71" spans="1:9" ht="12" customHeight="1" x14ac:dyDescent="0.2">
      <c r="A71" s="1030">
        <v>1</v>
      </c>
      <c r="B71" s="1314" t="s">
        <v>363</v>
      </c>
      <c r="C71" s="1315"/>
      <c r="D71" s="383">
        <v>560</v>
      </c>
      <c r="E71" s="383">
        <v>560</v>
      </c>
      <c r="F71" s="378">
        <v>400</v>
      </c>
      <c r="G71" s="389">
        <v>2231</v>
      </c>
      <c r="H71" s="378">
        <v>400</v>
      </c>
      <c r="I71" s="1320" t="s">
        <v>364</v>
      </c>
    </row>
    <row r="72" spans="1:9" ht="12" customHeight="1" x14ac:dyDescent="0.2">
      <c r="A72" s="1065"/>
      <c r="B72" s="1316"/>
      <c r="C72" s="1317"/>
      <c r="D72" s="383"/>
      <c r="E72" s="383"/>
      <c r="F72" s="378">
        <v>30</v>
      </c>
      <c r="G72" s="389">
        <v>2311</v>
      </c>
      <c r="H72" s="378">
        <v>30</v>
      </c>
      <c r="I72" s="1321"/>
    </row>
    <row r="73" spans="1:9" ht="12.75" customHeight="1" x14ac:dyDescent="0.2">
      <c r="A73" s="1031"/>
      <c r="B73" s="1318"/>
      <c r="C73" s="1319"/>
      <c r="D73" s="383">
        <v>640</v>
      </c>
      <c r="E73" s="383">
        <v>640</v>
      </c>
      <c r="F73" s="378">
        <v>500</v>
      </c>
      <c r="G73" s="389">
        <v>2279</v>
      </c>
      <c r="H73" s="378">
        <v>500</v>
      </c>
      <c r="I73" s="1322"/>
    </row>
    <row r="74" spans="1:9" x14ac:dyDescent="0.2">
      <c r="A74" s="1030">
        <v>2</v>
      </c>
      <c r="B74" s="1323" t="s">
        <v>365</v>
      </c>
      <c r="C74" s="1324"/>
      <c r="D74" s="383">
        <v>500</v>
      </c>
      <c r="E74" s="378">
        <v>500</v>
      </c>
      <c r="F74" s="378">
        <v>660</v>
      </c>
      <c r="G74" s="389">
        <v>2279</v>
      </c>
      <c r="H74" s="378">
        <v>500</v>
      </c>
      <c r="I74" s="1320" t="s">
        <v>364</v>
      </c>
    </row>
    <row r="75" spans="1:9" x14ac:dyDescent="0.2">
      <c r="A75" s="1031"/>
      <c r="B75" s="1325"/>
      <c r="C75" s="1326"/>
      <c r="D75" s="383"/>
      <c r="E75" s="378"/>
      <c r="F75" s="378">
        <v>350</v>
      </c>
      <c r="G75" s="389">
        <v>2231</v>
      </c>
      <c r="H75" s="378">
        <v>350</v>
      </c>
      <c r="I75" s="1322"/>
    </row>
    <row r="76" spans="1:9" ht="12" customHeight="1" x14ac:dyDescent="0.2">
      <c r="A76" s="1030">
        <v>3</v>
      </c>
      <c r="B76" s="1314" t="s">
        <v>366</v>
      </c>
      <c r="C76" s="1315"/>
      <c r="D76" s="383">
        <v>240</v>
      </c>
      <c r="E76" s="383">
        <v>240</v>
      </c>
      <c r="F76" s="378">
        <v>200</v>
      </c>
      <c r="G76" s="389">
        <v>2231</v>
      </c>
      <c r="H76" s="378">
        <v>200</v>
      </c>
      <c r="I76" s="1320" t="s">
        <v>364</v>
      </c>
    </row>
    <row r="77" spans="1:9" ht="12.75" customHeight="1" x14ac:dyDescent="0.2">
      <c r="A77" s="1065"/>
      <c r="B77" s="1316"/>
      <c r="C77" s="1317"/>
      <c r="D77" s="383">
        <v>520</v>
      </c>
      <c r="E77" s="383">
        <v>520</v>
      </c>
      <c r="F77" s="378">
        <v>400</v>
      </c>
      <c r="G77" s="389">
        <v>2279</v>
      </c>
      <c r="H77" s="378">
        <v>400</v>
      </c>
      <c r="I77" s="1321"/>
    </row>
    <row r="78" spans="1:9" ht="12.75" customHeight="1" x14ac:dyDescent="0.2">
      <c r="A78" s="1031"/>
      <c r="B78" s="1318"/>
      <c r="C78" s="1319"/>
      <c r="D78" s="383">
        <v>40</v>
      </c>
      <c r="E78" s="378">
        <v>40</v>
      </c>
      <c r="F78" s="378">
        <v>40</v>
      </c>
      <c r="G78" s="389">
        <v>2311</v>
      </c>
      <c r="H78" s="378">
        <v>40</v>
      </c>
      <c r="I78" s="1322"/>
    </row>
    <row r="79" spans="1:9" ht="22.5" customHeight="1" x14ac:dyDescent="0.2">
      <c r="A79" s="3">
        <v>4</v>
      </c>
      <c r="B79" s="1314" t="s">
        <v>367</v>
      </c>
      <c r="C79" s="1315"/>
      <c r="D79" s="398">
        <v>10860</v>
      </c>
      <c r="E79" s="384">
        <v>9945</v>
      </c>
      <c r="F79" s="378">
        <v>0</v>
      </c>
      <c r="G79" s="389">
        <v>3263</v>
      </c>
      <c r="H79" s="378"/>
      <c r="I79" s="399" t="s">
        <v>364</v>
      </c>
    </row>
    <row r="80" spans="1:9" ht="24" x14ac:dyDescent="0.2">
      <c r="A80" s="3">
        <v>5</v>
      </c>
      <c r="B80" s="1327" t="s">
        <v>368</v>
      </c>
      <c r="C80" s="1327"/>
      <c r="D80" s="398"/>
      <c r="E80" s="384"/>
      <c r="F80" s="378">
        <v>3000</v>
      </c>
      <c r="G80" s="389">
        <v>2279</v>
      </c>
      <c r="H80" s="378">
        <v>3000</v>
      </c>
      <c r="I80" s="388" t="s">
        <v>357</v>
      </c>
    </row>
    <row r="81" spans="1:9" x14ac:dyDescent="0.2">
      <c r="D81" s="342"/>
      <c r="E81" s="342"/>
      <c r="F81" s="342"/>
      <c r="H81" s="342"/>
      <c r="I81" s="342"/>
    </row>
    <row r="82" spans="1:9" x14ac:dyDescent="0.2">
      <c r="A82" s="1" t="s">
        <v>184</v>
      </c>
    </row>
    <row r="83" spans="1:9" x14ac:dyDescent="0.2">
      <c r="A83" s="1" t="s">
        <v>239</v>
      </c>
    </row>
    <row r="84" spans="1:9" x14ac:dyDescent="0.2">
      <c r="C84" s="1" t="s">
        <v>369</v>
      </c>
    </row>
    <row r="85" spans="1:9" x14ac:dyDescent="0.2">
      <c r="C85" s="1" t="s">
        <v>370</v>
      </c>
    </row>
    <row r="87" spans="1:9" ht="13.5" customHeight="1" x14ac:dyDescent="0.2">
      <c r="A87" s="1294" t="s">
        <v>185</v>
      </c>
      <c r="B87" s="1294"/>
      <c r="C87" s="1294"/>
      <c r="D87" s="1294"/>
      <c r="E87" s="1294"/>
      <c r="F87" s="1294"/>
      <c r="G87" s="1294"/>
      <c r="H87" s="1294"/>
      <c r="I87" s="1294"/>
    </row>
    <row r="88" spans="1:9" x14ac:dyDescent="0.2">
      <c r="B88" s="1" t="s">
        <v>371</v>
      </c>
    </row>
    <row r="89" spans="1:9" x14ac:dyDescent="0.2">
      <c r="C89" s="1" t="s">
        <v>372</v>
      </c>
    </row>
    <row r="90" spans="1:9" x14ac:dyDescent="0.2">
      <c r="B90" s="1" t="s">
        <v>241</v>
      </c>
    </row>
    <row r="91" spans="1:9" x14ac:dyDescent="0.2">
      <c r="C91" s="1" t="s">
        <v>373</v>
      </c>
    </row>
  </sheetData>
  <sheetProtection algorithmName="SHA-512" hashValue="z3DNtr0n7M0lAD3k++vOoH9tqpdV6kviwLcGN1rUb6AjuIJriq2f6LJrJq8vN27JK+HYJ6xIf8HS0E9ucLr+ag==" saltValue="gOnTCRyuTyWSrerqegmxwg==" spinCount="100000" sheet="1" objects="1" scenarios="1" selectLockedCells="1" selectUnlockedCells="1"/>
  <mergeCells count="80">
    <mergeCell ref="A6:B6"/>
    <mergeCell ref="C1:I1"/>
    <mergeCell ref="C2:I2"/>
    <mergeCell ref="A3:I3"/>
    <mergeCell ref="A5:B5"/>
    <mergeCell ref="C5:I5"/>
    <mergeCell ref="A13:B13"/>
    <mergeCell ref="B14:C14"/>
    <mergeCell ref="A15:C15"/>
    <mergeCell ref="A16:A19"/>
    <mergeCell ref="B16:C19"/>
    <mergeCell ref="A7:B7"/>
    <mergeCell ref="B8:C8"/>
    <mergeCell ref="A9:C9"/>
    <mergeCell ref="B10:C10"/>
    <mergeCell ref="A12:B12"/>
    <mergeCell ref="I16:I19"/>
    <mergeCell ref="B34:C34"/>
    <mergeCell ref="B21:C21"/>
    <mergeCell ref="A23:B23"/>
    <mergeCell ref="A24:B24"/>
    <mergeCell ref="B25:C25"/>
    <mergeCell ref="A26:C26"/>
    <mergeCell ref="B27:C27"/>
    <mergeCell ref="A29:B29"/>
    <mergeCell ref="A30:B30"/>
    <mergeCell ref="B31:C31"/>
    <mergeCell ref="A32:C32"/>
    <mergeCell ref="B33:C33"/>
    <mergeCell ref="B20:C20"/>
    <mergeCell ref="A35:A36"/>
    <mergeCell ref="B35:C36"/>
    <mergeCell ref="I35:I36"/>
    <mergeCell ref="A37:A38"/>
    <mergeCell ref="B37:C38"/>
    <mergeCell ref="I37:I38"/>
    <mergeCell ref="B48:C48"/>
    <mergeCell ref="A40:B40"/>
    <mergeCell ref="C40:I40"/>
    <mergeCell ref="A41:B41"/>
    <mergeCell ref="C41:I41"/>
    <mergeCell ref="B42:C42"/>
    <mergeCell ref="A43:C43"/>
    <mergeCell ref="A44:A45"/>
    <mergeCell ref="B44:C45"/>
    <mergeCell ref="I44:I45"/>
    <mergeCell ref="B46:C46"/>
    <mergeCell ref="B47:C47"/>
    <mergeCell ref="A49:A51"/>
    <mergeCell ref="B49:C51"/>
    <mergeCell ref="I49:I51"/>
    <mergeCell ref="B52:C52"/>
    <mergeCell ref="A53:A56"/>
    <mergeCell ref="B53:C56"/>
    <mergeCell ref="I53:I56"/>
    <mergeCell ref="A70:C70"/>
    <mergeCell ref="A58:B58"/>
    <mergeCell ref="A59:B59"/>
    <mergeCell ref="B60:C60"/>
    <mergeCell ref="A61:C61"/>
    <mergeCell ref="B62:C62"/>
    <mergeCell ref="A63:A64"/>
    <mergeCell ref="B63:C64"/>
    <mergeCell ref="I63:I64"/>
    <mergeCell ref="B65:C65"/>
    <mergeCell ref="A67:B67"/>
    <mergeCell ref="A68:B68"/>
    <mergeCell ref="B69:C69"/>
    <mergeCell ref="A87:I87"/>
    <mergeCell ref="A71:A73"/>
    <mergeCell ref="B71:C73"/>
    <mergeCell ref="I71:I73"/>
    <mergeCell ref="A74:A75"/>
    <mergeCell ref="B74:C75"/>
    <mergeCell ref="I74:I75"/>
    <mergeCell ref="A76:A78"/>
    <mergeCell ref="B76:C78"/>
    <mergeCell ref="I76:I78"/>
    <mergeCell ref="B79:C79"/>
    <mergeCell ref="B80:C80"/>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oddHeader>
    <oddFooter>&amp;L&amp;"Times New Roman,Regular"&amp;8&amp;D;&amp;T&amp;R&amp;"Times New Roman,Regular"&amp;8&amp;P(&amp;N)</oddFooter>
    <firstHeader>&amp;R&amp;"Times New Roman,Regular"&amp;8
27.pielikums Jūrmalas pilsētas domes
2016.gada 16.decembra saistošajiem noteikumiem Nr.47
(protokols Nr.19, 19.punkts)</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97"/>
  <sheetViews>
    <sheetView view="pageLayout" zoomScaleNormal="115" zoomScaleSheetLayoutView="100" workbookViewId="0">
      <selection activeCell="J198" sqref="J198"/>
    </sheetView>
  </sheetViews>
  <sheetFormatPr defaultRowHeight="12" x14ac:dyDescent="0.2"/>
  <cols>
    <col min="1" max="1" width="4.28515625" style="485" customWidth="1"/>
    <col min="2" max="2" width="37.42578125" style="485" customWidth="1"/>
    <col min="3" max="3" width="9.42578125" style="485" hidden="1" customWidth="1"/>
    <col min="4" max="4" width="9.5703125" style="485" hidden="1" customWidth="1"/>
    <col min="5" max="5" width="9.28515625" style="558" hidden="1" customWidth="1"/>
    <col min="6" max="6" width="9.5703125" style="485" hidden="1" customWidth="1"/>
    <col min="7" max="7" width="8" style="558" hidden="1" customWidth="1"/>
    <col min="8" max="8" width="9.42578125" style="485" hidden="1" customWidth="1"/>
    <col min="9" max="9" width="10.140625" style="485" customWidth="1"/>
    <col min="10" max="10" width="11.28515625" style="485" customWidth="1"/>
    <col min="11" max="11" width="9.28515625" style="485" customWidth="1"/>
    <col min="12" max="12" width="15.7109375" style="485" customWidth="1"/>
    <col min="13" max="13" width="10.7109375" style="485" customWidth="1"/>
    <col min="14" max="16384" width="9.140625" style="485"/>
  </cols>
  <sheetData>
    <row r="1" spans="1:12" ht="12.75" customHeight="1" x14ac:dyDescent="0.2">
      <c r="A1" s="483" t="s">
        <v>675</v>
      </c>
      <c r="B1" s="484"/>
      <c r="D1" s="486"/>
      <c r="E1" s="486"/>
      <c r="F1" s="486"/>
      <c r="G1" s="486"/>
      <c r="H1" s="486"/>
      <c r="I1" s="486" t="s">
        <v>676</v>
      </c>
      <c r="J1" s="486"/>
      <c r="K1" s="486"/>
      <c r="L1" s="487"/>
    </row>
    <row r="2" spans="1:12" ht="12.75" customHeight="1" x14ac:dyDescent="0.2">
      <c r="A2" s="483" t="s">
        <v>7</v>
      </c>
      <c r="B2" s="484"/>
      <c r="D2" s="488"/>
      <c r="E2" s="488"/>
      <c r="F2" s="488"/>
      <c r="G2" s="488"/>
      <c r="H2" s="488"/>
      <c r="I2" s="489">
        <v>90009229680</v>
      </c>
      <c r="J2" s="488"/>
      <c r="K2" s="488"/>
      <c r="L2" s="490"/>
    </row>
    <row r="3" spans="1:12" ht="15.75" x14ac:dyDescent="0.2">
      <c r="A3" s="1352" t="s">
        <v>440</v>
      </c>
      <c r="B3" s="1352"/>
      <c r="C3" s="1352"/>
      <c r="D3" s="1352"/>
      <c r="E3" s="1352"/>
      <c r="F3" s="1352"/>
      <c r="G3" s="1352"/>
      <c r="H3" s="1352"/>
      <c r="I3" s="1352"/>
      <c r="J3" s="1352"/>
      <c r="K3" s="1352"/>
      <c r="L3" s="1352"/>
    </row>
    <row r="4" spans="1:12" ht="15.75" x14ac:dyDescent="0.25">
      <c r="A4" s="491"/>
      <c r="B4" s="491"/>
      <c r="C4" s="491"/>
      <c r="D4" s="491"/>
      <c r="E4" s="491"/>
      <c r="F4" s="491"/>
      <c r="G4" s="491"/>
      <c r="H4" s="491"/>
      <c r="I4" s="491"/>
      <c r="J4" s="491"/>
      <c r="K4" s="491"/>
      <c r="L4" s="492"/>
    </row>
    <row r="5" spans="1:12" ht="12.75" customHeight="1" x14ac:dyDescent="0.25">
      <c r="A5" s="1353" t="s">
        <v>441</v>
      </c>
      <c r="B5" s="1353"/>
      <c r="D5" s="486"/>
      <c r="E5" s="486"/>
      <c r="F5" s="486"/>
      <c r="G5" s="486"/>
      <c r="H5" s="486"/>
      <c r="I5" s="493" t="s">
        <v>676</v>
      </c>
      <c r="J5" s="486"/>
      <c r="K5" s="486"/>
      <c r="L5" s="487"/>
    </row>
    <row r="6" spans="1:12" ht="12.75" customHeight="1" x14ac:dyDescent="0.2">
      <c r="A6" s="483" t="s">
        <v>6</v>
      </c>
      <c r="B6" s="483"/>
      <c r="D6" s="486"/>
      <c r="E6" s="486"/>
      <c r="F6" s="486"/>
      <c r="G6" s="486"/>
      <c r="H6" s="486"/>
      <c r="I6" s="494" t="s">
        <v>677</v>
      </c>
      <c r="J6" s="486"/>
      <c r="K6" s="486"/>
      <c r="L6" s="487"/>
    </row>
    <row r="7" spans="1:12" ht="12.75" customHeight="1" x14ac:dyDescent="0.2">
      <c r="A7" s="495" t="s">
        <v>5</v>
      </c>
      <c r="B7" s="495"/>
      <c r="D7" s="496"/>
      <c r="E7" s="496"/>
      <c r="F7" s="496"/>
      <c r="G7" s="496"/>
      <c r="H7" s="496"/>
      <c r="I7" s="496" t="s">
        <v>190</v>
      </c>
      <c r="J7" s="496"/>
      <c r="K7" s="496"/>
      <c r="L7" s="497"/>
    </row>
    <row r="8" spans="1:12" x14ac:dyDescent="0.2">
      <c r="A8" s="1345" t="s">
        <v>4</v>
      </c>
      <c r="B8" s="1345" t="s">
        <v>3</v>
      </c>
      <c r="C8" s="1345" t="s">
        <v>445</v>
      </c>
      <c r="D8" s="1345"/>
      <c r="E8" s="1345" t="s">
        <v>446</v>
      </c>
      <c r="F8" s="1345"/>
      <c r="G8" s="1345" t="s">
        <v>447</v>
      </c>
      <c r="H8" s="1345"/>
      <c r="I8" s="1345" t="s">
        <v>2</v>
      </c>
      <c r="J8" s="1345" t="s">
        <v>180</v>
      </c>
      <c r="K8" s="1345"/>
      <c r="L8" s="1345" t="s">
        <v>1</v>
      </c>
    </row>
    <row r="9" spans="1:12" ht="49.5" customHeight="1" x14ac:dyDescent="0.2">
      <c r="A9" s="1345"/>
      <c r="B9" s="1345"/>
      <c r="C9" s="498" t="s">
        <v>678</v>
      </c>
      <c r="D9" s="498" t="s">
        <v>449</v>
      </c>
      <c r="E9" s="499" t="s">
        <v>678</v>
      </c>
      <c r="F9" s="499" t="s">
        <v>449</v>
      </c>
      <c r="G9" s="499" t="s">
        <v>678</v>
      </c>
      <c r="H9" s="498" t="s">
        <v>449</v>
      </c>
      <c r="I9" s="1345"/>
      <c r="J9" s="500" t="s">
        <v>448</v>
      </c>
      <c r="K9" s="500" t="s">
        <v>449</v>
      </c>
      <c r="L9" s="1345"/>
    </row>
    <row r="10" spans="1:12" x14ac:dyDescent="0.2">
      <c r="A10" s="1349" t="s">
        <v>380</v>
      </c>
      <c r="B10" s="1349"/>
      <c r="C10" s="501" t="e">
        <f t="shared" ref="C10:H10" si="0">SUM(C11,C17,C25,C50,C73,C106,C119,C133,C160,C171)</f>
        <v>#REF!</v>
      </c>
      <c r="D10" s="501" t="e">
        <f t="shared" si="0"/>
        <v>#REF!</v>
      </c>
      <c r="E10" s="501" t="e">
        <f t="shared" si="0"/>
        <v>#REF!</v>
      </c>
      <c r="F10" s="501" t="e">
        <f t="shared" si="0"/>
        <v>#REF!</v>
      </c>
      <c r="G10" s="502" t="e">
        <f t="shared" si="0"/>
        <v>#REF!</v>
      </c>
      <c r="H10" s="501" t="e">
        <f t="shared" si="0"/>
        <v>#REF!</v>
      </c>
      <c r="I10" s="501"/>
      <c r="J10" s="503">
        <f>SUM(J11,J17,J25,J50,J73,J106,J119,J133,J160,J171)</f>
        <v>439325</v>
      </c>
      <c r="K10" s="503">
        <f>SUM(K11,K17,K25,K50,K73,K106,K119,K133,K160,K171)</f>
        <v>22792</v>
      </c>
      <c r="L10" s="503"/>
    </row>
    <row r="11" spans="1:12" x14ac:dyDescent="0.2">
      <c r="A11" s="1350">
        <v>1</v>
      </c>
      <c r="B11" s="1351" t="s">
        <v>679</v>
      </c>
      <c r="C11" s="504">
        <f t="shared" ref="C11:H11" si="1">SUM(C12:C16)</f>
        <v>34468</v>
      </c>
      <c r="D11" s="504">
        <f t="shared" si="1"/>
        <v>0</v>
      </c>
      <c r="E11" s="504">
        <f t="shared" si="1"/>
        <v>34468</v>
      </c>
      <c r="F11" s="504">
        <f t="shared" si="1"/>
        <v>0</v>
      </c>
      <c r="G11" s="504">
        <f t="shared" si="1"/>
        <v>34980</v>
      </c>
      <c r="H11" s="504">
        <f t="shared" si="1"/>
        <v>0</v>
      </c>
      <c r="I11" s="504"/>
      <c r="J11" s="505">
        <f>SUM(J12:J16)</f>
        <v>34515</v>
      </c>
      <c r="K11" s="505">
        <f>SUM(K12:K16)</f>
        <v>0</v>
      </c>
      <c r="L11" s="505"/>
    </row>
    <row r="12" spans="1:12" ht="12.75" customHeight="1" x14ac:dyDescent="0.2">
      <c r="A12" s="1350"/>
      <c r="B12" s="1351"/>
      <c r="C12" s="506">
        <v>6035</v>
      </c>
      <c r="D12" s="501"/>
      <c r="E12" s="507">
        <v>6035</v>
      </c>
      <c r="F12" s="501"/>
      <c r="G12" s="507">
        <v>6500</v>
      </c>
      <c r="H12" s="501"/>
      <c r="I12" s="501">
        <v>1150</v>
      </c>
      <c r="J12" s="508">
        <v>6035</v>
      </c>
      <c r="K12" s="503"/>
      <c r="L12" s="1276" t="s">
        <v>680</v>
      </c>
    </row>
    <row r="13" spans="1:12" ht="12.75" customHeight="1" x14ac:dyDescent="0.2">
      <c r="A13" s="1350"/>
      <c r="B13" s="1351"/>
      <c r="C13" s="506">
        <v>69</v>
      </c>
      <c r="D13" s="501"/>
      <c r="E13" s="507">
        <v>69</v>
      </c>
      <c r="F13" s="501"/>
      <c r="G13" s="507">
        <v>150</v>
      </c>
      <c r="H13" s="501"/>
      <c r="I13" s="501">
        <v>2262</v>
      </c>
      <c r="J13" s="508">
        <v>150</v>
      </c>
      <c r="K13" s="503"/>
      <c r="L13" s="1276"/>
    </row>
    <row r="14" spans="1:12" ht="12.75" customHeight="1" x14ac:dyDescent="0.2">
      <c r="A14" s="1350"/>
      <c r="B14" s="1351"/>
      <c r="C14" s="506">
        <v>16213</v>
      </c>
      <c r="D14" s="501"/>
      <c r="E14" s="507">
        <v>16213</v>
      </c>
      <c r="F14" s="501"/>
      <c r="G14" s="507">
        <v>16200</v>
      </c>
      <c r="H14" s="501"/>
      <c r="I14" s="501">
        <v>2264</v>
      </c>
      <c r="J14" s="508">
        <v>16200</v>
      </c>
      <c r="K14" s="503"/>
      <c r="L14" s="1276"/>
    </row>
    <row r="15" spans="1:12" x14ac:dyDescent="0.2">
      <c r="A15" s="1350"/>
      <c r="B15" s="1351"/>
      <c r="C15" s="506">
        <v>7720</v>
      </c>
      <c r="D15" s="501"/>
      <c r="E15" s="507">
        <v>7720</v>
      </c>
      <c r="F15" s="501"/>
      <c r="G15" s="507">
        <v>7700</v>
      </c>
      <c r="H15" s="501"/>
      <c r="I15" s="501">
        <v>2279</v>
      </c>
      <c r="J15" s="508">
        <v>7700</v>
      </c>
      <c r="K15" s="503"/>
      <c r="L15" s="1276"/>
    </row>
    <row r="16" spans="1:12" ht="13.5" customHeight="1" x14ac:dyDescent="0.2">
      <c r="A16" s="1350"/>
      <c r="B16" s="1351"/>
      <c r="C16" s="506">
        <v>4431</v>
      </c>
      <c r="D16" s="501"/>
      <c r="E16" s="507">
        <v>4431</v>
      </c>
      <c r="F16" s="501"/>
      <c r="G16" s="507">
        <v>4430</v>
      </c>
      <c r="H16" s="501"/>
      <c r="I16" s="501">
        <v>2314</v>
      </c>
      <c r="J16" s="508">
        <v>4430</v>
      </c>
      <c r="K16" s="503"/>
      <c r="L16" s="1276"/>
    </row>
    <row r="17" spans="1:12" x14ac:dyDescent="0.2">
      <c r="A17" s="1350">
        <v>2</v>
      </c>
      <c r="B17" s="1351" t="s">
        <v>681</v>
      </c>
      <c r="C17" s="504">
        <f t="shared" ref="C17:H17" si="2">SUM(C18:C24)</f>
        <v>106436</v>
      </c>
      <c r="D17" s="504">
        <f t="shared" si="2"/>
        <v>0</v>
      </c>
      <c r="E17" s="509">
        <f t="shared" si="2"/>
        <v>106436</v>
      </c>
      <c r="F17" s="504">
        <f t="shared" si="2"/>
        <v>0</v>
      </c>
      <c r="G17" s="509">
        <f t="shared" si="2"/>
        <v>106738</v>
      </c>
      <c r="H17" s="504">
        <f t="shared" si="2"/>
        <v>0</v>
      </c>
      <c r="I17" s="504"/>
      <c r="J17" s="505">
        <f>SUM(J18:J24)</f>
        <v>106335</v>
      </c>
      <c r="K17" s="505">
        <f>SUM(K18:K24)</f>
        <v>0</v>
      </c>
      <c r="L17" s="503"/>
    </row>
    <row r="18" spans="1:12" ht="12.75" customHeight="1" x14ac:dyDescent="0.2">
      <c r="A18" s="1350"/>
      <c r="B18" s="1351"/>
      <c r="C18" s="506">
        <v>24482</v>
      </c>
      <c r="D18" s="501"/>
      <c r="E18" s="507">
        <v>24482</v>
      </c>
      <c r="F18" s="501"/>
      <c r="G18" s="507">
        <v>24400</v>
      </c>
      <c r="H18" s="501"/>
      <c r="I18" s="501">
        <v>1150</v>
      </c>
      <c r="J18" s="508">
        <v>24400</v>
      </c>
      <c r="K18" s="503"/>
      <c r="L18" s="1276" t="s">
        <v>680</v>
      </c>
    </row>
    <row r="19" spans="1:12" ht="12.75" customHeight="1" x14ac:dyDescent="0.2">
      <c r="A19" s="1350"/>
      <c r="B19" s="1351"/>
      <c r="C19" s="506">
        <v>450</v>
      </c>
      <c r="D19" s="501"/>
      <c r="E19" s="507">
        <v>450</v>
      </c>
      <c r="F19" s="501"/>
      <c r="G19" s="507">
        <v>450</v>
      </c>
      <c r="H19" s="501"/>
      <c r="I19" s="501">
        <v>2231</v>
      </c>
      <c r="J19" s="508">
        <v>450</v>
      </c>
      <c r="K19" s="503"/>
      <c r="L19" s="1276"/>
    </row>
    <row r="20" spans="1:12" ht="12.75" customHeight="1" x14ac:dyDescent="0.2">
      <c r="A20" s="1350"/>
      <c r="B20" s="1351"/>
      <c r="C20" s="506">
        <v>324</v>
      </c>
      <c r="D20" s="501"/>
      <c r="E20" s="507">
        <v>324</v>
      </c>
      <c r="F20" s="501"/>
      <c r="G20" s="507">
        <v>300</v>
      </c>
      <c r="H20" s="501"/>
      <c r="I20" s="501">
        <v>2262</v>
      </c>
      <c r="J20" s="508">
        <v>300</v>
      </c>
      <c r="K20" s="503"/>
      <c r="L20" s="1276"/>
    </row>
    <row r="21" spans="1:12" ht="12.75" customHeight="1" x14ac:dyDescent="0.2">
      <c r="A21" s="1350"/>
      <c r="B21" s="1351"/>
      <c r="C21" s="506">
        <v>45493</v>
      </c>
      <c r="D21" s="501"/>
      <c r="E21" s="507">
        <v>45493</v>
      </c>
      <c r="F21" s="501"/>
      <c r="G21" s="507">
        <v>45500</v>
      </c>
      <c r="H21" s="501"/>
      <c r="I21" s="501">
        <v>2264</v>
      </c>
      <c r="J21" s="508">
        <v>45500</v>
      </c>
      <c r="K21" s="503"/>
      <c r="L21" s="1276"/>
    </row>
    <row r="22" spans="1:12" ht="12.75" customHeight="1" x14ac:dyDescent="0.2">
      <c r="A22" s="1350"/>
      <c r="B22" s="1351"/>
      <c r="C22" s="506">
        <v>928</v>
      </c>
      <c r="D22" s="501"/>
      <c r="E22" s="507">
        <v>928</v>
      </c>
      <c r="F22" s="501"/>
      <c r="G22" s="507">
        <v>930</v>
      </c>
      <c r="H22" s="501"/>
      <c r="I22" s="501">
        <v>2269</v>
      </c>
      <c r="J22" s="508">
        <v>930</v>
      </c>
      <c r="K22" s="503"/>
      <c r="L22" s="1276"/>
    </row>
    <row r="23" spans="1:12" x14ac:dyDescent="0.2">
      <c r="A23" s="1350"/>
      <c r="B23" s="1351"/>
      <c r="C23" s="506">
        <v>30728</v>
      </c>
      <c r="D23" s="501"/>
      <c r="E23" s="507">
        <v>30728</v>
      </c>
      <c r="F23" s="501"/>
      <c r="G23" s="507">
        <v>31128</v>
      </c>
      <c r="H23" s="501"/>
      <c r="I23" s="501">
        <v>2279</v>
      </c>
      <c r="J23" s="508">
        <v>30725</v>
      </c>
      <c r="K23" s="503"/>
      <c r="L23" s="1276"/>
    </row>
    <row r="24" spans="1:12" ht="12.75" customHeight="1" x14ac:dyDescent="0.2">
      <c r="A24" s="1350"/>
      <c r="B24" s="1351"/>
      <c r="C24" s="506">
        <v>4031</v>
      </c>
      <c r="D24" s="501"/>
      <c r="E24" s="507">
        <v>4031</v>
      </c>
      <c r="F24" s="501"/>
      <c r="G24" s="507">
        <v>4030</v>
      </c>
      <c r="H24" s="501"/>
      <c r="I24" s="501">
        <v>2314</v>
      </c>
      <c r="J24" s="508">
        <v>4030</v>
      </c>
      <c r="K24" s="503"/>
      <c r="L24" s="1276"/>
    </row>
    <row r="25" spans="1:12" x14ac:dyDescent="0.2">
      <c r="A25" s="510">
        <v>3</v>
      </c>
      <c r="B25" s="511" t="s">
        <v>682</v>
      </c>
      <c r="C25" s="512">
        <f t="shared" ref="C25:H25" si="3">SUM(C26,C31,C38,C44)</f>
        <v>103243</v>
      </c>
      <c r="D25" s="512">
        <f t="shared" si="3"/>
        <v>0</v>
      </c>
      <c r="E25" s="513">
        <f t="shared" si="3"/>
        <v>101892.31</v>
      </c>
      <c r="F25" s="512">
        <f t="shared" si="3"/>
        <v>0</v>
      </c>
      <c r="G25" s="513">
        <f t="shared" si="3"/>
        <v>108937</v>
      </c>
      <c r="H25" s="512">
        <f t="shared" si="3"/>
        <v>0</v>
      </c>
      <c r="I25" s="512"/>
      <c r="J25" s="514">
        <f>SUM(J26,J31,J38,J44)</f>
        <v>107437</v>
      </c>
      <c r="K25" s="514">
        <f>SUM(K26,K31,K38,K44)</f>
        <v>0</v>
      </c>
      <c r="L25" s="503"/>
    </row>
    <row r="26" spans="1:12" x14ac:dyDescent="0.2">
      <c r="A26" s="1345" t="s">
        <v>464</v>
      </c>
      <c r="B26" s="1346" t="s">
        <v>683</v>
      </c>
      <c r="C26" s="501">
        <f t="shared" ref="C26:H26" si="4">SUM(C27:C30)</f>
        <v>1625</v>
      </c>
      <c r="D26" s="501">
        <f t="shared" si="4"/>
        <v>0</v>
      </c>
      <c r="E26" s="502">
        <f t="shared" si="4"/>
        <v>1625</v>
      </c>
      <c r="F26" s="501">
        <f t="shared" si="4"/>
        <v>0</v>
      </c>
      <c r="G26" s="502">
        <f t="shared" si="4"/>
        <v>7020</v>
      </c>
      <c r="H26" s="501">
        <f t="shared" si="4"/>
        <v>0</v>
      </c>
      <c r="I26" s="501"/>
      <c r="J26" s="503">
        <f>SUM(J27:J30)</f>
        <v>7020</v>
      </c>
      <c r="K26" s="503">
        <f>SUM(K27:K30)</f>
        <v>0</v>
      </c>
      <c r="L26" s="503"/>
    </row>
    <row r="27" spans="1:12" ht="12.75" customHeight="1" x14ac:dyDescent="0.2">
      <c r="A27" s="1345"/>
      <c r="B27" s="1346"/>
      <c r="C27" s="506">
        <v>125</v>
      </c>
      <c r="D27" s="501"/>
      <c r="E27" s="507">
        <v>125</v>
      </c>
      <c r="F27" s="501"/>
      <c r="G27" s="507">
        <v>250</v>
      </c>
      <c r="H27" s="501"/>
      <c r="I27" s="501">
        <v>1150</v>
      </c>
      <c r="J27" s="508">
        <v>250</v>
      </c>
      <c r="K27" s="503"/>
      <c r="L27" s="1276" t="s">
        <v>680</v>
      </c>
    </row>
    <row r="28" spans="1:12" ht="12.75" customHeight="1" x14ac:dyDescent="0.2">
      <c r="A28" s="1345"/>
      <c r="B28" s="1346"/>
      <c r="C28" s="506">
        <v>382</v>
      </c>
      <c r="D28" s="501"/>
      <c r="E28" s="507">
        <v>382</v>
      </c>
      <c r="F28" s="501"/>
      <c r="G28" s="507">
        <v>3100</v>
      </c>
      <c r="H28" s="501"/>
      <c r="I28" s="501">
        <v>2264</v>
      </c>
      <c r="J28" s="508">
        <v>3100</v>
      </c>
      <c r="K28" s="503"/>
      <c r="L28" s="1276"/>
    </row>
    <row r="29" spans="1:12" ht="12.75" customHeight="1" x14ac:dyDescent="0.2">
      <c r="A29" s="1345"/>
      <c r="B29" s="1346"/>
      <c r="C29" s="506">
        <v>1118</v>
      </c>
      <c r="D29" s="501"/>
      <c r="E29" s="507">
        <v>1118</v>
      </c>
      <c r="F29" s="501"/>
      <c r="G29" s="507">
        <v>2870</v>
      </c>
      <c r="H29" s="501"/>
      <c r="I29" s="501">
        <v>2279</v>
      </c>
      <c r="J29" s="508">
        <v>2870</v>
      </c>
      <c r="K29" s="503"/>
      <c r="L29" s="1276"/>
    </row>
    <row r="30" spans="1:12" ht="12.75" customHeight="1" x14ac:dyDescent="0.2">
      <c r="A30" s="1345"/>
      <c r="B30" s="1346"/>
      <c r="C30" s="506">
        <v>0</v>
      </c>
      <c r="D30" s="501"/>
      <c r="E30" s="507">
        <v>0</v>
      </c>
      <c r="F30" s="501"/>
      <c r="G30" s="507">
        <v>800</v>
      </c>
      <c r="H30" s="501"/>
      <c r="I30" s="501">
        <v>2314</v>
      </c>
      <c r="J30" s="508">
        <v>800</v>
      </c>
      <c r="K30" s="503"/>
      <c r="L30" s="1276"/>
    </row>
    <row r="31" spans="1:12" x14ac:dyDescent="0.2">
      <c r="A31" s="1345" t="s">
        <v>684</v>
      </c>
      <c r="B31" s="1347" t="s">
        <v>685</v>
      </c>
      <c r="C31" s="501">
        <f t="shared" ref="C31:H31" si="5">SUM(C32:C37)</f>
        <v>52701</v>
      </c>
      <c r="D31" s="501">
        <f t="shared" si="5"/>
        <v>0</v>
      </c>
      <c r="E31" s="502">
        <f t="shared" si="5"/>
        <v>51445.64</v>
      </c>
      <c r="F31" s="501">
        <f t="shared" si="5"/>
        <v>0</v>
      </c>
      <c r="G31" s="502">
        <f t="shared" si="5"/>
        <v>52700</v>
      </c>
      <c r="H31" s="501">
        <f t="shared" si="5"/>
        <v>0</v>
      </c>
      <c r="I31" s="501"/>
      <c r="J31" s="503">
        <f>SUM(J32:J37)</f>
        <v>51500</v>
      </c>
      <c r="K31" s="503">
        <f>SUM(K32:K37)</f>
        <v>0</v>
      </c>
      <c r="L31" s="503"/>
    </row>
    <row r="32" spans="1:12" ht="12.75" customHeight="1" x14ac:dyDescent="0.2">
      <c r="A32" s="1345"/>
      <c r="B32" s="1347"/>
      <c r="C32" s="506">
        <v>6261</v>
      </c>
      <c r="D32" s="501"/>
      <c r="E32" s="502">
        <v>6261</v>
      </c>
      <c r="F32" s="501"/>
      <c r="G32" s="502">
        <v>6900</v>
      </c>
      <c r="H32" s="501"/>
      <c r="I32" s="501">
        <v>1150</v>
      </c>
      <c r="J32" s="508">
        <v>6300</v>
      </c>
      <c r="K32" s="503"/>
      <c r="L32" s="1276" t="s">
        <v>196</v>
      </c>
    </row>
    <row r="33" spans="1:12" ht="12.75" customHeight="1" x14ac:dyDescent="0.2">
      <c r="A33" s="1345"/>
      <c r="B33" s="1347"/>
      <c r="C33" s="506">
        <v>240</v>
      </c>
      <c r="D33" s="501"/>
      <c r="E33" s="502">
        <v>240</v>
      </c>
      <c r="F33" s="501"/>
      <c r="G33" s="502">
        <v>200</v>
      </c>
      <c r="H33" s="501"/>
      <c r="I33" s="501">
        <v>2231</v>
      </c>
      <c r="J33" s="508">
        <v>200</v>
      </c>
      <c r="K33" s="503"/>
      <c r="L33" s="1276"/>
    </row>
    <row r="34" spans="1:12" ht="12.75" customHeight="1" x14ac:dyDescent="0.2">
      <c r="A34" s="1345"/>
      <c r="B34" s="1347"/>
      <c r="C34" s="506">
        <v>300</v>
      </c>
      <c r="D34" s="501"/>
      <c r="E34" s="502">
        <v>300</v>
      </c>
      <c r="F34" s="501"/>
      <c r="G34" s="502">
        <v>300</v>
      </c>
      <c r="H34" s="501"/>
      <c r="I34" s="501">
        <v>2262</v>
      </c>
      <c r="J34" s="508">
        <v>300</v>
      </c>
      <c r="K34" s="503"/>
      <c r="L34" s="1276"/>
    </row>
    <row r="35" spans="1:12" ht="12.75" customHeight="1" x14ac:dyDescent="0.2">
      <c r="A35" s="1345"/>
      <c r="B35" s="1347"/>
      <c r="C35" s="506">
        <v>23340</v>
      </c>
      <c r="D35" s="501"/>
      <c r="E35" s="502">
        <v>22482.71</v>
      </c>
      <c r="F35" s="501"/>
      <c r="G35" s="502">
        <v>23000</v>
      </c>
      <c r="H35" s="501"/>
      <c r="I35" s="501">
        <v>2264</v>
      </c>
      <c r="J35" s="508">
        <v>22500</v>
      </c>
      <c r="K35" s="503"/>
      <c r="L35" s="1276"/>
    </row>
    <row r="36" spans="1:12" ht="12.75" customHeight="1" x14ac:dyDescent="0.2">
      <c r="A36" s="1345"/>
      <c r="B36" s="1347"/>
      <c r="C36" s="506">
        <v>21930</v>
      </c>
      <c r="D36" s="501"/>
      <c r="E36" s="502">
        <v>21531.93</v>
      </c>
      <c r="F36" s="501"/>
      <c r="G36" s="502">
        <v>21700</v>
      </c>
      <c r="H36" s="501"/>
      <c r="I36" s="501">
        <v>2279</v>
      </c>
      <c r="J36" s="508">
        <v>21600</v>
      </c>
      <c r="K36" s="503"/>
      <c r="L36" s="1276"/>
    </row>
    <row r="37" spans="1:12" x14ac:dyDescent="0.2">
      <c r="A37" s="1345"/>
      <c r="B37" s="1347"/>
      <c r="C37" s="506">
        <v>630</v>
      </c>
      <c r="D37" s="501"/>
      <c r="E37" s="502">
        <v>630</v>
      </c>
      <c r="F37" s="501"/>
      <c r="G37" s="502">
        <v>600</v>
      </c>
      <c r="H37" s="501"/>
      <c r="I37" s="501">
        <v>2314</v>
      </c>
      <c r="J37" s="508">
        <v>600</v>
      </c>
      <c r="K37" s="503"/>
      <c r="L37" s="1276"/>
    </row>
    <row r="38" spans="1:12" x14ac:dyDescent="0.2">
      <c r="A38" s="1345" t="s">
        <v>686</v>
      </c>
      <c r="B38" s="1347" t="s">
        <v>687</v>
      </c>
      <c r="C38" s="501">
        <f t="shared" ref="C38:H38" si="6">SUM(C39:C43)</f>
        <v>36917</v>
      </c>
      <c r="D38" s="501">
        <f t="shared" si="6"/>
        <v>0</v>
      </c>
      <c r="E38" s="502">
        <f t="shared" si="6"/>
        <v>36812.67</v>
      </c>
      <c r="F38" s="501">
        <f t="shared" si="6"/>
        <v>0</v>
      </c>
      <c r="G38" s="502">
        <f t="shared" si="6"/>
        <v>36917</v>
      </c>
      <c r="H38" s="501">
        <f t="shared" si="6"/>
        <v>0</v>
      </c>
      <c r="I38" s="501"/>
      <c r="J38" s="503">
        <f>SUM(J39:J43)</f>
        <v>36917</v>
      </c>
      <c r="K38" s="503">
        <f>SUM(K39:K43)</f>
        <v>0</v>
      </c>
      <c r="L38" s="503"/>
    </row>
    <row r="39" spans="1:12" ht="12.75" customHeight="1" x14ac:dyDescent="0.2">
      <c r="A39" s="1345"/>
      <c r="B39" s="1347"/>
      <c r="C39" s="506">
        <v>10906</v>
      </c>
      <c r="D39" s="501"/>
      <c r="E39" s="507">
        <v>10904</v>
      </c>
      <c r="F39" s="501"/>
      <c r="G39" s="502">
        <v>11017</v>
      </c>
      <c r="H39" s="501"/>
      <c r="I39" s="501">
        <v>1150</v>
      </c>
      <c r="J39" s="508">
        <v>11017</v>
      </c>
      <c r="K39" s="503"/>
      <c r="L39" s="1276" t="s">
        <v>688</v>
      </c>
    </row>
    <row r="40" spans="1:12" ht="12.75" customHeight="1" x14ac:dyDescent="0.2">
      <c r="A40" s="1345"/>
      <c r="B40" s="1347"/>
      <c r="C40" s="506">
        <v>300</v>
      </c>
      <c r="D40" s="501"/>
      <c r="E40" s="507">
        <v>300</v>
      </c>
      <c r="F40" s="501"/>
      <c r="G40" s="502">
        <v>300</v>
      </c>
      <c r="H40" s="501"/>
      <c r="I40" s="501">
        <v>2262</v>
      </c>
      <c r="J40" s="508">
        <v>300</v>
      </c>
      <c r="K40" s="503"/>
      <c r="L40" s="1276"/>
    </row>
    <row r="41" spans="1:12" ht="12.75" customHeight="1" x14ac:dyDescent="0.2">
      <c r="A41" s="1345"/>
      <c r="B41" s="1347"/>
      <c r="C41" s="506">
        <v>12432</v>
      </c>
      <c r="D41" s="501"/>
      <c r="E41" s="507">
        <v>12432</v>
      </c>
      <c r="F41" s="501"/>
      <c r="G41" s="502">
        <v>13100</v>
      </c>
      <c r="H41" s="501"/>
      <c r="I41" s="501">
        <v>2264</v>
      </c>
      <c r="J41" s="508">
        <v>13100</v>
      </c>
      <c r="K41" s="503"/>
      <c r="L41" s="1276"/>
    </row>
    <row r="42" spans="1:12" ht="12.75" customHeight="1" x14ac:dyDescent="0.2">
      <c r="A42" s="1345"/>
      <c r="B42" s="1347"/>
      <c r="C42" s="506">
        <v>10779</v>
      </c>
      <c r="D42" s="501"/>
      <c r="E42" s="507">
        <v>10779</v>
      </c>
      <c r="F42" s="501"/>
      <c r="G42" s="502">
        <v>10000</v>
      </c>
      <c r="H42" s="501"/>
      <c r="I42" s="501">
        <v>2279</v>
      </c>
      <c r="J42" s="508">
        <v>10000</v>
      </c>
      <c r="K42" s="503"/>
      <c r="L42" s="1276"/>
    </row>
    <row r="43" spans="1:12" ht="12.75" customHeight="1" x14ac:dyDescent="0.2">
      <c r="A43" s="1345"/>
      <c r="B43" s="1347"/>
      <c r="C43" s="506">
        <v>2500</v>
      </c>
      <c r="D43" s="501"/>
      <c r="E43" s="507">
        <v>2397.67</v>
      </c>
      <c r="F43" s="501"/>
      <c r="G43" s="502">
        <v>2500</v>
      </c>
      <c r="H43" s="501"/>
      <c r="I43" s="501">
        <v>2314</v>
      </c>
      <c r="J43" s="508">
        <v>2500</v>
      </c>
      <c r="K43" s="503"/>
      <c r="L43" s="1276"/>
    </row>
    <row r="44" spans="1:12" x14ac:dyDescent="0.2">
      <c r="A44" s="1345" t="s">
        <v>689</v>
      </c>
      <c r="B44" s="1346" t="s">
        <v>690</v>
      </c>
      <c r="C44" s="501">
        <f t="shared" ref="C44:H44" si="7">SUM(C45:C49)</f>
        <v>12000</v>
      </c>
      <c r="D44" s="501">
        <f t="shared" si="7"/>
        <v>0</v>
      </c>
      <c r="E44" s="502">
        <f t="shared" si="7"/>
        <v>12009</v>
      </c>
      <c r="F44" s="501">
        <f t="shared" si="7"/>
        <v>0</v>
      </c>
      <c r="G44" s="502">
        <f t="shared" si="7"/>
        <v>12300</v>
      </c>
      <c r="H44" s="501">
        <f t="shared" si="7"/>
        <v>0</v>
      </c>
      <c r="I44" s="501"/>
      <c r="J44" s="503">
        <f>SUM(J45:J49)</f>
        <v>12000</v>
      </c>
      <c r="K44" s="503">
        <f>SUM(K45:K49)</f>
        <v>0</v>
      </c>
      <c r="L44" s="503"/>
    </row>
    <row r="45" spans="1:12" ht="12.75" customHeight="1" x14ac:dyDescent="0.2">
      <c r="A45" s="1345"/>
      <c r="B45" s="1346"/>
      <c r="C45" s="506">
        <v>0</v>
      </c>
      <c r="D45" s="501"/>
      <c r="E45" s="507">
        <v>0</v>
      </c>
      <c r="F45" s="501"/>
      <c r="G45" s="507">
        <v>1500</v>
      </c>
      <c r="H45" s="501"/>
      <c r="I45" s="501">
        <v>1150</v>
      </c>
      <c r="J45" s="508">
        <v>1200</v>
      </c>
      <c r="K45" s="503"/>
      <c r="L45" s="1348" t="s">
        <v>688</v>
      </c>
    </row>
    <row r="46" spans="1:12" ht="12.75" customHeight="1" x14ac:dyDescent="0.2">
      <c r="A46" s="1345"/>
      <c r="B46" s="1346"/>
      <c r="C46" s="506">
        <v>0</v>
      </c>
      <c r="D46" s="501"/>
      <c r="E46" s="507">
        <v>0</v>
      </c>
      <c r="F46" s="501"/>
      <c r="G46" s="507">
        <v>200</v>
      </c>
      <c r="H46" s="501"/>
      <c r="I46" s="501">
        <v>2231</v>
      </c>
      <c r="J46" s="508">
        <v>200</v>
      </c>
      <c r="K46" s="503"/>
      <c r="L46" s="1348"/>
    </row>
    <row r="47" spans="1:12" ht="12.75" customHeight="1" x14ac:dyDescent="0.2">
      <c r="A47" s="1345"/>
      <c r="B47" s="1346"/>
      <c r="C47" s="506">
        <v>8000</v>
      </c>
      <c r="D47" s="501"/>
      <c r="E47" s="507">
        <v>8000</v>
      </c>
      <c r="F47" s="501"/>
      <c r="G47" s="507">
        <v>6500</v>
      </c>
      <c r="H47" s="501"/>
      <c r="I47" s="501">
        <v>2264</v>
      </c>
      <c r="J47" s="508">
        <v>6500</v>
      </c>
      <c r="K47" s="503"/>
      <c r="L47" s="1348"/>
    </row>
    <row r="48" spans="1:12" ht="12.75" customHeight="1" x14ac:dyDescent="0.2">
      <c r="A48" s="1345"/>
      <c r="B48" s="1346"/>
      <c r="C48" s="506">
        <v>3967</v>
      </c>
      <c r="D48" s="501"/>
      <c r="E48" s="507">
        <v>3976</v>
      </c>
      <c r="F48" s="501"/>
      <c r="G48" s="507">
        <v>3900</v>
      </c>
      <c r="H48" s="501"/>
      <c r="I48" s="501">
        <v>2279</v>
      </c>
      <c r="J48" s="508">
        <v>3900</v>
      </c>
      <c r="K48" s="503"/>
      <c r="L48" s="1348"/>
    </row>
    <row r="49" spans="1:12" ht="13.5" customHeight="1" x14ac:dyDescent="0.2">
      <c r="A49" s="1345"/>
      <c r="B49" s="1346"/>
      <c r="C49" s="506">
        <v>33</v>
      </c>
      <c r="D49" s="501"/>
      <c r="E49" s="507">
        <v>33</v>
      </c>
      <c r="F49" s="501"/>
      <c r="G49" s="507">
        <v>200</v>
      </c>
      <c r="H49" s="501"/>
      <c r="I49" s="501">
        <v>2314</v>
      </c>
      <c r="J49" s="508">
        <v>200</v>
      </c>
      <c r="K49" s="503"/>
      <c r="L49" s="1348"/>
    </row>
    <row r="50" spans="1:12" x14ac:dyDescent="0.2">
      <c r="A50" s="510">
        <v>4</v>
      </c>
      <c r="B50" s="511" t="s">
        <v>691</v>
      </c>
      <c r="C50" s="512">
        <f t="shared" ref="C50:H50" si="8">SUM(C51,C55,C59,C63,C67,C69)</f>
        <v>9855</v>
      </c>
      <c r="D50" s="512">
        <f t="shared" si="8"/>
        <v>4260</v>
      </c>
      <c r="E50" s="512">
        <f t="shared" si="8"/>
        <v>9854.7999999999993</v>
      </c>
      <c r="F50" s="512">
        <f t="shared" si="8"/>
        <v>4105</v>
      </c>
      <c r="G50" s="513">
        <f t="shared" si="8"/>
        <v>16530</v>
      </c>
      <c r="H50" s="512">
        <f t="shared" si="8"/>
        <v>4420</v>
      </c>
      <c r="I50" s="512"/>
      <c r="J50" s="514">
        <f>SUM(J51,J55,J59,J63,J67,J69)</f>
        <v>10055</v>
      </c>
      <c r="K50" s="514">
        <f>SUM(K51,K55,K59,K63,K67,K69)</f>
        <v>7600</v>
      </c>
      <c r="L50" s="516"/>
    </row>
    <row r="51" spans="1:12" x14ac:dyDescent="0.2">
      <c r="A51" s="1345" t="s">
        <v>468</v>
      </c>
      <c r="B51" s="1347" t="s">
        <v>692</v>
      </c>
      <c r="C51" s="501">
        <f t="shared" ref="C51:H51" si="9">SUM(C52:C54)</f>
        <v>3000</v>
      </c>
      <c r="D51" s="501">
        <f t="shared" si="9"/>
        <v>0</v>
      </c>
      <c r="E51" s="502">
        <f t="shared" si="9"/>
        <v>2999.8</v>
      </c>
      <c r="F51" s="501">
        <f t="shared" si="9"/>
        <v>0</v>
      </c>
      <c r="G51" s="502">
        <f t="shared" si="9"/>
        <v>5110</v>
      </c>
      <c r="H51" s="501">
        <f t="shared" si="9"/>
        <v>0</v>
      </c>
      <c r="I51" s="501"/>
      <c r="J51" s="503">
        <f>SUM(J52:J54)</f>
        <v>3005</v>
      </c>
      <c r="K51" s="503">
        <f>SUM(K52:K54)</f>
        <v>0</v>
      </c>
      <c r="L51" s="516"/>
    </row>
    <row r="52" spans="1:12" ht="12.75" customHeight="1" x14ac:dyDescent="0.2">
      <c r="A52" s="1345"/>
      <c r="B52" s="1347"/>
      <c r="C52" s="506">
        <v>866</v>
      </c>
      <c r="D52" s="501"/>
      <c r="E52" s="507">
        <v>866</v>
      </c>
      <c r="F52" s="501"/>
      <c r="G52" s="507">
        <v>2700</v>
      </c>
      <c r="H52" s="501"/>
      <c r="I52" s="501">
        <v>1150</v>
      </c>
      <c r="J52" s="508">
        <v>870</v>
      </c>
      <c r="K52" s="503"/>
      <c r="L52" s="1276" t="s">
        <v>196</v>
      </c>
    </row>
    <row r="53" spans="1:12" ht="12.75" customHeight="1" x14ac:dyDescent="0.2">
      <c r="A53" s="1345"/>
      <c r="B53" s="1347"/>
      <c r="C53" s="506">
        <v>2000</v>
      </c>
      <c r="D53" s="501"/>
      <c r="E53" s="507">
        <v>2000</v>
      </c>
      <c r="F53" s="501"/>
      <c r="G53" s="507">
        <v>2200</v>
      </c>
      <c r="H53" s="501"/>
      <c r="I53" s="501">
        <v>2279</v>
      </c>
      <c r="J53" s="508">
        <v>2000</v>
      </c>
      <c r="K53" s="503"/>
      <c r="L53" s="1276"/>
    </row>
    <row r="54" spans="1:12" ht="12.75" customHeight="1" x14ac:dyDescent="0.2">
      <c r="A54" s="1345"/>
      <c r="B54" s="1347"/>
      <c r="C54" s="506">
        <v>134</v>
      </c>
      <c r="D54" s="501"/>
      <c r="E54" s="507">
        <v>133.80000000000001</v>
      </c>
      <c r="F54" s="501"/>
      <c r="G54" s="507">
        <v>210</v>
      </c>
      <c r="H54" s="501"/>
      <c r="I54" s="501">
        <v>2314</v>
      </c>
      <c r="J54" s="508">
        <v>135</v>
      </c>
      <c r="K54" s="503"/>
      <c r="L54" s="1276"/>
    </row>
    <row r="55" spans="1:12" ht="12.75" customHeight="1" x14ac:dyDescent="0.2">
      <c r="A55" s="1345" t="s">
        <v>693</v>
      </c>
      <c r="B55" s="1346" t="s">
        <v>694</v>
      </c>
      <c r="C55" s="502">
        <f t="shared" ref="C55:H55" si="10">SUM(C56:C58)</f>
        <v>1030</v>
      </c>
      <c r="D55" s="502">
        <f t="shared" si="10"/>
        <v>0</v>
      </c>
      <c r="E55" s="502">
        <f t="shared" si="10"/>
        <v>1030</v>
      </c>
      <c r="F55" s="502">
        <f t="shared" si="10"/>
        <v>0</v>
      </c>
      <c r="G55" s="502">
        <f t="shared" si="10"/>
        <v>1100</v>
      </c>
      <c r="H55" s="502">
        <f t="shared" si="10"/>
        <v>0</v>
      </c>
      <c r="I55" s="502"/>
      <c r="J55" s="517">
        <f>SUM(J56:J58)</f>
        <v>1010</v>
      </c>
      <c r="K55" s="517">
        <f>SUM(K56:K58)</f>
        <v>0</v>
      </c>
      <c r="L55" s="516"/>
    </row>
    <row r="56" spans="1:12" ht="12.75" customHeight="1" x14ac:dyDescent="0.2">
      <c r="A56" s="1345"/>
      <c r="B56" s="1346"/>
      <c r="C56" s="506">
        <v>720</v>
      </c>
      <c r="D56" s="501"/>
      <c r="E56" s="507">
        <v>720</v>
      </c>
      <c r="F56" s="501"/>
      <c r="G56" s="507">
        <v>700</v>
      </c>
      <c r="H56" s="501"/>
      <c r="I56" s="501">
        <v>1150</v>
      </c>
      <c r="J56" s="508">
        <v>700</v>
      </c>
      <c r="K56" s="503"/>
      <c r="L56" s="1276" t="s">
        <v>196</v>
      </c>
    </row>
    <row r="57" spans="1:12" ht="12.75" customHeight="1" x14ac:dyDescent="0.2">
      <c r="A57" s="1345"/>
      <c r="B57" s="1346"/>
      <c r="C57" s="506">
        <v>100</v>
      </c>
      <c r="D57" s="501"/>
      <c r="E57" s="507">
        <v>100</v>
      </c>
      <c r="F57" s="501"/>
      <c r="G57" s="507">
        <v>100</v>
      </c>
      <c r="H57" s="501"/>
      <c r="I57" s="501">
        <v>2279</v>
      </c>
      <c r="J57" s="508">
        <v>100</v>
      </c>
      <c r="K57" s="503"/>
      <c r="L57" s="1276"/>
    </row>
    <row r="58" spans="1:12" ht="12.75" customHeight="1" x14ac:dyDescent="0.2">
      <c r="A58" s="1345"/>
      <c r="B58" s="1346"/>
      <c r="C58" s="506">
        <v>210</v>
      </c>
      <c r="D58" s="501"/>
      <c r="E58" s="507">
        <v>210</v>
      </c>
      <c r="F58" s="501"/>
      <c r="G58" s="507">
        <v>300</v>
      </c>
      <c r="H58" s="501"/>
      <c r="I58" s="501">
        <v>2314</v>
      </c>
      <c r="J58" s="508">
        <v>210</v>
      </c>
      <c r="K58" s="503"/>
      <c r="L58" s="1276"/>
    </row>
    <row r="59" spans="1:12" ht="12.75" customHeight="1" x14ac:dyDescent="0.2">
      <c r="A59" s="1345" t="s">
        <v>695</v>
      </c>
      <c r="B59" s="1346" t="s">
        <v>696</v>
      </c>
      <c r="C59" s="518">
        <f t="shared" ref="C59:H59" si="11">SUM(C60:C62)</f>
        <v>1275</v>
      </c>
      <c r="D59" s="518">
        <f t="shared" si="11"/>
        <v>715</v>
      </c>
      <c r="E59" s="519">
        <f t="shared" si="11"/>
        <v>1275</v>
      </c>
      <c r="F59" s="518">
        <f t="shared" si="11"/>
        <v>715</v>
      </c>
      <c r="G59" s="519">
        <f t="shared" si="11"/>
        <v>2000</v>
      </c>
      <c r="H59" s="518">
        <f t="shared" si="11"/>
        <v>600</v>
      </c>
      <c r="I59" s="518"/>
      <c r="J59" s="520">
        <f>SUM(J60:J62)</f>
        <v>450</v>
      </c>
      <c r="K59" s="520">
        <f>SUM(K60:K62)</f>
        <v>2000</v>
      </c>
      <c r="L59" s="516"/>
    </row>
    <row r="60" spans="1:12" ht="12.75" customHeight="1" x14ac:dyDescent="0.2">
      <c r="A60" s="1345"/>
      <c r="B60" s="1346"/>
      <c r="C60" s="521">
        <v>945</v>
      </c>
      <c r="D60" s="521">
        <v>340</v>
      </c>
      <c r="E60" s="522">
        <v>945</v>
      </c>
      <c r="F60" s="521">
        <v>340</v>
      </c>
      <c r="G60" s="522">
        <v>1500</v>
      </c>
      <c r="H60" s="521"/>
      <c r="I60" s="518">
        <v>1150</v>
      </c>
      <c r="J60" s="523">
        <v>300</v>
      </c>
      <c r="K60" s="524">
        <v>1200</v>
      </c>
      <c r="L60" s="1276" t="s">
        <v>196</v>
      </c>
    </row>
    <row r="61" spans="1:12" ht="12.75" customHeight="1" x14ac:dyDescent="0.2">
      <c r="A61" s="1345"/>
      <c r="B61" s="1346"/>
      <c r="C61" s="521">
        <v>190</v>
      </c>
      <c r="D61" s="521">
        <v>275</v>
      </c>
      <c r="E61" s="522">
        <v>190</v>
      </c>
      <c r="F61" s="521">
        <v>275</v>
      </c>
      <c r="G61" s="522">
        <v>500</v>
      </c>
      <c r="H61" s="521">
        <v>400</v>
      </c>
      <c r="I61" s="518">
        <v>2279</v>
      </c>
      <c r="J61" s="523">
        <v>150</v>
      </c>
      <c r="K61" s="524">
        <v>600</v>
      </c>
      <c r="L61" s="1276"/>
    </row>
    <row r="62" spans="1:12" ht="12.75" customHeight="1" x14ac:dyDescent="0.2">
      <c r="A62" s="1345"/>
      <c r="B62" s="1346"/>
      <c r="C62" s="521">
        <v>140</v>
      </c>
      <c r="D62" s="521">
        <v>100</v>
      </c>
      <c r="E62" s="522">
        <v>140</v>
      </c>
      <c r="F62" s="521">
        <v>100</v>
      </c>
      <c r="G62" s="522">
        <v>0</v>
      </c>
      <c r="H62" s="521">
        <v>200</v>
      </c>
      <c r="I62" s="518">
        <v>2314</v>
      </c>
      <c r="J62" s="523">
        <v>0</v>
      </c>
      <c r="K62" s="524">
        <v>200</v>
      </c>
      <c r="L62" s="1276"/>
    </row>
    <row r="63" spans="1:12" x14ac:dyDescent="0.2">
      <c r="A63" s="1345" t="s">
        <v>697</v>
      </c>
      <c r="B63" s="1347" t="s">
        <v>698</v>
      </c>
      <c r="C63" s="501">
        <f t="shared" ref="C63:H63" si="12">SUM(C64:C66)</f>
        <v>2500</v>
      </c>
      <c r="D63" s="501">
        <f t="shared" si="12"/>
        <v>345</v>
      </c>
      <c r="E63" s="502">
        <f t="shared" si="12"/>
        <v>2500</v>
      </c>
      <c r="F63" s="501">
        <f t="shared" si="12"/>
        <v>190</v>
      </c>
      <c r="G63" s="502">
        <f t="shared" si="12"/>
        <v>5720</v>
      </c>
      <c r="H63" s="501">
        <f t="shared" si="12"/>
        <v>1820</v>
      </c>
      <c r="I63" s="501"/>
      <c r="J63" s="503">
        <f>SUM(J64:J66)</f>
        <v>3940</v>
      </c>
      <c r="K63" s="503">
        <f>SUM(K64:K66)</f>
        <v>3600</v>
      </c>
      <c r="L63" s="516"/>
    </row>
    <row r="64" spans="1:12" ht="12.75" customHeight="1" x14ac:dyDescent="0.2">
      <c r="A64" s="1345"/>
      <c r="B64" s="1347"/>
      <c r="C64" s="506">
        <v>400</v>
      </c>
      <c r="D64" s="506">
        <v>65</v>
      </c>
      <c r="E64" s="507">
        <v>400</v>
      </c>
      <c r="F64" s="507">
        <v>65</v>
      </c>
      <c r="G64" s="507">
        <v>2420</v>
      </c>
      <c r="H64" s="506">
        <v>420</v>
      </c>
      <c r="I64" s="501">
        <v>1150</v>
      </c>
      <c r="J64" s="508">
        <v>1440</v>
      </c>
      <c r="K64" s="508">
        <v>1400</v>
      </c>
      <c r="L64" s="1276" t="s">
        <v>196</v>
      </c>
    </row>
    <row r="65" spans="1:12" ht="12.75" customHeight="1" x14ac:dyDescent="0.2">
      <c r="A65" s="1345"/>
      <c r="B65" s="1347"/>
      <c r="C65" s="506">
        <v>2025</v>
      </c>
      <c r="D65" s="506">
        <v>50</v>
      </c>
      <c r="E65" s="507">
        <v>2025</v>
      </c>
      <c r="F65" s="507">
        <v>50</v>
      </c>
      <c r="G65" s="507">
        <v>3300</v>
      </c>
      <c r="H65" s="506">
        <v>1100</v>
      </c>
      <c r="I65" s="501">
        <v>2279</v>
      </c>
      <c r="J65" s="508">
        <v>2500</v>
      </c>
      <c r="K65" s="508">
        <v>1900</v>
      </c>
      <c r="L65" s="1276"/>
    </row>
    <row r="66" spans="1:12" ht="12.75" customHeight="1" x14ac:dyDescent="0.2">
      <c r="A66" s="1345"/>
      <c r="B66" s="1347"/>
      <c r="C66" s="506">
        <v>75</v>
      </c>
      <c r="D66" s="506">
        <v>230</v>
      </c>
      <c r="E66" s="507">
        <v>75</v>
      </c>
      <c r="F66" s="507">
        <v>75</v>
      </c>
      <c r="G66" s="507"/>
      <c r="H66" s="506">
        <v>300</v>
      </c>
      <c r="I66" s="501">
        <v>2314</v>
      </c>
      <c r="J66" s="508"/>
      <c r="K66" s="508">
        <v>300</v>
      </c>
      <c r="L66" s="1276"/>
    </row>
    <row r="67" spans="1:12" x14ac:dyDescent="0.2">
      <c r="A67" s="1345" t="s">
        <v>699</v>
      </c>
      <c r="B67" s="1347" t="s">
        <v>700</v>
      </c>
      <c r="C67" s="501">
        <f t="shared" ref="C67:H67" si="13">SUM(C68:C68)</f>
        <v>1500</v>
      </c>
      <c r="D67" s="501">
        <f t="shared" si="13"/>
        <v>0</v>
      </c>
      <c r="E67" s="502">
        <f t="shared" si="13"/>
        <v>1500</v>
      </c>
      <c r="F67" s="501">
        <f t="shared" si="13"/>
        <v>0</v>
      </c>
      <c r="G67" s="502">
        <f t="shared" si="13"/>
        <v>2000</v>
      </c>
      <c r="H67" s="501">
        <f t="shared" si="13"/>
        <v>0</v>
      </c>
      <c r="I67" s="501"/>
      <c r="J67" s="503">
        <f>SUM(J68:J68)</f>
        <v>1500</v>
      </c>
      <c r="K67" s="503">
        <f>SUM(K68:K68)</f>
        <v>0</v>
      </c>
      <c r="L67" s="503"/>
    </row>
    <row r="68" spans="1:12" ht="12.75" customHeight="1" x14ac:dyDescent="0.2">
      <c r="A68" s="1345"/>
      <c r="B68" s="1347"/>
      <c r="C68" s="506">
        <v>1500</v>
      </c>
      <c r="D68" s="506"/>
      <c r="E68" s="507">
        <v>1500</v>
      </c>
      <c r="F68" s="507"/>
      <c r="G68" s="502">
        <v>2000</v>
      </c>
      <c r="H68" s="501"/>
      <c r="I68" s="501">
        <v>2314</v>
      </c>
      <c r="J68" s="508">
        <v>1500</v>
      </c>
      <c r="K68" s="503"/>
      <c r="L68" s="525" t="s">
        <v>196</v>
      </c>
    </row>
    <row r="69" spans="1:12" x14ac:dyDescent="0.2">
      <c r="A69" s="1345" t="s">
        <v>701</v>
      </c>
      <c r="B69" s="1346" t="s">
        <v>702</v>
      </c>
      <c r="C69" s="502">
        <f t="shared" ref="C69:H69" si="14">SUM(C70:C72)</f>
        <v>550</v>
      </c>
      <c r="D69" s="502">
        <f t="shared" si="14"/>
        <v>3200</v>
      </c>
      <c r="E69" s="502">
        <f t="shared" si="14"/>
        <v>550</v>
      </c>
      <c r="F69" s="502">
        <f t="shared" si="14"/>
        <v>3200</v>
      </c>
      <c r="G69" s="502">
        <f t="shared" si="14"/>
        <v>600</v>
      </c>
      <c r="H69" s="502">
        <f t="shared" si="14"/>
        <v>2000</v>
      </c>
      <c r="I69" s="502"/>
      <c r="J69" s="517">
        <f>SUM(J70:J72)</f>
        <v>150</v>
      </c>
      <c r="K69" s="517">
        <f>SUM(K70:K72)</f>
        <v>2000</v>
      </c>
      <c r="L69" s="503"/>
    </row>
    <row r="70" spans="1:12" ht="12.75" customHeight="1" x14ac:dyDescent="0.2">
      <c r="A70" s="1345"/>
      <c r="B70" s="1346"/>
      <c r="C70" s="506">
        <v>125</v>
      </c>
      <c r="D70" s="506">
        <v>1075</v>
      </c>
      <c r="E70" s="507">
        <v>125</v>
      </c>
      <c r="F70" s="507">
        <v>1075</v>
      </c>
      <c r="G70" s="507">
        <v>0</v>
      </c>
      <c r="H70" s="506">
        <v>700</v>
      </c>
      <c r="I70" s="501">
        <v>1150</v>
      </c>
      <c r="J70" s="508"/>
      <c r="K70" s="508">
        <v>700</v>
      </c>
      <c r="L70" s="1276" t="s">
        <v>703</v>
      </c>
    </row>
    <row r="71" spans="1:12" ht="12.75" customHeight="1" x14ac:dyDescent="0.2">
      <c r="A71" s="1345"/>
      <c r="B71" s="1346"/>
      <c r="C71" s="506">
        <v>0</v>
      </c>
      <c r="D71" s="506">
        <v>750</v>
      </c>
      <c r="E71" s="507">
        <v>0</v>
      </c>
      <c r="F71" s="507">
        <v>750</v>
      </c>
      <c r="G71" s="507">
        <v>0</v>
      </c>
      <c r="H71" s="506">
        <v>150</v>
      </c>
      <c r="I71" s="501">
        <v>2269</v>
      </c>
      <c r="J71" s="508"/>
      <c r="K71" s="508">
        <v>150</v>
      </c>
      <c r="L71" s="1276"/>
    </row>
    <row r="72" spans="1:12" ht="13.5" customHeight="1" x14ac:dyDescent="0.2">
      <c r="A72" s="1345"/>
      <c r="B72" s="1346"/>
      <c r="C72" s="506">
        <v>425</v>
      </c>
      <c r="D72" s="506">
        <v>1375</v>
      </c>
      <c r="E72" s="507">
        <v>425</v>
      </c>
      <c r="F72" s="507">
        <v>1375</v>
      </c>
      <c r="G72" s="507">
        <v>600</v>
      </c>
      <c r="H72" s="506">
        <v>1150</v>
      </c>
      <c r="I72" s="501">
        <v>2279</v>
      </c>
      <c r="J72" s="508">
        <v>150</v>
      </c>
      <c r="K72" s="508">
        <v>1150</v>
      </c>
      <c r="L72" s="1276"/>
    </row>
    <row r="73" spans="1:12" x14ac:dyDescent="0.2">
      <c r="A73" s="510">
        <v>5</v>
      </c>
      <c r="B73" s="511" t="s">
        <v>704</v>
      </c>
      <c r="C73" s="501" t="e">
        <f>SUM(C74,C76,C79,#REF!,C84,C88,C92,C96,C99,C102)</f>
        <v>#REF!</v>
      </c>
      <c r="D73" s="501" t="e">
        <f>SUM(D74,D76,D79,#REF!,D84,D88,D92,D96,D99,D102)</f>
        <v>#REF!</v>
      </c>
      <c r="E73" s="501" t="e">
        <f>SUM(E74,E76,E79,#REF!,E84,E88,E92,E96,E99,E102)</f>
        <v>#REF!</v>
      </c>
      <c r="F73" s="501" t="e">
        <f>SUM(F74,F76,F79,#REF!,F84,F88,F92,F96,F99,F102)</f>
        <v>#REF!</v>
      </c>
      <c r="G73" s="502" t="e">
        <f>SUM(G74,G76,G79,#REF!,G84,G88,G92,G96,G99,G102)</f>
        <v>#REF!</v>
      </c>
      <c r="H73" s="501" t="e">
        <f>SUM(H74,H76,H79,#REF!,H84,H88,H92,H96,H99,H102)</f>
        <v>#REF!</v>
      </c>
      <c r="I73" s="501">
        <f>SUM(I74,I76,I79,I84,I88,I92,I96,I99,I102)</f>
        <v>0</v>
      </c>
      <c r="J73" s="503">
        <f>SUM(J74,J76,J79,J84,J88,J92,J96,J99,J102)</f>
        <v>11295</v>
      </c>
      <c r="K73" s="503">
        <f>SUM(K74,K76,K79,K84,K88,K92,K96,K99,K102)</f>
        <v>5750</v>
      </c>
      <c r="L73" s="516"/>
    </row>
    <row r="74" spans="1:12" ht="15" customHeight="1" x14ac:dyDescent="0.2">
      <c r="A74" s="1345" t="s">
        <v>471</v>
      </c>
      <c r="B74" s="1346" t="s">
        <v>705</v>
      </c>
      <c r="C74" s="501">
        <f t="shared" ref="C74:H74" si="15">SUM(C75:C75)</f>
        <v>115</v>
      </c>
      <c r="D74" s="501">
        <f t="shared" si="15"/>
        <v>0</v>
      </c>
      <c r="E74" s="502">
        <f t="shared" si="15"/>
        <v>115</v>
      </c>
      <c r="F74" s="502">
        <f t="shared" si="15"/>
        <v>0</v>
      </c>
      <c r="G74" s="502">
        <f t="shared" si="15"/>
        <v>200</v>
      </c>
      <c r="H74" s="501">
        <f t="shared" si="15"/>
        <v>0</v>
      </c>
      <c r="I74" s="501"/>
      <c r="J74" s="503">
        <f>SUM(J75:J75)</f>
        <v>115</v>
      </c>
      <c r="K74" s="503">
        <f>SUM(K75:K75)</f>
        <v>0</v>
      </c>
      <c r="L74" s="1237" t="s">
        <v>680</v>
      </c>
    </row>
    <row r="75" spans="1:12" ht="12.75" customHeight="1" x14ac:dyDescent="0.2">
      <c r="A75" s="1345"/>
      <c r="B75" s="1346"/>
      <c r="C75" s="506">
        <v>115</v>
      </c>
      <c r="D75" s="501"/>
      <c r="E75" s="507">
        <v>115</v>
      </c>
      <c r="F75" s="502"/>
      <c r="G75" s="507">
        <v>200</v>
      </c>
      <c r="H75" s="501"/>
      <c r="I75" s="501">
        <v>1150</v>
      </c>
      <c r="J75" s="508">
        <v>115</v>
      </c>
      <c r="K75" s="503"/>
      <c r="L75" s="1239"/>
    </row>
    <row r="76" spans="1:12" x14ac:dyDescent="0.2">
      <c r="A76" s="1345" t="s">
        <v>474</v>
      </c>
      <c r="B76" s="1346" t="s">
        <v>706</v>
      </c>
      <c r="C76" s="501">
        <f t="shared" ref="C76:H76" si="16">SUM(C77:C78)</f>
        <v>350</v>
      </c>
      <c r="D76" s="501">
        <f t="shared" si="16"/>
        <v>0</v>
      </c>
      <c r="E76" s="502">
        <f t="shared" si="16"/>
        <v>350</v>
      </c>
      <c r="F76" s="502">
        <f t="shared" si="16"/>
        <v>0</v>
      </c>
      <c r="G76" s="502">
        <f t="shared" si="16"/>
        <v>350</v>
      </c>
      <c r="H76" s="501">
        <f t="shared" si="16"/>
        <v>0</v>
      </c>
      <c r="I76" s="501"/>
      <c r="J76" s="503">
        <f>SUM(J77:J78)</f>
        <v>350</v>
      </c>
      <c r="K76" s="503">
        <f>SUM(K77:K78)</f>
        <v>0</v>
      </c>
      <c r="L76" s="516"/>
    </row>
    <row r="77" spans="1:12" ht="12.75" customHeight="1" x14ac:dyDescent="0.2">
      <c r="A77" s="1345"/>
      <c r="B77" s="1346"/>
      <c r="C77" s="506">
        <v>100</v>
      </c>
      <c r="D77" s="501"/>
      <c r="E77" s="507">
        <v>100</v>
      </c>
      <c r="F77" s="502"/>
      <c r="G77" s="507">
        <v>100</v>
      </c>
      <c r="H77" s="501"/>
      <c r="I77" s="501">
        <v>1150</v>
      </c>
      <c r="J77" s="508">
        <v>100</v>
      </c>
      <c r="K77" s="503"/>
      <c r="L77" s="1276" t="s">
        <v>680</v>
      </c>
    </row>
    <row r="78" spans="1:12" ht="12.75" customHeight="1" x14ac:dyDescent="0.2">
      <c r="A78" s="1345"/>
      <c r="B78" s="1346"/>
      <c r="C78" s="506">
        <v>250</v>
      </c>
      <c r="D78" s="501"/>
      <c r="E78" s="507">
        <v>250</v>
      </c>
      <c r="F78" s="502"/>
      <c r="G78" s="507">
        <v>250</v>
      </c>
      <c r="H78" s="501"/>
      <c r="I78" s="501">
        <v>2314</v>
      </c>
      <c r="J78" s="508">
        <v>250</v>
      </c>
      <c r="K78" s="503"/>
      <c r="L78" s="1276"/>
    </row>
    <row r="79" spans="1:12" x14ac:dyDescent="0.2">
      <c r="A79" s="1345" t="s">
        <v>477</v>
      </c>
      <c r="B79" s="1346" t="s">
        <v>707</v>
      </c>
      <c r="C79" s="502">
        <f t="shared" ref="C79:H79" si="17">SUM(C80:C83)</f>
        <v>3000</v>
      </c>
      <c r="D79" s="502">
        <f t="shared" si="17"/>
        <v>0</v>
      </c>
      <c r="E79" s="502">
        <f t="shared" si="17"/>
        <v>3000</v>
      </c>
      <c r="F79" s="502">
        <f t="shared" si="17"/>
        <v>0</v>
      </c>
      <c r="G79" s="502">
        <f t="shared" si="17"/>
        <v>3000</v>
      </c>
      <c r="H79" s="502">
        <f t="shared" si="17"/>
        <v>0</v>
      </c>
      <c r="I79" s="502"/>
      <c r="J79" s="517">
        <f>SUM(J80:J83)</f>
        <v>3000</v>
      </c>
      <c r="K79" s="517">
        <f>SUM(K80:K83)</f>
        <v>0</v>
      </c>
      <c r="L79" s="516"/>
    </row>
    <row r="80" spans="1:12" ht="12.75" customHeight="1" x14ac:dyDescent="0.2">
      <c r="A80" s="1345"/>
      <c r="B80" s="1346"/>
      <c r="C80" s="506">
        <v>1000</v>
      </c>
      <c r="D80" s="506"/>
      <c r="E80" s="507">
        <v>1000</v>
      </c>
      <c r="F80" s="506"/>
      <c r="G80" s="507">
        <v>1000</v>
      </c>
      <c r="H80" s="501"/>
      <c r="I80" s="501">
        <v>1150</v>
      </c>
      <c r="J80" s="508">
        <v>1000</v>
      </c>
      <c r="K80" s="503"/>
      <c r="L80" s="1276" t="s">
        <v>196</v>
      </c>
    </row>
    <row r="81" spans="1:12" ht="12.75" customHeight="1" x14ac:dyDescent="0.2">
      <c r="A81" s="1345"/>
      <c r="B81" s="1346"/>
      <c r="C81" s="506">
        <v>800</v>
      </c>
      <c r="D81" s="506"/>
      <c r="E81" s="507">
        <v>800</v>
      </c>
      <c r="F81" s="506"/>
      <c r="G81" s="507">
        <v>800</v>
      </c>
      <c r="H81" s="501"/>
      <c r="I81" s="501">
        <v>2264</v>
      </c>
      <c r="J81" s="508">
        <v>800</v>
      </c>
      <c r="K81" s="503"/>
      <c r="L81" s="1276"/>
    </row>
    <row r="82" spans="1:12" ht="12.75" customHeight="1" x14ac:dyDescent="0.2">
      <c r="A82" s="1345"/>
      <c r="B82" s="1346"/>
      <c r="C82" s="506">
        <v>1040</v>
      </c>
      <c r="D82" s="506"/>
      <c r="E82" s="507">
        <v>1040</v>
      </c>
      <c r="F82" s="506"/>
      <c r="G82" s="507">
        <v>1027</v>
      </c>
      <c r="H82" s="501"/>
      <c r="I82" s="501">
        <v>2279</v>
      </c>
      <c r="J82" s="508">
        <v>1027</v>
      </c>
      <c r="K82" s="503"/>
      <c r="L82" s="1276"/>
    </row>
    <row r="83" spans="1:12" x14ac:dyDescent="0.2">
      <c r="A83" s="1345"/>
      <c r="B83" s="1346"/>
      <c r="C83" s="506">
        <v>160</v>
      </c>
      <c r="D83" s="506"/>
      <c r="E83" s="507">
        <v>160</v>
      </c>
      <c r="F83" s="506"/>
      <c r="G83" s="507">
        <v>173</v>
      </c>
      <c r="H83" s="501"/>
      <c r="I83" s="501">
        <v>2314</v>
      </c>
      <c r="J83" s="508">
        <v>173</v>
      </c>
      <c r="K83" s="503"/>
      <c r="L83" s="1276"/>
    </row>
    <row r="84" spans="1:12" ht="12.75" customHeight="1" x14ac:dyDescent="0.2">
      <c r="A84" s="1345" t="s">
        <v>480</v>
      </c>
      <c r="B84" s="1346" t="s">
        <v>696</v>
      </c>
      <c r="C84" s="502">
        <f t="shared" ref="C84:H84" si="18">SUM(C85:C87)</f>
        <v>2555</v>
      </c>
      <c r="D84" s="502">
        <f t="shared" si="18"/>
        <v>1455</v>
      </c>
      <c r="E84" s="502">
        <f t="shared" si="18"/>
        <v>2555</v>
      </c>
      <c r="F84" s="502">
        <f t="shared" si="18"/>
        <v>1455</v>
      </c>
      <c r="G84" s="502">
        <f t="shared" si="18"/>
        <v>3350</v>
      </c>
      <c r="H84" s="502">
        <f t="shared" si="18"/>
        <v>650</v>
      </c>
      <c r="I84" s="502"/>
      <c r="J84" s="517">
        <f>SUM(J85:J87)</f>
        <v>2550</v>
      </c>
      <c r="K84" s="517">
        <f>SUM(K85:K87)</f>
        <v>1450</v>
      </c>
      <c r="L84" s="516"/>
    </row>
    <row r="85" spans="1:12" ht="12.75" customHeight="1" x14ac:dyDescent="0.2">
      <c r="A85" s="1345"/>
      <c r="B85" s="1346"/>
      <c r="C85" s="506">
        <v>1890</v>
      </c>
      <c r="D85" s="506">
        <v>685</v>
      </c>
      <c r="E85" s="507">
        <v>1890</v>
      </c>
      <c r="F85" s="506">
        <v>685</v>
      </c>
      <c r="G85" s="507">
        <v>1300</v>
      </c>
      <c r="H85" s="506">
        <v>300</v>
      </c>
      <c r="I85" s="501">
        <v>1150</v>
      </c>
      <c r="J85" s="508">
        <v>900</v>
      </c>
      <c r="K85" s="508">
        <v>700</v>
      </c>
      <c r="L85" s="1276" t="s">
        <v>196</v>
      </c>
    </row>
    <row r="86" spans="1:12" ht="12.75" customHeight="1" x14ac:dyDescent="0.2">
      <c r="A86" s="1345"/>
      <c r="B86" s="1346"/>
      <c r="C86" s="506">
        <v>385</v>
      </c>
      <c r="D86" s="506">
        <v>550</v>
      </c>
      <c r="E86" s="507">
        <v>385</v>
      </c>
      <c r="F86" s="506">
        <v>550</v>
      </c>
      <c r="G86" s="507">
        <v>1300</v>
      </c>
      <c r="H86" s="506">
        <v>300</v>
      </c>
      <c r="I86" s="501">
        <v>2279</v>
      </c>
      <c r="J86" s="508">
        <v>900</v>
      </c>
      <c r="K86" s="508">
        <v>700</v>
      </c>
      <c r="L86" s="1276"/>
    </row>
    <row r="87" spans="1:12" x14ac:dyDescent="0.2">
      <c r="A87" s="1345"/>
      <c r="B87" s="1346"/>
      <c r="C87" s="506">
        <v>280</v>
      </c>
      <c r="D87" s="506">
        <v>220</v>
      </c>
      <c r="E87" s="507">
        <v>280</v>
      </c>
      <c r="F87" s="506">
        <v>220</v>
      </c>
      <c r="G87" s="507">
        <v>750</v>
      </c>
      <c r="H87" s="506">
        <v>50</v>
      </c>
      <c r="I87" s="501">
        <v>2314</v>
      </c>
      <c r="J87" s="508">
        <v>750</v>
      </c>
      <c r="K87" s="508">
        <v>50</v>
      </c>
      <c r="L87" s="1276"/>
    </row>
    <row r="88" spans="1:12" x14ac:dyDescent="0.2">
      <c r="A88" s="1345" t="s">
        <v>483</v>
      </c>
      <c r="B88" s="1346" t="s">
        <v>702</v>
      </c>
      <c r="C88" s="502">
        <f t="shared" ref="C88:H88" si="19">SUM(C89:C91)</f>
        <v>550</v>
      </c>
      <c r="D88" s="502">
        <f t="shared" si="19"/>
        <v>3200</v>
      </c>
      <c r="E88" s="502">
        <f t="shared" si="19"/>
        <v>550</v>
      </c>
      <c r="F88" s="502">
        <f t="shared" si="19"/>
        <v>3200</v>
      </c>
      <c r="G88" s="502">
        <f t="shared" si="19"/>
        <v>600</v>
      </c>
      <c r="H88" s="502">
        <f t="shared" si="19"/>
        <v>2000</v>
      </c>
      <c r="I88" s="502"/>
      <c r="J88" s="517">
        <f>SUM(J89:J91)</f>
        <v>150</v>
      </c>
      <c r="K88" s="517">
        <f>SUM(K89:K91)</f>
        <v>2000</v>
      </c>
      <c r="L88" s="516"/>
    </row>
    <row r="89" spans="1:12" ht="12.75" customHeight="1" x14ac:dyDescent="0.2">
      <c r="A89" s="1345"/>
      <c r="B89" s="1346"/>
      <c r="C89" s="506">
        <v>125</v>
      </c>
      <c r="D89" s="506">
        <v>1075</v>
      </c>
      <c r="E89" s="507">
        <v>125</v>
      </c>
      <c r="F89" s="507">
        <v>1075</v>
      </c>
      <c r="G89" s="507">
        <v>0</v>
      </c>
      <c r="H89" s="506">
        <v>700</v>
      </c>
      <c r="I89" s="501">
        <v>1150</v>
      </c>
      <c r="J89" s="508"/>
      <c r="K89" s="508">
        <v>700</v>
      </c>
      <c r="L89" s="1276" t="s">
        <v>703</v>
      </c>
    </row>
    <row r="90" spans="1:12" ht="12.75" customHeight="1" x14ac:dyDescent="0.2">
      <c r="A90" s="1345"/>
      <c r="B90" s="1346"/>
      <c r="C90" s="506">
        <v>0</v>
      </c>
      <c r="D90" s="506">
        <v>750</v>
      </c>
      <c r="E90" s="507">
        <v>0</v>
      </c>
      <c r="F90" s="507">
        <v>750</v>
      </c>
      <c r="G90" s="507">
        <v>0</v>
      </c>
      <c r="H90" s="506">
        <v>150</v>
      </c>
      <c r="I90" s="501">
        <v>2269</v>
      </c>
      <c r="J90" s="508"/>
      <c r="K90" s="508">
        <v>150</v>
      </c>
      <c r="L90" s="1276"/>
    </row>
    <row r="91" spans="1:12" ht="12.75" customHeight="1" x14ac:dyDescent="0.2">
      <c r="A91" s="1345"/>
      <c r="B91" s="1346"/>
      <c r="C91" s="506">
        <v>425</v>
      </c>
      <c r="D91" s="506">
        <v>1375</v>
      </c>
      <c r="E91" s="507">
        <v>425</v>
      </c>
      <c r="F91" s="507">
        <v>1375</v>
      </c>
      <c r="G91" s="507">
        <v>600</v>
      </c>
      <c r="H91" s="506">
        <v>1150</v>
      </c>
      <c r="I91" s="501">
        <v>2279</v>
      </c>
      <c r="J91" s="508">
        <v>150</v>
      </c>
      <c r="K91" s="508">
        <v>1150</v>
      </c>
      <c r="L91" s="1276"/>
    </row>
    <row r="92" spans="1:12" ht="12.75" customHeight="1" x14ac:dyDescent="0.2">
      <c r="A92" s="1345" t="s">
        <v>486</v>
      </c>
      <c r="B92" s="1346" t="s">
        <v>694</v>
      </c>
      <c r="C92" s="502">
        <f t="shared" ref="C92:H92" si="20">SUM(C93:C95)</f>
        <v>2400</v>
      </c>
      <c r="D92" s="502">
        <f t="shared" si="20"/>
        <v>0</v>
      </c>
      <c r="E92" s="502">
        <f t="shared" si="20"/>
        <v>2399.75</v>
      </c>
      <c r="F92" s="502">
        <f t="shared" si="20"/>
        <v>0</v>
      </c>
      <c r="G92" s="502">
        <f t="shared" si="20"/>
        <v>2280</v>
      </c>
      <c r="H92" s="502">
        <f t="shared" si="20"/>
        <v>0</v>
      </c>
      <c r="I92" s="502"/>
      <c r="J92" s="517">
        <f>SUM(J93:J95)</f>
        <v>2280</v>
      </c>
      <c r="K92" s="517">
        <f>SUM(K93:K95)</f>
        <v>0</v>
      </c>
      <c r="L92" s="503"/>
    </row>
    <row r="93" spans="1:12" ht="12.75" customHeight="1" x14ac:dyDescent="0.2">
      <c r="A93" s="1345"/>
      <c r="B93" s="1346"/>
      <c r="C93" s="506">
        <v>720</v>
      </c>
      <c r="D93" s="501"/>
      <c r="E93" s="507">
        <v>720</v>
      </c>
      <c r="F93" s="501"/>
      <c r="G93" s="507">
        <v>700</v>
      </c>
      <c r="H93" s="506"/>
      <c r="I93" s="501">
        <v>1150</v>
      </c>
      <c r="J93" s="508">
        <v>700</v>
      </c>
      <c r="K93" s="503"/>
      <c r="L93" s="1276" t="s">
        <v>196</v>
      </c>
    </row>
    <row r="94" spans="1:12" ht="12.75" customHeight="1" x14ac:dyDescent="0.2">
      <c r="A94" s="1345"/>
      <c r="B94" s="1346"/>
      <c r="C94" s="506">
        <v>1280</v>
      </c>
      <c r="D94" s="501"/>
      <c r="E94" s="507">
        <v>1279.75</v>
      </c>
      <c r="F94" s="501"/>
      <c r="G94" s="507">
        <v>1280</v>
      </c>
      <c r="H94" s="506"/>
      <c r="I94" s="501">
        <v>2264</v>
      </c>
      <c r="J94" s="508">
        <v>1280</v>
      </c>
      <c r="K94" s="503"/>
      <c r="L94" s="1276"/>
    </row>
    <row r="95" spans="1:12" ht="12.75" customHeight="1" x14ac:dyDescent="0.2">
      <c r="A95" s="1345"/>
      <c r="B95" s="1346"/>
      <c r="C95" s="506">
        <v>400</v>
      </c>
      <c r="D95" s="501"/>
      <c r="E95" s="507">
        <v>400</v>
      </c>
      <c r="F95" s="501"/>
      <c r="G95" s="507">
        <v>300</v>
      </c>
      <c r="H95" s="506"/>
      <c r="I95" s="501">
        <v>2314</v>
      </c>
      <c r="J95" s="508">
        <v>300</v>
      </c>
      <c r="K95" s="503"/>
      <c r="L95" s="1276"/>
    </row>
    <row r="96" spans="1:12" x14ac:dyDescent="0.2">
      <c r="A96" s="1345" t="s">
        <v>489</v>
      </c>
      <c r="B96" s="1346" t="s">
        <v>708</v>
      </c>
      <c r="C96" s="501">
        <f t="shared" ref="C96:H96" si="21">SUM(C97:C98)</f>
        <v>1450</v>
      </c>
      <c r="D96" s="501">
        <f t="shared" si="21"/>
        <v>0</v>
      </c>
      <c r="E96" s="502">
        <f t="shared" si="21"/>
        <v>1450</v>
      </c>
      <c r="F96" s="501">
        <f t="shared" si="21"/>
        <v>0</v>
      </c>
      <c r="G96" s="502">
        <f t="shared" si="21"/>
        <v>1450</v>
      </c>
      <c r="H96" s="501">
        <f t="shared" si="21"/>
        <v>0</v>
      </c>
      <c r="I96" s="501"/>
      <c r="J96" s="503">
        <f>SUM(J97:J98)</f>
        <v>1450</v>
      </c>
      <c r="K96" s="503">
        <f>SUM(K97:K98)</f>
        <v>0</v>
      </c>
      <c r="L96" s="516"/>
    </row>
    <row r="97" spans="1:12" x14ac:dyDescent="0.2">
      <c r="A97" s="1345"/>
      <c r="B97" s="1346"/>
      <c r="C97" s="506">
        <v>1000</v>
      </c>
      <c r="D97" s="501"/>
      <c r="E97" s="507">
        <v>1000</v>
      </c>
      <c r="F97" s="501"/>
      <c r="G97" s="507">
        <v>1000</v>
      </c>
      <c r="H97" s="501"/>
      <c r="I97" s="501">
        <v>1150</v>
      </c>
      <c r="J97" s="508">
        <v>1000</v>
      </c>
      <c r="K97" s="503"/>
      <c r="L97" s="1276" t="s">
        <v>680</v>
      </c>
    </row>
    <row r="98" spans="1:12" x14ac:dyDescent="0.2">
      <c r="A98" s="1345"/>
      <c r="B98" s="1346"/>
      <c r="C98" s="506">
        <v>450</v>
      </c>
      <c r="D98" s="501"/>
      <c r="E98" s="507">
        <v>450</v>
      </c>
      <c r="F98" s="501"/>
      <c r="G98" s="507">
        <v>450</v>
      </c>
      <c r="H98" s="501"/>
      <c r="I98" s="501">
        <v>2314</v>
      </c>
      <c r="J98" s="508">
        <v>450</v>
      </c>
      <c r="K98" s="503"/>
      <c r="L98" s="1276"/>
    </row>
    <row r="99" spans="1:12" x14ac:dyDescent="0.2">
      <c r="A99" s="1345" t="s">
        <v>491</v>
      </c>
      <c r="B99" s="1346" t="s">
        <v>709</v>
      </c>
      <c r="C99" s="501">
        <f t="shared" ref="C99:H99" si="22">SUM(C100:C101)</f>
        <v>0</v>
      </c>
      <c r="D99" s="501">
        <f t="shared" si="22"/>
        <v>0</v>
      </c>
      <c r="E99" s="502">
        <f t="shared" si="22"/>
        <v>0</v>
      </c>
      <c r="F99" s="501">
        <f t="shared" si="22"/>
        <v>0</v>
      </c>
      <c r="G99" s="502">
        <f t="shared" si="22"/>
        <v>550</v>
      </c>
      <c r="H99" s="501">
        <f t="shared" si="22"/>
        <v>0</v>
      </c>
      <c r="I99" s="501"/>
      <c r="J99" s="503">
        <f>SUM(J100:J101)</f>
        <v>550</v>
      </c>
      <c r="K99" s="503">
        <f>SUM(K100:K101)</f>
        <v>0</v>
      </c>
      <c r="L99" s="516"/>
    </row>
    <row r="100" spans="1:12" ht="12.75" customHeight="1" x14ac:dyDescent="0.2">
      <c r="A100" s="1345"/>
      <c r="B100" s="1346"/>
      <c r="C100" s="506"/>
      <c r="D100" s="501"/>
      <c r="E100" s="507"/>
      <c r="F100" s="501"/>
      <c r="G100" s="507">
        <v>400</v>
      </c>
      <c r="H100" s="501"/>
      <c r="I100" s="501">
        <v>1150</v>
      </c>
      <c r="J100" s="508">
        <v>400</v>
      </c>
      <c r="K100" s="503"/>
      <c r="L100" s="1276" t="s">
        <v>680</v>
      </c>
    </row>
    <row r="101" spans="1:12" ht="12.75" customHeight="1" x14ac:dyDescent="0.2">
      <c r="A101" s="1345"/>
      <c r="B101" s="1346"/>
      <c r="C101" s="506"/>
      <c r="D101" s="501"/>
      <c r="E101" s="507"/>
      <c r="F101" s="501"/>
      <c r="G101" s="507">
        <v>150</v>
      </c>
      <c r="H101" s="501"/>
      <c r="I101" s="501">
        <v>2314</v>
      </c>
      <c r="J101" s="508">
        <v>150</v>
      </c>
      <c r="K101" s="503"/>
      <c r="L101" s="1276"/>
    </row>
    <row r="102" spans="1:12" ht="12.75" customHeight="1" x14ac:dyDescent="0.2">
      <c r="A102" s="1345" t="s">
        <v>493</v>
      </c>
      <c r="B102" s="1347" t="s">
        <v>698</v>
      </c>
      <c r="C102" s="501">
        <f t="shared" ref="C102:H102" si="23">SUM(C103:C105)</f>
        <v>2500</v>
      </c>
      <c r="D102" s="501">
        <f t="shared" si="23"/>
        <v>350</v>
      </c>
      <c r="E102" s="502">
        <f t="shared" si="23"/>
        <v>2500</v>
      </c>
      <c r="F102" s="501">
        <f t="shared" si="23"/>
        <v>350</v>
      </c>
      <c r="G102" s="502">
        <f t="shared" si="23"/>
        <v>2500</v>
      </c>
      <c r="H102" s="501">
        <f t="shared" si="23"/>
        <v>650</v>
      </c>
      <c r="I102" s="501"/>
      <c r="J102" s="503">
        <f>SUM(J103:J105)</f>
        <v>850</v>
      </c>
      <c r="K102" s="503">
        <f>SUM(K103:K105)</f>
        <v>2300</v>
      </c>
      <c r="L102" s="516"/>
    </row>
    <row r="103" spans="1:12" ht="12.75" customHeight="1" x14ac:dyDescent="0.2">
      <c r="A103" s="1345"/>
      <c r="B103" s="1347"/>
      <c r="C103" s="506">
        <v>400</v>
      </c>
      <c r="D103" s="506">
        <v>70</v>
      </c>
      <c r="E103" s="507">
        <v>400</v>
      </c>
      <c r="F103" s="506">
        <v>70</v>
      </c>
      <c r="G103" s="507">
        <v>1000</v>
      </c>
      <c r="H103" s="506">
        <v>300</v>
      </c>
      <c r="I103" s="501">
        <v>1150</v>
      </c>
      <c r="J103" s="508">
        <v>400</v>
      </c>
      <c r="K103" s="508">
        <v>900</v>
      </c>
      <c r="L103" s="1276" t="s">
        <v>196</v>
      </c>
    </row>
    <row r="104" spans="1:12" ht="12.75" customHeight="1" x14ac:dyDescent="0.2">
      <c r="A104" s="1345"/>
      <c r="B104" s="1347"/>
      <c r="C104" s="506">
        <v>2025</v>
      </c>
      <c r="D104" s="506">
        <v>50</v>
      </c>
      <c r="E104" s="507">
        <v>2025</v>
      </c>
      <c r="F104" s="506">
        <v>50</v>
      </c>
      <c r="G104" s="507">
        <v>1400</v>
      </c>
      <c r="H104" s="506">
        <v>300</v>
      </c>
      <c r="I104" s="501">
        <v>2279</v>
      </c>
      <c r="J104" s="508">
        <v>400</v>
      </c>
      <c r="K104" s="508">
        <v>1300</v>
      </c>
      <c r="L104" s="1276"/>
    </row>
    <row r="105" spans="1:12" ht="12.75" customHeight="1" x14ac:dyDescent="0.2">
      <c r="A105" s="1345"/>
      <c r="B105" s="1347"/>
      <c r="C105" s="506">
        <v>75</v>
      </c>
      <c r="D105" s="506">
        <v>230</v>
      </c>
      <c r="E105" s="507">
        <v>75</v>
      </c>
      <c r="F105" s="506">
        <v>230</v>
      </c>
      <c r="G105" s="507">
        <v>100</v>
      </c>
      <c r="H105" s="506">
        <v>50</v>
      </c>
      <c r="I105" s="501">
        <v>2314</v>
      </c>
      <c r="J105" s="508">
        <v>50</v>
      </c>
      <c r="K105" s="508">
        <v>100</v>
      </c>
      <c r="L105" s="1276"/>
    </row>
    <row r="106" spans="1:12" x14ac:dyDescent="0.2">
      <c r="A106" s="510">
        <v>6</v>
      </c>
      <c r="B106" s="511" t="s">
        <v>710</v>
      </c>
      <c r="C106" s="501">
        <f t="shared" ref="C106:H106" si="24">SUM(C107,C110,C113,C117)</f>
        <v>7071</v>
      </c>
      <c r="D106" s="501">
        <f t="shared" si="24"/>
        <v>0</v>
      </c>
      <c r="E106" s="502">
        <f t="shared" si="24"/>
        <v>7071</v>
      </c>
      <c r="F106" s="501">
        <f t="shared" si="24"/>
        <v>0</v>
      </c>
      <c r="G106" s="502">
        <f t="shared" si="24"/>
        <v>8521</v>
      </c>
      <c r="H106" s="501">
        <f t="shared" si="24"/>
        <v>0</v>
      </c>
      <c r="I106" s="501"/>
      <c r="J106" s="503">
        <f>SUM(J107,J110,J113,J117)</f>
        <v>7471</v>
      </c>
      <c r="K106" s="503">
        <f>SUM(K107,K110,K113,K117)</f>
        <v>0</v>
      </c>
      <c r="L106" s="516"/>
    </row>
    <row r="107" spans="1:12" x14ac:dyDescent="0.2">
      <c r="A107" s="1345" t="s">
        <v>502</v>
      </c>
      <c r="B107" s="1346" t="s">
        <v>711</v>
      </c>
      <c r="C107" s="501">
        <f t="shared" ref="C107:H107" si="25">SUM(C108:C109)</f>
        <v>521</v>
      </c>
      <c r="D107" s="501">
        <f t="shared" si="25"/>
        <v>0</v>
      </c>
      <c r="E107" s="502">
        <f t="shared" si="25"/>
        <v>521</v>
      </c>
      <c r="F107" s="501">
        <f t="shared" si="25"/>
        <v>0</v>
      </c>
      <c r="G107" s="502">
        <f t="shared" si="25"/>
        <v>521</v>
      </c>
      <c r="H107" s="501">
        <f t="shared" si="25"/>
        <v>0</v>
      </c>
      <c r="I107" s="501"/>
      <c r="J107" s="503">
        <f>SUM(J108:J109)</f>
        <v>521</v>
      </c>
      <c r="K107" s="503">
        <f>SUM(K108:K109)</f>
        <v>0</v>
      </c>
      <c r="L107" s="516"/>
    </row>
    <row r="108" spans="1:12" ht="12.75" customHeight="1" x14ac:dyDescent="0.2">
      <c r="A108" s="1345"/>
      <c r="B108" s="1346"/>
      <c r="C108" s="506">
        <v>381</v>
      </c>
      <c r="D108" s="501"/>
      <c r="E108" s="507">
        <v>381</v>
      </c>
      <c r="F108" s="501"/>
      <c r="G108" s="507">
        <v>381</v>
      </c>
      <c r="H108" s="501"/>
      <c r="I108" s="501">
        <v>1150</v>
      </c>
      <c r="J108" s="508">
        <v>381</v>
      </c>
      <c r="K108" s="503"/>
      <c r="L108" s="1276" t="s">
        <v>196</v>
      </c>
    </row>
    <row r="109" spans="1:12" ht="12.75" customHeight="1" x14ac:dyDescent="0.2">
      <c r="A109" s="1345"/>
      <c r="B109" s="1346"/>
      <c r="C109" s="506">
        <v>140</v>
      </c>
      <c r="D109" s="501"/>
      <c r="E109" s="507">
        <v>140</v>
      </c>
      <c r="F109" s="501"/>
      <c r="G109" s="507">
        <v>140</v>
      </c>
      <c r="H109" s="501"/>
      <c r="I109" s="501">
        <v>2314</v>
      </c>
      <c r="J109" s="508">
        <v>140</v>
      </c>
      <c r="K109" s="503"/>
      <c r="L109" s="1276"/>
    </row>
    <row r="110" spans="1:12" x14ac:dyDescent="0.2">
      <c r="A110" s="1345" t="s">
        <v>504</v>
      </c>
      <c r="B110" s="1346" t="s">
        <v>712</v>
      </c>
      <c r="C110" s="501">
        <f t="shared" ref="C110:H110" si="26">SUM(C111:C112)</f>
        <v>800</v>
      </c>
      <c r="D110" s="501">
        <f t="shared" si="26"/>
        <v>0</v>
      </c>
      <c r="E110" s="502">
        <f t="shared" si="26"/>
        <v>800</v>
      </c>
      <c r="F110" s="501">
        <f t="shared" si="26"/>
        <v>0</v>
      </c>
      <c r="G110" s="502">
        <f t="shared" si="26"/>
        <v>800</v>
      </c>
      <c r="H110" s="501">
        <f t="shared" si="26"/>
        <v>0</v>
      </c>
      <c r="I110" s="501"/>
      <c r="J110" s="503">
        <f>SUM(J111:J112)</f>
        <v>800</v>
      </c>
      <c r="K110" s="503">
        <f>SUM(K111:K112)</f>
        <v>0</v>
      </c>
      <c r="L110" s="516"/>
    </row>
    <row r="111" spans="1:12" ht="12.75" customHeight="1" x14ac:dyDescent="0.2">
      <c r="A111" s="1345"/>
      <c r="B111" s="1346"/>
      <c r="C111" s="506">
        <v>242</v>
      </c>
      <c r="D111" s="501"/>
      <c r="E111" s="507">
        <v>242</v>
      </c>
      <c r="F111" s="501"/>
      <c r="G111" s="507">
        <v>200</v>
      </c>
      <c r="H111" s="501"/>
      <c r="I111" s="501">
        <v>1150</v>
      </c>
      <c r="J111" s="508">
        <v>200</v>
      </c>
      <c r="K111" s="503"/>
      <c r="L111" s="1276" t="s">
        <v>196</v>
      </c>
    </row>
    <row r="112" spans="1:12" ht="12.75" customHeight="1" x14ac:dyDescent="0.2">
      <c r="A112" s="1345"/>
      <c r="B112" s="1346"/>
      <c r="C112" s="506">
        <v>558</v>
      </c>
      <c r="D112" s="501"/>
      <c r="E112" s="507">
        <v>558</v>
      </c>
      <c r="F112" s="501"/>
      <c r="G112" s="507">
        <v>600</v>
      </c>
      <c r="H112" s="501"/>
      <c r="I112" s="501">
        <v>2314</v>
      </c>
      <c r="J112" s="508">
        <v>600</v>
      </c>
      <c r="K112" s="503"/>
      <c r="L112" s="1276"/>
    </row>
    <row r="113" spans="1:12" x14ac:dyDescent="0.2">
      <c r="A113" s="1345" t="s">
        <v>713</v>
      </c>
      <c r="B113" s="1346" t="s">
        <v>714</v>
      </c>
      <c r="C113" s="501">
        <f t="shared" ref="C113:H113" si="27">SUM(C114:C116)</f>
        <v>4250</v>
      </c>
      <c r="D113" s="501">
        <f t="shared" si="27"/>
        <v>0</v>
      </c>
      <c r="E113" s="502">
        <f t="shared" si="27"/>
        <v>4250</v>
      </c>
      <c r="F113" s="501">
        <f t="shared" si="27"/>
        <v>0</v>
      </c>
      <c r="G113" s="502">
        <f t="shared" si="27"/>
        <v>4250</v>
      </c>
      <c r="H113" s="501">
        <f t="shared" si="27"/>
        <v>0</v>
      </c>
      <c r="I113" s="501"/>
      <c r="J113" s="503">
        <f>SUM(J114:J116)</f>
        <v>4250</v>
      </c>
      <c r="K113" s="503">
        <f>SUM(K114:K116)</f>
        <v>0</v>
      </c>
      <c r="L113" s="516"/>
    </row>
    <row r="114" spans="1:12" ht="12.75" customHeight="1" x14ac:dyDescent="0.2">
      <c r="A114" s="1345"/>
      <c r="B114" s="1346"/>
      <c r="C114" s="506">
        <v>1200</v>
      </c>
      <c r="D114" s="501"/>
      <c r="E114" s="507">
        <v>1200</v>
      </c>
      <c r="F114" s="501"/>
      <c r="G114" s="507">
        <v>1100</v>
      </c>
      <c r="H114" s="501"/>
      <c r="I114" s="501">
        <v>1150</v>
      </c>
      <c r="J114" s="508">
        <v>1100</v>
      </c>
      <c r="K114" s="503"/>
      <c r="L114" s="1276" t="s">
        <v>196</v>
      </c>
    </row>
    <row r="115" spans="1:12" ht="12.75" customHeight="1" x14ac:dyDescent="0.2">
      <c r="A115" s="1345"/>
      <c r="B115" s="1346"/>
      <c r="C115" s="506">
        <v>1050</v>
      </c>
      <c r="D115" s="501"/>
      <c r="E115" s="507">
        <v>1050</v>
      </c>
      <c r="F115" s="501"/>
      <c r="G115" s="507">
        <v>1350</v>
      </c>
      <c r="H115" s="501"/>
      <c r="I115" s="501">
        <v>2314</v>
      </c>
      <c r="J115" s="508">
        <v>1350</v>
      </c>
      <c r="K115" s="503"/>
      <c r="L115" s="1276"/>
    </row>
    <row r="116" spans="1:12" ht="12.75" customHeight="1" x14ac:dyDescent="0.2">
      <c r="A116" s="1345"/>
      <c r="B116" s="1346"/>
      <c r="C116" s="506">
        <v>2000</v>
      </c>
      <c r="D116" s="501"/>
      <c r="E116" s="507">
        <v>2000</v>
      </c>
      <c r="F116" s="501"/>
      <c r="G116" s="507">
        <v>1800</v>
      </c>
      <c r="H116" s="501"/>
      <c r="I116" s="501">
        <v>6422</v>
      </c>
      <c r="J116" s="508">
        <v>1800</v>
      </c>
      <c r="K116" s="503"/>
      <c r="L116" s="1276"/>
    </row>
    <row r="117" spans="1:12" x14ac:dyDescent="0.2">
      <c r="A117" s="1345" t="s">
        <v>715</v>
      </c>
      <c r="B117" s="1346" t="s">
        <v>700</v>
      </c>
      <c r="C117" s="501">
        <f t="shared" ref="C117:H117" si="28">C118</f>
        <v>1500</v>
      </c>
      <c r="D117" s="501">
        <f t="shared" si="28"/>
        <v>0</v>
      </c>
      <c r="E117" s="502">
        <f t="shared" si="28"/>
        <v>1500</v>
      </c>
      <c r="F117" s="501">
        <f t="shared" si="28"/>
        <v>0</v>
      </c>
      <c r="G117" s="502">
        <f t="shared" si="28"/>
        <v>2950</v>
      </c>
      <c r="H117" s="501">
        <f t="shared" si="28"/>
        <v>0</v>
      </c>
      <c r="I117" s="501"/>
      <c r="J117" s="503">
        <f>J118</f>
        <v>1900</v>
      </c>
      <c r="K117" s="503">
        <f>K118</f>
        <v>0</v>
      </c>
      <c r="L117" s="1276" t="s">
        <v>196</v>
      </c>
    </row>
    <row r="118" spans="1:12" ht="13.5" customHeight="1" x14ac:dyDescent="0.2">
      <c r="A118" s="1345"/>
      <c r="B118" s="1346"/>
      <c r="C118" s="506">
        <v>1500</v>
      </c>
      <c r="D118" s="506"/>
      <c r="E118" s="507">
        <v>1500</v>
      </c>
      <c r="F118" s="506"/>
      <c r="G118" s="502">
        <v>2950</v>
      </c>
      <c r="H118" s="501"/>
      <c r="I118" s="501">
        <v>2314</v>
      </c>
      <c r="J118" s="508">
        <v>1900</v>
      </c>
      <c r="K118" s="503"/>
      <c r="L118" s="1276"/>
    </row>
    <row r="119" spans="1:12" x14ac:dyDescent="0.2">
      <c r="A119" s="527">
        <v>7</v>
      </c>
      <c r="B119" s="528" t="s">
        <v>716</v>
      </c>
      <c r="C119" s="518" t="e">
        <f>SUM(C120,C125,C127,#REF!,C129,C131)</f>
        <v>#REF!</v>
      </c>
      <c r="D119" s="518" t="e">
        <f>SUM(D120,D125,D127,#REF!,D129,D131)</f>
        <v>#REF!</v>
      </c>
      <c r="E119" s="518" t="e">
        <f>SUM(E120,E125,E127,#REF!,E129,E131)</f>
        <v>#REF!</v>
      </c>
      <c r="F119" s="518" t="e">
        <f>SUM(F120,F125,F127,#REF!,F129,F131)</f>
        <v>#REF!</v>
      </c>
      <c r="G119" s="519" t="e">
        <f>SUM(G120,G125,G127,#REF!,G129,G131)</f>
        <v>#REF!</v>
      </c>
      <c r="H119" s="518" t="e">
        <f>SUM(H120,H125,H127,#REF!,H129,H131)</f>
        <v>#REF!</v>
      </c>
      <c r="I119" s="518"/>
      <c r="J119" s="520">
        <f>SUM(J120,J125,J127,J129,J131)</f>
        <v>6610</v>
      </c>
      <c r="K119" s="520">
        <f>SUM(K120,K125,K127,K129,K131)</f>
        <v>6492</v>
      </c>
      <c r="L119" s="520"/>
    </row>
    <row r="120" spans="1:12" x14ac:dyDescent="0.2">
      <c r="A120" s="1274" t="s">
        <v>717</v>
      </c>
      <c r="B120" s="1275" t="s">
        <v>718</v>
      </c>
      <c r="C120" s="529">
        <f t="shared" ref="C120:H120" si="29">SUM(C121:C124)</f>
        <v>3350</v>
      </c>
      <c r="D120" s="529">
        <f t="shared" si="29"/>
        <v>4650</v>
      </c>
      <c r="E120" s="530">
        <f t="shared" si="29"/>
        <v>3350</v>
      </c>
      <c r="F120" s="529">
        <f t="shared" si="29"/>
        <v>4650</v>
      </c>
      <c r="G120" s="530">
        <f t="shared" si="29"/>
        <v>7410</v>
      </c>
      <c r="H120" s="529">
        <f t="shared" si="29"/>
        <v>4392</v>
      </c>
      <c r="I120" s="529"/>
      <c r="J120" s="531">
        <f>SUM(J121:J124)</f>
        <v>5910</v>
      </c>
      <c r="K120" s="531">
        <f>SUM(K121:K124)</f>
        <v>5692</v>
      </c>
      <c r="L120" s="524"/>
    </row>
    <row r="121" spans="1:12" x14ac:dyDescent="0.2">
      <c r="A121" s="1274"/>
      <c r="B121" s="1275"/>
      <c r="C121" s="532">
        <v>1700</v>
      </c>
      <c r="D121" s="532">
        <v>1900</v>
      </c>
      <c r="E121" s="533">
        <v>1700</v>
      </c>
      <c r="F121" s="532">
        <v>1900</v>
      </c>
      <c r="G121" s="533">
        <v>4110</v>
      </c>
      <c r="H121" s="532">
        <v>2972</v>
      </c>
      <c r="I121" s="529">
        <v>1150</v>
      </c>
      <c r="J121" s="534">
        <v>3110</v>
      </c>
      <c r="K121" s="535">
        <v>3972</v>
      </c>
      <c r="L121" s="1342" t="s">
        <v>719</v>
      </c>
    </row>
    <row r="122" spans="1:12" x14ac:dyDescent="0.2">
      <c r="A122" s="1274"/>
      <c r="B122" s="1275"/>
      <c r="C122" s="532">
        <v>0</v>
      </c>
      <c r="D122" s="532">
        <v>0</v>
      </c>
      <c r="E122" s="533">
        <v>0</v>
      </c>
      <c r="F122" s="532">
        <v>0</v>
      </c>
      <c r="G122" s="533">
        <v>400</v>
      </c>
      <c r="H122" s="532"/>
      <c r="I122" s="529">
        <v>2279</v>
      </c>
      <c r="J122" s="534">
        <v>400</v>
      </c>
      <c r="K122" s="535"/>
      <c r="L122" s="1342"/>
    </row>
    <row r="123" spans="1:12" x14ac:dyDescent="0.2">
      <c r="A123" s="1274"/>
      <c r="B123" s="1275"/>
      <c r="C123" s="532">
        <v>150</v>
      </c>
      <c r="D123" s="532">
        <v>450</v>
      </c>
      <c r="E123" s="533">
        <v>150</v>
      </c>
      <c r="F123" s="532">
        <v>450</v>
      </c>
      <c r="G123" s="533">
        <v>900</v>
      </c>
      <c r="H123" s="532"/>
      <c r="I123" s="529">
        <v>2312</v>
      </c>
      <c r="J123" s="534">
        <v>600</v>
      </c>
      <c r="K123" s="535">
        <v>300</v>
      </c>
      <c r="L123" s="1342"/>
    </row>
    <row r="124" spans="1:12" x14ac:dyDescent="0.2">
      <c r="A124" s="1274"/>
      <c r="B124" s="1275"/>
      <c r="C124" s="532">
        <v>1500</v>
      </c>
      <c r="D124" s="532">
        <v>2300</v>
      </c>
      <c r="E124" s="533">
        <v>1500</v>
      </c>
      <c r="F124" s="532">
        <v>2300</v>
      </c>
      <c r="G124" s="533">
        <v>2000</v>
      </c>
      <c r="H124" s="532">
        <v>1420</v>
      </c>
      <c r="I124" s="529">
        <v>2314</v>
      </c>
      <c r="J124" s="534">
        <v>1800</v>
      </c>
      <c r="K124" s="535">
        <v>1420</v>
      </c>
      <c r="L124" s="1342"/>
    </row>
    <row r="125" spans="1:12" ht="12.75" customHeight="1" x14ac:dyDescent="0.2">
      <c r="A125" s="1274" t="s">
        <v>720</v>
      </c>
      <c r="B125" s="1275" t="s">
        <v>721</v>
      </c>
      <c r="C125" s="530">
        <f t="shared" ref="C125:H125" si="30">C126</f>
        <v>0</v>
      </c>
      <c r="D125" s="530">
        <f t="shared" si="30"/>
        <v>0</v>
      </c>
      <c r="E125" s="530">
        <f t="shared" si="30"/>
        <v>0</v>
      </c>
      <c r="F125" s="530">
        <f t="shared" si="30"/>
        <v>0</v>
      </c>
      <c r="G125" s="530">
        <f t="shared" si="30"/>
        <v>300</v>
      </c>
      <c r="H125" s="530">
        <f t="shared" si="30"/>
        <v>0</v>
      </c>
      <c r="I125" s="530"/>
      <c r="J125" s="536">
        <f>J126</f>
        <v>200</v>
      </c>
      <c r="K125" s="536">
        <f>K126</f>
        <v>0</v>
      </c>
      <c r="L125" s="1276" t="s">
        <v>719</v>
      </c>
    </row>
    <row r="126" spans="1:12" ht="24.75" customHeight="1" x14ac:dyDescent="0.2">
      <c r="A126" s="1274"/>
      <c r="B126" s="1275"/>
      <c r="C126" s="532"/>
      <c r="D126" s="532"/>
      <c r="E126" s="533"/>
      <c r="F126" s="532"/>
      <c r="G126" s="533">
        <v>300</v>
      </c>
      <c r="H126" s="532"/>
      <c r="I126" s="529">
        <v>2314</v>
      </c>
      <c r="J126" s="534">
        <v>200</v>
      </c>
      <c r="K126" s="535"/>
      <c r="L126" s="1276"/>
    </row>
    <row r="127" spans="1:12" ht="12" customHeight="1" x14ac:dyDescent="0.2">
      <c r="A127" s="1274" t="s">
        <v>722</v>
      </c>
      <c r="B127" s="1275" t="s">
        <v>723</v>
      </c>
      <c r="C127" s="530">
        <f t="shared" ref="C127:H127" si="31">C128</f>
        <v>0</v>
      </c>
      <c r="D127" s="530">
        <f t="shared" si="31"/>
        <v>0</v>
      </c>
      <c r="E127" s="530">
        <f t="shared" si="31"/>
        <v>0</v>
      </c>
      <c r="F127" s="530">
        <f t="shared" si="31"/>
        <v>0</v>
      </c>
      <c r="G127" s="530">
        <f t="shared" si="31"/>
        <v>500</v>
      </c>
      <c r="H127" s="530">
        <f t="shared" si="31"/>
        <v>0</v>
      </c>
      <c r="I127" s="530"/>
      <c r="J127" s="536">
        <f>J128</f>
        <v>300</v>
      </c>
      <c r="K127" s="536">
        <f>K128</f>
        <v>0</v>
      </c>
      <c r="L127" s="1276" t="s">
        <v>719</v>
      </c>
    </row>
    <row r="128" spans="1:12" ht="24" customHeight="1" x14ac:dyDescent="0.2">
      <c r="A128" s="1274"/>
      <c r="B128" s="1275"/>
      <c r="C128" s="532"/>
      <c r="D128" s="532"/>
      <c r="E128" s="533"/>
      <c r="F128" s="532"/>
      <c r="G128" s="533">
        <v>500</v>
      </c>
      <c r="H128" s="532"/>
      <c r="I128" s="529">
        <v>2314</v>
      </c>
      <c r="J128" s="534">
        <v>300</v>
      </c>
      <c r="K128" s="535"/>
      <c r="L128" s="1276"/>
    </row>
    <row r="129" spans="1:12" ht="12" customHeight="1" x14ac:dyDescent="0.2">
      <c r="A129" s="1274" t="s">
        <v>724</v>
      </c>
      <c r="B129" s="1275" t="s">
        <v>725</v>
      </c>
      <c r="C129" s="532"/>
      <c r="D129" s="532"/>
      <c r="E129" s="533"/>
      <c r="F129" s="532"/>
      <c r="G129" s="530">
        <f>G130</f>
        <v>200</v>
      </c>
      <c r="H129" s="530">
        <f>H130</f>
        <v>0</v>
      </c>
      <c r="I129" s="530"/>
      <c r="J129" s="536">
        <f>J130</f>
        <v>200</v>
      </c>
      <c r="K129" s="536">
        <f>K130</f>
        <v>0</v>
      </c>
      <c r="L129" s="1276" t="s">
        <v>719</v>
      </c>
    </row>
    <row r="130" spans="1:12" ht="25.5" customHeight="1" x14ac:dyDescent="0.2">
      <c r="A130" s="1274"/>
      <c r="B130" s="1275"/>
      <c r="C130" s="532"/>
      <c r="D130" s="532"/>
      <c r="E130" s="533"/>
      <c r="F130" s="532"/>
      <c r="G130" s="533">
        <v>200</v>
      </c>
      <c r="H130" s="532"/>
      <c r="I130" s="529">
        <v>2314</v>
      </c>
      <c r="J130" s="534">
        <v>200</v>
      </c>
      <c r="K130" s="535"/>
      <c r="L130" s="1276"/>
    </row>
    <row r="131" spans="1:12" x14ac:dyDescent="0.2">
      <c r="A131" s="1274" t="s">
        <v>726</v>
      </c>
      <c r="B131" s="1275" t="s">
        <v>727</v>
      </c>
      <c r="C131" s="532"/>
      <c r="D131" s="532"/>
      <c r="E131" s="533"/>
      <c r="F131" s="532"/>
      <c r="G131" s="530">
        <f>G132</f>
        <v>0</v>
      </c>
      <c r="H131" s="529">
        <f>SUM(H132)</f>
        <v>800</v>
      </c>
      <c r="I131" s="529"/>
      <c r="J131" s="531">
        <f>SUM(J132)</f>
        <v>0</v>
      </c>
      <c r="K131" s="531">
        <f>SUM(K132)</f>
        <v>800</v>
      </c>
      <c r="L131" s="1276" t="s">
        <v>728</v>
      </c>
    </row>
    <row r="132" spans="1:12" ht="25.5" customHeight="1" x14ac:dyDescent="0.2">
      <c r="A132" s="1274"/>
      <c r="B132" s="1275"/>
      <c r="C132" s="532"/>
      <c r="D132" s="532"/>
      <c r="E132" s="533"/>
      <c r="F132" s="532"/>
      <c r="G132" s="533"/>
      <c r="H132" s="532">
        <v>800</v>
      </c>
      <c r="I132" s="529">
        <v>1150</v>
      </c>
      <c r="J132" s="534"/>
      <c r="K132" s="535">
        <v>800</v>
      </c>
      <c r="L132" s="1276"/>
    </row>
    <row r="133" spans="1:12" x14ac:dyDescent="0.2">
      <c r="A133" s="527">
        <v>8</v>
      </c>
      <c r="B133" s="528" t="s">
        <v>729</v>
      </c>
      <c r="C133" s="518" t="e">
        <f>SUM(C134,C136,C142,C147,#REF!,#REF!,#REF!,C150,C152,C154,#REF!,C156)</f>
        <v>#REF!</v>
      </c>
      <c r="D133" s="518" t="e">
        <f>SUM(D134,D136,D142,D147,#REF!,#REF!,#REF!,D150,D152,D154,#REF!,D156)</f>
        <v>#REF!</v>
      </c>
      <c r="E133" s="518" t="e">
        <f>SUM(E134,E136,E142,E147,#REF!,#REF!,#REF!,E150,E152,E154,#REF!,E156)</f>
        <v>#REF!</v>
      </c>
      <c r="F133" s="518" t="e">
        <f>SUM(F134,F136,F142,F147,#REF!,#REF!,#REF!,F150,F152,F154,#REF!,F156)</f>
        <v>#REF!</v>
      </c>
      <c r="G133" s="519" t="e">
        <f>SUM(G134,G136,G142,G147,#REF!,#REF!,#REF!,G150,G152,G154,#REF!,G156)</f>
        <v>#REF!</v>
      </c>
      <c r="H133" s="518" t="e">
        <f>SUM(H134,H136,H142,H147,#REF!,#REF!,#REF!,H150,H152,H154,#REF!,H156)</f>
        <v>#REF!</v>
      </c>
      <c r="I133" s="518"/>
      <c r="J133" s="520">
        <f>SUM(J134,J136,J142,J147,J150,J152,J154,J156)</f>
        <v>33475</v>
      </c>
      <c r="K133" s="520">
        <f>SUM(K134,K136,K142,K147,K150,K152,K154,K156)</f>
        <v>0</v>
      </c>
      <c r="L133" s="537"/>
    </row>
    <row r="134" spans="1:12" x14ac:dyDescent="0.2">
      <c r="A134" s="1274" t="s">
        <v>730</v>
      </c>
      <c r="B134" s="1277" t="s">
        <v>731</v>
      </c>
      <c r="C134" s="528">
        <f t="shared" ref="C134:H134" si="32">SUM(C135)</f>
        <v>876</v>
      </c>
      <c r="D134" s="528">
        <f t="shared" si="32"/>
        <v>0</v>
      </c>
      <c r="E134" s="538">
        <f t="shared" si="32"/>
        <v>876</v>
      </c>
      <c r="F134" s="528">
        <f t="shared" si="32"/>
        <v>0</v>
      </c>
      <c r="G134" s="538">
        <f t="shared" si="32"/>
        <v>876</v>
      </c>
      <c r="H134" s="528">
        <f t="shared" si="32"/>
        <v>0</v>
      </c>
      <c r="I134" s="528"/>
      <c r="J134" s="539">
        <f>SUM(J135)</f>
        <v>876</v>
      </c>
      <c r="K134" s="539">
        <f>SUM(K135)</f>
        <v>0</v>
      </c>
      <c r="L134" s="1276" t="s">
        <v>196</v>
      </c>
    </row>
    <row r="135" spans="1:12" ht="12.75" customHeight="1" x14ac:dyDescent="0.2">
      <c r="A135" s="1274"/>
      <c r="B135" s="1277"/>
      <c r="C135" s="521">
        <v>876</v>
      </c>
      <c r="D135" s="521"/>
      <c r="E135" s="522">
        <v>876</v>
      </c>
      <c r="F135" s="521"/>
      <c r="G135" s="522">
        <v>876</v>
      </c>
      <c r="H135" s="521"/>
      <c r="I135" s="518">
        <v>2279</v>
      </c>
      <c r="J135" s="523">
        <v>876</v>
      </c>
      <c r="K135" s="524"/>
      <c r="L135" s="1276"/>
    </row>
    <row r="136" spans="1:12" x14ac:dyDescent="0.2">
      <c r="A136" s="1274" t="s">
        <v>732</v>
      </c>
      <c r="B136" s="1277" t="s">
        <v>733</v>
      </c>
      <c r="C136" s="518">
        <f t="shared" ref="C136:H136" si="33">SUM(C137:C141)</f>
        <v>11932</v>
      </c>
      <c r="D136" s="518">
        <f t="shared" si="33"/>
        <v>0</v>
      </c>
      <c r="E136" s="540">
        <f t="shared" si="33"/>
        <v>11931.2</v>
      </c>
      <c r="F136" s="518">
        <f t="shared" si="33"/>
        <v>0</v>
      </c>
      <c r="G136" s="519">
        <f t="shared" si="33"/>
        <v>11930</v>
      </c>
      <c r="H136" s="518">
        <f t="shared" si="33"/>
        <v>0</v>
      </c>
      <c r="I136" s="518"/>
      <c r="J136" s="520">
        <f>SUM(J137:J141)</f>
        <v>11930</v>
      </c>
      <c r="K136" s="520">
        <f>SUM(K137:K141)</f>
        <v>0</v>
      </c>
      <c r="L136" s="524"/>
    </row>
    <row r="137" spans="1:12" ht="12.75" customHeight="1" x14ac:dyDescent="0.2">
      <c r="A137" s="1274"/>
      <c r="B137" s="1277"/>
      <c r="C137" s="521">
        <v>1206</v>
      </c>
      <c r="D137" s="521"/>
      <c r="E137" s="522">
        <v>1206</v>
      </c>
      <c r="F137" s="521"/>
      <c r="G137" s="522">
        <v>1200</v>
      </c>
      <c r="H137" s="521"/>
      <c r="I137" s="518">
        <v>1150</v>
      </c>
      <c r="J137" s="523">
        <v>1200</v>
      </c>
      <c r="K137" s="524"/>
      <c r="L137" s="1342" t="s">
        <v>196</v>
      </c>
    </row>
    <row r="138" spans="1:12" ht="12.75" customHeight="1" x14ac:dyDescent="0.2">
      <c r="A138" s="1274"/>
      <c r="B138" s="1277"/>
      <c r="C138" s="521">
        <v>4300</v>
      </c>
      <c r="D138" s="521"/>
      <c r="E138" s="522">
        <v>4300</v>
      </c>
      <c r="F138" s="521"/>
      <c r="G138" s="522">
        <v>4300</v>
      </c>
      <c r="H138" s="521"/>
      <c r="I138" s="518">
        <v>2231</v>
      </c>
      <c r="J138" s="523">
        <v>4300</v>
      </c>
      <c r="K138" s="524"/>
      <c r="L138" s="1342"/>
    </row>
    <row r="139" spans="1:12" ht="12.75" customHeight="1" x14ac:dyDescent="0.2">
      <c r="A139" s="1274"/>
      <c r="B139" s="1277"/>
      <c r="C139" s="521">
        <v>665</v>
      </c>
      <c r="D139" s="521"/>
      <c r="E139" s="522">
        <v>665</v>
      </c>
      <c r="F139" s="521"/>
      <c r="G139" s="522">
        <v>670</v>
      </c>
      <c r="H139" s="521"/>
      <c r="I139" s="518">
        <v>2264</v>
      </c>
      <c r="J139" s="523">
        <v>670</v>
      </c>
      <c r="K139" s="524"/>
      <c r="L139" s="1342"/>
    </row>
    <row r="140" spans="1:12" ht="12.75" customHeight="1" x14ac:dyDescent="0.2">
      <c r="A140" s="1274"/>
      <c r="B140" s="1277"/>
      <c r="C140" s="521">
        <v>5189</v>
      </c>
      <c r="D140" s="521"/>
      <c r="E140" s="522">
        <v>5189</v>
      </c>
      <c r="F140" s="521"/>
      <c r="G140" s="522">
        <v>5200</v>
      </c>
      <c r="H140" s="521"/>
      <c r="I140" s="518">
        <v>2279</v>
      </c>
      <c r="J140" s="523">
        <v>5200</v>
      </c>
      <c r="K140" s="524"/>
      <c r="L140" s="1342"/>
    </row>
    <row r="141" spans="1:12" ht="12.75" customHeight="1" x14ac:dyDescent="0.2">
      <c r="A141" s="1274"/>
      <c r="B141" s="1277"/>
      <c r="C141" s="521">
        <v>572</v>
      </c>
      <c r="D141" s="521"/>
      <c r="E141" s="541">
        <v>571.20000000000005</v>
      </c>
      <c r="F141" s="521"/>
      <c r="G141" s="522">
        <v>560</v>
      </c>
      <c r="H141" s="521"/>
      <c r="I141" s="518">
        <v>2314</v>
      </c>
      <c r="J141" s="523">
        <v>560</v>
      </c>
      <c r="K141" s="524"/>
      <c r="L141" s="1342"/>
    </row>
    <row r="142" spans="1:12" x14ac:dyDescent="0.2">
      <c r="A142" s="1274" t="s">
        <v>734</v>
      </c>
      <c r="B142" s="1275" t="s">
        <v>735</v>
      </c>
      <c r="C142" s="518">
        <f t="shared" ref="C142:H142" si="34">SUM(C143:C146)</f>
        <v>6000</v>
      </c>
      <c r="D142" s="518">
        <f t="shared" si="34"/>
        <v>0</v>
      </c>
      <c r="E142" s="519">
        <f t="shared" si="34"/>
        <v>5998.54</v>
      </c>
      <c r="F142" s="518">
        <f t="shared" si="34"/>
        <v>0</v>
      </c>
      <c r="G142" s="519">
        <f t="shared" si="34"/>
        <v>9000</v>
      </c>
      <c r="H142" s="518">
        <f t="shared" si="34"/>
        <v>0</v>
      </c>
      <c r="I142" s="518"/>
      <c r="J142" s="520">
        <f>SUM(J143:J146)</f>
        <v>6900</v>
      </c>
      <c r="K142" s="520">
        <f>SUM(K143:K146)</f>
        <v>0</v>
      </c>
      <c r="L142" s="524"/>
    </row>
    <row r="143" spans="1:12" ht="12.75" customHeight="1" x14ac:dyDescent="0.2">
      <c r="A143" s="1274"/>
      <c r="B143" s="1275"/>
      <c r="C143" s="521">
        <v>2000</v>
      </c>
      <c r="D143" s="521"/>
      <c r="E143" s="522">
        <v>2000</v>
      </c>
      <c r="F143" s="521"/>
      <c r="G143" s="522">
        <v>3500</v>
      </c>
      <c r="H143" s="521"/>
      <c r="I143" s="518">
        <v>1150</v>
      </c>
      <c r="J143" s="523">
        <v>2500</v>
      </c>
      <c r="K143" s="524"/>
      <c r="L143" s="1342" t="s">
        <v>196</v>
      </c>
    </row>
    <row r="144" spans="1:12" ht="12.75" customHeight="1" x14ac:dyDescent="0.2">
      <c r="A144" s="1274"/>
      <c r="B144" s="1275"/>
      <c r="C144" s="521">
        <v>1600</v>
      </c>
      <c r="D144" s="521"/>
      <c r="E144" s="522">
        <v>1600</v>
      </c>
      <c r="F144" s="521"/>
      <c r="G144" s="522">
        <v>1600</v>
      </c>
      <c r="H144" s="521"/>
      <c r="I144" s="518">
        <v>2264</v>
      </c>
      <c r="J144" s="523">
        <v>1600</v>
      </c>
      <c r="K144" s="524"/>
      <c r="L144" s="1342"/>
    </row>
    <row r="145" spans="1:12" ht="12.75" customHeight="1" x14ac:dyDescent="0.2">
      <c r="A145" s="1274"/>
      <c r="B145" s="1275"/>
      <c r="C145" s="521">
        <v>2087</v>
      </c>
      <c r="D145" s="521"/>
      <c r="E145" s="522">
        <v>2087</v>
      </c>
      <c r="F145" s="521"/>
      <c r="G145" s="522">
        <v>3600</v>
      </c>
      <c r="H145" s="521"/>
      <c r="I145" s="518">
        <v>2279</v>
      </c>
      <c r="J145" s="523">
        <v>2500</v>
      </c>
      <c r="K145" s="524"/>
      <c r="L145" s="1342"/>
    </row>
    <row r="146" spans="1:12" ht="12.75" customHeight="1" x14ac:dyDescent="0.2">
      <c r="A146" s="1274"/>
      <c r="B146" s="1275"/>
      <c r="C146" s="521">
        <v>313</v>
      </c>
      <c r="D146" s="521"/>
      <c r="E146" s="522">
        <v>311.54000000000002</v>
      </c>
      <c r="F146" s="521"/>
      <c r="G146" s="522">
        <v>300</v>
      </c>
      <c r="H146" s="521"/>
      <c r="I146" s="518">
        <v>2314</v>
      </c>
      <c r="J146" s="523">
        <v>300</v>
      </c>
      <c r="K146" s="524"/>
      <c r="L146" s="1342"/>
    </row>
    <row r="147" spans="1:12" x14ac:dyDescent="0.2">
      <c r="A147" s="1274" t="s">
        <v>736</v>
      </c>
      <c r="B147" s="1275" t="s">
        <v>737</v>
      </c>
      <c r="C147" s="528">
        <f t="shared" ref="C147:H147" si="35">SUM(C148:C149)</f>
        <v>2554</v>
      </c>
      <c r="D147" s="528">
        <f t="shared" si="35"/>
        <v>0</v>
      </c>
      <c r="E147" s="538">
        <f t="shared" si="35"/>
        <v>2549.08</v>
      </c>
      <c r="F147" s="528">
        <f t="shared" si="35"/>
        <v>0</v>
      </c>
      <c r="G147" s="538">
        <f t="shared" si="35"/>
        <v>2750</v>
      </c>
      <c r="H147" s="528">
        <f t="shared" si="35"/>
        <v>0</v>
      </c>
      <c r="I147" s="528"/>
      <c r="J147" s="539">
        <f>SUM(J148:J149)</f>
        <v>2555</v>
      </c>
      <c r="K147" s="539">
        <f>SUM(K148:K149)</f>
        <v>0</v>
      </c>
      <c r="L147" s="542"/>
    </row>
    <row r="148" spans="1:12" ht="12.75" customHeight="1" x14ac:dyDescent="0.2">
      <c r="A148" s="1274"/>
      <c r="B148" s="1275"/>
      <c r="C148" s="521">
        <v>1780</v>
      </c>
      <c r="D148" s="521"/>
      <c r="E148" s="522">
        <v>1780</v>
      </c>
      <c r="F148" s="521"/>
      <c r="G148" s="522">
        <v>1780</v>
      </c>
      <c r="H148" s="521"/>
      <c r="I148" s="518">
        <v>1150</v>
      </c>
      <c r="J148" s="523">
        <v>1780</v>
      </c>
      <c r="K148" s="524"/>
      <c r="L148" s="1342" t="s">
        <v>196</v>
      </c>
    </row>
    <row r="149" spans="1:12" ht="12.75" customHeight="1" x14ac:dyDescent="0.2">
      <c r="A149" s="1274"/>
      <c r="B149" s="1275"/>
      <c r="C149" s="521">
        <v>774</v>
      </c>
      <c r="D149" s="521"/>
      <c r="E149" s="522">
        <v>769.08</v>
      </c>
      <c r="F149" s="521"/>
      <c r="G149" s="522">
        <v>970</v>
      </c>
      <c r="H149" s="521"/>
      <c r="I149" s="518">
        <v>2314</v>
      </c>
      <c r="J149" s="523">
        <v>775</v>
      </c>
      <c r="K149" s="524"/>
      <c r="L149" s="1342"/>
    </row>
    <row r="150" spans="1:12" x14ac:dyDescent="0.2">
      <c r="A150" s="1274" t="s">
        <v>738</v>
      </c>
      <c r="B150" s="1277" t="s">
        <v>739</v>
      </c>
      <c r="C150" s="518">
        <f t="shared" ref="C150:H150" si="36">SUM(C151:C151)</f>
        <v>2000</v>
      </c>
      <c r="D150" s="518">
        <f t="shared" si="36"/>
        <v>0</v>
      </c>
      <c r="E150" s="519">
        <f t="shared" si="36"/>
        <v>2000</v>
      </c>
      <c r="F150" s="518">
        <f t="shared" si="36"/>
        <v>0</v>
      </c>
      <c r="G150" s="519">
        <f t="shared" si="36"/>
        <v>2000</v>
      </c>
      <c r="H150" s="518">
        <f t="shared" si="36"/>
        <v>0</v>
      </c>
      <c r="I150" s="518"/>
      <c r="J150" s="520">
        <f>SUM(J151:J151)</f>
        <v>2000</v>
      </c>
      <c r="K150" s="520">
        <f>SUM(K151:K151)</f>
        <v>0</v>
      </c>
      <c r="L150" s="524"/>
    </row>
    <row r="151" spans="1:12" ht="12.75" customHeight="1" x14ac:dyDescent="0.2">
      <c r="A151" s="1274"/>
      <c r="B151" s="1277"/>
      <c r="C151" s="521">
        <v>2000</v>
      </c>
      <c r="D151" s="521"/>
      <c r="E151" s="522">
        <v>2000</v>
      </c>
      <c r="F151" s="521"/>
      <c r="G151" s="522">
        <v>2000</v>
      </c>
      <c r="H151" s="521"/>
      <c r="I151" s="518">
        <v>2279</v>
      </c>
      <c r="J151" s="523">
        <v>2000</v>
      </c>
      <c r="K151" s="524"/>
      <c r="L151" s="543" t="s">
        <v>196</v>
      </c>
    </row>
    <row r="152" spans="1:12" x14ac:dyDescent="0.2">
      <c r="A152" s="1274" t="s">
        <v>740</v>
      </c>
      <c r="B152" s="1277" t="s">
        <v>741</v>
      </c>
      <c r="C152" s="518">
        <f t="shared" ref="C152:H152" si="37">C153</f>
        <v>5000</v>
      </c>
      <c r="D152" s="518">
        <f t="shared" si="37"/>
        <v>0</v>
      </c>
      <c r="E152" s="519">
        <f t="shared" si="37"/>
        <v>5000</v>
      </c>
      <c r="F152" s="518">
        <f t="shared" si="37"/>
        <v>0</v>
      </c>
      <c r="G152" s="519">
        <f t="shared" si="37"/>
        <v>5000</v>
      </c>
      <c r="H152" s="518">
        <f t="shared" si="37"/>
        <v>0</v>
      </c>
      <c r="I152" s="518"/>
      <c r="J152" s="520">
        <f>J153</f>
        <v>5000</v>
      </c>
      <c r="K152" s="520">
        <f>K153</f>
        <v>0</v>
      </c>
      <c r="L152" s="1342" t="s">
        <v>196</v>
      </c>
    </row>
    <row r="153" spans="1:12" ht="12.75" customHeight="1" x14ac:dyDescent="0.2">
      <c r="A153" s="1274"/>
      <c r="B153" s="1277"/>
      <c r="C153" s="521">
        <v>5000</v>
      </c>
      <c r="D153" s="521"/>
      <c r="E153" s="522">
        <v>5000</v>
      </c>
      <c r="F153" s="521"/>
      <c r="G153" s="522">
        <v>5000</v>
      </c>
      <c r="H153" s="521"/>
      <c r="I153" s="518">
        <v>2279</v>
      </c>
      <c r="J153" s="523">
        <v>5000</v>
      </c>
      <c r="K153" s="524"/>
      <c r="L153" s="1342"/>
    </row>
    <row r="154" spans="1:12" ht="12.75" customHeight="1" x14ac:dyDescent="0.2">
      <c r="A154" s="1274" t="s">
        <v>742</v>
      </c>
      <c r="B154" s="1277" t="s">
        <v>743</v>
      </c>
      <c r="C154" s="518">
        <f t="shared" ref="C154:H154" si="38">C155</f>
        <v>1500</v>
      </c>
      <c r="D154" s="518">
        <f t="shared" si="38"/>
        <v>0</v>
      </c>
      <c r="E154" s="519">
        <f t="shared" si="38"/>
        <v>1500</v>
      </c>
      <c r="F154" s="518">
        <f t="shared" si="38"/>
        <v>0</v>
      </c>
      <c r="G154" s="519">
        <f t="shared" si="38"/>
        <v>1500</v>
      </c>
      <c r="H154" s="518">
        <f t="shared" si="38"/>
        <v>0</v>
      </c>
      <c r="I154" s="518"/>
      <c r="J154" s="520">
        <f>J155</f>
        <v>1500</v>
      </c>
      <c r="K154" s="520">
        <f>K155</f>
        <v>0</v>
      </c>
      <c r="L154" s="1342" t="s">
        <v>196</v>
      </c>
    </row>
    <row r="155" spans="1:12" ht="12.75" customHeight="1" x14ac:dyDescent="0.2">
      <c r="A155" s="1274"/>
      <c r="B155" s="1277"/>
      <c r="C155" s="521">
        <v>1500</v>
      </c>
      <c r="D155" s="521"/>
      <c r="E155" s="522">
        <v>1500</v>
      </c>
      <c r="F155" s="521"/>
      <c r="G155" s="522">
        <v>1500</v>
      </c>
      <c r="H155" s="521"/>
      <c r="I155" s="518">
        <v>2279</v>
      </c>
      <c r="J155" s="523">
        <v>1500</v>
      </c>
      <c r="K155" s="524"/>
      <c r="L155" s="1342"/>
    </row>
    <row r="156" spans="1:12" x14ac:dyDescent="0.2">
      <c r="A156" s="1343" t="s">
        <v>744</v>
      </c>
      <c r="B156" s="1344" t="s">
        <v>745</v>
      </c>
      <c r="C156" s="519">
        <f t="shared" ref="C156:H156" si="39">SUM(C157:C159)</f>
        <v>0</v>
      </c>
      <c r="D156" s="519">
        <f t="shared" si="39"/>
        <v>0</v>
      </c>
      <c r="E156" s="519">
        <f t="shared" si="39"/>
        <v>0</v>
      </c>
      <c r="F156" s="519">
        <f t="shared" si="39"/>
        <v>0</v>
      </c>
      <c r="G156" s="519">
        <f t="shared" si="39"/>
        <v>3714</v>
      </c>
      <c r="H156" s="519">
        <f t="shared" si="39"/>
        <v>0</v>
      </c>
      <c r="I156" s="519"/>
      <c r="J156" s="544">
        <f>SUM(J157:J159)</f>
        <v>2714</v>
      </c>
      <c r="K156" s="544">
        <f>SUM(K157:K159)</f>
        <v>0</v>
      </c>
      <c r="L156" s="524"/>
    </row>
    <row r="157" spans="1:12" ht="12.75" customHeight="1" x14ac:dyDescent="0.2">
      <c r="A157" s="1274"/>
      <c r="B157" s="1344"/>
      <c r="C157" s="521"/>
      <c r="D157" s="521"/>
      <c r="E157" s="522"/>
      <c r="F157" s="521"/>
      <c r="G157" s="522">
        <v>800</v>
      </c>
      <c r="H157" s="521"/>
      <c r="I157" s="518">
        <v>1150</v>
      </c>
      <c r="J157" s="523">
        <v>800</v>
      </c>
      <c r="K157" s="524"/>
      <c r="L157" s="1342" t="s">
        <v>196</v>
      </c>
    </row>
    <row r="158" spans="1:12" ht="12.75" customHeight="1" x14ac:dyDescent="0.2">
      <c r="A158" s="1274"/>
      <c r="B158" s="1344"/>
      <c r="C158" s="521"/>
      <c r="D158" s="521"/>
      <c r="E158" s="522"/>
      <c r="F158" s="521"/>
      <c r="G158" s="522">
        <v>2414</v>
      </c>
      <c r="H158" s="521"/>
      <c r="I158" s="518">
        <v>2264</v>
      </c>
      <c r="J158" s="523">
        <v>1414</v>
      </c>
      <c r="K158" s="524"/>
      <c r="L158" s="1342"/>
    </row>
    <row r="159" spans="1:12" x14ac:dyDescent="0.2">
      <c r="A159" s="1274"/>
      <c r="B159" s="1344"/>
      <c r="C159" s="521"/>
      <c r="D159" s="521"/>
      <c r="E159" s="522"/>
      <c r="F159" s="521"/>
      <c r="G159" s="522">
        <v>500</v>
      </c>
      <c r="H159" s="521"/>
      <c r="I159" s="518">
        <v>2314</v>
      </c>
      <c r="J159" s="523">
        <v>500</v>
      </c>
      <c r="K159" s="524"/>
      <c r="L159" s="1342"/>
    </row>
    <row r="160" spans="1:12" x14ac:dyDescent="0.2">
      <c r="A160" s="527">
        <v>9</v>
      </c>
      <c r="B160" s="528" t="s">
        <v>746</v>
      </c>
      <c r="C160" s="529" t="e">
        <f>SUM(C161,C165,#REF!,C169)</f>
        <v>#REF!</v>
      </c>
      <c r="D160" s="529" t="e">
        <f>SUM(D161,D165,#REF!,D169)</f>
        <v>#REF!</v>
      </c>
      <c r="E160" s="529" t="e">
        <f>SUM(E161,E165,#REF!,E169)</f>
        <v>#REF!</v>
      </c>
      <c r="F160" s="529" t="e">
        <f>SUM(F161,F165,#REF!,F169)</f>
        <v>#REF!</v>
      </c>
      <c r="G160" s="530" t="e">
        <f>SUM(G161,G165,#REF!,G169)</f>
        <v>#REF!</v>
      </c>
      <c r="H160" s="529" t="e">
        <f>SUM(H161,H165,#REF!,H169)</f>
        <v>#REF!</v>
      </c>
      <c r="I160" s="529"/>
      <c r="J160" s="531">
        <f>SUM(J161,J165,J169)</f>
        <v>60682</v>
      </c>
      <c r="K160" s="531">
        <f>SUM(K161,K165,K169)</f>
        <v>0</v>
      </c>
      <c r="L160" s="537"/>
    </row>
    <row r="161" spans="1:12" x14ac:dyDescent="0.2">
      <c r="A161" s="1274" t="s">
        <v>747</v>
      </c>
      <c r="B161" s="1275" t="s">
        <v>748</v>
      </c>
      <c r="C161" s="518">
        <f t="shared" ref="C161:H161" si="40">SUM(C162:C164)</f>
        <v>14207</v>
      </c>
      <c r="D161" s="518">
        <f t="shared" si="40"/>
        <v>0</v>
      </c>
      <c r="E161" s="519">
        <f t="shared" si="40"/>
        <v>14207</v>
      </c>
      <c r="F161" s="518">
        <f t="shared" si="40"/>
        <v>0</v>
      </c>
      <c r="G161" s="519">
        <f t="shared" si="40"/>
        <v>73400</v>
      </c>
      <c r="H161" s="518">
        <f t="shared" si="40"/>
        <v>0</v>
      </c>
      <c r="I161" s="518"/>
      <c r="J161" s="520">
        <f>SUM(J162:J164)</f>
        <v>55802</v>
      </c>
      <c r="K161" s="520">
        <f>SUM(K162:K164)</f>
        <v>0</v>
      </c>
      <c r="L161" s="524"/>
    </row>
    <row r="162" spans="1:12" ht="12.75" customHeight="1" x14ac:dyDescent="0.2">
      <c r="A162" s="1274"/>
      <c r="B162" s="1275"/>
      <c r="C162" s="521">
        <v>14207</v>
      </c>
      <c r="D162" s="521"/>
      <c r="E162" s="522">
        <v>14207</v>
      </c>
      <c r="F162" s="521"/>
      <c r="G162" s="522">
        <v>8400</v>
      </c>
      <c r="H162" s="521"/>
      <c r="I162" s="518">
        <v>2262</v>
      </c>
      <c r="J162" s="523">
        <v>8400</v>
      </c>
      <c r="K162" s="524"/>
      <c r="L162" s="1228" t="s">
        <v>749</v>
      </c>
    </row>
    <row r="163" spans="1:12" ht="12.75" customHeight="1" x14ac:dyDescent="0.2">
      <c r="A163" s="1274"/>
      <c r="B163" s="1275"/>
      <c r="C163" s="521">
        <v>0</v>
      </c>
      <c r="D163" s="521"/>
      <c r="E163" s="522">
        <v>0</v>
      </c>
      <c r="F163" s="521"/>
      <c r="G163" s="522">
        <v>22000</v>
      </c>
      <c r="H163" s="521"/>
      <c r="I163" s="518">
        <v>2275</v>
      </c>
      <c r="J163" s="523">
        <f>9102+12898</f>
        <v>22000</v>
      </c>
      <c r="K163" s="524"/>
      <c r="L163" s="1256"/>
    </row>
    <row r="164" spans="1:12" ht="12.75" customHeight="1" x14ac:dyDescent="0.2">
      <c r="A164" s="1274"/>
      <c r="B164" s="1275"/>
      <c r="C164" s="521">
        <v>0</v>
      </c>
      <c r="D164" s="521"/>
      <c r="E164" s="522">
        <v>0</v>
      </c>
      <c r="F164" s="521"/>
      <c r="G164" s="522">
        <v>43000</v>
      </c>
      <c r="H164" s="521"/>
      <c r="I164" s="518">
        <v>2361</v>
      </c>
      <c r="J164" s="545">
        <f>14300+11102</f>
        <v>25402</v>
      </c>
      <c r="K164" s="524"/>
      <c r="L164" s="1229"/>
    </row>
    <row r="165" spans="1:12" x14ac:dyDescent="0.2">
      <c r="A165" s="1274" t="s">
        <v>750</v>
      </c>
      <c r="B165" s="1275" t="s">
        <v>751</v>
      </c>
      <c r="C165" s="518">
        <f t="shared" ref="C165:H165" si="41">SUM(C166:C168)</f>
        <v>2247</v>
      </c>
      <c r="D165" s="518">
        <f t="shared" si="41"/>
        <v>0</v>
      </c>
      <c r="E165" s="519">
        <f t="shared" si="41"/>
        <v>2247</v>
      </c>
      <c r="F165" s="518">
        <f t="shared" si="41"/>
        <v>0</v>
      </c>
      <c r="G165" s="519">
        <f t="shared" si="41"/>
        <v>1880</v>
      </c>
      <c r="H165" s="518">
        <f t="shared" si="41"/>
        <v>0</v>
      </c>
      <c r="I165" s="518"/>
      <c r="J165" s="520">
        <f>SUM(J166:J168)</f>
        <v>1880</v>
      </c>
      <c r="K165" s="520">
        <f>SUM(K166:K168)</f>
        <v>0</v>
      </c>
      <c r="L165" s="524"/>
    </row>
    <row r="166" spans="1:12" ht="12.75" customHeight="1" x14ac:dyDescent="0.2">
      <c r="A166" s="1274"/>
      <c r="B166" s="1275"/>
      <c r="C166" s="521">
        <v>712</v>
      </c>
      <c r="D166" s="521"/>
      <c r="E166" s="522">
        <v>712</v>
      </c>
      <c r="F166" s="521"/>
      <c r="G166" s="522">
        <v>712</v>
      </c>
      <c r="H166" s="521"/>
      <c r="I166" s="518">
        <v>1150</v>
      </c>
      <c r="J166" s="523">
        <v>712</v>
      </c>
      <c r="K166" s="524"/>
      <c r="L166" s="1342" t="s">
        <v>749</v>
      </c>
    </row>
    <row r="167" spans="1:12" ht="12.75" customHeight="1" x14ac:dyDescent="0.2">
      <c r="A167" s="1274"/>
      <c r="B167" s="1275"/>
      <c r="C167" s="521">
        <v>1431</v>
      </c>
      <c r="D167" s="521"/>
      <c r="E167" s="522">
        <v>1431</v>
      </c>
      <c r="F167" s="521"/>
      <c r="G167" s="522">
        <v>1064</v>
      </c>
      <c r="H167" s="521"/>
      <c r="I167" s="518">
        <v>2314</v>
      </c>
      <c r="J167" s="523">
        <v>1064</v>
      </c>
      <c r="K167" s="524"/>
      <c r="L167" s="1342"/>
    </row>
    <row r="168" spans="1:12" ht="12.75" customHeight="1" x14ac:dyDescent="0.2">
      <c r="A168" s="1274"/>
      <c r="B168" s="1275"/>
      <c r="C168" s="521">
        <v>104</v>
      </c>
      <c r="D168" s="521"/>
      <c r="E168" s="522">
        <v>104</v>
      </c>
      <c r="F168" s="521"/>
      <c r="G168" s="522">
        <v>104</v>
      </c>
      <c r="H168" s="521"/>
      <c r="I168" s="518">
        <v>2363</v>
      </c>
      <c r="J168" s="523">
        <v>104</v>
      </c>
      <c r="K168" s="524"/>
      <c r="L168" s="1342"/>
    </row>
    <row r="169" spans="1:12" x14ac:dyDescent="0.2">
      <c r="A169" s="1274" t="s">
        <v>752</v>
      </c>
      <c r="B169" s="1275" t="s">
        <v>753</v>
      </c>
      <c r="C169" s="528">
        <f t="shared" ref="C169:H169" si="42">SUM(C170:C170)</f>
        <v>400</v>
      </c>
      <c r="D169" s="528">
        <f t="shared" si="42"/>
        <v>0</v>
      </c>
      <c r="E169" s="528">
        <f t="shared" si="42"/>
        <v>400</v>
      </c>
      <c r="F169" s="528">
        <f t="shared" si="42"/>
        <v>0</v>
      </c>
      <c r="G169" s="538">
        <f t="shared" si="42"/>
        <v>18689</v>
      </c>
      <c r="H169" s="528">
        <f t="shared" si="42"/>
        <v>0</v>
      </c>
      <c r="I169" s="528"/>
      <c r="J169" s="539">
        <f>SUM(J170:J170)</f>
        <v>3000</v>
      </c>
      <c r="K169" s="539">
        <f>SUM(K170:K170)</f>
        <v>0</v>
      </c>
      <c r="L169" s="546"/>
    </row>
    <row r="170" spans="1:12" x14ac:dyDescent="0.2">
      <c r="A170" s="1274"/>
      <c r="B170" s="1275"/>
      <c r="C170" s="547">
        <v>400</v>
      </c>
      <c r="D170" s="547"/>
      <c r="E170" s="548">
        <v>400</v>
      </c>
      <c r="F170" s="547"/>
      <c r="G170" s="548">
        <v>18689</v>
      </c>
      <c r="H170" s="547"/>
      <c r="I170" s="528">
        <v>2275</v>
      </c>
      <c r="J170" s="549">
        <v>3000</v>
      </c>
      <c r="K170" s="524"/>
      <c r="L170" s="542" t="s">
        <v>749</v>
      </c>
    </row>
    <row r="171" spans="1:12" x14ac:dyDescent="0.2">
      <c r="A171" s="527">
        <v>10</v>
      </c>
      <c r="B171" s="518" t="s">
        <v>754</v>
      </c>
      <c r="C171" s="518">
        <f t="shared" ref="C171:H171" si="43">SUM(C172,C173,C174,C175,C178)</f>
        <v>65457</v>
      </c>
      <c r="D171" s="518">
        <f t="shared" si="43"/>
        <v>2500</v>
      </c>
      <c r="E171" s="519">
        <f t="shared" si="43"/>
        <v>65519.79</v>
      </c>
      <c r="F171" s="518">
        <f t="shared" si="43"/>
        <v>2500</v>
      </c>
      <c r="G171" s="519">
        <f t="shared" si="43"/>
        <v>61900</v>
      </c>
      <c r="H171" s="518">
        <f t="shared" si="43"/>
        <v>2500</v>
      </c>
      <c r="I171" s="518"/>
      <c r="J171" s="520">
        <f>SUM(J172,J173,J174,J175,J178)</f>
        <v>61450</v>
      </c>
      <c r="K171" s="520">
        <f>SUM(K172,K173,K174,K175,K178)</f>
        <v>2950</v>
      </c>
      <c r="L171" s="537"/>
    </row>
    <row r="172" spans="1:12" ht="15" customHeight="1" x14ac:dyDescent="0.2">
      <c r="A172" s="550" t="s">
        <v>755</v>
      </c>
      <c r="B172" s="521" t="s">
        <v>756</v>
      </c>
      <c r="C172" s="528">
        <v>6000</v>
      </c>
      <c r="D172" s="528">
        <v>2000</v>
      </c>
      <c r="E172" s="538">
        <v>6000</v>
      </c>
      <c r="F172" s="528">
        <v>2000</v>
      </c>
      <c r="G172" s="538">
        <v>6200</v>
      </c>
      <c r="H172" s="528">
        <v>2000</v>
      </c>
      <c r="I172" s="528">
        <v>2314</v>
      </c>
      <c r="J172" s="549">
        <v>6000</v>
      </c>
      <c r="K172" s="546">
        <v>2200</v>
      </c>
      <c r="L172" s="551" t="s">
        <v>196</v>
      </c>
    </row>
    <row r="173" spans="1:12" ht="14.25" customHeight="1" x14ac:dyDescent="0.2">
      <c r="A173" s="550" t="s">
        <v>757</v>
      </c>
      <c r="B173" s="522" t="s">
        <v>758</v>
      </c>
      <c r="C173" s="518">
        <v>4750</v>
      </c>
      <c r="D173" s="518">
        <v>500</v>
      </c>
      <c r="E173" s="519">
        <v>4750</v>
      </c>
      <c r="F173" s="518">
        <v>500</v>
      </c>
      <c r="G173" s="519">
        <v>5000</v>
      </c>
      <c r="H173" s="518">
        <v>500</v>
      </c>
      <c r="I173" s="518">
        <v>2279</v>
      </c>
      <c r="J173" s="523">
        <v>4750</v>
      </c>
      <c r="K173" s="524">
        <v>750</v>
      </c>
      <c r="L173" s="551" t="s">
        <v>196</v>
      </c>
    </row>
    <row r="174" spans="1:12" ht="13.5" customHeight="1" x14ac:dyDescent="0.2">
      <c r="A174" s="550" t="s">
        <v>759</v>
      </c>
      <c r="B174" s="521" t="s">
        <v>760</v>
      </c>
      <c r="C174" s="518">
        <v>500</v>
      </c>
      <c r="D174" s="518"/>
      <c r="E174" s="519">
        <v>499.79</v>
      </c>
      <c r="F174" s="518"/>
      <c r="G174" s="519">
        <v>500</v>
      </c>
      <c r="H174" s="518"/>
      <c r="I174" s="518">
        <v>2248</v>
      </c>
      <c r="J174" s="523">
        <v>500</v>
      </c>
      <c r="K174" s="524"/>
      <c r="L174" s="551" t="s">
        <v>196</v>
      </c>
    </row>
    <row r="175" spans="1:12" x14ac:dyDescent="0.2">
      <c r="A175" s="1274" t="s">
        <v>761</v>
      </c>
      <c r="B175" s="1277" t="s">
        <v>762</v>
      </c>
      <c r="C175" s="528">
        <f t="shared" ref="C175:H175" si="44">SUM(C176:C177)</f>
        <v>1000</v>
      </c>
      <c r="D175" s="528">
        <f t="shared" si="44"/>
        <v>0</v>
      </c>
      <c r="E175" s="538">
        <f t="shared" si="44"/>
        <v>1000</v>
      </c>
      <c r="F175" s="528">
        <f t="shared" si="44"/>
        <v>0</v>
      </c>
      <c r="G175" s="538">
        <f t="shared" si="44"/>
        <v>800</v>
      </c>
      <c r="H175" s="528">
        <f t="shared" si="44"/>
        <v>0</v>
      </c>
      <c r="I175" s="528"/>
      <c r="J175" s="539">
        <f>SUM(J176:J177)</f>
        <v>800</v>
      </c>
      <c r="K175" s="539">
        <f>SUM(K176:K177)</f>
        <v>0</v>
      </c>
      <c r="L175" s="524"/>
    </row>
    <row r="176" spans="1:12" ht="12.75" customHeight="1" x14ac:dyDescent="0.2">
      <c r="A176" s="1274"/>
      <c r="B176" s="1277"/>
      <c r="C176" s="521">
        <v>200</v>
      </c>
      <c r="D176" s="521"/>
      <c r="E176" s="522">
        <v>200</v>
      </c>
      <c r="F176" s="521"/>
      <c r="G176" s="522">
        <v>200</v>
      </c>
      <c r="H176" s="521"/>
      <c r="I176" s="518">
        <v>2223</v>
      </c>
      <c r="J176" s="523">
        <v>200</v>
      </c>
      <c r="K176" s="524"/>
      <c r="L176" s="1341" t="s">
        <v>196</v>
      </c>
    </row>
    <row r="177" spans="1:12" ht="37.5" customHeight="1" x14ac:dyDescent="0.2">
      <c r="A177" s="1274"/>
      <c r="B177" s="1277"/>
      <c r="C177" s="521">
        <v>800</v>
      </c>
      <c r="D177" s="521"/>
      <c r="E177" s="522">
        <v>800</v>
      </c>
      <c r="F177" s="521"/>
      <c r="G177" s="522">
        <v>600</v>
      </c>
      <c r="H177" s="521"/>
      <c r="I177" s="518">
        <v>2279</v>
      </c>
      <c r="J177" s="523">
        <v>600</v>
      </c>
      <c r="K177" s="524"/>
      <c r="L177" s="1341"/>
    </row>
    <row r="178" spans="1:12" x14ac:dyDescent="0.2">
      <c r="A178" s="1274" t="s">
        <v>763</v>
      </c>
      <c r="B178" s="1275" t="s">
        <v>764</v>
      </c>
      <c r="C178" s="528">
        <f t="shared" ref="C178:H178" si="45">SUM(C179:C182)</f>
        <v>53207</v>
      </c>
      <c r="D178" s="528">
        <f t="shared" si="45"/>
        <v>0</v>
      </c>
      <c r="E178" s="538">
        <f t="shared" si="45"/>
        <v>53270</v>
      </c>
      <c r="F178" s="528">
        <f t="shared" si="45"/>
        <v>0</v>
      </c>
      <c r="G178" s="538">
        <f t="shared" si="45"/>
        <v>49400</v>
      </c>
      <c r="H178" s="528">
        <f t="shared" si="45"/>
        <v>0</v>
      </c>
      <c r="I178" s="528"/>
      <c r="J178" s="539">
        <f>SUM(J179:J182)</f>
        <v>49400</v>
      </c>
      <c r="K178" s="539">
        <f>SUM(K179:K182)</f>
        <v>0</v>
      </c>
      <c r="L178" s="524"/>
    </row>
    <row r="179" spans="1:12" ht="12.75" customHeight="1" x14ac:dyDescent="0.2">
      <c r="A179" s="1274"/>
      <c r="B179" s="1275"/>
      <c r="C179" s="521">
        <v>100</v>
      </c>
      <c r="D179" s="521"/>
      <c r="E179" s="522">
        <v>100</v>
      </c>
      <c r="F179" s="521"/>
      <c r="G179" s="522">
        <v>100</v>
      </c>
      <c r="H179" s="521"/>
      <c r="I179" s="518">
        <v>2232</v>
      </c>
      <c r="J179" s="523">
        <v>100</v>
      </c>
      <c r="K179" s="524"/>
      <c r="L179" s="1341" t="s">
        <v>196</v>
      </c>
    </row>
    <row r="180" spans="1:12" ht="12.75" customHeight="1" x14ac:dyDescent="0.2">
      <c r="A180" s="1274"/>
      <c r="B180" s="1275"/>
      <c r="C180" s="521">
        <v>42000</v>
      </c>
      <c r="D180" s="521"/>
      <c r="E180" s="522">
        <v>42000</v>
      </c>
      <c r="F180" s="521"/>
      <c r="G180" s="522">
        <v>38000</v>
      </c>
      <c r="H180" s="521"/>
      <c r="I180" s="518">
        <v>2239</v>
      </c>
      <c r="J180" s="523">
        <v>38000</v>
      </c>
      <c r="K180" s="524"/>
      <c r="L180" s="1341"/>
    </row>
    <row r="181" spans="1:12" ht="12.75" customHeight="1" x14ac:dyDescent="0.2">
      <c r="A181" s="1274"/>
      <c r="B181" s="1275"/>
      <c r="C181" s="521">
        <v>2800</v>
      </c>
      <c r="D181" s="521"/>
      <c r="E181" s="522">
        <v>2800</v>
      </c>
      <c r="F181" s="521"/>
      <c r="G181" s="522">
        <v>2800</v>
      </c>
      <c r="H181" s="521"/>
      <c r="I181" s="518">
        <v>2279</v>
      </c>
      <c r="J181" s="523">
        <v>2800</v>
      </c>
      <c r="K181" s="524"/>
      <c r="L181" s="1341"/>
    </row>
    <row r="182" spans="1:12" ht="12.75" customHeight="1" x14ac:dyDescent="0.2">
      <c r="A182" s="1274"/>
      <c r="B182" s="1275"/>
      <c r="C182" s="521">
        <v>8307</v>
      </c>
      <c r="D182" s="521"/>
      <c r="E182" s="522">
        <v>8370</v>
      </c>
      <c r="F182" s="521"/>
      <c r="G182" s="522">
        <v>8500</v>
      </c>
      <c r="H182" s="521"/>
      <c r="I182" s="518">
        <v>2314</v>
      </c>
      <c r="J182" s="523">
        <v>8500</v>
      </c>
      <c r="K182" s="524"/>
      <c r="L182" s="1341"/>
    </row>
    <row r="183" spans="1:12" s="483" customFormat="1" x14ac:dyDescent="0.2">
      <c r="A183" s="485" t="s">
        <v>399</v>
      </c>
      <c r="B183" s="552"/>
      <c r="C183" s="552"/>
      <c r="D183" s="552"/>
      <c r="E183" s="553"/>
      <c r="F183" s="552"/>
      <c r="G183" s="553"/>
      <c r="H183" s="552"/>
      <c r="I183" s="552"/>
      <c r="J183" s="552"/>
    </row>
    <row r="184" spans="1:12" s="483" customFormat="1" x14ac:dyDescent="0.2">
      <c r="A184" s="1214" t="s">
        <v>765</v>
      </c>
      <c r="B184" s="1214"/>
      <c r="C184" s="1214"/>
      <c r="D184" s="1214"/>
      <c r="E184" s="1214"/>
      <c r="F184" s="1214"/>
      <c r="G184" s="1214"/>
      <c r="H184" s="1214"/>
      <c r="I184" s="1214"/>
      <c r="J184" s="1214"/>
      <c r="K184" s="1214"/>
      <c r="L184" s="1214"/>
    </row>
    <row r="185" spans="1:12" s="483" customFormat="1" x14ac:dyDescent="0.2">
      <c r="A185" s="554"/>
      <c r="B185" s="554" t="s">
        <v>766</v>
      </c>
      <c r="C185" s="554"/>
      <c r="D185" s="554"/>
      <c r="E185" s="554"/>
      <c r="F185" s="554"/>
      <c r="G185" s="554"/>
      <c r="H185" s="554"/>
      <c r="I185" s="554"/>
      <c r="J185" s="554"/>
      <c r="K185" s="554"/>
      <c r="L185" s="554"/>
    </row>
    <row r="186" spans="1:12" s="483" customFormat="1" x14ac:dyDescent="0.2">
      <c r="A186" s="554"/>
      <c r="B186" s="554"/>
      <c r="C186" s="554"/>
      <c r="D186" s="554"/>
      <c r="E186" s="554"/>
      <c r="F186" s="554"/>
      <c r="G186" s="554"/>
      <c r="H186" s="554"/>
      <c r="I186" s="554" t="s">
        <v>767</v>
      </c>
      <c r="J186" s="554"/>
      <c r="K186" s="554"/>
      <c r="L186" s="554"/>
    </row>
    <row r="187" spans="1:12" s="556" customFormat="1" ht="12" customHeight="1" x14ac:dyDescent="0.2">
      <c r="A187" s="555"/>
      <c r="B187" s="1262" t="s">
        <v>768</v>
      </c>
      <c r="C187" s="1262"/>
      <c r="D187" s="1262"/>
      <c r="E187" s="1262"/>
      <c r="F187" s="1262"/>
      <c r="G187" s="1262"/>
      <c r="H187" s="1262"/>
      <c r="I187" s="1262"/>
      <c r="J187" s="1262"/>
      <c r="K187" s="1262"/>
      <c r="L187" s="1262"/>
    </row>
    <row r="188" spans="1:12" s="558" customFormat="1" x14ac:dyDescent="0.2">
      <c r="A188" s="555"/>
      <c r="B188" s="555"/>
      <c r="C188" s="555"/>
      <c r="D188" s="555"/>
      <c r="E188" s="555"/>
      <c r="F188" s="555"/>
      <c r="G188" s="555"/>
      <c r="H188" s="555"/>
      <c r="I188" s="557" t="s">
        <v>769</v>
      </c>
      <c r="J188" s="557"/>
      <c r="K188" s="557"/>
      <c r="L188" s="557"/>
    </row>
    <row r="189" spans="1:12" s="558" customFormat="1" x14ac:dyDescent="0.2">
      <c r="A189" s="555"/>
      <c r="B189" s="555"/>
      <c r="C189" s="555"/>
      <c r="D189" s="555"/>
      <c r="E189" s="555"/>
      <c r="F189" s="555"/>
      <c r="G189" s="555"/>
      <c r="H189" s="555"/>
      <c r="I189" s="1262" t="s">
        <v>770</v>
      </c>
      <c r="J189" s="1262"/>
      <c r="K189" s="1262"/>
      <c r="L189" s="1262"/>
    </row>
    <row r="190" spans="1:12" s="558" customFormat="1" x14ac:dyDescent="0.2">
      <c r="A190" s="555"/>
      <c r="B190" s="555"/>
      <c r="C190" s="555"/>
      <c r="D190" s="555"/>
      <c r="E190" s="555"/>
      <c r="F190" s="555"/>
      <c r="G190" s="555"/>
      <c r="H190" s="555"/>
      <c r="I190" s="1262" t="s">
        <v>771</v>
      </c>
      <c r="J190" s="1262"/>
      <c r="K190" s="1262"/>
      <c r="L190" s="1262"/>
    </row>
    <row r="191" spans="1:12" s="558" customFormat="1" ht="12" customHeight="1" x14ac:dyDescent="0.2">
      <c r="A191" s="559"/>
      <c r="B191" s="560"/>
      <c r="C191" s="560"/>
      <c r="D191" s="560"/>
      <c r="E191" s="560"/>
      <c r="F191" s="560"/>
      <c r="G191" s="560"/>
      <c r="H191" s="560"/>
      <c r="I191" s="1262" t="s">
        <v>772</v>
      </c>
      <c r="J191" s="1262"/>
      <c r="K191" s="1262"/>
      <c r="L191" s="1262"/>
    </row>
    <row r="192" spans="1:12" x14ac:dyDescent="0.2">
      <c r="A192" s="561"/>
      <c r="B192" s="561"/>
      <c r="C192" s="561"/>
      <c r="D192" s="561"/>
      <c r="E192" s="562"/>
      <c r="F192" s="561"/>
      <c r="G192" s="562"/>
      <c r="H192" s="561"/>
      <c r="I192" s="561"/>
      <c r="J192" s="561"/>
      <c r="K192" s="561"/>
      <c r="L192" s="561"/>
    </row>
    <row r="193" spans="1:12" x14ac:dyDescent="0.2">
      <c r="A193" s="561"/>
      <c r="B193" s="561"/>
      <c r="C193" s="561"/>
      <c r="D193" s="561"/>
      <c r="E193" s="562"/>
      <c r="F193" s="561"/>
      <c r="G193" s="562"/>
      <c r="H193" s="561"/>
      <c r="I193" s="561"/>
      <c r="J193" s="561"/>
      <c r="K193" s="561"/>
      <c r="L193" s="561"/>
    </row>
    <row r="194" spans="1:12" x14ac:dyDescent="0.2">
      <c r="A194" s="561"/>
      <c r="B194" s="561"/>
      <c r="C194" s="561"/>
      <c r="D194" s="561"/>
      <c r="E194" s="562"/>
      <c r="F194" s="561"/>
      <c r="G194" s="562"/>
      <c r="H194" s="561"/>
      <c r="I194" s="561"/>
      <c r="J194" s="561"/>
      <c r="K194" s="561"/>
      <c r="L194" s="561"/>
    </row>
    <row r="195" spans="1:12" x14ac:dyDescent="0.2">
      <c r="A195" s="561"/>
      <c r="B195" s="561"/>
      <c r="C195" s="561"/>
      <c r="D195" s="561"/>
      <c r="E195" s="562"/>
      <c r="F195" s="561"/>
      <c r="G195" s="562"/>
      <c r="H195" s="561"/>
      <c r="I195" s="561"/>
      <c r="J195" s="561"/>
      <c r="K195" s="561"/>
      <c r="L195" s="561"/>
    </row>
    <row r="196" spans="1:12" x14ac:dyDescent="0.2">
      <c r="A196" s="561"/>
      <c r="B196" s="561"/>
      <c r="C196" s="561"/>
      <c r="D196" s="561"/>
      <c r="E196" s="562"/>
      <c r="F196" s="561"/>
      <c r="G196" s="562"/>
      <c r="H196" s="561"/>
      <c r="I196" s="561"/>
      <c r="J196" s="561"/>
      <c r="K196" s="561"/>
      <c r="L196" s="561"/>
    </row>
    <row r="197" spans="1:12" x14ac:dyDescent="0.2">
      <c r="A197" s="561"/>
      <c r="B197" s="561"/>
      <c r="C197" s="561"/>
      <c r="D197" s="561"/>
      <c r="E197" s="562"/>
      <c r="F197" s="561"/>
      <c r="G197" s="562"/>
      <c r="H197" s="561"/>
      <c r="I197" s="561"/>
      <c r="J197" s="561"/>
      <c r="K197" s="561"/>
      <c r="L197" s="561"/>
    </row>
  </sheetData>
  <sheetProtection algorithmName="SHA-512" hashValue="/podf83Xo8/5dgppu291PPN0sdST+nBcdPHrpu/Dtj5zzRYZJ6akfwwDz2nY7iz0pYCjDxMUOpSZr828BRf5PA==" saltValue="aS0xQV1jBvT+dCi7+GEHqA==" spinCount="100000" sheet="1" objects="1" scenarios="1" selectLockedCells="1" selectUnlockedCells="1"/>
  <mergeCells count="142">
    <mergeCell ref="A10:B10"/>
    <mergeCell ref="A11:A16"/>
    <mergeCell ref="B11:B16"/>
    <mergeCell ref="L12:L16"/>
    <mergeCell ref="A17:A24"/>
    <mergeCell ref="B17:B24"/>
    <mergeCell ref="L18:L24"/>
    <mergeCell ref="A3:L3"/>
    <mergeCell ref="A5:B5"/>
    <mergeCell ref="A8:A9"/>
    <mergeCell ref="B8:B9"/>
    <mergeCell ref="C8:D8"/>
    <mergeCell ref="E8:F8"/>
    <mergeCell ref="G8:H8"/>
    <mergeCell ref="I8:I9"/>
    <mergeCell ref="J8:K8"/>
    <mergeCell ref="L8:L9"/>
    <mergeCell ref="A38:A43"/>
    <mergeCell ref="B38:B43"/>
    <mergeCell ref="L39:L43"/>
    <mergeCell ref="A44:A49"/>
    <mergeCell ref="B44:B49"/>
    <mergeCell ref="L45:L49"/>
    <mergeCell ref="A26:A30"/>
    <mergeCell ref="B26:B30"/>
    <mergeCell ref="L27:L30"/>
    <mergeCell ref="A31:A37"/>
    <mergeCell ref="B31:B37"/>
    <mergeCell ref="L32:L37"/>
    <mergeCell ref="A59:A62"/>
    <mergeCell ref="B59:B62"/>
    <mergeCell ref="L60:L62"/>
    <mergeCell ref="A63:A66"/>
    <mergeCell ref="B63:B66"/>
    <mergeCell ref="L64:L66"/>
    <mergeCell ref="A51:A54"/>
    <mergeCell ref="B51:B54"/>
    <mergeCell ref="L52:L54"/>
    <mergeCell ref="A55:A58"/>
    <mergeCell ref="B55:B58"/>
    <mergeCell ref="L56:L58"/>
    <mergeCell ref="A76:A78"/>
    <mergeCell ref="B76:B78"/>
    <mergeCell ref="L77:L78"/>
    <mergeCell ref="A79:A83"/>
    <mergeCell ref="B79:B83"/>
    <mergeCell ref="L80:L83"/>
    <mergeCell ref="A67:A68"/>
    <mergeCell ref="B67:B68"/>
    <mergeCell ref="A69:A72"/>
    <mergeCell ref="B69:B72"/>
    <mergeCell ref="L70:L72"/>
    <mergeCell ref="A74:A75"/>
    <mergeCell ref="B74:B75"/>
    <mergeCell ref="L74:L75"/>
    <mergeCell ref="A92:A95"/>
    <mergeCell ref="B92:B95"/>
    <mergeCell ref="L93:L95"/>
    <mergeCell ref="A96:A98"/>
    <mergeCell ref="B96:B98"/>
    <mergeCell ref="L97:L98"/>
    <mergeCell ref="A84:A87"/>
    <mergeCell ref="B84:B87"/>
    <mergeCell ref="L85:L87"/>
    <mergeCell ref="A88:A91"/>
    <mergeCell ref="B88:B91"/>
    <mergeCell ref="L89:L91"/>
    <mergeCell ref="A107:A109"/>
    <mergeCell ref="B107:B109"/>
    <mergeCell ref="L108:L109"/>
    <mergeCell ref="A110:A112"/>
    <mergeCell ref="B110:B112"/>
    <mergeCell ref="L111:L112"/>
    <mergeCell ref="A99:A101"/>
    <mergeCell ref="B99:B101"/>
    <mergeCell ref="L100:L101"/>
    <mergeCell ref="A102:A105"/>
    <mergeCell ref="B102:B105"/>
    <mergeCell ref="L103:L105"/>
    <mergeCell ref="A120:A124"/>
    <mergeCell ref="B120:B124"/>
    <mergeCell ref="L121:L124"/>
    <mergeCell ref="A125:A126"/>
    <mergeCell ref="B125:B126"/>
    <mergeCell ref="L125:L126"/>
    <mergeCell ref="A113:A116"/>
    <mergeCell ref="B113:B116"/>
    <mergeCell ref="L114:L116"/>
    <mergeCell ref="A117:A118"/>
    <mergeCell ref="B117:B118"/>
    <mergeCell ref="L117:L118"/>
    <mergeCell ref="A131:A132"/>
    <mergeCell ref="B131:B132"/>
    <mergeCell ref="L131:L132"/>
    <mergeCell ref="A134:A135"/>
    <mergeCell ref="B134:B135"/>
    <mergeCell ref="L134:L135"/>
    <mergeCell ref="A127:A128"/>
    <mergeCell ref="B127:B128"/>
    <mergeCell ref="L127:L128"/>
    <mergeCell ref="A129:A130"/>
    <mergeCell ref="B129:B130"/>
    <mergeCell ref="L129:L130"/>
    <mergeCell ref="A147:A149"/>
    <mergeCell ref="B147:B149"/>
    <mergeCell ref="L148:L149"/>
    <mergeCell ref="A150:A151"/>
    <mergeCell ref="B150:B151"/>
    <mergeCell ref="A152:A153"/>
    <mergeCell ref="B152:B153"/>
    <mergeCell ref="L152:L153"/>
    <mergeCell ref="A136:A141"/>
    <mergeCell ref="B136:B141"/>
    <mergeCell ref="L137:L141"/>
    <mergeCell ref="A142:A146"/>
    <mergeCell ref="B142:B146"/>
    <mergeCell ref="L143:L146"/>
    <mergeCell ref="A161:A164"/>
    <mergeCell ref="B161:B164"/>
    <mergeCell ref="L162:L164"/>
    <mergeCell ref="A165:A168"/>
    <mergeCell ref="B165:B168"/>
    <mergeCell ref="L166:L168"/>
    <mergeCell ref="A154:A155"/>
    <mergeCell ref="B154:B155"/>
    <mergeCell ref="L154:L155"/>
    <mergeCell ref="A156:A159"/>
    <mergeCell ref="B156:B159"/>
    <mergeCell ref="L157:L159"/>
    <mergeCell ref="A184:L184"/>
    <mergeCell ref="B187:L187"/>
    <mergeCell ref="I189:L189"/>
    <mergeCell ref="I190:L190"/>
    <mergeCell ref="I191:L191"/>
    <mergeCell ref="A169:A170"/>
    <mergeCell ref="B169:B170"/>
    <mergeCell ref="A175:A177"/>
    <mergeCell ref="B175:B177"/>
    <mergeCell ref="L176:L177"/>
    <mergeCell ref="A178:A182"/>
    <mergeCell ref="B178:B182"/>
    <mergeCell ref="L179:L182"/>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         &amp;8  </oddHeader>
    <oddFooter>&amp;R&amp;"Times New Roman,Regular"&amp;8&amp;P(&amp;N)</oddFooter>
    <firstHeader>&amp;R&amp;"Times New Roman,Regular"&amp;8
 28.pielikums Jūrmalas pilsētas domes
2016.gada 16.decembra saistošajiem noteikumiem Nr.47
(protokols Nr.19, 19.punkts)</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32"/>
  <sheetViews>
    <sheetView view="pageLayout" zoomScaleNormal="100" workbookViewId="0">
      <selection activeCell="J198" sqref="J198"/>
    </sheetView>
  </sheetViews>
  <sheetFormatPr defaultColWidth="9.140625" defaultRowHeight="12" x14ac:dyDescent="0.2"/>
  <cols>
    <col min="1" max="1" width="3.7109375" style="411" customWidth="1"/>
    <col min="2" max="2" width="26" style="411" customWidth="1"/>
    <col min="3" max="3" width="8.140625" style="1" hidden="1" customWidth="1"/>
    <col min="4" max="4" width="9.5703125" style="1" hidden="1" customWidth="1"/>
    <col min="5" max="5" width="7.7109375" style="1" hidden="1" customWidth="1"/>
    <col min="6" max="6" width="9.5703125" style="1" hidden="1" customWidth="1"/>
    <col min="7" max="7" width="8" style="1" hidden="1" customWidth="1"/>
    <col min="8" max="8" width="9.5703125" style="1" hidden="1" customWidth="1"/>
    <col min="9" max="9" width="10.28515625" style="411" customWidth="1"/>
    <col min="10" max="10" width="10.7109375" style="1" bestFit="1" customWidth="1"/>
    <col min="11" max="11" width="9.5703125" style="1" bestFit="1" customWidth="1"/>
    <col min="12" max="12" width="17.7109375" style="411" customWidth="1"/>
    <col min="13" max="16384" width="9.140625" style="1"/>
  </cols>
  <sheetData>
    <row r="1" spans="1:13" ht="12.75" customHeight="1" x14ac:dyDescent="0.2">
      <c r="A1" s="432" t="s">
        <v>8</v>
      </c>
      <c r="B1" s="563"/>
      <c r="D1" s="564"/>
      <c r="E1" s="564"/>
      <c r="F1" s="564"/>
      <c r="G1" s="564"/>
      <c r="H1" s="564"/>
      <c r="I1" s="564" t="s">
        <v>773</v>
      </c>
      <c r="J1" s="564"/>
      <c r="K1" s="564"/>
      <c r="L1" s="565"/>
    </row>
    <row r="2" spans="1:13" ht="12.75" customHeight="1" x14ac:dyDescent="0.2">
      <c r="A2" s="432" t="s">
        <v>7</v>
      </c>
      <c r="B2" s="563"/>
      <c r="D2" s="336"/>
      <c r="E2" s="336"/>
      <c r="F2" s="336"/>
      <c r="G2" s="336"/>
      <c r="H2" s="336"/>
      <c r="I2" s="566" t="s">
        <v>774</v>
      </c>
      <c r="J2" s="336"/>
      <c r="K2" s="336"/>
      <c r="L2" s="567"/>
    </row>
    <row r="3" spans="1:13" ht="15.75" x14ac:dyDescent="0.25">
      <c r="A3" s="1055" t="s">
        <v>440</v>
      </c>
      <c r="B3" s="1055"/>
      <c r="C3" s="1055"/>
      <c r="D3" s="1055"/>
      <c r="E3" s="1055"/>
      <c r="F3" s="1055"/>
      <c r="G3" s="1055"/>
      <c r="H3" s="1055"/>
      <c r="I3" s="1055"/>
      <c r="J3" s="1055"/>
      <c r="K3" s="1055"/>
      <c r="L3" s="1055"/>
      <c r="M3" s="419"/>
    </row>
    <row r="4" spans="1:13" ht="15.75" x14ac:dyDescent="0.25">
      <c r="A4" s="420"/>
      <c r="B4" s="420"/>
      <c r="C4" s="420"/>
      <c r="D4" s="420"/>
      <c r="E4" s="420"/>
      <c r="F4" s="420"/>
      <c r="G4" s="420"/>
      <c r="H4" s="420"/>
      <c r="I4" s="420"/>
      <c r="J4" s="420"/>
      <c r="K4" s="420"/>
      <c r="L4" s="420"/>
      <c r="M4" s="419"/>
    </row>
    <row r="5" spans="1:13" ht="12.75" customHeight="1" x14ac:dyDescent="0.25">
      <c r="A5" s="1363" t="s">
        <v>441</v>
      </c>
      <c r="B5" s="1363"/>
      <c r="D5" s="568"/>
      <c r="E5" s="568"/>
      <c r="F5" s="568"/>
      <c r="G5" s="568"/>
      <c r="H5" s="568"/>
      <c r="I5" s="421" t="s">
        <v>775</v>
      </c>
      <c r="J5" s="568"/>
      <c r="K5" s="568"/>
      <c r="L5" s="565"/>
    </row>
    <row r="6" spans="1:13" ht="12.75" customHeight="1" x14ac:dyDescent="0.2">
      <c r="A6" s="432" t="s">
        <v>6</v>
      </c>
      <c r="B6" s="432"/>
      <c r="D6" s="415"/>
      <c r="E6" s="415"/>
      <c r="F6" s="415"/>
      <c r="G6" s="415"/>
      <c r="H6" s="415"/>
      <c r="I6" s="415" t="s">
        <v>677</v>
      </c>
      <c r="J6" s="415"/>
      <c r="K6" s="415"/>
      <c r="L6" s="565"/>
    </row>
    <row r="7" spans="1:13" ht="12.75" customHeight="1" x14ac:dyDescent="0.2">
      <c r="A7" s="569" t="s">
        <v>5</v>
      </c>
      <c r="B7" s="569"/>
      <c r="D7" s="570"/>
      <c r="E7" s="570"/>
      <c r="F7" s="570"/>
      <c r="G7" s="570"/>
      <c r="H7" s="570"/>
      <c r="I7" s="571" t="s">
        <v>190</v>
      </c>
      <c r="J7" s="570"/>
      <c r="K7" s="570"/>
      <c r="L7" s="572"/>
    </row>
    <row r="8" spans="1:13" x14ac:dyDescent="0.2">
      <c r="A8" s="1048" t="s">
        <v>4</v>
      </c>
      <c r="B8" s="1048" t="s">
        <v>3</v>
      </c>
      <c r="C8" s="1048" t="s">
        <v>445</v>
      </c>
      <c r="D8" s="1048"/>
      <c r="E8" s="1048" t="s">
        <v>446</v>
      </c>
      <c r="F8" s="1048"/>
      <c r="G8" s="1048" t="s">
        <v>447</v>
      </c>
      <c r="H8" s="1048"/>
      <c r="I8" s="1048" t="s">
        <v>2</v>
      </c>
      <c r="J8" s="1048" t="s">
        <v>180</v>
      </c>
      <c r="K8" s="1048"/>
      <c r="L8" s="1048" t="s">
        <v>776</v>
      </c>
    </row>
    <row r="9" spans="1:13" ht="36" customHeight="1" x14ac:dyDescent="0.2">
      <c r="A9" s="1048"/>
      <c r="B9" s="1048"/>
      <c r="C9" s="573" t="s">
        <v>678</v>
      </c>
      <c r="D9" s="573" t="s">
        <v>449</v>
      </c>
      <c r="E9" s="573" t="s">
        <v>678</v>
      </c>
      <c r="F9" s="573" t="s">
        <v>449</v>
      </c>
      <c r="G9" s="573" t="s">
        <v>678</v>
      </c>
      <c r="H9" s="573" t="s">
        <v>449</v>
      </c>
      <c r="I9" s="1048"/>
      <c r="J9" s="216" t="s">
        <v>448</v>
      </c>
      <c r="K9" s="216" t="s">
        <v>449</v>
      </c>
      <c r="L9" s="1048"/>
    </row>
    <row r="10" spans="1:13" x14ac:dyDescent="0.2">
      <c r="A10" s="1362" t="s">
        <v>380</v>
      </c>
      <c r="B10" s="1362"/>
      <c r="C10" s="574">
        <f t="shared" ref="C10:H10" si="0">C11+C15+C20+C25+C31</f>
        <v>7423</v>
      </c>
      <c r="D10" s="574">
        <f t="shared" si="0"/>
        <v>2380</v>
      </c>
      <c r="E10" s="574">
        <f t="shared" si="0"/>
        <v>7423</v>
      </c>
      <c r="F10" s="574">
        <f t="shared" si="0"/>
        <v>1540</v>
      </c>
      <c r="G10" s="574">
        <f t="shared" si="0"/>
        <v>8485</v>
      </c>
      <c r="H10" s="574">
        <f t="shared" si="0"/>
        <v>2380</v>
      </c>
      <c r="I10" s="575"/>
      <c r="J10" s="574">
        <f>J11+J15+J20+J25+J31</f>
        <v>8100</v>
      </c>
      <c r="K10" s="574">
        <f>K11+K15+K20+K25+K31</f>
        <v>2380</v>
      </c>
      <c r="L10" s="574"/>
    </row>
    <row r="11" spans="1:13" x14ac:dyDescent="0.2">
      <c r="A11" s="1118">
        <v>1</v>
      </c>
      <c r="B11" s="1356" t="s">
        <v>777</v>
      </c>
      <c r="C11" s="575">
        <f t="shared" ref="C11:H11" si="1">SUM(C12:C14)</f>
        <v>1145</v>
      </c>
      <c r="D11" s="575">
        <f t="shared" si="1"/>
        <v>0</v>
      </c>
      <c r="E11" s="575">
        <f t="shared" si="1"/>
        <v>1145</v>
      </c>
      <c r="F11" s="575">
        <f t="shared" si="1"/>
        <v>0</v>
      </c>
      <c r="G11" s="575">
        <f t="shared" si="1"/>
        <v>1890</v>
      </c>
      <c r="H11" s="575">
        <f t="shared" si="1"/>
        <v>0</v>
      </c>
      <c r="I11" s="575"/>
      <c r="J11" s="574">
        <f>SUM(J12:J14)</f>
        <v>1680</v>
      </c>
      <c r="K11" s="574">
        <f>SUM(K12:K14)</f>
        <v>0</v>
      </c>
      <c r="L11" s="1068" t="s">
        <v>778</v>
      </c>
    </row>
    <row r="12" spans="1:13" x14ac:dyDescent="0.2">
      <c r="A12" s="1354"/>
      <c r="B12" s="1357"/>
      <c r="C12" s="576">
        <v>500</v>
      </c>
      <c r="D12" s="576"/>
      <c r="E12" s="576">
        <v>500</v>
      </c>
      <c r="F12" s="576"/>
      <c r="G12" s="576">
        <v>700</v>
      </c>
      <c r="H12" s="576"/>
      <c r="I12" s="577">
        <v>1150</v>
      </c>
      <c r="J12" s="578">
        <v>600</v>
      </c>
      <c r="K12" s="578"/>
      <c r="L12" s="1069"/>
    </row>
    <row r="13" spans="1:13" x14ac:dyDescent="0.2">
      <c r="A13" s="1354"/>
      <c r="B13" s="1357"/>
      <c r="C13" s="576">
        <v>150</v>
      </c>
      <c r="D13" s="576"/>
      <c r="E13" s="576">
        <v>150</v>
      </c>
      <c r="F13" s="576"/>
      <c r="G13" s="576">
        <v>200</v>
      </c>
      <c r="H13" s="576"/>
      <c r="I13" s="577">
        <v>2264</v>
      </c>
      <c r="J13" s="578">
        <v>180</v>
      </c>
      <c r="K13" s="579"/>
      <c r="L13" s="1069"/>
    </row>
    <row r="14" spans="1:13" x14ac:dyDescent="0.2">
      <c r="A14" s="1355"/>
      <c r="B14" s="1358"/>
      <c r="C14" s="576">
        <v>495</v>
      </c>
      <c r="D14" s="576"/>
      <c r="E14" s="576">
        <v>495</v>
      </c>
      <c r="F14" s="576"/>
      <c r="G14" s="576">
        <v>990</v>
      </c>
      <c r="H14" s="576"/>
      <c r="I14" s="577">
        <v>2314</v>
      </c>
      <c r="J14" s="578">
        <v>900</v>
      </c>
      <c r="K14" s="579"/>
      <c r="L14" s="1073"/>
    </row>
    <row r="15" spans="1:13" x14ac:dyDescent="0.2">
      <c r="A15" s="1118">
        <v>2</v>
      </c>
      <c r="B15" s="1356" t="s">
        <v>779</v>
      </c>
      <c r="C15" s="580">
        <f t="shared" ref="C15:H15" si="2">SUM(C16:C19)</f>
        <v>1815</v>
      </c>
      <c r="D15" s="580">
        <f t="shared" si="2"/>
        <v>0</v>
      </c>
      <c r="E15" s="580">
        <f t="shared" si="2"/>
        <v>1815</v>
      </c>
      <c r="F15" s="580">
        <f t="shared" si="2"/>
        <v>0</v>
      </c>
      <c r="G15" s="580">
        <f t="shared" si="2"/>
        <v>1970</v>
      </c>
      <c r="H15" s="580">
        <f t="shared" si="2"/>
        <v>0</v>
      </c>
      <c r="I15" s="577"/>
      <c r="J15" s="581">
        <f>SUM(J16:J19)</f>
        <v>1900</v>
      </c>
      <c r="K15" s="580">
        <f>SUM(K16:K19)</f>
        <v>0</v>
      </c>
      <c r="L15" s="1068" t="s">
        <v>778</v>
      </c>
    </row>
    <row r="16" spans="1:13" x14ac:dyDescent="0.2">
      <c r="A16" s="1354"/>
      <c r="B16" s="1357"/>
      <c r="C16" s="576">
        <v>1470</v>
      </c>
      <c r="D16" s="576"/>
      <c r="E16" s="576">
        <v>1470</v>
      </c>
      <c r="F16" s="576"/>
      <c r="G16" s="576">
        <v>1500</v>
      </c>
      <c r="H16" s="576"/>
      <c r="I16" s="577">
        <v>1150</v>
      </c>
      <c r="J16" s="578">
        <v>1500</v>
      </c>
      <c r="K16" s="579"/>
      <c r="L16" s="1069"/>
    </row>
    <row r="17" spans="1:12" x14ac:dyDescent="0.2">
      <c r="A17" s="1354"/>
      <c r="B17" s="1357"/>
      <c r="C17" s="582">
        <v>215</v>
      </c>
      <c r="D17" s="582"/>
      <c r="E17" s="582">
        <v>215</v>
      </c>
      <c r="F17" s="582"/>
      <c r="G17" s="582">
        <v>300</v>
      </c>
      <c r="H17" s="582"/>
      <c r="I17" s="577">
        <v>2264</v>
      </c>
      <c r="J17" s="583">
        <v>250</v>
      </c>
      <c r="K17" s="584"/>
      <c r="L17" s="1069"/>
    </row>
    <row r="18" spans="1:12" x14ac:dyDescent="0.2">
      <c r="A18" s="1354"/>
      <c r="B18" s="1357"/>
      <c r="C18" s="576">
        <v>60</v>
      </c>
      <c r="D18" s="576"/>
      <c r="E18" s="576">
        <v>60</v>
      </c>
      <c r="F18" s="576"/>
      <c r="G18" s="576">
        <v>110</v>
      </c>
      <c r="H18" s="576"/>
      <c r="I18" s="577">
        <v>2314</v>
      </c>
      <c r="J18" s="578">
        <v>90</v>
      </c>
      <c r="K18" s="579"/>
      <c r="L18" s="1069"/>
    </row>
    <row r="19" spans="1:12" x14ac:dyDescent="0.2">
      <c r="A19" s="1355"/>
      <c r="B19" s="1358"/>
      <c r="C19" s="576">
        <v>70</v>
      </c>
      <c r="D19" s="576"/>
      <c r="E19" s="576">
        <v>70</v>
      </c>
      <c r="F19" s="576"/>
      <c r="G19" s="576">
        <v>60</v>
      </c>
      <c r="H19" s="576"/>
      <c r="I19" s="577">
        <v>2352</v>
      </c>
      <c r="J19" s="578">
        <v>60</v>
      </c>
      <c r="K19" s="579"/>
      <c r="L19" s="1073"/>
    </row>
    <row r="20" spans="1:12" x14ac:dyDescent="0.2">
      <c r="A20" s="1118">
        <v>3</v>
      </c>
      <c r="B20" s="1356" t="s">
        <v>780</v>
      </c>
      <c r="C20" s="580">
        <f t="shared" ref="C20:H20" si="3">SUM(C21:C24)</f>
        <v>1765</v>
      </c>
      <c r="D20" s="580">
        <f t="shared" si="3"/>
        <v>2380</v>
      </c>
      <c r="E20" s="580">
        <f t="shared" si="3"/>
        <v>1765</v>
      </c>
      <c r="F20" s="580">
        <f t="shared" si="3"/>
        <v>1540</v>
      </c>
      <c r="G20" s="580">
        <f t="shared" si="3"/>
        <v>1745</v>
      </c>
      <c r="H20" s="580">
        <f t="shared" si="3"/>
        <v>2380</v>
      </c>
      <c r="I20" s="577"/>
      <c r="J20" s="581">
        <f>SUM(J21:J24)</f>
        <v>1680</v>
      </c>
      <c r="K20" s="585">
        <f>SUM(K21:K24)</f>
        <v>2380</v>
      </c>
      <c r="L20" s="1068" t="s">
        <v>781</v>
      </c>
    </row>
    <row r="21" spans="1:12" x14ac:dyDescent="0.2">
      <c r="A21" s="1354"/>
      <c r="B21" s="1357"/>
      <c r="C21" s="576">
        <v>1700</v>
      </c>
      <c r="D21" s="576">
        <v>2380</v>
      </c>
      <c r="E21" s="576">
        <v>1700</v>
      </c>
      <c r="F21" s="576">
        <v>1540</v>
      </c>
      <c r="G21" s="576">
        <v>1680</v>
      </c>
      <c r="H21" s="576">
        <v>2100</v>
      </c>
      <c r="I21" s="586">
        <v>1150</v>
      </c>
      <c r="J21" s="578">
        <v>1680</v>
      </c>
      <c r="K21" s="579">
        <v>2100</v>
      </c>
      <c r="L21" s="1069"/>
    </row>
    <row r="22" spans="1:12" x14ac:dyDescent="0.2">
      <c r="A22" s="1354"/>
      <c r="B22" s="1357"/>
      <c r="C22" s="576">
        <v>0</v>
      </c>
      <c r="D22" s="576">
        <v>0</v>
      </c>
      <c r="E22" s="576">
        <v>0</v>
      </c>
      <c r="F22" s="576">
        <v>0</v>
      </c>
      <c r="G22" s="576">
        <v>0</v>
      </c>
      <c r="H22" s="576">
        <v>140</v>
      </c>
      <c r="I22" s="586">
        <v>2239</v>
      </c>
      <c r="J22" s="578">
        <v>0</v>
      </c>
      <c r="K22" s="579">
        <v>70</v>
      </c>
      <c r="L22" s="1069"/>
    </row>
    <row r="23" spans="1:12" x14ac:dyDescent="0.2">
      <c r="A23" s="1354"/>
      <c r="B23" s="1357"/>
      <c r="C23" s="576">
        <v>25</v>
      </c>
      <c r="D23" s="576"/>
      <c r="E23" s="576">
        <v>25</v>
      </c>
      <c r="F23" s="576"/>
      <c r="G23" s="576">
        <v>30</v>
      </c>
      <c r="H23" s="576">
        <v>60</v>
      </c>
      <c r="I23" s="586">
        <v>2314</v>
      </c>
      <c r="J23" s="578">
        <v>0</v>
      </c>
      <c r="K23" s="579">
        <v>90</v>
      </c>
      <c r="L23" s="1069"/>
    </row>
    <row r="24" spans="1:12" x14ac:dyDescent="0.2">
      <c r="A24" s="1355"/>
      <c r="B24" s="1358"/>
      <c r="C24" s="576">
        <v>40</v>
      </c>
      <c r="D24" s="576"/>
      <c r="E24" s="576">
        <v>40</v>
      </c>
      <c r="F24" s="576"/>
      <c r="G24" s="576">
        <v>35</v>
      </c>
      <c r="H24" s="576">
        <v>80</v>
      </c>
      <c r="I24" s="587">
        <v>2352</v>
      </c>
      <c r="J24" s="578">
        <v>0</v>
      </c>
      <c r="K24" s="578">
        <v>120</v>
      </c>
      <c r="L24" s="1073"/>
    </row>
    <row r="25" spans="1:12" x14ac:dyDescent="0.2">
      <c r="A25" s="1118">
        <v>4</v>
      </c>
      <c r="B25" s="1367" t="s">
        <v>782</v>
      </c>
      <c r="C25" s="588">
        <f t="shared" ref="C25:H25" si="4">SUM(C26:C30)</f>
        <v>1588</v>
      </c>
      <c r="D25" s="588">
        <f t="shared" si="4"/>
        <v>0</v>
      </c>
      <c r="E25" s="588">
        <f t="shared" si="4"/>
        <v>1588</v>
      </c>
      <c r="F25" s="588">
        <f t="shared" si="4"/>
        <v>0</v>
      </c>
      <c r="G25" s="588">
        <f t="shared" si="4"/>
        <v>1795</v>
      </c>
      <c r="H25" s="588">
        <f t="shared" si="4"/>
        <v>0</v>
      </c>
      <c r="I25" s="577"/>
      <c r="J25" s="581">
        <f>SUM(J26:J30)</f>
        <v>1755</v>
      </c>
      <c r="K25" s="585">
        <f>SUM(K26:K30)</f>
        <v>0</v>
      </c>
      <c r="L25" s="1068" t="s">
        <v>778</v>
      </c>
    </row>
    <row r="26" spans="1:12" x14ac:dyDescent="0.2">
      <c r="A26" s="1354"/>
      <c r="B26" s="1368"/>
      <c r="C26" s="589">
        <v>940</v>
      </c>
      <c r="D26" s="582"/>
      <c r="E26" s="589">
        <v>940</v>
      </c>
      <c r="F26" s="582"/>
      <c r="G26" s="589">
        <v>1000</v>
      </c>
      <c r="H26" s="582"/>
      <c r="I26" s="586">
        <v>1150</v>
      </c>
      <c r="J26" s="583">
        <v>1000</v>
      </c>
      <c r="K26" s="584"/>
      <c r="L26" s="1069"/>
    </row>
    <row r="27" spans="1:12" x14ac:dyDescent="0.2">
      <c r="A27" s="1354"/>
      <c r="B27" s="1368"/>
      <c r="C27" s="589">
        <v>150</v>
      </c>
      <c r="D27" s="582"/>
      <c r="E27" s="589">
        <v>150</v>
      </c>
      <c r="F27" s="582"/>
      <c r="G27" s="589">
        <v>200</v>
      </c>
      <c r="H27" s="582"/>
      <c r="I27" s="586">
        <v>2264</v>
      </c>
      <c r="J27" s="583">
        <v>180</v>
      </c>
      <c r="K27" s="584"/>
      <c r="L27" s="1069"/>
    </row>
    <row r="28" spans="1:12" x14ac:dyDescent="0.2">
      <c r="A28" s="1354"/>
      <c r="B28" s="1368"/>
      <c r="C28" s="589">
        <v>45</v>
      </c>
      <c r="D28" s="582"/>
      <c r="E28" s="589">
        <v>45</v>
      </c>
      <c r="F28" s="582"/>
      <c r="G28" s="589">
        <v>45</v>
      </c>
      <c r="H28" s="582"/>
      <c r="I28" s="586">
        <v>2279</v>
      </c>
      <c r="J28" s="583">
        <v>45</v>
      </c>
      <c r="K28" s="584"/>
      <c r="L28" s="1069"/>
    </row>
    <row r="29" spans="1:12" x14ac:dyDescent="0.2">
      <c r="A29" s="1354"/>
      <c r="B29" s="1368"/>
      <c r="C29" s="589">
        <v>340</v>
      </c>
      <c r="D29" s="582"/>
      <c r="E29" s="589">
        <v>340</v>
      </c>
      <c r="F29" s="582"/>
      <c r="G29" s="589">
        <v>340</v>
      </c>
      <c r="H29" s="582"/>
      <c r="I29" s="586">
        <v>2314</v>
      </c>
      <c r="J29" s="583">
        <v>340</v>
      </c>
      <c r="K29" s="584"/>
      <c r="L29" s="1069"/>
    </row>
    <row r="30" spans="1:12" x14ac:dyDescent="0.2">
      <c r="A30" s="1355"/>
      <c r="B30" s="1369"/>
      <c r="C30" s="293">
        <v>113</v>
      </c>
      <c r="D30" s="576">
        <v>0</v>
      </c>
      <c r="E30" s="293">
        <v>113</v>
      </c>
      <c r="F30" s="576"/>
      <c r="G30" s="293">
        <v>210</v>
      </c>
      <c r="H30" s="576"/>
      <c r="I30" s="284">
        <v>2352</v>
      </c>
      <c r="J30" s="578">
        <v>190</v>
      </c>
      <c r="K30" s="579"/>
      <c r="L30" s="1073"/>
    </row>
    <row r="31" spans="1:12" x14ac:dyDescent="0.2">
      <c r="A31" s="1118">
        <v>5</v>
      </c>
      <c r="B31" s="1367" t="s">
        <v>783</v>
      </c>
      <c r="C31" s="581">
        <f t="shared" ref="C31:H31" si="5">SUM(C32:C34)</f>
        <v>1110</v>
      </c>
      <c r="D31" s="581">
        <f t="shared" si="5"/>
        <v>0</v>
      </c>
      <c r="E31" s="581">
        <f t="shared" si="5"/>
        <v>1110</v>
      </c>
      <c r="F31" s="581">
        <f t="shared" si="5"/>
        <v>0</v>
      </c>
      <c r="G31" s="581">
        <f t="shared" si="5"/>
        <v>1085</v>
      </c>
      <c r="H31" s="581">
        <f t="shared" si="5"/>
        <v>0</v>
      </c>
      <c r="I31" s="577"/>
      <c r="J31" s="581">
        <f>SUM(J32:J34)</f>
        <v>1085</v>
      </c>
      <c r="K31" s="585">
        <f>SUM(K32:K34)</f>
        <v>0</v>
      </c>
      <c r="L31" s="1068" t="s">
        <v>778</v>
      </c>
    </row>
    <row r="32" spans="1:12" x14ac:dyDescent="0.2">
      <c r="A32" s="1354"/>
      <c r="B32" s="1368"/>
      <c r="C32" s="590">
        <v>840</v>
      </c>
      <c r="D32" s="576"/>
      <c r="E32" s="576">
        <v>840</v>
      </c>
      <c r="F32" s="576"/>
      <c r="G32" s="590">
        <v>840</v>
      </c>
      <c r="H32" s="576"/>
      <c r="I32" s="587">
        <v>1150</v>
      </c>
      <c r="J32" s="578">
        <v>840</v>
      </c>
      <c r="K32" s="579"/>
      <c r="L32" s="1069"/>
    </row>
    <row r="33" spans="1:12" x14ac:dyDescent="0.2">
      <c r="A33" s="1354"/>
      <c r="B33" s="1368"/>
      <c r="C33" s="293">
        <v>150</v>
      </c>
      <c r="D33" s="576"/>
      <c r="E33" s="576">
        <v>150</v>
      </c>
      <c r="F33" s="576"/>
      <c r="G33" s="293">
        <v>150</v>
      </c>
      <c r="H33" s="576"/>
      <c r="I33" s="284">
        <v>2264</v>
      </c>
      <c r="J33" s="578">
        <v>150</v>
      </c>
      <c r="K33" s="579"/>
      <c r="L33" s="1069"/>
    </row>
    <row r="34" spans="1:12" x14ac:dyDescent="0.2">
      <c r="A34" s="1355"/>
      <c r="B34" s="1369"/>
      <c r="C34" s="590">
        <v>120</v>
      </c>
      <c r="D34" s="576"/>
      <c r="E34" s="576">
        <v>120</v>
      </c>
      <c r="F34" s="576"/>
      <c r="G34" s="293">
        <v>95</v>
      </c>
      <c r="H34" s="576"/>
      <c r="I34" s="284">
        <v>2314</v>
      </c>
      <c r="J34" s="578">
        <v>95</v>
      </c>
      <c r="K34" s="579"/>
      <c r="L34" s="1073"/>
    </row>
    <row r="35" spans="1:12" x14ac:dyDescent="0.2">
      <c r="A35" s="591"/>
      <c r="B35" s="592"/>
      <c r="C35" s="593"/>
      <c r="D35" s="594"/>
      <c r="E35" s="595"/>
      <c r="F35" s="594"/>
      <c r="G35" s="593"/>
      <c r="H35" s="594"/>
      <c r="I35" s="593"/>
      <c r="J35" s="596"/>
      <c r="K35" s="597"/>
      <c r="L35" s="597"/>
    </row>
    <row r="36" spans="1:12" ht="15.75" x14ac:dyDescent="0.25">
      <c r="A36" s="1363" t="s">
        <v>441</v>
      </c>
      <c r="B36" s="1363"/>
      <c r="D36" s="598"/>
      <c r="E36" s="598"/>
      <c r="F36" s="598"/>
      <c r="G36" s="598"/>
      <c r="H36" s="598"/>
      <c r="I36" s="599" t="s">
        <v>784</v>
      </c>
      <c r="J36" s="598"/>
      <c r="K36" s="598"/>
      <c r="L36" s="565"/>
    </row>
    <row r="37" spans="1:12" x14ac:dyDescent="0.2">
      <c r="A37" s="432" t="s">
        <v>6</v>
      </c>
      <c r="B37" s="432"/>
      <c r="D37" s="600"/>
      <c r="E37" s="600"/>
      <c r="F37" s="600"/>
      <c r="G37" s="600"/>
      <c r="H37" s="600"/>
      <c r="I37" s="600" t="s">
        <v>677</v>
      </c>
      <c r="J37" s="600"/>
      <c r="K37" s="600"/>
      <c r="L37" s="565"/>
    </row>
    <row r="38" spans="1:12" x14ac:dyDescent="0.2">
      <c r="A38" s="569" t="s">
        <v>785</v>
      </c>
      <c r="B38" s="569"/>
      <c r="D38" s="601"/>
      <c r="E38" s="601"/>
      <c r="F38" s="601"/>
      <c r="G38" s="601"/>
      <c r="H38" s="601"/>
      <c r="I38" s="602" t="s">
        <v>190</v>
      </c>
      <c r="J38" s="601"/>
      <c r="K38" s="601"/>
      <c r="L38" s="572"/>
    </row>
    <row r="39" spans="1:12" x14ac:dyDescent="0.2">
      <c r="A39" s="1048" t="s">
        <v>4</v>
      </c>
      <c r="B39" s="1048" t="s">
        <v>3</v>
      </c>
      <c r="C39" s="1048" t="s">
        <v>445</v>
      </c>
      <c r="D39" s="1048"/>
      <c r="E39" s="1048" t="s">
        <v>446</v>
      </c>
      <c r="F39" s="1048"/>
      <c r="G39" s="1048" t="s">
        <v>447</v>
      </c>
      <c r="H39" s="1048"/>
      <c r="I39" s="1048" t="s">
        <v>2</v>
      </c>
      <c r="J39" s="1048" t="s">
        <v>180</v>
      </c>
      <c r="K39" s="1048"/>
      <c r="L39" s="1048" t="s">
        <v>776</v>
      </c>
    </row>
    <row r="40" spans="1:12" ht="35.25" customHeight="1" x14ac:dyDescent="0.2">
      <c r="A40" s="1048"/>
      <c r="B40" s="1048"/>
      <c r="C40" s="573" t="s">
        <v>448</v>
      </c>
      <c r="D40" s="573" t="s">
        <v>449</v>
      </c>
      <c r="E40" s="573" t="s">
        <v>448</v>
      </c>
      <c r="F40" s="573" t="s">
        <v>449</v>
      </c>
      <c r="G40" s="573" t="s">
        <v>448</v>
      </c>
      <c r="H40" s="573" t="s">
        <v>449</v>
      </c>
      <c r="I40" s="1048"/>
      <c r="J40" s="216" t="s">
        <v>448</v>
      </c>
      <c r="K40" s="216" t="s">
        <v>449</v>
      </c>
      <c r="L40" s="1048"/>
    </row>
    <row r="41" spans="1:12" x14ac:dyDescent="0.2">
      <c r="A41" s="1362" t="s">
        <v>380</v>
      </c>
      <c r="B41" s="1362"/>
      <c r="C41" s="574" t="e">
        <f>C42+#REF!+C48+C50+C54+C58+C62+C65+#REF!</f>
        <v>#REF!</v>
      </c>
      <c r="D41" s="574" t="e">
        <f>D42+#REF!+D48+D50+D54+D58+D62+D65+#REF!</f>
        <v>#REF!</v>
      </c>
      <c r="E41" s="574" t="e">
        <f>E42+#REF!+E48+E50+E54+E58+E62+E65+#REF!</f>
        <v>#REF!</v>
      </c>
      <c r="F41" s="574" t="e">
        <f>F42+#REF!+F48+F50+F54+F58+F62+F65+#REF!</f>
        <v>#REF!</v>
      </c>
      <c r="G41" s="574" t="e">
        <f>G42+#REF!+G48+G50+G54+G58+G62+G65+#REF!</f>
        <v>#REF!</v>
      </c>
      <c r="H41" s="574" t="e">
        <f>H42+#REF!+H48+H50+H54+H58+H62+H65+#REF!</f>
        <v>#REF!</v>
      </c>
      <c r="I41" s="575"/>
      <c r="J41" s="574">
        <f>J42+J48+J50+J54+J58+J62+J65</f>
        <v>4658</v>
      </c>
      <c r="K41" s="574">
        <f>K42+K48+K50+K54+K58+K62+K65</f>
        <v>0</v>
      </c>
      <c r="L41" s="574"/>
    </row>
    <row r="42" spans="1:12" s="319" customFormat="1" x14ac:dyDescent="0.2">
      <c r="A42" s="1118">
        <v>1</v>
      </c>
      <c r="B42" s="1356" t="s">
        <v>786</v>
      </c>
      <c r="C42" s="574">
        <f t="shared" ref="C42:H42" si="6">SUM(C43:C47)</f>
        <v>680</v>
      </c>
      <c r="D42" s="574">
        <f t="shared" si="6"/>
        <v>0</v>
      </c>
      <c r="E42" s="574">
        <f t="shared" si="6"/>
        <v>680</v>
      </c>
      <c r="F42" s="574">
        <f t="shared" si="6"/>
        <v>0</v>
      </c>
      <c r="G42" s="574">
        <f t="shared" si="6"/>
        <v>1080</v>
      </c>
      <c r="H42" s="574">
        <f t="shared" si="6"/>
        <v>0</v>
      </c>
      <c r="I42" s="576"/>
      <c r="J42" s="581">
        <f>SUM(J43:J47)</f>
        <v>1080</v>
      </c>
      <c r="K42" s="585">
        <f>SUM(K43:K47)</f>
        <v>0</v>
      </c>
      <c r="L42" s="1068" t="s">
        <v>787</v>
      </c>
    </row>
    <row r="43" spans="1:12" s="319" customFormat="1" x14ac:dyDescent="0.2">
      <c r="A43" s="1354"/>
      <c r="B43" s="1357"/>
      <c r="C43" s="578">
        <v>460</v>
      </c>
      <c r="D43" s="576"/>
      <c r="E43" s="578">
        <v>460</v>
      </c>
      <c r="F43" s="576"/>
      <c r="G43" s="578">
        <v>660</v>
      </c>
      <c r="H43" s="576"/>
      <c r="I43" s="587">
        <v>1150</v>
      </c>
      <c r="J43" s="578">
        <v>660</v>
      </c>
      <c r="K43" s="579"/>
      <c r="L43" s="1069"/>
    </row>
    <row r="44" spans="1:12" s="319" customFormat="1" x14ac:dyDescent="0.2">
      <c r="A44" s="1354"/>
      <c r="B44" s="1357"/>
      <c r="C44" s="578">
        <v>50</v>
      </c>
      <c r="D44" s="576"/>
      <c r="E44" s="578">
        <v>50</v>
      </c>
      <c r="F44" s="576"/>
      <c r="G44" s="578">
        <v>50</v>
      </c>
      <c r="H44" s="576"/>
      <c r="I44" s="587">
        <v>2264</v>
      </c>
      <c r="J44" s="578">
        <v>50</v>
      </c>
      <c r="K44" s="579"/>
      <c r="L44" s="1069"/>
    </row>
    <row r="45" spans="1:12" s="319" customFormat="1" x14ac:dyDescent="0.2">
      <c r="A45" s="1354"/>
      <c r="B45" s="1357"/>
      <c r="C45" s="578">
        <v>100</v>
      </c>
      <c r="D45" s="576"/>
      <c r="E45" s="578">
        <v>100</v>
      </c>
      <c r="F45" s="576"/>
      <c r="G45" s="578">
        <v>100</v>
      </c>
      <c r="H45" s="576"/>
      <c r="I45" s="587">
        <v>2269</v>
      </c>
      <c r="J45" s="578">
        <v>100</v>
      </c>
      <c r="K45" s="579"/>
      <c r="L45" s="1069"/>
    </row>
    <row r="46" spans="1:12" s="319" customFormat="1" x14ac:dyDescent="0.2">
      <c r="A46" s="1354"/>
      <c r="B46" s="1357"/>
      <c r="C46" s="578">
        <v>0</v>
      </c>
      <c r="D46" s="576"/>
      <c r="E46" s="578">
        <v>0</v>
      </c>
      <c r="F46" s="576"/>
      <c r="G46" s="578">
        <v>100</v>
      </c>
      <c r="H46" s="576"/>
      <c r="I46" s="587">
        <v>2231</v>
      </c>
      <c r="J46" s="578">
        <v>100</v>
      </c>
      <c r="K46" s="579"/>
      <c r="L46" s="1069"/>
    </row>
    <row r="47" spans="1:12" s="319" customFormat="1" x14ac:dyDescent="0.2">
      <c r="A47" s="1355"/>
      <c r="B47" s="1358"/>
      <c r="C47" s="578">
        <v>70</v>
      </c>
      <c r="D47" s="576"/>
      <c r="E47" s="578">
        <v>70</v>
      </c>
      <c r="F47" s="576"/>
      <c r="G47" s="578">
        <v>170</v>
      </c>
      <c r="H47" s="576"/>
      <c r="I47" s="587">
        <v>2314</v>
      </c>
      <c r="J47" s="578">
        <v>170</v>
      </c>
      <c r="K47" s="579"/>
      <c r="L47" s="1073"/>
    </row>
    <row r="48" spans="1:12" s="319" customFormat="1" x14ac:dyDescent="0.2">
      <c r="A48" s="1118">
        <v>2</v>
      </c>
      <c r="B48" s="1356" t="s">
        <v>788</v>
      </c>
      <c r="C48" s="580">
        <f t="shared" ref="C48:H48" si="7">C49</f>
        <v>204</v>
      </c>
      <c r="D48" s="580">
        <f t="shared" si="7"/>
        <v>0</v>
      </c>
      <c r="E48" s="580">
        <f t="shared" si="7"/>
        <v>204</v>
      </c>
      <c r="F48" s="580">
        <f t="shared" si="7"/>
        <v>0</v>
      </c>
      <c r="G48" s="580">
        <f t="shared" si="7"/>
        <v>50</v>
      </c>
      <c r="H48" s="580">
        <f t="shared" si="7"/>
        <v>0</v>
      </c>
      <c r="I48" s="577"/>
      <c r="J48" s="581">
        <f>J49</f>
        <v>50</v>
      </c>
      <c r="K48" s="585">
        <f>K49</f>
        <v>0</v>
      </c>
      <c r="L48" s="1068" t="s">
        <v>787</v>
      </c>
    </row>
    <row r="49" spans="1:12" s="319" customFormat="1" x14ac:dyDescent="0.2">
      <c r="A49" s="1355"/>
      <c r="B49" s="1358"/>
      <c r="C49" s="576">
        <v>204</v>
      </c>
      <c r="D49" s="576"/>
      <c r="E49" s="576">
        <v>204</v>
      </c>
      <c r="F49" s="576"/>
      <c r="G49" s="576">
        <v>50</v>
      </c>
      <c r="H49" s="576"/>
      <c r="I49" s="577">
        <v>2314</v>
      </c>
      <c r="J49" s="578">
        <v>50</v>
      </c>
      <c r="K49" s="579"/>
      <c r="L49" s="1073"/>
    </row>
    <row r="50" spans="1:12" s="319" customFormat="1" x14ac:dyDescent="0.2">
      <c r="A50" s="1118">
        <v>3</v>
      </c>
      <c r="B50" s="1367" t="s">
        <v>789</v>
      </c>
      <c r="C50" s="581">
        <f t="shared" ref="C50:H50" si="8">SUM(C51:C53)</f>
        <v>498</v>
      </c>
      <c r="D50" s="581">
        <f t="shared" si="8"/>
        <v>0</v>
      </c>
      <c r="E50" s="581">
        <f t="shared" si="8"/>
        <v>498</v>
      </c>
      <c r="F50" s="581">
        <f t="shared" si="8"/>
        <v>0</v>
      </c>
      <c r="G50" s="581">
        <f t="shared" si="8"/>
        <v>548</v>
      </c>
      <c r="H50" s="581">
        <f t="shared" si="8"/>
        <v>0</v>
      </c>
      <c r="I50" s="577"/>
      <c r="J50" s="581">
        <f>SUM(J51:J53)</f>
        <v>548</v>
      </c>
      <c r="K50" s="585">
        <f>SUM(K51:K53)</f>
        <v>0</v>
      </c>
      <c r="L50" s="1068" t="s">
        <v>787</v>
      </c>
    </row>
    <row r="51" spans="1:12" s="319" customFormat="1" x14ac:dyDescent="0.2">
      <c r="A51" s="1354"/>
      <c r="B51" s="1368"/>
      <c r="C51" s="590">
        <v>100</v>
      </c>
      <c r="D51" s="576"/>
      <c r="E51" s="576">
        <v>100</v>
      </c>
      <c r="F51" s="576"/>
      <c r="G51" s="590">
        <v>150</v>
      </c>
      <c r="H51" s="576"/>
      <c r="I51" s="587">
        <v>1150</v>
      </c>
      <c r="J51" s="578">
        <v>150</v>
      </c>
      <c r="K51" s="579"/>
      <c r="L51" s="1069"/>
    </row>
    <row r="52" spans="1:12" s="319" customFormat="1" x14ac:dyDescent="0.2">
      <c r="A52" s="1354"/>
      <c r="B52" s="1368"/>
      <c r="C52" s="590">
        <v>150</v>
      </c>
      <c r="D52" s="576"/>
      <c r="E52" s="576">
        <v>150</v>
      </c>
      <c r="F52" s="576"/>
      <c r="G52" s="590">
        <v>150</v>
      </c>
      <c r="H52" s="576"/>
      <c r="I52" s="587">
        <v>2231</v>
      </c>
      <c r="J52" s="578">
        <v>150</v>
      </c>
      <c r="K52" s="579"/>
      <c r="L52" s="1069"/>
    </row>
    <row r="53" spans="1:12" s="319" customFormat="1" x14ac:dyDescent="0.2">
      <c r="A53" s="1355"/>
      <c r="B53" s="1369"/>
      <c r="C53" s="590">
        <v>248</v>
      </c>
      <c r="D53" s="576"/>
      <c r="E53" s="578">
        <v>248</v>
      </c>
      <c r="F53" s="576"/>
      <c r="G53" s="590">
        <v>248</v>
      </c>
      <c r="H53" s="576"/>
      <c r="I53" s="587">
        <v>2314</v>
      </c>
      <c r="J53" s="578">
        <v>248</v>
      </c>
      <c r="K53" s="579"/>
      <c r="L53" s="1073"/>
    </row>
    <row r="54" spans="1:12" s="319" customFormat="1" x14ac:dyDescent="0.2">
      <c r="A54" s="1118">
        <v>4</v>
      </c>
      <c r="B54" s="1356" t="s">
        <v>790</v>
      </c>
      <c r="C54" s="581">
        <f t="shared" ref="C54:H54" si="9">SUM(C55:C57)</f>
        <v>450</v>
      </c>
      <c r="D54" s="581">
        <f t="shared" si="9"/>
        <v>0</v>
      </c>
      <c r="E54" s="581">
        <f t="shared" si="9"/>
        <v>450</v>
      </c>
      <c r="F54" s="581">
        <f t="shared" si="9"/>
        <v>0</v>
      </c>
      <c r="G54" s="581">
        <f t="shared" si="9"/>
        <v>550</v>
      </c>
      <c r="H54" s="581">
        <f t="shared" si="9"/>
        <v>0</v>
      </c>
      <c r="I54" s="577"/>
      <c r="J54" s="581">
        <f>SUM(J55:J57)</f>
        <v>550</v>
      </c>
      <c r="K54" s="585">
        <f>SUM(K55:K57)</f>
        <v>0</v>
      </c>
      <c r="L54" s="1068" t="s">
        <v>787</v>
      </c>
    </row>
    <row r="55" spans="1:12" s="319" customFormat="1" x14ac:dyDescent="0.2">
      <c r="A55" s="1354"/>
      <c r="B55" s="1357"/>
      <c r="C55" s="603">
        <v>300</v>
      </c>
      <c r="D55" s="582"/>
      <c r="E55" s="603">
        <v>300</v>
      </c>
      <c r="F55" s="582"/>
      <c r="G55" s="603">
        <v>350</v>
      </c>
      <c r="H55" s="582"/>
      <c r="I55" s="587">
        <v>1150</v>
      </c>
      <c r="J55" s="583">
        <v>350</v>
      </c>
      <c r="K55" s="584"/>
      <c r="L55" s="1069"/>
    </row>
    <row r="56" spans="1:12" s="319" customFormat="1" x14ac:dyDescent="0.2">
      <c r="A56" s="1354"/>
      <c r="B56" s="1357"/>
      <c r="C56" s="288">
        <v>150</v>
      </c>
      <c r="D56" s="582"/>
      <c r="E56" s="288">
        <v>150</v>
      </c>
      <c r="F56" s="582"/>
      <c r="G56" s="288">
        <v>150</v>
      </c>
      <c r="H56" s="582"/>
      <c r="I56" s="284">
        <v>2269</v>
      </c>
      <c r="J56" s="583">
        <v>150</v>
      </c>
      <c r="K56" s="584"/>
      <c r="L56" s="1069"/>
    </row>
    <row r="57" spans="1:12" s="319" customFormat="1" x14ac:dyDescent="0.2">
      <c r="A57" s="1355"/>
      <c r="B57" s="1358"/>
      <c r="C57" s="293">
        <v>0</v>
      </c>
      <c r="D57" s="576"/>
      <c r="E57" s="293">
        <v>0</v>
      </c>
      <c r="F57" s="576"/>
      <c r="G57" s="293">
        <v>50</v>
      </c>
      <c r="H57" s="576"/>
      <c r="I57" s="284">
        <v>2314</v>
      </c>
      <c r="J57" s="578">
        <v>50</v>
      </c>
      <c r="K57" s="579"/>
      <c r="L57" s="1073"/>
    </row>
    <row r="58" spans="1:12" x14ac:dyDescent="0.2">
      <c r="A58" s="1118">
        <v>5</v>
      </c>
      <c r="B58" s="1356" t="s">
        <v>791</v>
      </c>
      <c r="C58" s="581">
        <f t="shared" ref="C58:H58" si="10">SUM(C59:C61)</f>
        <v>310</v>
      </c>
      <c r="D58" s="581">
        <f t="shared" si="10"/>
        <v>0</v>
      </c>
      <c r="E58" s="581">
        <f t="shared" si="10"/>
        <v>310</v>
      </c>
      <c r="F58" s="581">
        <f t="shared" si="10"/>
        <v>0</v>
      </c>
      <c r="G58" s="581">
        <f t="shared" si="10"/>
        <v>310</v>
      </c>
      <c r="H58" s="581">
        <f t="shared" si="10"/>
        <v>0</v>
      </c>
      <c r="I58" s="577"/>
      <c r="J58" s="581">
        <f>SUM(J59:J61)</f>
        <v>310</v>
      </c>
      <c r="K58" s="585">
        <f>SUM(K59:K61)</f>
        <v>0</v>
      </c>
      <c r="L58" s="1068" t="s">
        <v>787</v>
      </c>
    </row>
    <row r="59" spans="1:12" x14ac:dyDescent="0.2">
      <c r="A59" s="1354"/>
      <c r="B59" s="1357"/>
      <c r="C59" s="293">
        <v>180</v>
      </c>
      <c r="D59" s="576"/>
      <c r="E59" s="293">
        <v>180</v>
      </c>
      <c r="F59" s="576"/>
      <c r="G59" s="293">
        <v>180</v>
      </c>
      <c r="H59" s="576"/>
      <c r="I59" s="284">
        <v>1150</v>
      </c>
      <c r="J59" s="578">
        <v>180</v>
      </c>
      <c r="K59" s="579"/>
      <c r="L59" s="1069"/>
    </row>
    <row r="60" spans="1:12" x14ac:dyDescent="0.2">
      <c r="A60" s="1354"/>
      <c r="B60" s="1357"/>
      <c r="C60" s="590">
        <v>40</v>
      </c>
      <c r="D60" s="576"/>
      <c r="E60" s="590">
        <v>40</v>
      </c>
      <c r="F60" s="576"/>
      <c r="G60" s="590">
        <v>40</v>
      </c>
      <c r="H60" s="576"/>
      <c r="I60" s="587">
        <v>2279</v>
      </c>
      <c r="J60" s="604">
        <v>40</v>
      </c>
      <c r="K60" s="605"/>
      <c r="L60" s="1069"/>
    </row>
    <row r="61" spans="1:12" x14ac:dyDescent="0.2">
      <c r="A61" s="1355"/>
      <c r="B61" s="1358"/>
      <c r="C61" s="590">
        <v>90</v>
      </c>
      <c r="D61" s="576"/>
      <c r="E61" s="590">
        <v>90</v>
      </c>
      <c r="F61" s="576"/>
      <c r="G61" s="590">
        <v>90</v>
      </c>
      <c r="H61" s="576"/>
      <c r="I61" s="587">
        <v>2314</v>
      </c>
      <c r="J61" s="578">
        <v>90</v>
      </c>
      <c r="K61" s="579"/>
      <c r="L61" s="1073"/>
    </row>
    <row r="62" spans="1:12" x14ac:dyDescent="0.2">
      <c r="A62" s="1118">
        <v>6</v>
      </c>
      <c r="B62" s="1364" t="s">
        <v>792</v>
      </c>
      <c r="C62" s="581">
        <f t="shared" ref="C62:H62" si="11">SUM(C63:C64)</f>
        <v>1040</v>
      </c>
      <c r="D62" s="581">
        <f t="shared" si="11"/>
        <v>0</v>
      </c>
      <c r="E62" s="581">
        <f t="shared" si="11"/>
        <v>1040</v>
      </c>
      <c r="F62" s="581">
        <f t="shared" si="11"/>
        <v>0</v>
      </c>
      <c r="G62" s="581">
        <f t="shared" si="11"/>
        <v>1040</v>
      </c>
      <c r="H62" s="581">
        <f t="shared" si="11"/>
        <v>0</v>
      </c>
      <c r="I62" s="577"/>
      <c r="J62" s="581">
        <f>SUM(J63:J64)</f>
        <v>1040</v>
      </c>
      <c r="K62" s="585">
        <f>SUM(K63:K64)</f>
        <v>0</v>
      </c>
      <c r="L62" s="1068" t="s">
        <v>787</v>
      </c>
    </row>
    <row r="63" spans="1:12" x14ac:dyDescent="0.2">
      <c r="A63" s="1354"/>
      <c r="B63" s="1365"/>
      <c r="C63" s="590">
        <v>800</v>
      </c>
      <c r="D63" s="576"/>
      <c r="E63" s="590">
        <v>800</v>
      </c>
      <c r="F63" s="576"/>
      <c r="G63" s="590">
        <v>800</v>
      </c>
      <c r="H63" s="576"/>
      <c r="I63" s="587">
        <v>1150</v>
      </c>
      <c r="J63" s="578">
        <v>800</v>
      </c>
      <c r="K63" s="579"/>
      <c r="L63" s="1069"/>
    </row>
    <row r="64" spans="1:12" x14ac:dyDescent="0.2">
      <c r="A64" s="1355"/>
      <c r="B64" s="1366"/>
      <c r="C64" s="590">
        <v>240</v>
      </c>
      <c r="D64" s="576"/>
      <c r="E64" s="590">
        <v>240</v>
      </c>
      <c r="F64" s="576"/>
      <c r="G64" s="590">
        <v>240</v>
      </c>
      <c r="H64" s="576"/>
      <c r="I64" s="587">
        <v>2314</v>
      </c>
      <c r="J64" s="578">
        <v>240</v>
      </c>
      <c r="K64" s="579"/>
      <c r="L64" s="1073"/>
    </row>
    <row r="65" spans="1:12" x14ac:dyDescent="0.2">
      <c r="A65" s="1118">
        <v>7</v>
      </c>
      <c r="B65" s="1356" t="s">
        <v>793</v>
      </c>
      <c r="C65" s="580">
        <f t="shared" ref="C65:H65" si="12">SUM(C66:C67)</f>
        <v>1080</v>
      </c>
      <c r="D65" s="580">
        <f t="shared" si="12"/>
        <v>0</v>
      </c>
      <c r="E65" s="580">
        <f t="shared" si="12"/>
        <v>1080</v>
      </c>
      <c r="F65" s="580">
        <f t="shared" si="12"/>
        <v>0</v>
      </c>
      <c r="G65" s="580">
        <f t="shared" si="12"/>
        <v>1080</v>
      </c>
      <c r="H65" s="580">
        <f t="shared" si="12"/>
        <v>0</v>
      </c>
      <c r="I65" s="577"/>
      <c r="J65" s="581">
        <f>SUM(J66:J67)</f>
        <v>1080</v>
      </c>
      <c r="K65" s="585">
        <f>SUM(K66:K67)</f>
        <v>0</v>
      </c>
      <c r="L65" s="1068" t="s">
        <v>787</v>
      </c>
    </row>
    <row r="66" spans="1:12" x14ac:dyDescent="0.2">
      <c r="A66" s="1354"/>
      <c r="B66" s="1357"/>
      <c r="C66" s="576">
        <v>600</v>
      </c>
      <c r="D66" s="576"/>
      <c r="E66" s="576">
        <v>600</v>
      </c>
      <c r="F66" s="576"/>
      <c r="G66" s="590">
        <v>600</v>
      </c>
      <c r="H66" s="576"/>
      <c r="I66" s="587">
        <v>1150</v>
      </c>
      <c r="J66" s="578">
        <v>600</v>
      </c>
      <c r="K66" s="579"/>
      <c r="L66" s="1069"/>
    </row>
    <row r="67" spans="1:12" x14ac:dyDescent="0.2">
      <c r="A67" s="1355"/>
      <c r="B67" s="1358"/>
      <c r="C67" s="576">
        <v>480</v>
      </c>
      <c r="D67" s="576"/>
      <c r="E67" s="576">
        <v>480</v>
      </c>
      <c r="F67" s="576"/>
      <c r="G67" s="590">
        <v>480</v>
      </c>
      <c r="H67" s="576"/>
      <c r="I67" s="587">
        <v>2314</v>
      </c>
      <c r="J67" s="578">
        <v>480</v>
      </c>
      <c r="K67" s="579"/>
      <c r="L67" s="1073"/>
    </row>
    <row r="68" spans="1:12" x14ac:dyDescent="0.2">
      <c r="A68" s="594"/>
      <c r="B68" s="594"/>
      <c r="C68" s="594"/>
      <c r="D68" s="594"/>
      <c r="E68" s="594"/>
      <c r="F68" s="594"/>
      <c r="G68" s="594"/>
      <c r="H68" s="594"/>
      <c r="I68" s="594"/>
      <c r="J68" s="596"/>
      <c r="K68" s="606"/>
      <c r="L68" s="606"/>
    </row>
    <row r="69" spans="1:12" ht="15.75" x14ac:dyDescent="0.25">
      <c r="A69" s="1363" t="s">
        <v>441</v>
      </c>
      <c r="B69" s="1363"/>
      <c r="D69" s="598"/>
      <c r="E69" s="598"/>
      <c r="F69" s="598"/>
      <c r="G69" s="598"/>
      <c r="H69" s="598"/>
      <c r="I69" s="599" t="s">
        <v>773</v>
      </c>
      <c r="J69" s="598"/>
      <c r="K69" s="598"/>
      <c r="L69" s="565"/>
    </row>
    <row r="70" spans="1:12" x14ac:dyDescent="0.2">
      <c r="A70" s="432" t="s">
        <v>6</v>
      </c>
      <c r="B70" s="432"/>
      <c r="D70" s="600"/>
      <c r="E70" s="600"/>
      <c r="F70" s="600"/>
      <c r="G70" s="600"/>
      <c r="H70" s="600"/>
      <c r="I70" s="600" t="s">
        <v>677</v>
      </c>
      <c r="J70" s="600"/>
      <c r="K70" s="600"/>
      <c r="L70" s="565"/>
    </row>
    <row r="71" spans="1:12" x14ac:dyDescent="0.2">
      <c r="A71" s="569" t="s">
        <v>5</v>
      </c>
      <c r="B71" s="569"/>
      <c r="D71" s="601"/>
      <c r="E71" s="601"/>
      <c r="F71" s="601"/>
      <c r="G71" s="601"/>
      <c r="H71" s="601"/>
      <c r="I71" s="602" t="s">
        <v>190</v>
      </c>
      <c r="J71" s="601"/>
      <c r="K71" s="601"/>
      <c r="L71" s="572"/>
    </row>
    <row r="72" spans="1:12" x14ac:dyDescent="0.2">
      <c r="A72" s="1048" t="s">
        <v>4</v>
      </c>
      <c r="B72" s="1048" t="s">
        <v>3</v>
      </c>
      <c r="C72" s="1048" t="s">
        <v>445</v>
      </c>
      <c r="D72" s="1048"/>
      <c r="E72" s="1048" t="s">
        <v>446</v>
      </c>
      <c r="F72" s="1048"/>
      <c r="G72" s="1048" t="s">
        <v>447</v>
      </c>
      <c r="H72" s="1048"/>
      <c r="I72" s="1048" t="s">
        <v>2</v>
      </c>
      <c r="J72" s="1048" t="s">
        <v>180</v>
      </c>
      <c r="K72" s="1048"/>
      <c r="L72" s="1048" t="s">
        <v>776</v>
      </c>
    </row>
    <row r="73" spans="1:12" ht="24" x14ac:dyDescent="0.2">
      <c r="A73" s="1048"/>
      <c r="B73" s="1048"/>
      <c r="C73" s="573" t="s">
        <v>448</v>
      </c>
      <c r="D73" s="573" t="s">
        <v>449</v>
      </c>
      <c r="E73" s="573" t="s">
        <v>448</v>
      </c>
      <c r="F73" s="573" t="s">
        <v>449</v>
      </c>
      <c r="G73" s="573" t="s">
        <v>448</v>
      </c>
      <c r="H73" s="573" t="s">
        <v>449</v>
      </c>
      <c r="I73" s="1048"/>
      <c r="J73" s="573" t="s">
        <v>448</v>
      </c>
      <c r="K73" s="573" t="s">
        <v>449</v>
      </c>
      <c r="L73" s="1048"/>
    </row>
    <row r="74" spans="1:12" x14ac:dyDescent="0.2">
      <c r="A74" s="1362" t="s">
        <v>380</v>
      </c>
      <c r="B74" s="1362"/>
      <c r="C74" s="575" t="e">
        <f>C75+C78+C82+C86+C88+C92+#REF!+#REF!+C94+C98+C101+C104+C106+C108+#REF!</f>
        <v>#REF!</v>
      </c>
      <c r="D74" s="575" t="e">
        <f>D75+D78+D82+D86+D88+D92+#REF!+#REF!+D94+D98+D101+D104+D106+D108</f>
        <v>#REF!</v>
      </c>
      <c r="E74" s="575" t="e">
        <f>E75+E78+E82+E86+E88+E92+#REF!+#REF!+E94+E98+E101+E104+E106+E108</f>
        <v>#REF!</v>
      </c>
      <c r="F74" s="575" t="e">
        <f>F75+F78+F82+F86+F88+F92+#REF!+#REF!+F94+F98+F101+F104+F106+F108</f>
        <v>#REF!</v>
      </c>
      <c r="G74" s="575" t="e">
        <f>G75+G78+G82+G86+G88+G92+#REF!+#REF!+G94+G98+G101+G104+G106+G108</f>
        <v>#REF!</v>
      </c>
      <c r="H74" s="575" t="e">
        <f>H75+H78+H82+H86+H88+H92+#REF!+#REF!+H94+H98+H101+H104+H106+H108</f>
        <v>#REF!</v>
      </c>
      <c r="I74" s="575"/>
      <c r="J74" s="574">
        <f>J75+J78+J82+J86+J88+J92+J94+J98+J101+J104+J106+J108</f>
        <v>9728</v>
      </c>
      <c r="K74" s="574">
        <f>K75+K78+K82+K86+K88+K92+K94+K98+K101+K104+K106+K108</f>
        <v>0</v>
      </c>
      <c r="L74" s="574"/>
    </row>
    <row r="75" spans="1:12" x14ac:dyDescent="0.2">
      <c r="A75" s="1118">
        <v>1</v>
      </c>
      <c r="B75" s="1356" t="s">
        <v>779</v>
      </c>
      <c r="C75" s="580">
        <f t="shared" ref="C75:H75" si="13">SUM(C76:C77)</f>
        <v>736</v>
      </c>
      <c r="D75" s="580">
        <f t="shared" si="13"/>
        <v>0</v>
      </c>
      <c r="E75" s="580">
        <f t="shared" si="13"/>
        <v>736</v>
      </c>
      <c r="F75" s="580">
        <f t="shared" si="13"/>
        <v>0</v>
      </c>
      <c r="G75" s="580">
        <f t="shared" si="13"/>
        <v>736</v>
      </c>
      <c r="H75" s="580">
        <f t="shared" si="13"/>
        <v>0</v>
      </c>
      <c r="I75" s="576"/>
      <c r="J75" s="581">
        <f>SUM(J76:J77)</f>
        <v>736</v>
      </c>
      <c r="K75" s="585">
        <f>SUM(K76:K77)</f>
        <v>0</v>
      </c>
      <c r="L75" s="1068" t="s">
        <v>787</v>
      </c>
    </row>
    <row r="76" spans="1:12" x14ac:dyDescent="0.2">
      <c r="A76" s="1354"/>
      <c r="B76" s="1357"/>
      <c r="C76" s="576">
        <v>350</v>
      </c>
      <c r="D76" s="576"/>
      <c r="E76" s="576">
        <v>350</v>
      </c>
      <c r="F76" s="576"/>
      <c r="G76" s="576">
        <v>350</v>
      </c>
      <c r="H76" s="576"/>
      <c r="I76" s="577">
        <v>1150</v>
      </c>
      <c r="J76" s="578">
        <v>350</v>
      </c>
      <c r="K76" s="579"/>
      <c r="L76" s="1069"/>
    </row>
    <row r="77" spans="1:12" x14ac:dyDescent="0.2">
      <c r="A77" s="1355"/>
      <c r="B77" s="1358"/>
      <c r="C77" s="576">
        <v>386</v>
      </c>
      <c r="D77" s="576"/>
      <c r="E77" s="576">
        <v>386</v>
      </c>
      <c r="F77" s="576"/>
      <c r="G77" s="576">
        <v>386</v>
      </c>
      <c r="H77" s="576"/>
      <c r="I77" s="577">
        <v>2314</v>
      </c>
      <c r="J77" s="578">
        <v>386</v>
      </c>
      <c r="K77" s="579"/>
      <c r="L77" s="1073"/>
    </row>
    <row r="78" spans="1:12" x14ac:dyDescent="0.2">
      <c r="A78" s="1118">
        <v>2</v>
      </c>
      <c r="B78" s="1356" t="s">
        <v>794</v>
      </c>
      <c r="C78" s="580">
        <f t="shared" ref="C78:H78" si="14">SUM(C79:C81)</f>
        <v>1570</v>
      </c>
      <c r="D78" s="580">
        <f t="shared" si="14"/>
        <v>0</v>
      </c>
      <c r="E78" s="580">
        <f t="shared" si="14"/>
        <v>1570</v>
      </c>
      <c r="F78" s="580">
        <f t="shared" si="14"/>
        <v>0</v>
      </c>
      <c r="G78" s="580">
        <f t="shared" si="14"/>
        <v>1570</v>
      </c>
      <c r="H78" s="580">
        <f t="shared" si="14"/>
        <v>0</v>
      </c>
      <c r="I78" s="577"/>
      <c r="J78" s="581">
        <f>SUM(J79:J81)</f>
        <v>1570</v>
      </c>
      <c r="K78" s="585">
        <f>SUM(K79:K81)</f>
        <v>0</v>
      </c>
      <c r="L78" s="1068" t="s">
        <v>787</v>
      </c>
    </row>
    <row r="79" spans="1:12" x14ac:dyDescent="0.2">
      <c r="A79" s="1354"/>
      <c r="B79" s="1357"/>
      <c r="C79" s="582">
        <v>200</v>
      </c>
      <c r="D79" s="582"/>
      <c r="E79" s="582">
        <v>200</v>
      </c>
      <c r="F79" s="582"/>
      <c r="G79" s="582">
        <v>200</v>
      </c>
      <c r="H79" s="582"/>
      <c r="I79" s="577">
        <v>1150</v>
      </c>
      <c r="J79" s="583">
        <v>200</v>
      </c>
      <c r="K79" s="584"/>
      <c r="L79" s="1069"/>
    </row>
    <row r="80" spans="1:12" x14ac:dyDescent="0.2">
      <c r="A80" s="1354"/>
      <c r="B80" s="1357"/>
      <c r="C80" s="582">
        <v>300</v>
      </c>
      <c r="D80" s="582"/>
      <c r="E80" s="582">
        <v>300</v>
      </c>
      <c r="F80" s="582"/>
      <c r="G80" s="582">
        <v>300</v>
      </c>
      <c r="H80" s="582"/>
      <c r="I80" s="577">
        <v>2231</v>
      </c>
      <c r="J80" s="583">
        <v>300</v>
      </c>
      <c r="K80" s="584"/>
      <c r="L80" s="1069"/>
    </row>
    <row r="81" spans="1:12" x14ac:dyDescent="0.2">
      <c r="A81" s="1355"/>
      <c r="B81" s="1358"/>
      <c r="C81" s="576">
        <v>1070</v>
      </c>
      <c r="D81" s="576"/>
      <c r="E81" s="576">
        <v>1070</v>
      </c>
      <c r="F81" s="576"/>
      <c r="G81" s="576">
        <v>1070</v>
      </c>
      <c r="H81" s="576"/>
      <c r="I81" s="577">
        <v>2314</v>
      </c>
      <c r="J81" s="578">
        <v>1070</v>
      </c>
      <c r="K81" s="579"/>
      <c r="L81" s="1073"/>
    </row>
    <row r="82" spans="1:12" x14ac:dyDescent="0.2">
      <c r="A82" s="1118">
        <v>3</v>
      </c>
      <c r="B82" s="1356" t="s">
        <v>795</v>
      </c>
      <c r="C82" s="580">
        <f t="shared" ref="C82:H82" si="15">SUM(C83:C85)</f>
        <v>548</v>
      </c>
      <c r="D82" s="580">
        <f t="shared" si="15"/>
        <v>0</v>
      </c>
      <c r="E82" s="580">
        <f t="shared" si="15"/>
        <v>548</v>
      </c>
      <c r="F82" s="580">
        <f t="shared" si="15"/>
        <v>0</v>
      </c>
      <c r="G82" s="580">
        <f t="shared" si="15"/>
        <v>548</v>
      </c>
      <c r="H82" s="580">
        <f t="shared" si="15"/>
        <v>0</v>
      </c>
      <c r="I82" s="577"/>
      <c r="J82" s="581">
        <f>SUM(J83:J85)</f>
        <v>548</v>
      </c>
      <c r="K82" s="585">
        <f>SUM(K83:K85)</f>
        <v>0</v>
      </c>
      <c r="L82" s="1068" t="s">
        <v>787</v>
      </c>
    </row>
    <row r="83" spans="1:12" x14ac:dyDescent="0.2">
      <c r="A83" s="1354"/>
      <c r="B83" s="1357"/>
      <c r="C83" s="576">
        <v>358</v>
      </c>
      <c r="D83" s="576"/>
      <c r="E83" s="576">
        <v>358</v>
      </c>
      <c r="F83" s="576"/>
      <c r="G83" s="576">
        <v>358</v>
      </c>
      <c r="H83" s="576"/>
      <c r="I83" s="577">
        <v>1150</v>
      </c>
      <c r="J83" s="578">
        <v>358</v>
      </c>
      <c r="K83" s="579"/>
      <c r="L83" s="1069"/>
    </row>
    <row r="84" spans="1:12" x14ac:dyDescent="0.2">
      <c r="A84" s="1354"/>
      <c r="B84" s="1357"/>
      <c r="C84" s="576">
        <v>20</v>
      </c>
      <c r="D84" s="576"/>
      <c r="E84" s="576">
        <v>20</v>
      </c>
      <c r="F84" s="576"/>
      <c r="G84" s="576">
        <v>20</v>
      </c>
      <c r="H84" s="576"/>
      <c r="I84" s="577">
        <v>2311</v>
      </c>
      <c r="J84" s="578">
        <v>20</v>
      </c>
      <c r="K84" s="579"/>
      <c r="L84" s="1069"/>
    </row>
    <row r="85" spans="1:12" x14ac:dyDescent="0.2">
      <c r="A85" s="1355"/>
      <c r="B85" s="1358"/>
      <c r="C85" s="576">
        <v>170</v>
      </c>
      <c r="D85" s="576"/>
      <c r="E85" s="576">
        <v>170</v>
      </c>
      <c r="F85" s="576"/>
      <c r="G85" s="576">
        <v>170</v>
      </c>
      <c r="H85" s="576"/>
      <c r="I85" s="577">
        <v>2314</v>
      </c>
      <c r="J85" s="578">
        <v>170</v>
      </c>
      <c r="K85" s="579"/>
      <c r="L85" s="1073"/>
    </row>
    <row r="86" spans="1:12" x14ac:dyDescent="0.2">
      <c r="A86" s="1118">
        <v>4</v>
      </c>
      <c r="B86" s="1356" t="s">
        <v>796</v>
      </c>
      <c r="C86" s="580">
        <f t="shared" ref="C86:H86" si="16">SUM(C87:C87)</f>
        <v>200</v>
      </c>
      <c r="D86" s="580">
        <f t="shared" si="16"/>
        <v>0</v>
      </c>
      <c r="E86" s="580">
        <f t="shared" si="16"/>
        <v>200</v>
      </c>
      <c r="F86" s="580">
        <f t="shared" si="16"/>
        <v>0</v>
      </c>
      <c r="G86" s="580">
        <f t="shared" si="16"/>
        <v>434</v>
      </c>
      <c r="H86" s="580">
        <f t="shared" si="16"/>
        <v>0</v>
      </c>
      <c r="I86" s="577"/>
      <c r="J86" s="581">
        <f>SUM(J87:J87)</f>
        <v>434</v>
      </c>
      <c r="K86" s="585">
        <f>SUM(K87:K87)</f>
        <v>0</v>
      </c>
      <c r="L86" s="1068" t="s">
        <v>797</v>
      </c>
    </row>
    <row r="87" spans="1:12" ht="36.75" customHeight="1" x14ac:dyDescent="0.2">
      <c r="A87" s="1355"/>
      <c r="B87" s="1358"/>
      <c r="C87" s="576">
        <v>200</v>
      </c>
      <c r="D87" s="576"/>
      <c r="E87" s="576">
        <v>200</v>
      </c>
      <c r="F87" s="576"/>
      <c r="G87" s="576">
        <v>434</v>
      </c>
      <c r="H87" s="576"/>
      <c r="I87" s="577">
        <v>2314</v>
      </c>
      <c r="J87" s="578">
        <v>434</v>
      </c>
      <c r="K87" s="579"/>
      <c r="L87" s="1073"/>
    </row>
    <row r="88" spans="1:12" x14ac:dyDescent="0.2">
      <c r="A88" s="1118">
        <v>5</v>
      </c>
      <c r="B88" s="1359" t="s">
        <v>798</v>
      </c>
      <c r="C88" s="580">
        <f t="shared" ref="C88:H88" si="17">SUM(C89:C91)</f>
        <v>450</v>
      </c>
      <c r="D88" s="580">
        <f t="shared" si="17"/>
        <v>0</v>
      </c>
      <c r="E88" s="580">
        <f t="shared" si="17"/>
        <v>450</v>
      </c>
      <c r="F88" s="580">
        <f t="shared" si="17"/>
        <v>0</v>
      </c>
      <c r="G88" s="580">
        <f t="shared" si="17"/>
        <v>1545</v>
      </c>
      <c r="H88" s="580">
        <f t="shared" si="17"/>
        <v>0</v>
      </c>
      <c r="I88" s="607"/>
      <c r="J88" s="581">
        <f>SUM(J89:J91)</f>
        <v>1410</v>
      </c>
      <c r="K88" s="585">
        <f>SUM(K89:K91)</f>
        <v>0</v>
      </c>
      <c r="L88" s="1068" t="s">
        <v>787</v>
      </c>
    </row>
    <row r="89" spans="1:12" x14ac:dyDescent="0.2">
      <c r="A89" s="1354"/>
      <c r="B89" s="1361"/>
      <c r="C89" s="582">
        <v>450</v>
      </c>
      <c r="D89" s="582"/>
      <c r="E89" s="582">
        <v>450</v>
      </c>
      <c r="F89" s="582"/>
      <c r="G89" s="582">
        <v>1000</v>
      </c>
      <c r="H89" s="582"/>
      <c r="I89" s="577">
        <v>2279</v>
      </c>
      <c r="J89" s="583">
        <v>865</v>
      </c>
      <c r="K89" s="584"/>
      <c r="L89" s="1069"/>
    </row>
    <row r="90" spans="1:12" x14ac:dyDescent="0.2">
      <c r="A90" s="1354"/>
      <c r="B90" s="1361"/>
      <c r="C90" s="582">
        <v>0</v>
      </c>
      <c r="D90" s="582"/>
      <c r="E90" s="582">
        <v>0</v>
      </c>
      <c r="F90" s="582"/>
      <c r="G90" s="582">
        <v>385</v>
      </c>
      <c r="H90" s="582"/>
      <c r="I90" s="577">
        <v>2279</v>
      </c>
      <c r="J90" s="583">
        <v>385</v>
      </c>
      <c r="K90" s="584"/>
      <c r="L90" s="1069"/>
    </row>
    <row r="91" spans="1:12" x14ac:dyDescent="0.2">
      <c r="A91" s="1355"/>
      <c r="B91" s="1360"/>
      <c r="C91" s="576">
        <v>0</v>
      </c>
      <c r="D91" s="576"/>
      <c r="E91" s="576">
        <v>0</v>
      </c>
      <c r="F91" s="576"/>
      <c r="G91" s="576">
        <v>160</v>
      </c>
      <c r="H91" s="576"/>
      <c r="I91" s="577">
        <v>2314</v>
      </c>
      <c r="J91" s="578">
        <v>160</v>
      </c>
      <c r="K91" s="579"/>
      <c r="L91" s="1073"/>
    </row>
    <row r="92" spans="1:12" x14ac:dyDescent="0.2">
      <c r="A92" s="1118">
        <v>6</v>
      </c>
      <c r="B92" s="1356" t="s">
        <v>799</v>
      </c>
      <c r="C92" s="580">
        <f t="shared" ref="C92:H92" si="18">SUM(C93)</f>
        <v>400</v>
      </c>
      <c r="D92" s="580">
        <f t="shared" si="18"/>
        <v>0</v>
      </c>
      <c r="E92" s="580">
        <f t="shared" si="18"/>
        <v>400</v>
      </c>
      <c r="F92" s="580">
        <f t="shared" si="18"/>
        <v>0</v>
      </c>
      <c r="G92" s="580">
        <f t="shared" si="18"/>
        <v>400</v>
      </c>
      <c r="H92" s="580">
        <f t="shared" si="18"/>
        <v>0</v>
      </c>
      <c r="I92" s="577"/>
      <c r="J92" s="581">
        <f>SUM(J93)</f>
        <v>400</v>
      </c>
      <c r="K92" s="585">
        <f>SUM(K93)</f>
        <v>0</v>
      </c>
      <c r="L92" s="1068" t="s">
        <v>787</v>
      </c>
    </row>
    <row r="93" spans="1:12" x14ac:dyDescent="0.2">
      <c r="A93" s="1355"/>
      <c r="B93" s="1358"/>
      <c r="C93" s="576">
        <v>400</v>
      </c>
      <c r="D93" s="576"/>
      <c r="E93" s="576">
        <v>400</v>
      </c>
      <c r="F93" s="576"/>
      <c r="G93" s="576">
        <v>400</v>
      </c>
      <c r="H93" s="576"/>
      <c r="I93" s="577">
        <v>2314</v>
      </c>
      <c r="J93" s="578">
        <v>400</v>
      </c>
      <c r="K93" s="579"/>
      <c r="L93" s="1073"/>
    </row>
    <row r="94" spans="1:12" x14ac:dyDescent="0.2">
      <c r="A94" s="1118">
        <v>7</v>
      </c>
      <c r="B94" s="1359" t="s">
        <v>800</v>
      </c>
      <c r="C94" s="580">
        <f t="shared" ref="C94:H94" si="19">SUM(C95:C97)</f>
        <v>1909</v>
      </c>
      <c r="D94" s="580">
        <f t="shared" si="19"/>
        <v>0</v>
      </c>
      <c r="E94" s="580">
        <f t="shared" si="19"/>
        <v>1909</v>
      </c>
      <c r="F94" s="580">
        <f t="shared" si="19"/>
        <v>0</v>
      </c>
      <c r="G94" s="580">
        <f t="shared" si="19"/>
        <v>1489</v>
      </c>
      <c r="H94" s="580">
        <f t="shared" si="19"/>
        <v>0</v>
      </c>
      <c r="I94" s="577"/>
      <c r="J94" s="581">
        <f>SUM(J95:J97)</f>
        <v>1489</v>
      </c>
      <c r="K94" s="585">
        <f>SUM(K95:K97)</f>
        <v>0</v>
      </c>
      <c r="L94" s="1068" t="s">
        <v>797</v>
      </c>
    </row>
    <row r="95" spans="1:12" x14ac:dyDescent="0.2">
      <c r="A95" s="1354"/>
      <c r="B95" s="1361"/>
      <c r="C95" s="576">
        <v>423</v>
      </c>
      <c r="D95" s="576"/>
      <c r="E95" s="576">
        <v>423</v>
      </c>
      <c r="F95" s="576"/>
      <c r="G95" s="608">
        <v>470</v>
      </c>
      <c r="H95" s="576"/>
      <c r="I95" s="577">
        <v>2262</v>
      </c>
      <c r="J95" s="578">
        <v>470</v>
      </c>
      <c r="K95" s="579"/>
      <c r="L95" s="1069"/>
    </row>
    <row r="96" spans="1:12" x14ac:dyDescent="0.2">
      <c r="A96" s="1354"/>
      <c r="B96" s="1361"/>
      <c r="C96" s="576">
        <v>1386</v>
      </c>
      <c r="D96" s="576"/>
      <c r="E96" s="576">
        <v>1386</v>
      </c>
      <c r="F96" s="576"/>
      <c r="G96" s="576">
        <v>680</v>
      </c>
      <c r="H96" s="576"/>
      <c r="I96" s="577">
        <v>2314</v>
      </c>
      <c r="J96" s="578">
        <v>680</v>
      </c>
      <c r="K96" s="579"/>
      <c r="L96" s="1069"/>
    </row>
    <row r="97" spans="1:12" x14ac:dyDescent="0.2">
      <c r="A97" s="1355"/>
      <c r="B97" s="1360"/>
      <c r="C97" s="576">
        <v>100</v>
      </c>
      <c r="D97" s="576"/>
      <c r="E97" s="576">
        <v>100</v>
      </c>
      <c r="F97" s="576"/>
      <c r="G97" s="576">
        <v>339</v>
      </c>
      <c r="H97" s="576"/>
      <c r="I97" s="577">
        <v>1150</v>
      </c>
      <c r="J97" s="578">
        <v>339</v>
      </c>
      <c r="K97" s="579"/>
      <c r="L97" s="1073"/>
    </row>
    <row r="98" spans="1:12" x14ac:dyDescent="0.2">
      <c r="A98" s="1118">
        <v>8</v>
      </c>
      <c r="B98" s="1356" t="s">
        <v>801</v>
      </c>
      <c r="C98" s="580">
        <f t="shared" ref="C98:H98" si="20">SUM(C99:C100)</f>
        <v>0</v>
      </c>
      <c r="D98" s="580">
        <f t="shared" si="20"/>
        <v>0</v>
      </c>
      <c r="E98" s="580">
        <f t="shared" si="20"/>
        <v>0</v>
      </c>
      <c r="F98" s="580">
        <f t="shared" si="20"/>
        <v>0</v>
      </c>
      <c r="G98" s="580">
        <f t="shared" si="20"/>
        <v>334</v>
      </c>
      <c r="H98" s="580">
        <f t="shared" si="20"/>
        <v>0</v>
      </c>
      <c r="I98" s="577"/>
      <c r="J98" s="581">
        <f>SUM(J99:J100)</f>
        <v>284</v>
      </c>
      <c r="K98" s="585">
        <f>SUM(K99:K100)</f>
        <v>0</v>
      </c>
      <c r="L98" s="1068" t="s">
        <v>787</v>
      </c>
    </row>
    <row r="99" spans="1:12" x14ac:dyDescent="0.2">
      <c r="A99" s="1354"/>
      <c r="B99" s="1357"/>
      <c r="C99" s="582">
        <v>0</v>
      </c>
      <c r="D99" s="582"/>
      <c r="E99" s="582">
        <v>0</v>
      </c>
      <c r="F99" s="582"/>
      <c r="G99" s="582">
        <v>315</v>
      </c>
      <c r="H99" s="582"/>
      <c r="I99" s="577">
        <v>2279</v>
      </c>
      <c r="J99" s="583">
        <v>265</v>
      </c>
      <c r="K99" s="584"/>
      <c r="L99" s="1069"/>
    </row>
    <row r="100" spans="1:12" x14ac:dyDescent="0.2">
      <c r="A100" s="1355"/>
      <c r="B100" s="1358"/>
      <c r="C100" s="576">
        <v>0</v>
      </c>
      <c r="D100" s="576"/>
      <c r="E100" s="576">
        <v>0</v>
      </c>
      <c r="F100" s="576"/>
      <c r="G100" s="576">
        <v>19</v>
      </c>
      <c r="H100" s="576"/>
      <c r="I100" s="577">
        <v>1150</v>
      </c>
      <c r="J100" s="578">
        <v>19</v>
      </c>
      <c r="K100" s="579"/>
      <c r="L100" s="1073"/>
    </row>
    <row r="101" spans="1:12" x14ac:dyDescent="0.2">
      <c r="A101" s="1118">
        <v>9</v>
      </c>
      <c r="B101" s="1359" t="s">
        <v>802</v>
      </c>
      <c r="C101" s="580">
        <f t="shared" ref="C101:H101" si="21">SUM(C102:C103)</f>
        <v>2100</v>
      </c>
      <c r="D101" s="580">
        <f t="shared" si="21"/>
        <v>0</v>
      </c>
      <c r="E101" s="580">
        <f t="shared" si="21"/>
        <v>2100</v>
      </c>
      <c r="F101" s="580">
        <f t="shared" si="21"/>
        <v>0</v>
      </c>
      <c r="G101" s="580">
        <f t="shared" si="21"/>
        <v>2000</v>
      </c>
      <c r="H101" s="580">
        <f t="shared" si="21"/>
        <v>0</v>
      </c>
      <c r="I101" s="577"/>
      <c r="J101" s="581">
        <f>SUM(J102:J103)</f>
        <v>1450</v>
      </c>
      <c r="K101" s="585">
        <f>SUM(K102:K103)</f>
        <v>0</v>
      </c>
      <c r="L101" s="1068" t="s">
        <v>797</v>
      </c>
    </row>
    <row r="102" spans="1:12" x14ac:dyDescent="0.2">
      <c r="A102" s="1354"/>
      <c r="B102" s="1361"/>
      <c r="C102" s="576">
        <v>1300</v>
      </c>
      <c r="D102" s="576"/>
      <c r="E102" s="576">
        <v>1300</v>
      </c>
      <c r="F102" s="576"/>
      <c r="G102" s="576">
        <v>1000</v>
      </c>
      <c r="H102" s="576"/>
      <c r="I102" s="577">
        <v>5234</v>
      </c>
      <c r="J102" s="578">
        <v>550</v>
      </c>
      <c r="K102" s="579"/>
      <c r="L102" s="1069"/>
    </row>
    <row r="103" spans="1:12" x14ac:dyDescent="0.2">
      <c r="A103" s="1355"/>
      <c r="B103" s="1360"/>
      <c r="C103" s="576">
        <v>800</v>
      </c>
      <c r="D103" s="576"/>
      <c r="E103" s="576">
        <v>800</v>
      </c>
      <c r="F103" s="576"/>
      <c r="G103" s="576">
        <v>1000</v>
      </c>
      <c r="H103" s="576"/>
      <c r="I103" s="577">
        <v>5236</v>
      </c>
      <c r="J103" s="578">
        <v>900</v>
      </c>
      <c r="K103" s="579"/>
      <c r="L103" s="1073"/>
    </row>
    <row r="104" spans="1:12" x14ac:dyDescent="0.2">
      <c r="A104" s="1118">
        <v>10</v>
      </c>
      <c r="B104" s="1356" t="s">
        <v>803</v>
      </c>
      <c r="C104" s="580">
        <f t="shared" ref="C104:H104" si="22">SUM(C105:C105)</f>
        <v>600</v>
      </c>
      <c r="D104" s="580">
        <f t="shared" si="22"/>
        <v>0</v>
      </c>
      <c r="E104" s="580">
        <f t="shared" si="22"/>
        <v>600</v>
      </c>
      <c r="F104" s="580">
        <f t="shared" si="22"/>
        <v>0</v>
      </c>
      <c r="G104" s="580">
        <f t="shared" si="22"/>
        <v>800</v>
      </c>
      <c r="H104" s="580">
        <f t="shared" si="22"/>
        <v>0</v>
      </c>
      <c r="I104" s="577"/>
      <c r="J104" s="581">
        <f>SUM(J105:J105)</f>
        <v>600</v>
      </c>
      <c r="K104" s="585">
        <f>SUM(K105:K105)</f>
        <v>0</v>
      </c>
      <c r="L104" s="1068" t="s">
        <v>797</v>
      </c>
    </row>
    <row r="105" spans="1:12" ht="24.75" customHeight="1" x14ac:dyDescent="0.2">
      <c r="A105" s="1355"/>
      <c r="B105" s="1358"/>
      <c r="C105" s="576">
        <v>600</v>
      </c>
      <c r="D105" s="576"/>
      <c r="E105" s="576">
        <v>600</v>
      </c>
      <c r="F105" s="576"/>
      <c r="G105" s="576">
        <v>800</v>
      </c>
      <c r="H105" s="576"/>
      <c r="I105" s="577">
        <v>2279</v>
      </c>
      <c r="J105" s="578">
        <v>600</v>
      </c>
      <c r="K105" s="579"/>
      <c r="L105" s="1073"/>
    </row>
    <row r="106" spans="1:12" x14ac:dyDescent="0.2">
      <c r="A106" s="1118">
        <v>11</v>
      </c>
      <c r="B106" s="1359" t="s">
        <v>804</v>
      </c>
      <c r="C106" s="580">
        <f t="shared" ref="C106:H106" si="23">SUM(C107)</f>
        <v>43</v>
      </c>
      <c r="D106" s="580">
        <f t="shared" si="23"/>
        <v>0</v>
      </c>
      <c r="E106" s="580">
        <f t="shared" si="23"/>
        <v>43</v>
      </c>
      <c r="F106" s="580">
        <f t="shared" si="23"/>
        <v>0</v>
      </c>
      <c r="G106" s="580">
        <f t="shared" si="23"/>
        <v>160</v>
      </c>
      <c r="H106" s="580">
        <f t="shared" si="23"/>
        <v>0</v>
      </c>
      <c r="I106" s="577"/>
      <c r="J106" s="581">
        <f>SUM(J107)</f>
        <v>98</v>
      </c>
      <c r="K106" s="585">
        <f>SUM(K107)</f>
        <v>0</v>
      </c>
      <c r="L106" s="1068" t="s">
        <v>797</v>
      </c>
    </row>
    <row r="107" spans="1:12" ht="24" customHeight="1" x14ac:dyDescent="0.2">
      <c r="A107" s="1355"/>
      <c r="B107" s="1360"/>
      <c r="C107" s="582">
        <v>43</v>
      </c>
      <c r="D107" s="582"/>
      <c r="E107" s="582">
        <v>43</v>
      </c>
      <c r="F107" s="582"/>
      <c r="G107" s="582">
        <v>160</v>
      </c>
      <c r="H107" s="582"/>
      <c r="I107" s="577">
        <v>2279</v>
      </c>
      <c r="J107" s="583">
        <v>98</v>
      </c>
      <c r="K107" s="584"/>
      <c r="L107" s="1073"/>
    </row>
    <row r="108" spans="1:12" x14ac:dyDescent="0.2">
      <c r="A108" s="1118">
        <v>12</v>
      </c>
      <c r="B108" s="1356" t="s">
        <v>805</v>
      </c>
      <c r="C108" s="580">
        <f t="shared" ref="C108:H108" si="24">SUM(C109:C112)</f>
        <v>0</v>
      </c>
      <c r="D108" s="580">
        <f t="shared" si="24"/>
        <v>0</v>
      </c>
      <c r="E108" s="580">
        <f t="shared" si="24"/>
        <v>0</v>
      </c>
      <c r="F108" s="580">
        <f t="shared" si="24"/>
        <v>0</v>
      </c>
      <c r="G108" s="580">
        <f t="shared" si="24"/>
        <v>827</v>
      </c>
      <c r="H108" s="580">
        <f t="shared" si="24"/>
        <v>0</v>
      </c>
      <c r="I108" s="577"/>
      <c r="J108" s="581">
        <f>SUM(J109:J112)</f>
        <v>709</v>
      </c>
      <c r="K108" s="585">
        <f>SUM(K109:K112)</f>
        <v>0</v>
      </c>
      <c r="L108" s="1068" t="s">
        <v>787</v>
      </c>
    </row>
    <row r="109" spans="1:12" x14ac:dyDescent="0.2">
      <c r="A109" s="1354"/>
      <c r="B109" s="1357"/>
      <c r="C109" s="582">
        <v>0</v>
      </c>
      <c r="D109" s="582"/>
      <c r="E109" s="582">
        <v>0</v>
      </c>
      <c r="F109" s="582"/>
      <c r="G109" s="582">
        <v>268</v>
      </c>
      <c r="H109" s="582"/>
      <c r="I109" s="577">
        <v>2279</v>
      </c>
      <c r="J109" s="583">
        <v>268</v>
      </c>
      <c r="K109" s="584"/>
      <c r="L109" s="1069"/>
    </row>
    <row r="110" spans="1:12" x14ac:dyDescent="0.2">
      <c r="A110" s="1354"/>
      <c r="B110" s="1357"/>
      <c r="C110" s="582">
        <v>0</v>
      </c>
      <c r="D110" s="582"/>
      <c r="E110" s="582">
        <v>0</v>
      </c>
      <c r="F110" s="582"/>
      <c r="G110" s="582">
        <v>280</v>
      </c>
      <c r="H110" s="582"/>
      <c r="I110" s="577">
        <v>2279</v>
      </c>
      <c r="J110" s="583">
        <v>200</v>
      </c>
      <c r="K110" s="584"/>
      <c r="L110" s="1069"/>
    </row>
    <row r="111" spans="1:12" x14ac:dyDescent="0.2">
      <c r="A111" s="1354"/>
      <c r="B111" s="1357"/>
      <c r="C111" s="582">
        <v>0</v>
      </c>
      <c r="D111" s="582"/>
      <c r="E111" s="582">
        <v>0</v>
      </c>
      <c r="F111" s="582"/>
      <c r="G111" s="582">
        <v>132</v>
      </c>
      <c r="H111" s="582"/>
      <c r="I111" s="577">
        <v>1150</v>
      </c>
      <c r="J111" s="583">
        <v>94</v>
      </c>
      <c r="K111" s="584"/>
      <c r="L111" s="1069"/>
    </row>
    <row r="112" spans="1:12" x14ac:dyDescent="0.2">
      <c r="A112" s="1355"/>
      <c r="B112" s="1358"/>
      <c r="C112" s="576">
        <v>0</v>
      </c>
      <c r="D112" s="576"/>
      <c r="E112" s="576">
        <v>0</v>
      </c>
      <c r="F112" s="576"/>
      <c r="G112" s="576">
        <v>147</v>
      </c>
      <c r="H112" s="576"/>
      <c r="I112" s="577">
        <v>2314</v>
      </c>
      <c r="J112" s="578">
        <v>147</v>
      </c>
      <c r="K112" s="579"/>
      <c r="L112" s="1073"/>
    </row>
    <row r="113" spans="1:12" x14ac:dyDescent="0.2">
      <c r="A113" s="485" t="s">
        <v>399</v>
      </c>
      <c r="B113" s="552"/>
      <c r="C113" s="552"/>
      <c r="D113" s="552"/>
      <c r="E113" s="553"/>
      <c r="F113" s="552"/>
      <c r="G113" s="553"/>
      <c r="H113" s="552"/>
      <c r="I113" s="552"/>
      <c r="J113" s="552"/>
      <c r="K113" s="483"/>
      <c r="L113" s="483"/>
    </row>
    <row r="114" spans="1:12" x14ac:dyDescent="0.2">
      <c r="A114" s="1214" t="s">
        <v>765</v>
      </c>
      <c r="B114" s="1214"/>
      <c r="C114" s="1214"/>
      <c r="D114" s="1214"/>
      <c r="E114" s="1214"/>
      <c r="F114" s="1214"/>
      <c r="G114" s="1214"/>
      <c r="H114" s="1214"/>
      <c r="I114" s="1214"/>
      <c r="J114" s="1214"/>
      <c r="K114" s="1214"/>
      <c r="L114" s="1214"/>
    </row>
    <row r="115" spans="1:12" ht="12" customHeight="1" x14ac:dyDescent="0.2">
      <c r="A115" s="555"/>
      <c r="B115" s="1262" t="s">
        <v>768</v>
      </c>
      <c r="C115" s="1262"/>
      <c r="D115" s="1262"/>
      <c r="E115" s="1262"/>
      <c r="F115" s="1262"/>
      <c r="G115" s="1262"/>
      <c r="H115" s="1262"/>
      <c r="I115" s="1262"/>
      <c r="J115" s="1262"/>
      <c r="K115" s="1262"/>
      <c r="L115" s="1262"/>
    </row>
    <row r="116" spans="1:12" x14ac:dyDescent="0.2">
      <c r="A116" s="555"/>
      <c r="B116" s="555"/>
      <c r="C116" s="555"/>
      <c r="D116" s="555"/>
      <c r="E116" s="555"/>
      <c r="F116" s="555"/>
      <c r="G116" s="555"/>
      <c r="H116" s="555"/>
      <c r="I116" s="557" t="s">
        <v>769</v>
      </c>
      <c r="J116" s="557"/>
      <c r="K116" s="557"/>
      <c r="L116" s="557"/>
    </row>
    <row r="117" spans="1:12" x14ac:dyDescent="0.2">
      <c r="A117" s="555"/>
      <c r="B117" s="555"/>
      <c r="C117" s="555"/>
      <c r="D117" s="555"/>
      <c r="E117" s="555"/>
      <c r="F117" s="555"/>
      <c r="G117" s="555"/>
      <c r="H117" s="555"/>
      <c r="I117" s="557" t="s">
        <v>806</v>
      </c>
      <c r="J117" s="557"/>
      <c r="K117" s="557"/>
      <c r="L117" s="557"/>
    </row>
    <row r="118" spans="1:12" x14ac:dyDescent="0.2">
      <c r="A118" s="555"/>
      <c r="B118" s="555"/>
      <c r="C118" s="555"/>
      <c r="D118" s="555"/>
      <c r="E118" s="555"/>
      <c r="F118" s="555"/>
      <c r="G118" s="555"/>
      <c r="H118" s="555"/>
      <c r="I118" s="1262" t="s">
        <v>807</v>
      </c>
      <c r="J118" s="1262"/>
      <c r="K118" s="1262"/>
      <c r="L118" s="1262"/>
    </row>
    <row r="119" spans="1:12" x14ac:dyDescent="0.2">
      <c r="A119" s="555"/>
      <c r="B119" s="555"/>
      <c r="C119" s="555"/>
      <c r="D119" s="555"/>
      <c r="E119" s="555"/>
      <c r="F119" s="555"/>
      <c r="G119" s="555"/>
      <c r="H119" s="555"/>
      <c r="I119" s="1262" t="s">
        <v>808</v>
      </c>
      <c r="J119" s="1262"/>
      <c r="K119" s="1262"/>
      <c r="L119" s="1262"/>
    </row>
    <row r="120" spans="1:12" x14ac:dyDescent="0.2">
      <c r="A120" s="559"/>
      <c r="B120" s="560"/>
      <c r="C120" s="560"/>
      <c r="D120" s="560"/>
      <c r="E120" s="560"/>
      <c r="F120" s="560"/>
      <c r="G120" s="560"/>
      <c r="H120" s="560"/>
      <c r="I120" s="1262" t="s">
        <v>809</v>
      </c>
      <c r="J120" s="1262"/>
      <c r="K120" s="1262"/>
      <c r="L120" s="1262"/>
    </row>
    <row r="121" spans="1:12" x14ac:dyDescent="0.2">
      <c r="A121" s="609"/>
      <c r="B121" s="610"/>
      <c r="C121" s="594"/>
      <c r="D121" s="594"/>
      <c r="E121" s="594"/>
      <c r="F121" s="594"/>
      <c r="G121" s="594"/>
      <c r="H121" s="594"/>
      <c r="I121" s="611"/>
      <c r="J121" s="596"/>
      <c r="K121" s="606"/>
      <c r="L121" s="612"/>
    </row>
    <row r="122" spans="1:12" ht="12" customHeight="1" x14ac:dyDescent="0.2">
      <c r="A122" s="609"/>
      <c r="B122" s="610"/>
      <c r="C122" s="594"/>
      <c r="D122" s="594"/>
      <c r="E122" s="594"/>
      <c r="F122" s="594"/>
      <c r="G122" s="594"/>
      <c r="H122" s="594"/>
      <c r="I122" s="611"/>
      <c r="J122" s="596"/>
      <c r="K122" s="606"/>
      <c r="L122" s="612"/>
    </row>
    <row r="123" spans="1:12" x14ac:dyDescent="0.2">
      <c r="A123" s="320"/>
      <c r="B123" s="320"/>
      <c r="C123" s="613"/>
      <c r="D123" s="613"/>
      <c r="E123" s="613"/>
      <c r="F123" s="613"/>
      <c r="G123" s="613"/>
      <c r="H123" s="613"/>
    </row>
    <row r="126" spans="1:12" x14ac:dyDescent="0.2">
      <c r="A126" s="614"/>
      <c r="B126" s="614"/>
      <c r="C126" s="2"/>
      <c r="D126" s="2"/>
      <c r="E126" s="2"/>
      <c r="F126" s="2"/>
      <c r="G126" s="2"/>
      <c r="H126" s="2"/>
      <c r="I126" s="614"/>
      <c r="J126" s="2"/>
      <c r="K126" s="2"/>
    </row>
    <row r="129" spans="1:11" x14ac:dyDescent="0.2">
      <c r="A129" s="614"/>
      <c r="B129" s="614"/>
      <c r="C129" s="2"/>
      <c r="D129" s="2"/>
      <c r="E129" s="2"/>
      <c r="F129" s="2"/>
      <c r="G129" s="2"/>
      <c r="H129" s="2"/>
      <c r="I129" s="614"/>
      <c r="J129" s="2"/>
      <c r="K129" s="2"/>
    </row>
    <row r="130" spans="1:11" ht="12" customHeight="1" x14ac:dyDescent="0.2">
      <c r="A130" s="614"/>
      <c r="B130" s="614"/>
      <c r="C130" s="2"/>
      <c r="E130" s="2"/>
      <c r="F130" s="2"/>
      <c r="G130" s="2"/>
      <c r="H130" s="2"/>
      <c r="I130" s="614"/>
      <c r="J130" s="2"/>
      <c r="K130" s="2"/>
    </row>
    <row r="131" spans="1:11" ht="12" customHeight="1" x14ac:dyDescent="0.2">
      <c r="A131" s="614"/>
      <c r="B131" s="614"/>
      <c r="C131" s="2"/>
      <c r="D131" s="2"/>
      <c r="E131" s="2"/>
      <c r="F131" s="2"/>
      <c r="G131" s="2"/>
      <c r="H131" s="2"/>
      <c r="I131" s="614"/>
      <c r="J131" s="2"/>
      <c r="K131" s="2"/>
    </row>
    <row r="132" spans="1:11" x14ac:dyDescent="0.2">
      <c r="A132" s="614"/>
      <c r="B132" s="614"/>
      <c r="C132" s="2"/>
      <c r="D132" s="2"/>
      <c r="E132" s="2"/>
      <c r="F132" s="2"/>
      <c r="G132" s="2"/>
      <c r="H132" s="2"/>
      <c r="I132" s="614"/>
      <c r="J132" s="2"/>
      <c r="K132" s="2"/>
    </row>
  </sheetData>
  <sheetProtection algorithmName="SHA-512" hashValue="WnHagkAfQBVckTCzUzXli8BU8IoCs3rWUJMzt1uY1Co9lLPujdGUosBt5sfJ0ufb3Fkyi5gbm63kcalY0SVkzA==" saltValue="rErWe/Wm9u3Dd4PrfXRraw==" spinCount="100000" sheet="1" objects="1" scenarios="1" selectLockedCells="1" selectUnlockedCells="1"/>
  <mergeCells count="108">
    <mergeCell ref="A3:L3"/>
    <mergeCell ref="A5:B5"/>
    <mergeCell ref="A8:A9"/>
    <mergeCell ref="B8:B9"/>
    <mergeCell ref="C8:D8"/>
    <mergeCell ref="E8:F8"/>
    <mergeCell ref="G8:H8"/>
    <mergeCell ref="I8:I9"/>
    <mergeCell ref="J8:K8"/>
    <mergeCell ref="L8:L9"/>
    <mergeCell ref="A20:A24"/>
    <mergeCell ref="B20:B24"/>
    <mergeCell ref="L20:L24"/>
    <mergeCell ref="A25:A30"/>
    <mergeCell ref="B25:B30"/>
    <mergeCell ref="L25:L30"/>
    <mergeCell ref="A10:B10"/>
    <mergeCell ref="A11:A14"/>
    <mergeCell ref="B11:B14"/>
    <mergeCell ref="L11:L14"/>
    <mergeCell ref="A15:A19"/>
    <mergeCell ref="B15:B19"/>
    <mergeCell ref="L15:L19"/>
    <mergeCell ref="A31:A34"/>
    <mergeCell ref="B31:B34"/>
    <mergeCell ref="L31:L34"/>
    <mergeCell ref="A36:B36"/>
    <mergeCell ref="A39:A40"/>
    <mergeCell ref="B39:B40"/>
    <mergeCell ref="C39:D39"/>
    <mergeCell ref="E39:F39"/>
    <mergeCell ref="G39:H39"/>
    <mergeCell ref="I39:I40"/>
    <mergeCell ref="A48:A49"/>
    <mergeCell ref="B48:B49"/>
    <mergeCell ref="L48:L49"/>
    <mergeCell ref="A50:A53"/>
    <mergeCell ref="B50:B53"/>
    <mergeCell ref="L50:L53"/>
    <mergeCell ref="J39:K39"/>
    <mergeCell ref="L39:L40"/>
    <mergeCell ref="A41:B41"/>
    <mergeCell ref="A42:A47"/>
    <mergeCell ref="B42:B47"/>
    <mergeCell ref="L42:L47"/>
    <mergeCell ref="A62:A64"/>
    <mergeCell ref="B62:B64"/>
    <mergeCell ref="L62:L64"/>
    <mergeCell ref="A65:A67"/>
    <mergeCell ref="B65:B67"/>
    <mergeCell ref="L65:L67"/>
    <mergeCell ref="A54:A57"/>
    <mergeCell ref="B54:B57"/>
    <mergeCell ref="L54:L57"/>
    <mergeCell ref="A58:A61"/>
    <mergeCell ref="B58:B61"/>
    <mergeCell ref="L58:L61"/>
    <mergeCell ref="I72:I73"/>
    <mergeCell ref="J72:K72"/>
    <mergeCell ref="L72:L73"/>
    <mergeCell ref="A74:B74"/>
    <mergeCell ref="A75:A77"/>
    <mergeCell ref="B75:B77"/>
    <mergeCell ref="L75:L77"/>
    <mergeCell ref="A69:B69"/>
    <mergeCell ref="A72:A73"/>
    <mergeCell ref="B72:B73"/>
    <mergeCell ref="C72:D72"/>
    <mergeCell ref="E72:F72"/>
    <mergeCell ref="G72:H72"/>
    <mergeCell ref="A86:A87"/>
    <mergeCell ref="B86:B87"/>
    <mergeCell ref="L86:L87"/>
    <mergeCell ref="A88:A91"/>
    <mergeCell ref="B88:B91"/>
    <mergeCell ref="L88:L91"/>
    <mergeCell ref="A78:A81"/>
    <mergeCell ref="B78:B81"/>
    <mergeCell ref="L78:L81"/>
    <mergeCell ref="A82:A85"/>
    <mergeCell ref="B82:B85"/>
    <mergeCell ref="L82:L85"/>
    <mergeCell ref="A98:A100"/>
    <mergeCell ref="B98:B100"/>
    <mergeCell ref="L98:L100"/>
    <mergeCell ref="A101:A103"/>
    <mergeCell ref="B101:B103"/>
    <mergeCell ref="L101:L103"/>
    <mergeCell ref="A92:A93"/>
    <mergeCell ref="B92:B93"/>
    <mergeCell ref="L92:L93"/>
    <mergeCell ref="A94:A97"/>
    <mergeCell ref="B94:B97"/>
    <mergeCell ref="L94:L97"/>
    <mergeCell ref="I119:L119"/>
    <mergeCell ref="I120:L120"/>
    <mergeCell ref="A108:A112"/>
    <mergeCell ref="B108:B112"/>
    <mergeCell ref="L108:L112"/>
    <mergeCell ref="A114:L114"/>
    <mergeCell ref="B115:L115"/>
    <mergeCell ref="I118:L118"/>
    <mergeCell ref="A104:A105"/>
    <mergeCell ref="B104:B105"/>
    <mergeCell ref="L104:L105"/>
    <mergeCell ref="A106:A107"/>
    <mergeCell ref="B106:B107"/>
    <mergeCell ref="L106:L107"/>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         &amp;8  </oddHeader>
    <oddFooter>&amp;R&amp;"Times New Roman,Regular"&amp;8&amp;P(&amp;N)</oddFooter>
    <firstHeader>&amp;R&amp;"Times New Roman,Regular"&amp;8
 29.pielikums Jūrmalas pilsētas domes
2016.gada 16.decembra saistošajiem noteikumiem Nr.47
(protokols Nr.19, 19.punkts)</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17"/>
  <sheetViews>
    <sheetView tabSelected="1" view="pageLayout" zoomScaleNormal="100" workbookViewId="0">
      <selection activeCell="Q10" sqref="Q10"/>
    </sheetView>
  </sheetViews>
  <sheetFormatPr defaultRowHeight="12" x14ac:dyDescent="0.2"/>
  <cols>
    <col min="1" max="1" width="5.85546875" style="485" customWidth="1"/>
    <col min="2" max="2" width="17.7109375" style="618" customWidth="1"/>
    <col min="3" max="3" width="7.85546875" style="618" customWidth="1"/>
    <col min="4" max="4" width="7.85546875" style="485" hidden="1" customWidth="1"/>
    <col min="5" max="5" width="9.140625" style="485" hidden="1" customWidth="1"/>
    <col min="6" max="6" width="8.28515625" style="485" hidden="1" customWidth="1"/>
    <col min="7" max="7" width="9.5703125" style="485" hidden="1" customWidth="1"/>
    <col min="8" max="8" width="6.7109375" style="485" hidden="1" customWidth="1"/>
    <col min="9" max="9" width="9.28515625" style="485" hidden="1" customWidth="1"/>
    <col min="10" max="10" width="10.5703125" style="485" customWidth="1"/>
    <col min="11" max="11" width="10.42578125" style="485" customWidth="1"/>
    <col min="12" max="12" width="9.7109375" style="485" customWidth="1"/>
    <col min="13" max="13" width="23.42578125" style="485" customWidth="1"/>
    <col min="14" max="14" width="7.140625" style="485" customWidth="1"/>
    <col min="15" max="15" width="6.85546875" style="485" customWidth="1"/>
    <col min="16" max="16" width="5.140625" style="485" customWidth="1"/>
    <col min="17" max="17" width="5.7109375" style="485" customWidth="1"/>
    <col min="18" max="18" width="4.7109375" style="485" customWidth="1"/>
    <col min="19" max="19" width="7.85546875" style="485" customWidth="1"/>
    <col min="20" max="21" width="6.7109375" style="485" customWidth="1"/>
    <col min="22" max="23" width="6.5703125" style="485" customWidth="1"/>
    <col min="24" max="24" width="7" style="485" customWidth="1"/>
    <col min="25" max="25" width="6.28515625" style="485" customWidth="1"/>
    <col min="26" max="16384" width="9.140625" style="485"/>
  </cols>
  <sheetData>
    <row r="1" spans="1:26" x14ac:dyDescent="0.2">
      <c r="A1" s="1214" t="s">
        <v>8</v>
      </c>
      <c r="B1" s="1214"/>
      <c r="C1" s="1214" t="s">
        <v>810</v>
      </c>
      <c r="D1" s="1214"/>
      <c r="E1" s="1214"/>
      <c r="F1" s="1214"/>
      <c r="G1" s="1214"/>
      <c r="H1" s="1214"/>
      <c r="I1" s="1214"/>
      <c r="J1" s="1214"/>
      <c r="K1" s="1214"/>
      <c r="L1" s="1214"/>
      <c r="M1" s="1214"/>
    </row>
    <row r="2" spans="1:26" x14ac:dyDescent="0.2">
      <c r="A2" s="1214" t="s">
        <v>7</v>
      </c>
      <c r="B2" s="1214"/>
      <c r="C2" s="1214">
        <v>90009249367</v>
      </c>
      <c r="D2" s="1214"/>
      <c r="E2" s="1214"/>
      <c r="F2" s="1214"/>
      <c r="G2" s="1214"/>
      <c r="H2" s="1214"/>
      <c r="I2" s="1214"/>
      <c r="J2" s="1214"/>
      <c r="K2" s="1214"/>
      <c r="L2" s="1214"/>
      <c r="M2" s="1214"/>
    </row>
    <row r="3" spans="1:26" ht="15.75" x14ac:dyDescent="0.25">
      <c r="A3" s="1232" t="s">
        <v>9</v>
      </c>
      <c r="B3" s="1232"/>
      <c r="C3" s="1232"/>
      <c r="D3" s="1232"/>
      <c r="E3" s="1232"/>
      <c r="F3" s="1232"/>
      <c r="G3" s="1232"/>
      <c r="H3" s="1232"/>
      <c r="I3" s="1232"/>
      <c r="J3" s="1232"/>
      <c r="K3" s="1232"/>
      <c r="L3" s="1232"/>
      <c r="M3" s="1232"/>
    </row>
    <row r="4" spans="1:26" ht="15.75" x14ac:dyDescent="0.25">
      <c r="A4" s="982"/>
      <c r="B4" s="982"/>
      <c r="C4" s="982"/>
      <c r="D4" s="982"/>
      <c r="E4" s="982"/>
      <c r="F4" s="982"/>
      <c r="G4" s="982"/>
      <c r="H4" s="982"/>
      <c r="I4" s="982"/>
      <c r="J4" s="982"/>
      <c r="K4" s="982"/>
      <c r="L4" s="982"/>
      <c r="M4" s="982"/>
    </row>
    <row r="5" spans="1:26" ht="15.75" x14ac:dyDescent="0.25">
      <c r="A5" s="1363" t="s">
        <v>441</v>
      </c>
      <c r="B5" s="1363"/>
      <c r="C5" s="1230" t="s">
        <v>810</v>
      </c>
      <c r="D5" s="1230"/>
      <c r="E5" s="1230"/>
      <c r="F5" s="1230"/>
      <c r="G5" s="1230"/>
      <c r="H5" s="1230"/>
      <c r="I5" s="1230"/>
      <c r="J5" s="1230"/>
      <c r="K5" s="1230"/>
      <c r="L5" s="1230"/>
      <c r="M5" s="1230"/>
    </row>
    <row r="6" spans="1:26" x14ac:dyDescent="0.2">
      <c r="A6" s="1214" t="s">
        <v>6</v>
      </c>
      <c r="B6" s="1214"/>
      <c r="C6" s="1214" t="s">
        <v>811</v>
      </c>
      <c r="D6" s="1214"/>
      <c r="E6" s="1214"/>
      <c r="F6" s="1214"/>
      <c r="G6" s="1214"/>
      <c r="H6" s="1214"/>
      <c r="I6" s="1214"/>
      <c r="J6" s="1214"/>
      <c r="K6" s="1214"/>
      <c r="L6" s="1214"/>
      <c r="M6" s="1214"/>
    </row>
    <row r="7" spans="1:26" x14ac:dyDescent="0.2">
      <c r="A7" s="1214" t="s">
        <v>5</v>
      </c>
      <c r="B7" s="1214"/>
      <c r="C7" s="1221" t="s">
        <v>812</v>
      </c>
      <c r="D7" s="1221"/>
      <c r="E7" s="1221"/>
      <c r="F7" s="1221"/>
      <c r="G7" s="1221"/>
      <c r="H7" s="1221"/>
      <c r="I7" s="1221"/>
      <c r="J7" s="1221"/>
      <c r="K7" s="1221"/>
      <c r="L7" s="1221"/>
      <c r="M7" s="1221"/>
    </row>
    <row r="8" spans="1:26" x14ac:dyDescent="0.2">
      <c r="A8" s="1409" t="s">
        <v>4</v>
      </c>
      <c r="B8" s="1409" t="s">
        <v>3</v>
      </c>
      <c r="C8" s="1409"/>
      <c r="D8" s="1409" t="s">
        <v>445</v>
      </c>
      <c r="E8" s="1409"/>
      <c r="F8" s="1409" t="s">
        <v>446</v>
      </c>
      <c r="G8" s="1409"/>
      <c r="H8" s="1409" t="s">
        <v>447</v>
      </c>
      <c r="I8" s="1409"/>
      <c r="J8" s="1409" t="s">
        <v>2</v>
      </c>
      <c r="K8" s="1409" t="s">
        <v>180</v>
      </c>
      <c r="L8" s="1409"/>
      <c r="M8" s="1409" t="s">
        <v>1</v>
      </c>
    </row>
    <row r="9" spans="1:26" ht="36" x14ac:dyDescent="0.2">
      <c r="A9" s="1409"/>
      <c r="B9" s="1409"/>
      <c r="C9" s="1409"/>
      <c r="D9" s="499" t="s">
        <v>678</v>
      </c>
      <c r="E9" s="499" t="s">
        <v>449</v>
      </c>
      <c r="F9" s="499" t="s">
        <v>678</v>
      </c>
      <c r="G9" s="499" t="s">
        <v>449</v>
      </c>
      <c r="H9" s="499" t="s">
        <v>678</v>
      </c>
      <c r="I9" s="499" t="s">
        <v>449</v>
      </c>
      <c r="J9" s="1409"/>
      <c r="K9" s="984" t="s">
        <v>448</v>
      </c>
      <c r="L9" s="984" t="s">
        <v>449</v>
      </c>
      <c r="M9" s="1409"/>
    </row>
    <row r="10" spans="1:26" ht="12" customHeight="1" x14ac:dyDescent="0.2">
      <c r="A10" s="1433" t="s">
        <v>380</v>
      </c>
      <c r="B10" s="1434"/>
      <c r="C10" s="1435"/>
      <c r="D10" s="499"/>
      <c r="E10" s="499"/>
      <c r="F10" s="499"/>
      <c r="G10" s="499"/>
      <c r="H10" s="499"/>
      <c r="I10" s="499"/>
      <c r="J10" s="984"/>
      <c r="K10" s="1436">
        <f>SUM(K11,K36,K48,K58,K64,K84,K95,K111,K131,K158,K173,K192,K203)</f>
        <v>158537</v>
      </c>
      <c r="L10" s="1436">
        <f>SUM(L11,L36,L48,L58,L64,L84,L95,L111,L131,L158,L173,L192,L203)</f>
        <v>6710</v>
      </c>
      <c r="M10" s="984"/>
    </row>
    <row r="11" spans="1:26" x14ac:dyDescent="0.2">
      <c r="A11" s="616">
        <v>1</v>
      </c>
      <c r="B11" s="1351" t="s">
        <v>813</v>
      </c>
      <c r="C11" s="1351"/>
      <c r="D11" s="517" t="e">
        <f>D12+D23+#REF!+D27+D29</f>
        <v>#REF!</v>
      </c>
      <c r="E11" s="517" t="e">
        <f>E12+E23+#REF!+E27+E29</f>
        <v>#REF!</v>
      </c>
      <c r="F11" s="517" t="e">
        <f>F12+F23+#REF!+F27+F29</f>
        <v>#REF!</v>
      </c>
      <c r="G11" s="517" t="e">
        <f>G12+G23+#REF!+G27+G29</f>
        <v>#REF!</v>
      </c>
      <c r="H11" s="517" t="e">
        <f>H12+H23+#REF!+H27+H29</f>
        <v>#REF!</v>
      </c>
      <c r="I11" s="517" t="e">
        <f>I12+I23+#REF!+I27+I29</f>
        <v>#REF!</v>
      </c>
      <c r="J11" s="517"/>
      <c r="K11" s="517">
        <f>K12+K23+K27+K29</f>
        <v>38896</v>
      </c>
      <c r="L11" s="517">
        <f>L12+L23+L27+L29</f>
        <v>0</v>
      </c>
      <c r="M11" s="617"/>
      <c r="N11" s="618"/>
      <c r="O11" s="618"/>
      <c r="P11" s="618"/>
      <c r="Q11" s="618"/>
      <c r="R11" s="618"/>
      <c r="S11" s="618"/>
      <c r="T11" s="618"/>
      <c r="U11" s="618"/>
      <c r="V11" s="618"/>
      <c r="W11" s="618"/>
      <c r="X11" s="618"/>
      <c r="Y11" s="618"/>
      <c r="Z11" s="619"/>
    </row>
    <row r="12" spans="1:26" x14ac:dyDescent="0.2">
      <c r="A12" s="620" t="s">
        <v>452</v>
      </c>
      <c r="B12" s="1408" t="s">
        <v>814</v>
      </c>
      <c r="C12" s="1408"/>
      <c r="D12" s="517" t="e">
        <f>D13+D18+#REF!</f>
        <v>#REF!</v>
      </c>
      <c r="E12" s="517" t="e">
        <f>E13+E18+#REF!</f>
        <v>#REF!</v>
      </c>
      <c r="F12" s="517" t="e">
        <f>F13+F18+#REF!</f>
        <v>#REF!</v>
      </c>
      <c r="G12" s="517" t="e">
        <f>G13+G18+#REF!</f>
        <v>#REF!</v>
      </c>
      <c r="H12" s="517" t="e">
        <f>H13+H18+#REF!</f>
        <v>#REF!</v>
      </c>
      <c r="I12" s="517" t="e">
        <f>I13+I18+#REF!</f>
        <v>#REF!</v>
      </c>
      <c r="J12" s="517"/>
      <c r="K12" s="517">
        <f>K13+K18</f>
        <v>20886</v>
      </c>
      <c r="L12" s="517">
        <f>L13+L18</f>
        <v>0</v>
      </c>
      <c r="M12" s="617"/>
      <c r="N12" s="618"/>
      <c r="O12" s="618"/>
      <c r="P12" s="618"/>
      <c r="Q12" s="618"/>
      <c r="R12" s="618"/>
      <c r="S12" s="618"/>
      <c r="T12" s="618"/>
      <c r="U12" s="618"/>
      <c r="V12" s="618"/>
      <c r="W12" s="618"/>
      <c r="X12" s="618"/>
      <c r="Y12" s="618"/>
      <c r="Z12" s="619"/>
    </row>
    <row r="13" spans="1:26" x14ac:dyDescent="0.2">
      <c r="A13" s="1402" t="s">
        <v>815</v>
      </c>
      <c r="B13" s="1259" t="s">
        <v>816</v>
      </c>
      <c r="C13" s="1271"/>
      <c r="D13" s="544">
        <f t="shared" ref="D13:I13" si="0">SUM(D14:D17)</f>
        <v>16232</v>
      </c>
      <c r="E13" s="544">
        <f t="shared" si="0"/>
        <v>0</v>
      </c>
      <c r="F13" s="544">
        <f t="shared" si="0"/>
        <v>16232</v>
      </c>
      <c r="G13" s="544">
        <f t="shared" si="0"/>
        <v>0</v>
      </c>
      <c r="H13" s="544">
        <f t="shared" si="0"/>
        <v>16150</v>
      </c>
      <c r="I13" s="544">
        <f t="shared" si="0"/>
        <v>0</v>
      </c>
      <c r="J13" s="544"/>
      <c r="K13" s="544">
        <f>SUM(K14:K17)</f>
        <v>15888</v>
      </c>
      <c r="L13" s="544">
        <f>SUM(L14:L17)</f>
        <v>0</v>
      </c>
      <c r="M13" s="1265" t="s">
        <v>817</v>
      </c>
    </row>
    <row r="14" spans="1:26" x14ac:dyDescent="0.2">
      <c r="A14" s="1403"/>
      <c r="B14" s="1261"/>
      <c r="C14" s="1272"/>
      <c r="D14" s="545">
        <v>1526</v>
      </c>
      <c r="E14" s="545"/>
      <c r="F14" s="545">
        <v>1526</v>
      </c>
      <c r="G14" s="545"/>
      <c r="H14" s="545">
        <v>1200</v>
      </c>
      <c r="I14" s="545"/>
      <c r="J14" s="621">
        <v>2261</v>
      </c>
      <c r="K14" s="545">
        <v>1200</v>
      </c>
      <c r="L14" s="545"/>
      <c r="M14" s="1266"/>
    </row>
    <row r="15" spans="1:26" x14ac:dyDescent="0.2">
      <c r="A15" s="1403"/>
      <c r="B15" s="1261"/>
      <c r="C15" s="1272"/>
      <c r="D15" s="545">
        <v>8721</v>
      </c>
      <c r="E15" s="545"/>
      <c r="F15" s="545">
        <v>8721</v>
      </c>
      <c r="G15" s="545"/>
      <c r="H15" s="545">
        <v>8000</v>
      </c>
      <c r="I15" s="545"/>
      <c r="J15" s="621">
        <v>2262</v>
      </c>
      <c r="K15" s="545">
        <v>8000</v>
      </c>
      <c r="L15" s="545"/>
      <c r="M15" s="1266"/>
    </row>
    <row r="16" spans="1:26" x14ac:dyDescent="0.2">
      <c r="A16" s="1403"/>
      <c r="B16" s="1261"/>
      <c r="C16" s="1272"/>
      <c r="D16" s="545">
        <v>3835</v>
      </c>
      <c r="E16" s="545"/>
      <c r="F16" s="545">
        <v>3835</v>
      </c>
      <c r="G16" s="545"/>
      <c r="H16" s="545">
        <v>3800</v>
      </c>
      <c r="I16" s="545"/>
      <c r="J16" s="621">
        <v>2279</v>
      </c>
      <c r="K16" s="545">
        <v>3800</v>
      </c>
      <c r="L16" s="545"/>
      <c r="M16" s="1266"/>
    </row>
    <row r="17" spans="1:13" x14ac:dyDescent="0.2">
      <c r="A17" s="1404"/>
      <c r="B17" s="1263"/>
      <c r="C17" s="1273"/>
      <c r="D17" s="545">
        <v>2150</v>
      </c>
      <c r="E17" s="545"/>
      <c r="F17" s="545">
        <v>2150</v>
      </c>
      <c r="G17" s="545"/>
      <c r="H17" s="545">
        <v>3150</v>
      </c>
      <c r="I17" s="545"/>
      <c r="J17" s="621">
        <v>2363</v>
      </c>
      <c r="K17" s="545">
        <v>2888</v>
      </c>
      <c r="L17" s="545"/>
      <c r="M17" s="1267"/>
    </row>
    <row r="18" spans="1:13" x14ac:dyDescent="0.2">
      <c r="A18" s="1402" t="s">
        <v>818</v>
      </c>
      <c r="B18" s="1259" t="s">
        <v>819</v>
      </c>
      <c r="C18" s="1271"/>
      <c r="D18" s="544">
        <f t="shared" ref="D18:I18" si="1">SUM(D19:D22)</f>
        <v>2505</v>
      </c>
      <c r="E18" s="544">
        <f t="shared" si="1"/>
        <v>0</v>
      </c>
      <c r="F18" s="544">
        <f t="shared" si="1"/>
        <v>2505</v>
      </c>
      <c r="G18" s="544">
        <f t="shared" si="1"/>
        <v>0</v>
      </c>
      <c r="H18" s="544">
        <f t="shared" si="1"/>
        <v>4998</v>
      </c>
      <c r="I18" s="544">
        <f t="shared" si="1"/>
        <v>0</v>
      </c>
      <c r="J18" s="621"/>
      <c r="K18" s="544">
        <f>SUM(K19:K22)</f>
        <v>4998</v>
      </c>
      <c r="L18" s="544">
        <f>SUM(L19:L22)</f>
        <v>0</v>
      </c>
      <c r="M18" s="1265" t="s">
        <v>820</v>
      </c>
    </row>
    <row r="19" spans="1:13" x14ac:dyDescent="0.2">
      <c r="A19" s="1403"/>
      <c r="B19" s="1261"/>
      <c r="C19" s="1272"/>
      <c r="D19" s="544"/>
      <c r="E19" s="544"/>
      <c r="F19" s="544"/>
      <c r="G19" s="544"/>
      <c r="H19" s="545">
        <v>600</v>
      </c>
      <c r="I19" s="544"/>
      <c r="J19" s="621">
        <v>2121</v>
      </c>
      <c r="K19" s="545">
        <v>600</v>
      </c>
      <c r="L19" s="544"/>
      <c r="M19" s="1266"/>
    </row>
    <row r="20" spans="1:13" x14ac:dyDescent="0.2">
      <c r="A20" s="1403"/>
      <c r="B20" s="1261"/>
      <c r="C20" s="1272"/>
      <c r="D20" s="544"/>
      <c r="E20" s="544"/>
      <c r="F20" s="544"/>
      <c r="G20" s="544"/>
      <c r="H20" s="545">
        <v>200</v>
      </c>
      <c r="I20" s="544"/>
      <c r="J20" s="621">
        <v>2122</v>
      </c>
      <c r="K20" s="545">
        <v>200</v>
      </c>
      <c r="L20" s="544"/>
      <c r="M20" s="1266"/>
    </row>
    <row r="21" spans="1:13" x14ac:dyDescent="0.2">
      <c r="A21" s="1403"/>
      <c r="B21" s="1261"/>
      <c r="C21" s="1272"/>
      <c r="D21" s="545">
        <v>505</v>
      </c>
      <c r="E21" s="545"/>
      <c r="F21" s="545">
        <v>505</v>
      </c>
      <c r="G21" s="545"/>
      <c r="H21" s="545">
        <v>2198</v>
      </c>
      <c r="I21" s="545"/>
      <c r="J21" s="621">
        <v>2279</v>
      </c>
      <c r="K21" s="545">
        <v>2198</v>
      </c>
      <c r="L21" s="545"/>
      <c r="M21" s="1266"/>
    </row>
    <row r="22" spans="1:13" x14ac:dyDescent="0.2">
      <c r="A22" s="1404"/>
      <c r="B22" s="1263"/>
      <c r="C22" s="1273"/>
      <c r="D22" s="545">
        <v>2000</v>
      </c>
      <c r="E22" s="545"/>
      <c r="F22" s="545">
        <v>2000</v>
      </c>
      <c r="G22" s="545"/>
      <c r="H22" s="545">
        <v>2000</v>
      </c>
      <c r="I22" s="545"/>
      <c r="J22" s="621">
        <v>2262</v>
      </c>
      <c r="K22" s="545">
        <v>2000</v>
      </c>
      <c r="L22" s="545"/>
      <c r="M22" s="1267"/>
    </row>
    <row r="23" spans="1:13" x14ac:dyDescent="0.2">
      <c r="A23" s="1405">
        <v>1.2</v>
      </c>
      <c r="B23" s="1374" t="s">
        <v>821</v>
      </c>
      <c r="C23" s="1375"/>
      <c r="D23" s="544">
        <f t="shared" ref="D23:I23" si="2">SUM(D24:D26)</f>
        <v>3360</v>
      </c>
      <c r="E23" s="544">
        <f t="shared" si="2"/>
        <v>0</v>
      </c>
      <c r="F23" s="544">
        <f t="shared" si="2"/>
        <v>3360</v>
      </c>
      <c r="G23" s="544">
        <f t="shared" si="2"/>
        <v>0</v>
      </c>
      <c r="H23" s="544">
        <f t="shared" si="2"/>
        <v>2600</v>
      </c>
      <c r="I23" s="544">
        <f t="shared" si="2"/>
        <v>0</v>
      </c>
      <c r="J23" s="621"/>
      <c r="K23" s="544">
        <f>SUM(K24:K26)</f>
        <v>2900</v>
      </c>
      <c r="L23" s="544">
        <f>SUM(L24:L26)</f>
        <v>0</v>
      </c>
      <c r="M23" s="1265" t="s">
        <v>820</v>
      </c>
    </row>
    <row r="24" spans="1:13" x14ac:dyDescent="0.2">
      <c r="A24" s="1406"/>
      <c r="B24" s="1376"/>
      <c r="C24" s="1377"/>
      <c r="D24" s="545">
        <v>200</v>
      </c>
      <c r="E24" s="545"/>
      <c r="F24" s="545">
        <v>200</v>
      </c>
      <c r="G24" s="545"/>
      <c r="H24" s="622">
        <v>200</v>
      </c>
      <c r="I24" s="622"/>
      <c r="J24" s="623">
        <v>2341</v>
      </c>
      <c r="K24" s="545">
        <v>200</v>
      </c>
      <c r="L24" s="545"/>
      <c r="M24" s="1266"/>
    </row>
    <row r="25" spans="1:13" x14ac:dyDescent="0.2">
      <c r="A25" s="1406"/>
      <c r="B25" s="1376"/>
      <c r="C25" s="1377"/>
      <c r="D25" s="624">
        <v>2400</v>
      </c>
      <c r="E25" s="624"/>
      <c r="F25" s="624">
        <v>2400</v>
      </c>
      <c r="G25" s="624"/>
      <c r="H25" s="624">
        <v>1200</v>
      </c>
      <c r="I25" s="624"/>
      <c r="J25" s="623">
        <v>2361</v>
      </c>
      <c r="K25" s="624">
        <v>1200</v>
      </c>
      <c r="L25" s="625"/>
      <c r="M25" s="1266"/>
    </row>
    <row r="26" spans="1:13" x14ac:dyDescent="0.2">
      <c r="A26" s="1407"/>
      <c r="B26" s="1378"/>
      <c r="C26" s="1379"/>
      <c r="D26" s="624">
        <v>760</v>
      </c>
      <c r="E26" s="624"/>
      <c r="F26" s="624">
        <v>760</v>
      </c>
      <c r="G26" s="624"/>
      <c r="H26" s="624">
        <v>1200</v>
      </c>
      <c r="I26" s="624"/>
      <c r="J26" s="621">
        <v>2370</v>
      </c>
      <c r="K26" s="624">
        <f>200+500+800</f>
        <v>1500</v>
      </c>
      <c r="L26" s="625"/>
      <c r="M26" s="1267"/>
    </row>
    <row r="27" spans="1:13" s="629" customFormat="1" x14ac:dyDescent="0.2">
      <c r="A27" s="1401" t="s">
        <v>456</v>
      </c>
      <c r="B27" s="1090" t="s">
        <v>822</v>
      </c>
      <c r="C27" s="1090"/>
      <c r="D27" s="626">
        <f t="shared" ref="D27:I27" si="3">SUM(D28:D28)</f>
        <v>0</v>
      </c>
      <c r="E27" s="626">
        <f t="shared" si="3"/>
        <v>0</v>
      </c>
      <c r="F27" s="626">
        <f t="shared" si="3"/>
        <v>0</v>
      </c>
      <c r="G27" s="626">
        <f t="shared" si="3"/>
        <v>0</v>
      </c>
      <c r="H27" s="626">
        <f t="shared" si="3"/>
        <v>2800</v>
      </c>
      <c r="I27" s="626">
        <f t="shared" si="3"/>
        <v>0</v>
      </c>
      <c r="J27" s="627"/>
      <c r="K27" s="628">
        <f>SUM(K28:K28)</f>
        <v>2800</v>
      </c>
      <c r="L27" s="628">
        <f>SUM(L28:L28)</f>
        <v>0</v>
      </c>
      <c r="M27" s="1391" t="s">
        <v>823</v>
      </c>
    </row>
    <row r="28" spans="1:13" s="629" customFormat="1" x14ac:dyDescent="0.2">
      <c r="A28" s="1401"/>
      <c r="B28" s="1090"/>
      <c r="C28" s="1090"/>
      <c r="D28" s="630"/>
      <c r="E28" s="630"/>
      <c r="F28" s="630"/>
      <c r="G28" s="630"/>
      <c r="H28" s="630">
        <v>2800</v>
      </c>
      <c r="I28" s="630"/>
      <c r="J28" s="627">
        <v>2363</v>
      </c>
      <c r="K28" s="631">
        <v>2800</v>
      </c>
      <c r="L28" s="631"/>
      <c r="M28" s="1393"/>
    </row>
    <row r="29" spans="1:13" s="629" customFormat="1" x14ac:dyDescent="0.2">
      <c r="A29" s="1401" t="s">
        <v>824</v>
      </c>
      <c r="B29" s="1090" t="s">
        <v>825</v>
      </c>
      <c r="C29" s="1090"/>
      <c r="D29" s="626">
        <f t="shared" ref="D29:I29" si="4">SUM(D30:D35)</f>
        <v>0</v>
      </c>
      <c r="E29" s="626">
        <f t="shared" si="4"/>
        <v>0</v>
      </c>
      <c r="F29" s="626">
        <f t="shared" si="4"/>
        <v>0</v>
      </c>
      <c r="G29" s="626">
        <f t="shared" si="4"/>
        <v>0</v>
      </c>
      <c r="H29" s="626">
        <f t="shared" si="4"/>
        <v>12310</v>
      </c>
      <c r="I29" s="626">
        <f t="shared" si="4"/>
        <v>0</v>
      </c>
      <c r="J29" s="632"/>
      <c r="K29" s="628">
        <f>SUM(K30:K35)</f>
        <v>12310</v>
      </c>
      <c r="L29" s="628">
        <f>SUM(L30:L35)</f>
        <v>0</v>
      </c>
      <c r="M29" s="1391" t="s">
        <v>823</v>
      </c>
    </row>
    <row r="30" spans="1:13" s="629" customFormat="1" x14ac:dyDescent="0.2">
      <c r="A30" s="1401"/>
      <c r="B30" s="1090"/>
      <c r="C30" s="1090"/>
      <c r="D30" s="626"/>
      <c r="E30" s="626"/>
      <c r="F30" s="626"/>
      <c r="G30" s="626"/>
      <c r="H30" s="630">
        <v>360</v>
      </c>
      <c r="I30" s="626"/>
      <c r="J30" s="627">
        <v>2111</v>
      </c>
      <c r="K30" s="631">
        <v>360</v>
      </c>
      <c r="L30" s="628"/>
      <c r="M30" s="1392"/>
    </row>
    <row r="31" spans="1:13" s="629" customFormat="1" x14ac:dyDescent="0.2">
      <c r="A31" s="1401"/>
      <c r="B31" s="1090"/>
      <c r="C31" s="1090"/>
      <c r="D31" s="626"/>
      <c r="E31" s="626"/>
      <c r="F31" s="626"/>
      <c r="G31" s="626"/>
      <c r="H31" s="630">
        <v>5900</v>
      </c>
      <c r="I31" s="630"/>
      <c r="J31" s="627">
        <v>2261</v>
      </c>
      <c r="K31" s="631">
        <v>5900</v>
      </c>
      <c r="L31" s="628"/>
      <c r="M31" s="1392"/>
    </row>
    <row r="32" spans="1:13" s="629" customFormat="1" x14ac:dyDescent="0.2">
      <c r="A32" s="1401"/>
      <c r="B32" s="1090"/>
      <c r="C32" s="1090"/>
      <c r="D32" s="626"/>
      <c r="E32" s="626"/>
      <c r="F32" s="626"/>
      <c r="G32" s="626"/>
      <c r="H32" s="630">
        <v>1400</v>
      </c>
      <c r="I32" s="630"/>
      <c r="J32" s="627">
        <v>2262</v>
      </c>
      <c r="K32" s="631">
        <v>1400</v>
      </c>
      <c r="L32" s="628"/>
      <c r="M32" s="1392"/>
    </row>
    <row r="33" spans="1:13" s="629" customFormat="1" x14ac:dyDescent="0.2">
      <c r="A33" s="1401"/>
      <c r="B33" s="1090"/>
      <c r="C33" s="1090"/>
      <c r="D33" s="626"/>
      <c r="E33" s="626"/>
      <c r="F33" s="626"/>
      <c r="G33" s="626"/>
      <c r="H33" s="630">
        <v>300</v>
      </c>
      <c r="I33" s="630"/>
      <c r="J33" s="627">
        <v>2279</v>
      </c>
      <c r="K33" s="631">
        <v>300</v>
      </c>
      <c r="L33" s="628"/>
      <c r="M33" s="1392"/>
    </row>
    <row r="34" spans="1:13" s="629" customFormat="1" x14ac:dyDescent="0.2">
      <c r="A34" s="1401"/>
      <c r="B34" s="1090"/>
      <c r="C34" s="1090"/>
      <c r="D34" s="626"/>
      <c r="E34" s="626"/>
      <c r="F34" s="626"/>
      <c r="G34" s="626"/>
      <c r="H34" s="630">
        <v>150</v>
      </c>
      <c r="I34" s="626"/>
      <c r="J34" s="627">
        <v>2341</v>
      </c>
      <c r="K34" s="631">
        <v>150</v>
      </c>
      <c r="L34" s="628"/>
      <c r="M34" s="1392"/>
    </row>
    <row r="35" spans="1:13" s="629" customFormat="1" x14ac:dyDescent="0.2">
      <c r="A35" s="1401"/>
      <c r="B35" s="1090"/>
      <c r="C35" s="1090"/>
      <c r="D35" s="630"/>
      <c r="E35" s="630"/>
      <c r="F35" s="630"/>
      <c r="G35" s="630"/>
      <c r="H35" s="630">
        <v>4200</v>
      </c>
      <c r="I35" s="630"/>
      <c r="J35" s="627">
        <v>2363</v>
      </c>
      <c r="K35" s="631">
        <v>4200</v>
      </c>
      <c r="L35" s="631"/>
      <c r="M35" s="1393"/>
    </row>
    <row r="36" spans="1:13" x14ac:dyDescent="0.2">
      <c r="A36" s="633">
        <v>2</v>
      </c>
      <c r="B36" s="1351" t="s">
        <v>826</v>
      </c>
      <c r="C36" s="1351"/>
      <c r="D36" s="517">
        <f t="shared" ref="D36:I36" si="5">D37+D41+D44</f>
        <v>6426</v>
      </c>
      <c r="E36" s="517">
        <f t="shared" si="5"/>
        <v>0</v>
      </c>
      <c r="F36" s="517">
        <f t="shared" si="5"/>
        <v>6444</v>
      </c>
      <c r="G36" s="517">
        <f t="shared" si="5"/>
        <v>0</v>
      </c>
      <c r="H36" s="517">
        <f t="shared" si="5"/>
        <v>11505</v>
      </c>
      <c r="I36" s="517">
        <f t="shared" si="5"/>
        <v>0</v>
      </c>
      <c r="J36" s="634"/>
      <c r="K36" s="517">
        <f>K37+K41+K44</f>
        <v>6106</v>
      </c>
      <c r="L36" s="517">
        <f>L37+L41+L44</f>
        <v>0</v>
      </c>
      <c r="M36" s="617"/>
    </row>
    <row r="37" spans="1:13" s="618" customFormat="1" x14ac:dyDescent="0.2">
      <c r="A37" s="1268">
        <v>2.1</v>
      </c>
      <c r="B37" s="1259" t="s">
        <v>814</v>
      </c>
      <c r="C37" s="1271"/>
      <c r="D37" s="544">
        <f t="shared" ref="D37:I37" si="6">SUM(D38:D40)</f>
        <v>2148</v>
      </c>
      <c r="E37" s="544">
        <f t="shared" si="6"/>
        <v>0</v>
      </c>
      <c r="F37" s="544">
        <f t="shared" si="6"/>
        <v>2166</v>
      </c>
      <c r="G37" s="544">
        <f t="shared" si="6"/>
        <v>0</v>
      </c>
      <c r="H37" s="544">
        <f t="shared" si="6"/>
        <v>3800</v>
      </c>
      <c r="I37" s="544">
        <f t="shared" si="6"/>
        <v>0</v>
      </c>
      <c r="J37" s="621"/>
      <c r="K37" s="544">
        <f>SUM(K38:K40)</f>
        <v>3800</v>
      </c>
      <c r="L37" s="544">
        <f>SUM(L38:L40)</f>
        <v>0</v>
      </c>
      <c r="M37" s="1265" t="s">
        <v>817</v>
      </c>
    </row>
    <row r="38" spans="1:13" x14ac:dyDescent="0.2">
      <c r="A38" s="1269"/>
      <c r="B38" s="1261"/>
      <c r="C38" s="1272"/>
      <c r="D38" s="545">
        <v>957</v>
      </c>
      <c r="E38" s="545"/>
      <c r="F38" s="545">
        <v>975</v>
      </c>
      <c r="G38" s="545"/>
      <c r="H38" s="545">
        <f>240+240+240+260+220</f>
        <v>1200</v>
      </c>
      <c r="I38" s="545"/>
      <c r="J38" s="621">
        <v>2261</v>
      </c>
      <c r="K38" s="545">
        <v>1200</v>
      </c>
      <c r="L38" s="545"/>
      <c r="M38" s="1266"/>
    </row>
    <row r="39" spans="1:13" x14ac:dyDescent="0.2">
      <c r="A39" s="1269"/>
      <c r="B39" s="1261"/>
      <c r="C39" s="1272"/>
      <c r="D39" s="545">
        <v>771</v>
      </c>
      <c r="E39" s="545"/>
      <c r="F39" s="545">
        <v>771</v>
      </c>
      <c r="G39" s="545"/>
      <c r="H39" s="545">
        <v>1550</v>
      </c>
      <c r="I39" s="545"/>
      <c r="J39" s="621">
        <v>2279</v>
      </c>
      <c r="K39" s="545">
        <v>1550</v>
      </c>
      <c r="L39" s="545"/>
      <c r="M39" s="1266"/>
    </row>
    <row r="40" spans="1:13" x14ac:dyDescent="0.2">
      <c r="A40" s="1270"/>
      <c r="B40" s="1263"/>
      <c r="C40" s="1273"/>
      <c r="D40" s="545">
        <v>420</v>
      </c>
      <c r="E40" s="545"/>
      <c r="F40" s="545">
        <v>420</v>
      </c>
      <c r="G40" s="545"/>
      <c r="H40" s="545">
        <v>1050</v>
      </c>
      <c r="I40" s="545"/>
      <c r="J40" s="621">
        <v>2363</v>
      </c>
      <c r="K40" s="545">
        <v>1050</v>
      </c>
      <c r="L40" s="545"/>
      <c r="M40" s="1267"/>
    </row>
    <row r="41" spans="1:13" s="618" customFormat="1" x14ac:dyDescent="0.2">
      <c r="A41" s="1268">
        <v>2.2000000000000002</v>
      </c>
      <c r="B41" s="1374" t="s">
        <v>827</v>
      </c>
      <c r="C41" s="1375"/>
      <c r="D41" s="544">
        <f>SUM(D42:D43)</f>
        <v>2478</v>
      </c>
      <c r="E41" s="544"/>
      <c r="F41" s="544">
        <f>SUM(F42:F43)</f>
        <v>2478</v>
      </c>
      <c r="G41" s="544"/>
      <c r="H41" s="544">
        <f>SUM(H42:H43)</f>
        <v>5745</v>
      </c>
      <c r="I41" s="544"/>
      <c r="J41" s="621"/>
      <c r="K41" s="544">
        <f>SUM(K42:K43)</f>
        <v>721</v>
      </c>
      <c r="L41" s="544">
        <f>SUM(L42:L43)</f>
        <v>0</v>
      </c>
      <c r="M41" s="1380" t="s">
        <v>828</v>
      </c>
    </row>
    <row r="42" spans="1:13" x14ac:dyDescent="0.2">
      <c r="A42" s="1269"/>
      <c r="B42" s="1376"/>
      <c r="C42" s="1377"/>
      <c r="D42" s="545">
        <v>0</v>
      </c>
      <c r="E42" s="545"/>
      <c r="F42" s="545">
        <v>0</v>
      </c>
      <c r="G42" s="545"/>
      <c r="H42" s="622">
        <v>205</v>
      </c>
      <c r="I42" s="622"/>
      <c r="J42" s="623">
        <v>2312</v>
      </c>
      <c r="K42" s="545">
        <v>181</v>
      </c>
      <c r="L42" s="545"/>
      <c r="M42" s="1381"/>
    </row>
    <row r="43" spans="1:13" x14ac:dyDescent="0.2">
      <c r="A43" s="1270"/>
      <c r="B43" s="1378"/>
      <c r="C43" s="1379"/>
      <c r="D43" s="624">
        <v>2478</v>
      </c>
      <c r="E43" s="624"/>
      <c r="F43" s="624">
        <v>2478</v>
      </c>
      <c r="G43" s="624"/>
      <c r="H43" s="624">
        <v>5540</v>
      </c>
      <c r="I43" s="624"/>
      <c r="J43" s="623">
        <v>5239</v>
      </c>
      <c r="K43" s="624">
        <v>540</v>
      </c>
      <c r="L43" s="625"/>
      <c r="M43" s="1382"/>
    </row>
    <row r="44" spans="1:13" x14ac:dyDescent="0.2">
      <c r="A44" s="1400">
        <v>2.2999999999999998</v>
      </c>
      <c r="B44" s="1277" t="s">
        <v>829</v>
      </c>
      <c r="C44" s="1277"/>
      <c r="D44" s="536">
        <f>SUM(D45:D47)</f>
        <v>1800</v>
      </c>
      <c r="E44" s="536"/>
      <c r="F44" s="536">
        <f>SUM(F45:F47)</f>
        <v>1800</v>
      </c>
      <c r="G44" s="624"/>
      <c r="H44" s="536">
        <f>SUM(H45:H47)</f>
        <v>1960</v>
      </c>
      <c r="I44" s="536"/>
      <c r="J44" s="617"/>
      <c r="K44" s="536">
        <f>SUM(K45:K47)</f>
        <v>1585</v>
      </c>
      <c r="L44" s="536">
        <f>SUM(L45:L47)</f>
        <v>0</v>
      </c>
      <c r="M44" s="1380" t="s">
        <v>828</v>
      </c>
    </row>
    <row r="45" spans="1:13" ht="12.75" customHeight="1" x14ac:dyDescent="0.2">
      <c r="A45" s="1400"/>
      <c r="B45" s="1277"/>
      <c r="C45" s="1277"/>
      <c r="D45" s="624">
        <v>120</v>
      </c>
      <c r="E45" s="624"/>
      <c r="F45" s="624">
        <v>120</v>
      </c>
      <c r="G45" s="624"/>
      <c r="H45" s="624">
        <v>120</v>
      </c>
      <c r="I45" s="624"/>
      <c r="J45" s="621">
        <v>2242</v>
      </c>
      <c r="K45" s="624">
        <v>120</v>
      </c>
      <c r="L45" s="625"/>
      <c r="M45" s="1381"/>
    </row>
    <row r="46" spans="1:13" x14ac:dyDescent="0.2">
      <c r="A46" s="1400"/>
      <c r="B46" s="1277"/>
      <c r="C46" s="1277"/>
      <c r="D46" s="624">
        <v>1680</v>
      </c>
      <c r="E46" s="624"/>
      <c r="F46" s="624">
        <v>1680</v>
      </c>
      <c r="G46" s="624"/>
      <c r="H46" s="624">
        <v>1680</v>
      </c>
      <c r="I46" s="624"/>
      <c r="J46" s="621">
        <v>2322</v>
      </c>
      <c r="K46" s="624">
        <v>1365</v>
      </c>
      <c r="L46" s="625"/>
      <c r="M46" s="1381"/>
    </row>
    <row r="47" spans="1:13" ht="12.75" customHeight="1" x14ac:dyDescent="0.2">
      <c r="A47" s="1400"/>
      <c r="B47" s="1277"/>
      <c r="C47" s="1277"/>
      <c r="D47" s="624">
        <v>0</v>
      </c>
      <c r="E47" s="624"/>
      <c r="F47" s="624">
        <v>0</v>
      </c>
      <c r="G47" s="624"/>
      <c r="H47" s="624">
        <v>160</v>
      </c>
      <c r="I47" s="624"/>
      <c r="J47" s="623">
        <v>2354</v>
      </c>
      <c r="K47" s="624">
        <v>100</v>
      </c>
      <c r="L47" s="625"/>
      <c r="M47" s="1382"/>
    </row>
    <row r="48" spans="1:13" x14ac:dyDescent="0.2">
      <c r="A48" s="616">
        <v>3</v>
      </c>
      <c r="B48" s="1351" t="s">
        <v>830</v>
      </c>
      <c r="C48" s="1351"/>
      <c r="D48" s="517" t="e">
        <f>D49+D52+#REF!+D55</f>
        <v>#REF!</v>
      </c>
      <c r="E48" s="517" t="e">
        <f>E49+E52+#REF!+E55</f>
        <v>#REF!</v>
      </c>
      <c r="F48" s="517" t="e">
        <f>F49+F52+#REF!+F55</f>
        <v>#REF!</v>
      </c>
      <c r="G48" s="517" t="e">
        <f>G49+G52+#REF!+G55</f>
        <v>#REF!</v>
      </c>
      <c r="H48" s="517" t="e">
        <f>H49+H52+#REF!+H55</f>
        <v>#REF!</v>
      </c>
      <c r="I48" s="517" t="e">
        <f>I49+I52+#REF!+I55</f>
        <v>#REF!</v>
      </c>
      <c r="J48" s="634"/>
      <c r="K48" s="517">
        <f>K49+K52+K55</f>
        <v>5903</v>
      </c>
      <c r="L48" s="517">
        <f>L49+L52+L55</f>
        <v>0</v>
      </c>
      <c r="M48" s="617"/>
    </row>
    <row r="49" spans="1:17" s="618" customFormat="1" ht="12" customHeight="1" x14ac:dyDescent="0.2">
      <c r="A49" s="1268">
        <v>3.1</v>
      </c>
      <c r="B49" s="1259" t="s">
        <v>831</v>
      </c>
      <c r="C49" s="1271"/>
      <c r="D49" s="544">
        <f>SUM(D50:D51)</f>
        <v>1190</v>
      </c>
      <c r="E49" s="544">
        <f>SUM(E50:E51)</f>
        <v>0</v>
      </c>
      <c r="F49" s="544">
        <f>SUM(F50:F51)</f>
        <v>1190</v>
      </c>
      <c r="G49" s="544">
        <f>SUM(G50:G51)</f>
        <v>0</v>
      </c>
      <c r="H49" s="544">
        <f>SUM(H50:H51)</f>
        <v>2156</v>
      </c>
      <c r="I49" s="544">
        <f>SUM(I51:I51)</f>
        <v>0</v>
      </c>
      <c r="J49" s="621"/>
      <c r="K49" s="544">
        <f>SUM(K50:K51)</f>
        <v>1540</v>
      </c>
      <c r="L49" s="544">
        <f>SUM(L50:L51)</f>
        <v>0</v>
      </c>
      <c r="M49" s="1265" t="s">
        <v>817</v>
      </c>
    </row>
    <row r="50" spans="1:17" s="618" customFormat="1" x14ac:dyDescent="0.2">
      <c r="A50" s="1269"/>
      <c r="B50" s="1261"/>
      <c r="C50" s="1272"/>
      <c r="D50" s="545">
        <v>140</v>
      </c>
      <c r="E50" s="545"/>
      <c r="F50" s="545">
        <v>140</v>
      </c>
      <c r="G50" s="545"/>
      <c r="H50" s="545">
        <v>196</v>
      </c>
      <c r="I50" s="545"/>
      <c r="J50" s="621">
        <v>2363</v>
      </c>
      <c r="K50" s="545">
        <v>140</v>
      </c>
      <c r="L50" s="544"/>
      <c r="M50" s="1266"/>
      <c r="Q50" s="485"/>
    </row>
    <row r="51" spans="1:17" x14ac:dyDescent="0.2">
      <c r="A51" s="1270"/>
      <c r="B51" s="1263"/>
      <c r="C51" s="1273"/>
      <c r="D51" s="545">
        <v>1050</v>
      </c>
      <c r="E51" s="545"/>
      <c r="F51" s="545">
        <v>1050</v>
      </c>
      <c r="G51" s="545"/>
      <c r="H51" s="545">
        <v>1960</v>
      </c>
      <c r="I51" s="545"/>
      <c r="J51" s="621">
        <v>2279</v>
      </c>
      <c r="K51" s="545">
        <v>1400</v>
      </c>
      <c r="L51" s="545"/>
      <c r="M51" s="1267"/>
    </row>
    <row r="52" spans="1:17" s="635" customFormat="1" x14ac:dyDescent="0.2">
      <c r="A52" s="1268">
        <v>3.2</v>
      </c>
      <c r="B52" s="1374" t="s">
        <v>832</v>
      </c>
      <c r="C52" s="1375"/>
      <c r="D52" s="544">
        <f t="shared" ref="D52:I52" si="7">SUM(D53:D54)</f>
        <v>1440</v>
      </c>
      <c r="E52" s="544">
        <f t="shared" si="7"/>
        <v>0</v>
      </c>
      <c r="F52" s="544">
        <f t="shared" si="7"/>
        <v>1440</v>
      </c>
      <c r="G52" s="544">
        <f t="shared" si="7"/>
        <v>0</v>
      </c>
      <c r="H52" s="544">
        <f t="shared" si="7"/>
        <v>750</v>
      </c>
      <c r="I52" s="544">
        <f t="shared" si="7"/>
        <v>0</v>
      </c>
      <c r="J52" s="621"/>
      <c r="K52" s="544">
        <f>SUM(K53:K54)</f>
        <v>410</v>
      </c>
      <c r="L52" s="544">
        <f>SUM(L53:L54)</f>
        <v>0</v>
      </c>
      <c r="M52" s="1380" t="s">
        <v>828</v>
      </c>
    </row>
    <row r="53" spans="1:17" s="635" customFormat="1" ht="15" customHeight="1" x14ac:dyDescent="0.2">
      <c r="A53" s="1269"/>
      <c r="B53" s="1376"/>
      <c r="C53" s="1377"/>
      <c r="D53" s="544"/>
      <c r="E53" s="544"/>
      <c r="F53" s="544"/>
      <c r="G53" s="544"/>
      <c r="H53" s="545">
        <v>50</v>
      </c>
      <c r="I53" s="544"/>
      <c r="J53" s="621">
        <v>2341</v>
      </c>
      <c r="K53" s="545">
        <v>50</v>
      </c>
      <c r="L53" s="544"/>
      <c r="M53" s="1381"/>
    </row>
    <row r="54" spans="1:17" ht="15" customHeight="1" x14ac:dyDescent="0.2">
      <c r="A54" s="1270"/>
      <c r="B54" s="1378"/>
      <c r="C54" s="1379"/>
      <c r="D54" s="624">
        <v>1440</v>
      </c>
      <c r="E54" s="624"/>
      <c r="F54" s="624">
        <v>1440</v>
      </c>
      <c r="G54" s="625"/>
      <c r="H54" s="624">
        <v>700</v>
      </c>
      <c r="I54" s="624"/>
      <c r="J54" s="623">
        <v>2370</v>
      </c>
      <c r="K54" s="624">
        <v>360</v>
      </c>
      <c r="L54" s="625"/>
      <c r="M54" s="1382"/>
    </row>
    <row r="55" spans="1:17" s="629" customFormat="1" x14ac:dyDescent="0.2">
      <c r="A55" s="1383" t="s">
        <v>686</v>
      </c>
      <c r="B55" s="1090" t="s">
        <v>822</v>
      </c>
      <c r="C55" s="1090"/>
      <c r="D55" s="636">
        <f t="shared" ref="D55:I55" si="8">SUM(D56:D57)</f>
        <v>0</v>
      </c>
      <c r="E55" s="636">
        <f t="shared" si="8"/>
        <v>0</v>
      </c>
      <c r="F55" s="636">
        <f t="shared" si="8"/>
        <v>0</v>
      </c>
      <c r="G55" s="636">
        <f t="shared" si="8"/>
        <v>0</v>
      </c>
      <c r="H55" s="636">
        <f t="shared" si="8"/>
        <v>3953</v>
      </c>
      <c r="I55" s="636">
        <f t="shared" si="8"/>
        <v>0</v>
      </c>
      <c r="J55" s="637"/>
      <c r="K55" s="638">
        <f>SUM(K56:K57)</f>
        <v>3953</v>
      </c>
      <c r="L55" s="638">
        <f>SUM(L56:L57)</f>
        <v>0</v>
      </c>
      <c r="M55" s="1396" t="s">
        <v>823</v>
      </c>
    </row>
    <row r="56" spans="1:17" s="629" customFormat="1" x14ac:dyDescent="0.2">
      <c r="A56" s="1383"/>
      <c r="B56" s="1090"/>
      <c r="C56" s="1090"/>
      <c r="D56" s="639"/>
      <c r="E56" s="639"/>
      <c r="F56" s="639"/>
      <c r="G56" s="639"/>
      <c r="H56" s="639">
        <v>1103</v>
      </c>
      <c r="I56" s="639"/>
      <c r="J56" s="640">
        <v>2363</v>
      </c>
      <c r="K56" s="641">
        <v>1103</v>
      </c>
      <c r="L56" s="639"/>
      <c r="M56" s="1399"/>
    </row>
    <row r="57" spans="1:17" s="629" customFormat="1" x14ac:dyDescent="0.2">
      <c r="A57" s="1383"/>
      <c r="B57" s="1090"/>
      <c r="C57" s="1090"/>
      <c r="D57" s="639"/>
      <c r="E57" s="639"/>
      <c r="F57" s="639"/>
      <c r="G57" s="639"/>
      <c r="H57" s="639">
        <v>2850</v>
      </c>
      <c r="I57" s="639"/>
      <c r="J57" s="640">
        <v>2261</v>
      </c>
      <c r="K57" s="641">
        <v>2850</v>
      </c>
      <c r="L57" s="639"/>
      <c r="M57" s="1397"/>
    </row>
    <row r="58" spans="1:17" x14ac:dyDescent="0.2">
      <c r="A58" s="616">
        <v>4</v>
      </c>
      <c r="B58" s="1351" t="s">
        <v>833</v>
      </c>
      <c r="C58" s="1351"/>
      <c r="D58" s="517" t="e">
        <f>D59+D62+#REF!</f>
        <v>#REF!</v>
      </c>
      <c r="E58" s="517"/>
      <c r="F58" s="517" t="e">
        <f>F59+F62+#REF!</f>
        <v>#REF!</v>
      </c>
      <c r="G58" s="517"/>
      <c r="H58" s="517" t="e">
        <f>H59+H62+#REF!</f>
        <v>#REF!</v>
      </c>
      <c r="I58" s="517"/>
      <c r="J58" s="634"/>
      <c r="K58" s="517">
        <f>K59+K62</f>
        <v>930</v>
      </c>
      <c r="L58" s="517">
        <f>L59+L62</f>
        <v>0</v>
      </c>
      <c r="M58" s="617"/>
      <c r="N58" s="561"/>
    </row>
    <row r="59" spans="1:17" ht="12" customHeight="1" x14ac:dyDescent="0.2">
      <c r="A59" s="1268">
        <v>4.0999999999999996</v>
      </c>
      <c r="B59" s="1259" t="s">
        <v>831</v>
      </c>
      <c r="C59" s="1271"/>
      <c r="D59" s="544">
        <f t="shared" ref="D59:I59" si="9">SUM(D60:D61)</f>
        <v>440</v>
      </c>
      <c r="E59" s="544">
        <f t="shared" si="9"/>
        <v>0</v>
      </c>
      <c r="F59" s="544">
        <f t="shared" si="9"/>
        <v>440</v>
      </c>
      <c r="G59" s="544">
        <f t="shared" si="9"/>
        <v>0</v>
      </c>
      <c r="H59" s="544">
        <f t="shared" si="9"/>
        <v>440</v>
      </c>
      <c r="I59" s="544">
        <f t="shared" si="9"/>
        <v>0</v>
      </c>
      <c r="J59" s="621"/>
      <c r="K59" s="544">
        <f>SUM(K60:K61)</f>
        <v>370</v>
      </c>
      <c r="L59" s="544">
        <f>SUM(L60:L61)</f>
        <v>0</v>
      </c>
      <c r="M59" s="1265" t="s">
        <v>817</v>
      </c>
    </row>
    <row r="60" spans="1:17" x14ac:dyDescent="0.2">
      <c r="A60" s="1269"/>
      <c r="B60" s="1261"/>
      <c r="C60" s="1272"/>
      <c r="D60" s="545">
        <v>160</v>
      </c>
      <c r="E60" s="545"/>
      <c r="F60" s="545">
        <v>160</v>
      </c>
      <c r="G60" s="545"/>
      <c r="H60" s="545">
        <v>160</v>
      </c>
      <c r="I60" s="545"/>
      <c r="J60" s="621">
        <v>2261</v>
      </c>
      <c r="K60" s="545">
        <v>160</v>
      </c>
      <c r="L60" s="545"/>
      <c r="M60" s="1266"/>
    </row>
    <row r="61" spans="1:17" x14ac:dyDescent="0.2">
      <c r="A61" s="1270"/>
      <c r="B61" s="1263"/>
      <c r="C61" s="1273"/>
      <c r="D61" s="545">
        <v>280</v>
      </c>
      <c r="E61" s="545"/>
      <c r="F61" s="545">
        <v>280</v>
      </c>
      <c r="G61" s="545"/>
      <c r="H61" s="545">
        <v>280</v>
      </c>
      <c r="I61" s="545"/>
      <c r="J61" s="621">
        <v>2363</v>
      </c>
      <c r="K61" s="545">
        <v>210</v>
      </c>
      <c r="L61" s="545"/>
      <c r="M61" s="1267"/>
    </row>
    <row r="62" spans="1:17" x14ac:dyDescent="0.2">
      <c r="A62" s="1268">
        <v>4.2</v>
      </c>
      <c r="B62" s="1374" t="s">
        <v>834</v>
      </c>
      <c r="C62" s="1375"/>
      <c r="D62" s="544">
        <f t="shared" ref="D62:I62" si="10">SUM(D63:D63)</f>
        <v>560</v>
      </c>
      <c r="E62" s="544">
        <f t="shared" si="10"/>
        <v>0</v>
      </c>
      <c r="F62" s="544">
        <f t="shared" si="10"/>
        <v>560</v>
      </c>
      <c r="G62" s="544">
        <f t="shared" si="10"/>
        <v>0</v>
      </c>
      <c r="H62" s="544">
        <f t="shared" si="10"/>
        <v>560</v>
      </c>
      <c r="I62" s="544">
        <f t="shared" si="10"/>
        <v>0</v>
      </c>
      <c r="J62" s="621"/>
      <c r="K62" s="544">
        <f>SUM(K63:K63)</f>
        <v>560</v>
      </c>
      <c r="L62" s="544">
        <f>SUM(L63:L63)</f>
        <v>0</v>
      </c>
      <c r="M62" s="1380" t="s">
        <v>828</v>
      </c>
    </row>
    <row r="63" spans="1:17" x14ac:dyDescent="0.2">
      <c r="A63" s="1270"/>
      <c r="B63" s="1378"/>
      <c r="C63" s="1379"/>
      <c r="D63" s="624">
        <v>560</v>
      </c>
      <c r="E63" s="624"/>
      <c r="F63" s="624">
        <v>560</v>
      </c>
      <c r="G63" s="624"/>
      <c r="H63" s="624">
        <v>560</v>
      </c>
      <c r="I63" s="624"/>
      <c r="J63" s="621">
        <v>2370</v>
      </c>
      <c r="K63" s="624">
        <v>560</v>
      </c>
      <c r="L63" s="625"/>
      <c r="M63" s="1382"/>
    </row>
    <row r="64" spans="1:17" x14ac:dyDescent="0.2">
      <c r="A64" s="616">
        <v>5</v>
      </c>
      <c r="B64" s="1351" t="s">
        <v>835</v>
      </c>
      <c r="C64" s="1351"/>
      <c r="D64" s="517" t="e">
        <f>D65+D69+#REF!+D72</f>
        <v>#REF!</v>
      </c>
      <c r="E64" s="517" t="e">
        <f>E65+E69+#REF!+E72</f>
        <v>#REF!</v>
      </c>
      <c r="F64" s="517" t="e">
        <f>F65+F69+#REF!+F72</f>
        <v>#REF!</v>
      </c>
      <c r="G64" s="517" t="e">
        <f>G65+G69+#REF!+G72</f>
        <v>#REF!</v>
      </c>
      <c r="H64" s="517" t="e">
        <f>H65+H69+#REF!+H72</f>
        <v>#REF!</v>
      </c>
      <c r="I64" s="517" t="e">
        <f>I65+I69+#REF!+I72</f>
        <v>#REF!</v>
      </c>
      <c r="J64" s="634"/>
      <c r="K64" s="517">
        <f>K65+K69+K72</f>
        <v>15680</v>
      </c>
      <c r="L64" s="517">
        <f>L65+L69+L72</f>
        <v>2450</v>
      </c>
      <c r="M64" s="617"/>
    </row>
    <row r="65" spans="1:21" s="618" customFormat="1" x14ac:dyDescent="0.2">
      <c r="A65" s="1268">
        <v>5.0999999999999996</v>
      </c>
      <c r="B65" s="1259" t="s">
        <v>831</v>
      </c>
      <c r="C65" s="1271"/>
      <c r="D65" s="544">
        <f t="shared" ref="D65:I65" si="11">SUM(D66:D68)</f>
        <v>6353</v>
      </c>
      <c r="E65" s="544">
        <f t="shared" si="11"/>
        <v>2000</v>
      </c>
      <c r="F65" s="544">
        <f t="shared" si="11"/>
        <v>6353</v>
      </c>
      <c r="G65" s="544">
        <f t="shared" si="11"/>
        <v>2000</v>
      </c>
      <c r="H65" s="544">
        <f t="shared" si="11"/>
        <v>7103</v>
      </c>
      <c r="I65" s="544">
        <f t="shared" si="11"/>
        <v>2450</v>
      </c>
      <c r="J65" s="621"/>
      <c r="K65" s="544">
        <f>SUM(K66:K68)</f>
        <v>6153</v>
      </c>
      <c r="L65" s="544">
        <f>SUM(L66:L68)</f>
        <v>2450</v>
      </c>
      <c r="M65" s="1265" t="s">
        <v>817</v>
      </c>
    </row>
    <row r="66" spans="1:21" x14ac:dyDescent="0.2">
      <c r="A66" s="1269"/>
      <c r="B66" s="1261"/>
      <c r="C66" s="1272"/>
      <c r="D66" s="545">
        <v>4200</v>
      </c>
      <c r="E66" s="545">
        <v>2000</v>
      </c>
      <c r="F66" s="545">
        <v>4200</v>
      </c>
      <c r="G66" s="545">
        <v>2000</v>
      </c>
      <c r="H66" s="545">
        <v>4000</v>
      </c>
      <c r="I66" s="545">
        <v>2450</v>
      </c>
      <c r="J66" s="621">
        <v>2262</v>
      </c>
      <c r="K66" s="545">
        <v>4000</v>
      </c>
      <c r="L66" s="545">
        <v>2450</v>
      </c>
      <c r="M66" s="1266"/>
    </row>
    <row r="67" spans="1:21" x14ac:dyDescent="0.2">
      <c r="A67" s="1269"/>
      <c r="B67" s="1261"/>
      <c r="C67" s="1272"/>
      <c r="D67" s="545">
        <v>1050</v>
      </c>
      <c r="E67" s="545"/>
      <c r="F67" s="545">
        <v>1050</v>
      </c>
      <c r="G67" s="545"/>
      <c r="H67" s="545">
        <v>2000</v>
      </c>
      <c r="I67" s="545"/>
      <c r="J67" s="621">
        <v>2279</v>
      </c>
      <c r="K67" s="545">
        <v>1050</v>
      </c>
      <c r="L67" s="545"/>
      <c r="M67" s="1266"/>
    </row>
    <row r="68" spans="1:21" x14ac:dyDescent="0.2">
      <c r="A68" s="1270"/>
      <c r="B68" s="1263"/>
      <c r="C68" s="1273"/>
      <c r="D68" s="545">
        <v>1103</v>
      </c>
      <c r="E68" s="545"/>
      <c r="F68" s="545">
        <v>1103</v>
      </c>
      <c r="G68" s="545"/>
      <c r="H68" s="545">
        <v>1103</v>
      </c>
      <c r="I68" s="545"/>
      <c r="J68" s="621">
        <v>2363</v>
      </c>
      <c r="K68" s="545">
        <v>1103</v>
      </c>
      <c r="L68" s="545"/>
      <c r="M68" s="1267"/>
    </row>
    <row r="69" spans="1:21" s="618" customFormat="1" x14ac:dyDescent="0.2">
      <c r="A69" s="1268" t="s">
        <v>474</v>
      </c>
      <c r="B69" s="1374" t="s">
        <v>836</v>
      </c>
      <c r="C69" s="1375"/>
      <c r="D69" s="544">
        <f t="shared" ref="D69:I69" si="12">SUM(D70:D71)</f>
        <v>2698</v>
      </c>
      <c r="E69" s="544">
        <f t="shared" si="12"/>
        <v>1982</v>
      </c>
      <c r="F69" s="544">
        <f t="shared" si="12"/>
        <v>2698</v>
      </c>
      <c r="G69" s="544">
        <f t="shared" si="12"/>
        <v>1982</v>
      </c>
      <c r="H69" s="544">
        <f t="shared" si="12"/>
        <v>1900</v>
      </c>
      <c r="I69" s="544">
        <f t="shared" si="12"/>
        <v>0</v>
      </c>
      <c r="J69" s="621"/>
      <c r="K69" s="544">
        <f>SUM(K70:K71)</f>
        <v>1800</v>
      </c>
      <c r="L69" s="544">
        <f>SUM(L70:L71)</f>
        <v>0</v>
      </c>
      <c r="M69" s="1380" t="s">
        <v>828</v>
      </c>
    </row>
    <row r="70" spans="1:21" x14ac:dyDescent="0.2">
      <c r="A70" s="1269"/>
      <c r="B70" s="1376"/>
      <c r="C70" s="1377"/>
      <c r="D70" s="624">
        <v>1398</v>
      </c>
      <c r="E70" s="624">
        <v>1982</v>
      </c>
      <c r="F70" s="624">
        <v>1398</v>
      </c>
      <c r="G70" s="624">
        <v>1982</v>
      </c>
      <c r="H70" s="624">
        <v>500</v>
      </c>
      <c r="I70" s="624"/>
      <c r="J70" s="623">
        <v>2361</v>
      </c>
      <c r="K70" s="624">
        <v>500</v>
      </c>
      <c r="L70" s="625"/>
      <c r="M70" s="1381"/>
    </row>
    <row r="71" spans="1:21" x14ac:dyDescent="0.2">
      <c r="A71" s="1270"/>
      <c r="B71" s="1378"/>
      <c r="C71" s="1379"/>
      <c r="D71" s="624">
        <v>1300</v>
      </c>
      <c r="E71" s="624"/>
      <c r="F71" s="624">
        <v>1300</v>
      </c>
      <c r="G71" s="625"/>
      <c r="H71" s="624">
        <v>1400</v>
      </c>
      <c r="I71" s="624"/>
      <c r="J71" s="623">
        <v>2370</v>
      </c>
      <c r="K71" s="624">
        <v>1300</v>
      </c>
      <c r="L71" s="625"/>
      <c r="M71" s="1382"/>
    </row>
    <row r="72" spans="1:21" s="629" customFormat="1" x14ac:dyDescent="0.2">
      <c r="A72" s="642" t="s">
        <v>477</v>
      </c>
      <c r="B72" s="1398" t="s">
        <v>837</v>
      </c>
      <c r="C72" s="1398"/>
      <c r="D72" s="643" t="e">
        <f>D73+#REF!+D79</f>
        <v>#REF!</v>
      </c>
      <c r="E72" s="643" t="e">
        <f>E73+#REF!+E79</f>
        <v>#REF!</v>
      </c>
      <c r="F72" s="643" t="e">
        <f>F73+#REF!+F79</f>
        <v>#REF!</v>
      </c>
      <c r="G72" s="643" t="e">
        <f>G73+#REF!+G79</f>
        <v>#REF!</v>
      </c>
      <c r="H72" s="643" t="e">
        <f>H73+#REF!+H79</f>
        <v>#REF!</v>
      </c>
      <c r="I72" s="643" t="e">
        <f>I73+#REF!+I79</f>
        <v>#REF!</v>
      </c>
      <c r="J72" s="644"/>
      <c r="K72" s="645">
        <f>K73+K79</f>
        <v>7727</v>
      </c>
      <c r="L72" s="645">
        <f>L73+L79</f>
        <v>0</v>
      </c>
      <c r="M72" s="646"/>
    </row>
    <row r="73" spans="1:21" s="629" customFormat="1" ht="12" customHeight="1" x14ac:dyDescent="0.2">
      <c r="A73" s="1383" t="s">
        <v>838</v>
      </c>
      <c r="B73" s="1090" t="s">
        <v>839</v>
      </c>
      <c r="C73" s="1090"/>
      <c r="D73" s="643">
        <f t="shared" ref="D73:I73" si="13">SUM(D74:D78)</f>
        <v>2000</v>
      </c>
      <c r="E73" s="643">
        <f t="shared" si="13"/>
        <v>0</v>
      </c>
      <c r="F73" s="643">
        <f t="shared" si="13"/>
        <v>1457.4199999999998</v>
      </c>
      <c r="G73" s="643">
        <f t="shared" si="13"/>
        <v>0</v>
      </c>
      <c r="H73" s="643">
        <f t="shared" si="13"/>
        <v>2000</v>
      </c>
      <c r="I73" s="643">
        <f t="shared" si="13"/>
        <v>0</v>
      </c>
      <c r="J73" s="644"/>
      <c r="K73" s="647">
        <f>SUM(K74:K78)</f>
        <v>2000</v>
      </c>
      <c r="L73" s="647">
        <f>SUM(L74:L78)</f>
        <v>0</v>
      </c>
      <c r="M73" s="1388" t="s">
        <v>823</v>
      </c>
    </row>
    <row r="74" spans="1:21" s="629" customFormat="1" x14ac:dyDescent="0.2">
      <c r="A74" s="1383"/>
      <c r="B74" s="1090"/>
      <c r="C74" s="1090"/>
      <c r="D74" s="648">
        <v>1400</v>
      </c>
      <c r="E74" s="649"/>
      <c r="F74" s="648">
        <v>1057.5899999999999</v>
      </c>
      <c r="G74" s="649"/>
      <c r="H74" s="648">
        <v>1400</v>
      </c>
      <c r="I74" s="649"/>
      <c r="J74" s="644">
        <v>2363</v>
      </c>
      <c r="K74" s="650">
        <v>1400</v>
      </c>
      <c r="L74" s="651"/>
      <c r="M74" s="1389"/>
    </row>
    <row r="75" spans="1:21" s="629" customFormat="1" x14ac:dyDescent="0.2">
      <c r="A75" s="1383"/>
      <c r="B75" s="1090"/>
      <c r="C75" s="1090"/>
      <c r="D75" s="648">
        <v>60</v>
      </c>
      <c r="E75" s="649"/>
      <c r="F75" s="648">
        <v>58.45</v>
      </c>
      <c r="G75" s="649"/>
      <c r="H75" s="648">
        <v>60</v>
      </c>
      <c r="I75" s="649"/>
      <c r="J75" s="644">
        <v>2341</v>
      </c>
      <c r="K75" s="650">
        <v>60</v>
      </c>
      <c r="L75" s="651"/>
      <c r="M75" s="1389"/>
      <c r="O75" s="652"/>
    </row>
    <row r="76" spans="1:21" s="653" customFormat="1" x14ac:dyDescent="0.2">
      <c r="A76" s="1383"/>
      <c r="B76" s="1090"/>
      <c r="C76" s="1090"/>
      <c r="D76" s="648">
        <v>210</v>
      </c>
      <c r="E76" s="649"/>
      <c r="F76" s="648">
        <v>207.58</v>
      </c>
      <c r="G76" s="649"/>
      <c r="H76" s="648">
        <v>100</v>
      </c>
      <c r="I76" s="649"/>
      <c r="J76" s="644">
        <v>2370</v>
      </c>
      <c r="K76" s="650">
        <v>100</v>
      </c>
      <c r="L76" s="651"/>
      <c r="M76" s="1389"/>
      <c r="N76" s="629"/>
      <c r="O76" s="629"/>
      <c r="P76" s="629"/>
      <c r="Q76" s="629"/>
      <c r="R76" s="629"/>
      <c r="S76" s="629"/>
      <c r="T76" s="629"/>
      <c r="U76" s="629"/>
    </row>
    <row r="77" spans="1:21" s="653" customFormat="1" x14ac:dyDescent="0.2">
      <c r="A77" s="1383"/>
      <c r="B77" s="1090"/>
      <c r="C77" s="1090"/>
      <c r="D77" s="648"/>
      <c r="E77" s="649"/>
      <c r="F77" s="648"/>
      <c r="G77" s="649"/>
      <c r="H77" s="648">
        <v>110</v>
      </c>
      <c r="I77" s="649"/>
      <c r="J77" s="644">
        <v>2279</v>
      </c>
      <c r="K77" s="650">
        <v>110</v>
      </c>
      <c r="L77" s="651"/>
      <c r="M77" s="1389"/>
      <c r="N77" s="629"/>
      <c r="O77" s="629"/>
      <c r="P77" s="629"/>
      <c r="Q77" s="629"/>
      <c r="R77" s="629"/>
      <c r="S77" s="629"/>
      <c r="T77" s="629"/>
      <c r="U77" s="629"/>
    </row>
    <row r="78" spans="1:21" s="653" customFormat="1" x14ac:dyDescent="0.2">
      <c r="A78" s="1383"/>
      <c r="B78" s="1090"/>
      <c r="C78" s="1090"/>
      <c r="D78" s="648">
        <v>330</v>
      </c>
      <c r="E78" s="649"/>
      <c r="F78" s="648">
        <v>133.80000000000001</v>
      </c>
      <c r="G78" s="649"/>
      <c r="H78" s="648">
        <v>330</v>
      </c>
      <c r="I78" s="649"/>
      <c r="J78" s="644">
        <v>2262</v>
      </c>
      <c r="K78" s="650">
        <v>330</v>
      </c>
      <c r="L78" s="651"/>
      <c r="M78" s="1390"/>
      <c r="N78" s="629"/>
      <c r="O78" s="629"/>
      <c r="P78" s="629"/>
      <c r="Q78" s="629"/>
      <c r="R78" s="629"/>
      <c r="S78" s="629"/>
      <c r="T78" s="629"/>
      <c r="U78" s="629"/>
    </row>
    <row r="79" spans="1:21" s="629" customFormat="1" x14ac:dyDescent="0.2">
      <c r="A79" s="1383" t="s">
        <v>840</v>
      </c>
      <c r="B79" s="1090" t="s">
        <v>841</v>
      </c>
      <c r="C79" s="1090"/>
      <c r="D79" s="654">
        <f t="shared" ref="D79:I79" si="14">SUM(D80:D83)</f>
        <v>5280</v>
      </c>
      <c r="E79" s="654">
        <f t="shared" si="14"/>
        <v>0</v>
      </c>
      <c r="F79" s="654">
        <f t="shared" si="14"/>
        <v>3093.16</v>
      </c>
      <c r="G79" s="654">
        <f t="shared" si="14"/>
        <v>0</v>
      </c>
      <c r="H79" s="654">
        <f t="shared" si="14"/>
        <v>7860</v>
      </c>
      <c r="I79" s="654">
        <f t="shared" si="14"/>
        <v>0</v>
      </c>
      <c r="J79" s="627"/>
      <c r="K79" s="655">
        <f>SUM(K80:K83)</f>
        <v>5727</v>
      </c>
      <c r="L79" s="655">
        <f>SUM(L80:L83)</f>
        <v>0</v>
      </c>
      <c r="M79" s="1391" t="s">
        <v>823</v>
      </c>
    </row>
    <row r="80" spans="1:21" s="629" customFormat="1" x14ac:dyDescent="0.2">
      <c r="A80" s="1383"/>
      <c r="B80" s="1090"/>
      <c r="C80" s="1090"/>
      <c r="D80" s="630">
        <v>2640</v>
      </c>
      <c r="E80" s="630"/>
      <c r="F80" s="630">
        <v>1295.99</v>
      </c>
      <c r="G80" s="630"/>
      <c r="H80" s="630">
        <v>3600</v>
      </c>
      <c r="I80" s="630"/>
      <c r="J80" s="627">
        <v>2261</v>
      </c>
      <c r="K80" s="631">
        <v>2520</v>
      </c>
      <c r="L80" s="631"/>
      <c r="M80" s="1392"/>
    </row>
    <row r="81" spans="1:13" s="629" customFormat="1" x14ac:dyDescent="0.2">
      <c r="A81" s="1383"/>
      <c r="B81" s="1090"/>
      <c r="C81" s="1090"/>
      <c r="D81" s="630">
        <v>360</v>
      </c>
      <c r="E81" s="630"/>
      <c r="F81" s="630">
        <v>312.2</v>
      </c>
      <c r="G81" s="630"/>
      <c r="H81" s="630">
        <v>750</v>
      </c>
      <c r="I81" s="630"/>
      <c r="J81" s="627">
        <v>2262</v>
      </c>
      <c r="K81" s="631">
        <v>750</v>
      </c>
      <c r="L81" s="631"/>
      <c r="M81" s="1392"/>
    </row>
    <row r="82" spans="1:13" s="629" customFormat="1" x14ac:dyDescent="0.2">
      <c r="A82" s="1383"/>
      <c r="B82" s="1090"/>
      <c r="C82" s="1090"/>
      <c r="D82" s="630">
        <v>180</v>
      </c>
      <c r="E82" s="630"/>
      <c r="F82" s="630">
        <v>162</v>
      </c>
      <c r="G82" s="630"/>
      <c r="H82" s="630">
        <v>360</v>
      </c>
      <c r="I82" s="630"/>
      <c r="J82" s="627">
        <v>2111</v>
      </c>
      <c r="K82" s="631">
        <v>252</v>
      </c>
      <c r="L82" s="631"/>
      <c r="M82" s="1392"/>
    </row>
    <row r="83" spans="1:13" s="629" customFormat="1" x14ac:dyDescent="0.2">
      <c r="A83" s="1383"/>
      <c r="B83" s="1090"/>
      <c r="C83" s="1090"/>
      <c r="D83" s="630">
        <v>2100</v>
      </c>
      <c r="E83" s="630"/>
      <c r="F83" s="630">
        <v>1322.97</v>
      </c>
      <c r="G83" s="630"/>
      <c r="H83" s="630">
        <v>3150</v>
      </c>
      <c r="I83" s="630"/>
      <c r="J83" s="627">
        <v>2363</v>
      </c>
      <c r="K83" s="631">
        <v>2205</v>
      </c>
      <c r="L83" s="631"/>
      <c r="M83" s="1393"/>
    </row>
    <row r="84" spans="1:13" x14ac:dyDescent="0.2">
      <c r="A84" s="616">
        <v>6</v>
      </c>
      <c r="B84" s="1351" t="s">
        <v>842</v>
      </c>
      <c r="C84" s="1351"/>
      <c r="D84" s="517">
        <f t="shared" ref="D84:I84" si="15">D85+D90+D93</f>
        <v>3360</v>
      </c>
      <c r="E84" s="517">
        <f t="shared" si="15"/>
        <v>0</v>
      </c>
      <c r="F84" s="517">
        <f t="shared" si="15"/>
        <v>3180</v>
      </c>
      <c r="G84" s="517">
        <f t="shared" si="15"/>
        <v>0</v>
      </c>
      <c r="H84" s="517">
        <f t="shared" si="15"/>
        <v>3940</v>
      </c>
      <c r="I84" s="517">
        <f t="shared" si="15"/>
        <v>0</v>
      </c>
      <c r="J84" s="634"/>
      <c r="K84" s="517">
        <f>K85+K90+K93</f>
        <v>3860</v>
      </c>
      <c r="L84" s="517">
        <f>L85+L90+L93</f>
        <v>0</v>
      </c>
      <c r="M84" s="617"/>
    </row>
    <row r="85" spans="1:13" s="618" customFormat="1" x14ac:dyDescent="0.2">
      <c r="A85" s="1268">
        <v>6.1</v>
      </c>
      <c r="B85" s="1259" t="s">
        <v>831</v>
      </c>
      <c r="C85" s="1271"/>
      <c r="D85" s="544">
        <f t="shared" ref="D85:I85" si="16">SUM(D86:D89)</f>
        <v>2730</v>
      </c>
      <c r="E85" s="544">
        <f t="shared" si="16"/>
        <v>0</v>
      </c>
      <c r="F85" s="544">
        <f t="shared" si="16"/>
        <v>2550</v>
      </c>
      <c r="G85" s="544">
        <f t="shared" si="16"/>
        <v>0</v>
      </c>
      <c r="H85" s="544">
        <f t="shared" si="16"/>
        <v>2750</v>
      </c>
      <c r="I85" s="544">
        <f t="shared" si="16"/>
        <v>0</v>
      </c>
      <c r="J85" s="621"/>
      <c r="K85" s="544">
        <f>SUM(K86:K89)</f>
        <v>2750</v>
      </c>
      <c r="L85" s="544">
        <f>SUM(L86:L89)</f>
        <v>0</v>
      </c>
      <c r="M85" s="1265" t="s">
        <v>817</v>
      </c>
    </row>
    <row r="86" spans="1:13" x14ac:dyDescent="0.2">
      <c r="A86" s="1269"/>
      <c r="B86" s="1261"/>
      <c r="C86" s="1272"/>
      <c r="D86" s="545">
        <v>180</v>
      </c>
      <c r="E86" s="545"/>
      <c r="F86" s="545">
        <v>0</v>
      </c>
      <c r="G86" s="545"/>
      <c r="H86" s="545">
        <v>480</v>
      </c>
      <c r="I86" s="545"/>
      <c r="J86" s="621">
        <v>2261</v>
      </c>
      <c r="K86" s="545">
        <v>480</v>
      </c>
      <c r="L86" s="545"/>
      <c r="M86" s="1266"/>
    </row>
    <row r="87" spans="1:13" x14ac:dyDescent="0.2">
      <c r="A87" s="1269"/>
      <c r="B87" s="1261"/>
      <c r="C87" s="1272"/>
      <c r="D87" s="545">
        <v>2090</v>
      </c>
      <c r="E87" s="545"/>
      <c r="F87" s="545">
        <v>2090</v>
      </c>
      <c r="G87" s="545"/>
      <c r="H87" s="545">
        <v>1600</v>
      </c>
      <c r="I87" s="545"/>
      <c r="J87" s="621">
        <v>2262</v>
      </c>
      <c r="K87" s="545">
        <v>1600</v>
      </c>
      <c r="L87" s="545"/>
      <c r="M87" s="1266"/>
    </row>
    <row r="88" spans="1:13" x14ac:dyDescent="0.2">
      <c r="A88" s="1269"/>
      <c r="B88" s="1261"/>
      <c r="C88" s="1272"/>
      <c r="D88" s="545">
        <v>250</v>
      </c>
      <c r="E88" s="545"/>
      <c r="F88" s="545">
        <v>250</v>
      </c>
      <c r="G88" s="545"/>
      <c r="H88" s="545">
        <v>250</v>
      </c>
      <c r="I88" s="545"/>
      <c r="J88" s="621">
        <v>2279</v>
      </c>
      <c r="K88" s="545">
        <v>250</v>
      </c>
      <c r="L88" s="545"/>
      <c r="M88" s="1266"/>
    </row>
    <row r="89" spans="1:13" ht="43.5" customHeight="1" x14ac:dyDescent="0.2">
      <c r="A89" s="1270"/>
      <c r="B89" s="1263"/>
      <c r="C89" s="1273"/>
      <c r="D89" s="545">
        <v>210</v>
      </c>
      <c r="E89" s="545"/>
      <c r="F89" s="545">
        <v>210</v>
      </c>
      <c r="G89" s="545"/>
      <c r="H89" s="545">
        <v>420</v>
      </c>
      <c r="I89" s="545"/>
      <c r="J89" s="621">
        <v>2363</v>
      </c>
      <c r="K89" s="545">
        <v>420</v>
      </c>
      <c r="L89" s="545"/>
      <c r="M89" s="1267"/>
    </row>
    <row r="90" spans="1:13" s="618" customFormat="1" x14ac:dyDescent="0.2">
      <c r="A90" s="1268">
        <v>6.2</v>
      </c>
      <c r="B90" s="1374" t="s">
        <v>843</v>
      </c>
      <c r="C90" s="1375"/>
      <c r="D90" s="544">
        <f t="shared" ref="D90:I90" si="17">SUM(D91:D92)</f>
        <v>400</v>
      </c>
      <c r="E90" s="544">
        <f t="shared" si="17"/>
        <v>0</v>
      </c>
      <c r="F90" s="544">
        <f t="shared" si="17"/>
        <v>400</v>
      </c>
      <c r="G90" s="544">
        <f t="shared" si="17"/>
        <v>0</v>
      </c>
      <c r="H90" s="544">
        <f t="shared" si="17"/>
        <v>840</v>
      </c>
      <c r="I90" s="544">
        <f t="shared" si="17"/>
        <v>0</v>
      </c>
      <c r="J90" s="621"/>
      <c r="K90" s="544">
        <f>SUM(K91:K92)</f>
        <v>760</v>
      </c>
      <c r="L90" s="544">
        <f>SUM(L91:L92)</f>
        <v>0</v>
      </c>
      <c r="M90" s="1380" t="s">
        <v>828</v>
      </c>
    </row>
    <row r="91" spans="1:13" s="618" customFormat="1" x14ac:dyDescent="0.2">
      <c r="A91" s="1269"/>
      <c r="B91" s="1376"/>
      <c r="C91" s="1377"/>
      <c r="D91" s="544"/>
      <c r="E91" s="544"/>
      <c r="F91" s="544"/>
      <c r="G91" s="544"/>
      <c r="H91" s="545">
        <v>640</v>
      </c>
      <c r="I91" s="544"/>
      <c r="J91" s="621">
        <v>2361</v>
      </c>
      <c r="K91" s="545">
        <v>560</v>
      </c>
      <c r="L91" s="544"/>
      <c r="M91" s="1381"/>
    </row>
    <row r="92" spans="1:13" x14ac:dyDescent="0.2">
      <c r="A92" s="1270"/>
      <c r="B92" s="1378"/>
      <c r="C92" s="1379"/>
      <c r="D92" s="624">
        <v>400</v>
      </c>
      <c r="E92" s="624"/>
      <c r="F92" s="624">
        <v>400</v>
      </c>
      <c r="G92" s="625"/>
      <c r="H92" s="624">
        <v>200</v>
      </c>
      <c r="I92" s="624"/>
      <c r="J92" s="623">
        <v>2370</v>
      </c>
      <c r="K92" s="624">
        <v>200</v>
      </c>
      <c r="L92" s="625"/>
      <c r="M92" s="1382"/>
    </row>
    <row r="93" spans="1:13" s="629" customFormat="1" x14ac:dyDescent="0.2">
      <c r="A93" s="1383" t="s">
        <v>713</v>
      </c>
      <c r="B93" s="1090" t="s">
        <v>822</v>
      </c>
      <c r="C93" s="1090"/>
      <c r="D93" s="636">
        <f t="shared" ref="D93:I93" si="18">D94</f>
        <v>230</v>
      </c>
      <c r="E93" s="636">
        <f t="shared" si="18"/>
        <v>0</v>
      </c>
      <c r="F93" s="636">
        <f t="shared" si="18"/>
        <v>230</v>
      </c>
      <c r="G93" s="636">
        <f t="shared" si="18"/>
        <v>0</v>
      </c>
      <c r="H93" s="636">
        <f t="shared" si="18"/>
        <v>350</v>
      </c>
      <c r="I93" s="636">
        <f t="shared" si="18"/>
        <v>0</v>
      </c>
      <c r="J93" s="981"/>
      <c r="K93" s="638">
        <f>K94</f>
        <v>350</v>
      </c>
      <c r="L93" s="638">
        <f>L94</f>
        <v>0</v>
      </c>
      <c r="M93" s="1396" t="s">
        <v>823</v>
      </c>
    </row>
    <row r="94" spans="1:13" s="629" customFormat="1" x14ac:dyDescent="0.2">
      <c r="A94" s="1383"/>
      <c r="B94" s="1090"/>
      <c r="C94" s="1090"/>
      <c r="D94" s="639">
        <v>230</v>
      </c>
      <c r="E94" s="639"/>
      <c r="F94" s="639">
        <v>230</v>
      </c>
      <c r="G94" s="639"/>
      <c r="H94" s="639">
        <v>350</v>
      </c>
      <c r="I94" s="639"/>
      <c r="J94" s="640">
        <v>2363</v>
      </c>
      <c r="K94" s="641">
        <v>350</v>
      </c>
      <c r="L94" s="641"/>
      <c r="M94" s="1397"/>
    </row>
    <row r="95" spans="1:13" x14ac:dyDescent="0.2">
      <c r="A95" s="616">
        <v>7</v>
      </c>
      <c r="B95" s="1351" t="s">
        <v>844</v>
      </c>
      <c r="C95" s="1351"/>
      <c r="D95" s="517" t="e">
        <f>D96+D100+#REF!+D103+D105</f>
        <v>#REF!</v>
      </c>
      <c r="E95" s="517" t="e">
        <f>E96+E100+#REF!+E103+E105</f>
        <v>#REF!</v>
      </c>
      <c r="F95" s="517" t="e">
        <f>F96+F100+#REF!+F103+F105</f>
        <v>#REF!</v>
      </c>
      <c r="G95" s="517" t="e">
        <f>G96+G100+#REF!+G103+G105</f>
        <v>#REF!</v>
      </c>
      <c r="H95" s="517" t="e">
        <f>H96+H100+#REF!+H103+H105</f>
        <v>#REF!</v>
      </c>
      <c r="I95" s="517" t="e">
        <f>I96+I100+#REF!+I103+I105</f>
        <v>#REF!</v>
      </c>
      <c r="J95" s="634"/>
      <c r="K95" s="517">
        <f>K96+K100+K103+K105</f>
        <v>17410</v>
      </c>
      <c r="L95" s="517">
        <f>L96+L100+L103+L105</f>
        <v>0</v>
      </c>
      <c r="M95" s="617"/>
    </row>
    <row r="96" spans="1:13" s="618" customFormat="1" x14ac:dyDescent="0.2">
      <c r="A96" s="1268">
        <v>7.1</v>
      </c>
      <c r="B96" s="1259" t="s">
        <v>845</v>
      </c>
      <c r="C96" s="1271"/>
      <c r="D96" s="544">
        <f t="shared" ref="D96:I96" si="19">SUM(D97:D99)</f>
        <v>5175</v>
      </c>
      <c r="E96" s="544">
        <f t="shared" si="19"/>
        <v>0</v>
      </c>
      <c r="F96" s="544">
        <f t="shared" si="19"/>
        <v>5175</v>
      </c>
      <c r="G96" s="544">
        <f t="shared" si="19"/>
        <v>0</v>
      </c>
      <c r="H96" s="544">
        <f t="shared" si="19"/>
        <v>5605</v>
      </c>
      <c r="I96" s="544">
        <f t="shared" si="19"/>
        <v>0</v>
      </c>
      <c r="J96" s="621"/>
      <c r="K96" s="544">
        <f>SUM(K97:K99)</f>
        <v>5605</v>
      </c>
      <c r="L96" s="544">
        <f>SUM(L97:L99)</f>
        <v>0</v>
      </c>
      <c r="M96" s="1265" t="s">
        <v>817</v>
      </c>
    </row>
    <row r="97" spans="1:13" x14ac:dyDescent="0.2">
      <c r="A97" s="1269"/>
      <c r="B97" s="1261"/>
      <c r="C97" s="1272"/>
      <c r="D97" s="545">
        <v>1890</v>
      </c>
      <c r="E97" s="545"/>
      <c r="F97" s="545">
        <v>1890</v>
      </c>
      <c r="G97" s="545"/>
      <c r="H97" s="545">
        <v>2405</v>
      </c>
      <c r="I97" s="545"/>
      <c r="J97" s="621">
        <v>2262</v>
      </c>
      <c r="K97" s="545">
        <v>2405</v>
      </c>
      <c r="L97" s="545"/>
      <c r="M97" s="1266"/>
    </row>
    <row r="98" spans="1:13" x14ac:dyDescent="0.2">
      <c r="A98" s="1269"/>
      <c r="B98" s="1261"/>
      <c r="C98" s="1272"/>
      <c r="D98" s="545">
        <v>1822</v>
      </c>
      <c r="E98" s="545"/>
      <c r="F98" s="545">
        <v>1822</v>
      </c>
      <c r="G98" s="545"/>
      <c r="H98" s="545">
        <v>1248</v>
      </c>
      <c r="I98" s="545"/>
      <c r="J98" s="621">
        <v>2279</v>
      </c>
      <c r="K98" s="545">
        <v>1248</v>
      </c>
      <c r="L98" s="545"/>
      <c r="M98" s="1266"/>
    </row>
    <row r="99" spans="1:13" x14ac:dyDescent="0.2">
      <c r="A99" s="1270"/>
      <c r="B99" s="1263"/>
      <c r="C99" s="1273"/>
      <c r="D99" s="545">
        <v>1463</v>
      </c>
      <c r="E99" s="545"/>
      <c r="F99" s="545">
        <v>1463</v>
      </c>
      <c r="G99" s="545"/>
      <c r="H99" s="545">
        <v>1952</v>
      </c>
      <c r="I99" s="545"/>
      <c r="J99" s="621">
        <v>2363</v>
      </c>
      <c r="K99" s="545">
        <v>1952</v>
      </c>
      <c r="L99" s="545"/>
      <c r="M99" s="1267"/>
    </row>
    <row r="100" spans="1:13" s="618" customFormat="1" x14ac:dyDescent="0.2">
      <c r="A100" s="1268">
        <v>7.2</v>
      </c>
      <c r="B100" s="1374" t="s">
        <v>846</v>
      </c>
      <c r="C100" s="1375"/>
      <c r="D100" s="544">
        <f t="shared" ref="D100:I100" si="20">SUM(D101:D102)</f>
        <v>2680</v>
      </c>
      <c r="E100" s="544">
        <f t="shared" si="20"/>
        <v>0</v>
      </c>
      <c r="F100" s="544">
        <f t="shared" si="20"/>
        <v>2680</v>
      </c>
      <c r="G100" s="544">
        <f t="shared" si="20"/>
        <v>0</v>
      </c>
      <c r="H100" s="544">
        <f t="shared" si="20"/>
        <v>1200</v>
      </c>
      <c r="I100" s="544">
        <f t="shared" si="20"/>
        <v>0</v>
      </c>
      <c r="J100" s="621"/>
      <c r="K100" s="544">
        <f>SUM(K101:K102)</f>
        <v>1200</v>
      </c>
      <c r="L100" s="544">
        <f>SUM(L101:L102)</f>
        <v>0</v>
      </c>
      <c r="M100" s="1380" t="s">
        <v>828</v>
      </c>
    </row>
    <row r="101" spans="1:13" x14ac:dyDescent="0.2">
      <c r="A101" s="1269"/>
      <c r="B101" s="1376"/>
      <c r="C101" s="1377"/>
      <c r="D101" s="624">
        <v>1980</v>
      </c>
      <c r="E101" s="624"/>
      <c r="F101" s="624">
        <v>1980</v>
      </c>
      <c r="G101" s="624"/>
      <c r="H101" s="624">
        <v>500</v>
      </c>
      <c r="I101" s="624"/>
      <c r="J101" s="623">
        <v>2361</v>
      </c>
      <c r="K101" s="624">
        <v>500</v>
      </c>
      <c r="L101" s="625"/>
      <c r="M101" s="1381"/>
    </row>
    <row r="102" spans="1:13" x14ac:dyDescent="0.2">
      <c r="A102" s="1270"/>
      <c r="B102" s="1378"/>
      <c r="C102" s="1379"/>
      <c r="D102" s="624">
        <v>700</v>
      </c>
      <c r="E102" s="624"/>
      <c r="F102" s="624">
        <v>700</v>
      </c>
      <c r="G102" s="624"/>
      <c r="H102" s="624">
        <v>700</v>
      </c>
      <c r="I102" s="624"/>
      <c r="J102" s="621">
        <v>2370</v>
      </c>
      <c r="K102" s="624">
        <f>500+200</f>
        <v>700</v>
      </c>
      <c r="L102" s="625"/>
      <c r="M102" s="1382"/>
    </row>
    <row r="103" spans="1:13" s="629" customFormat="1" x14ac:dyDescent="0.2">
      <c r="A103" s="1394" t="s">
        <v>722</v>
      </c>
      <c r="B103" s="1395" t="s">
        <v>822</v>
      </c>
      <c r="C103" s="1395"/>
      <c r="D103" s="626">
        <f>SUM(D104:D104)</f>
        <v>700</v>
      </c>
      <c r="E103" s="626" t="e">
        <f>#REF!</f>
        <v>#REF!</v>
      </c>
      <c r="F103" s="626" t="e">
        <f>#REF!</f>
        <v>#REF!</v>
      </c>
      <c r="G103" s="626" t="e">
        <f>#REF!</f>
        <v>#REF!</v>
      </c>
      <c r="H103" s="626">
        <f>SUM(H104:H104)</f>
        <v>700</v>
      </c>
      <c r="I103" s="626" t="e">
        <f>#REF!</f>
        <v>#REF!</v>
      </c>
      <c r="J103" s="627"/>
      <c r="K103" s="628">
        <f>SUM(K104:K104)</f>
        <v>700</v>
      </c>
      <c r="L103" s="628">
        <f>SUM(L104:L104)</f>
        <v>0</v>
      </c>
      <c r="M103" s="1391" t="s">
        <v>823</v>
      </c>
    </row>
    <row r="104" spans="1:13" s="629" customFormat="1" x14ac:dyDescent="0.2">
      <c r="A104" s="1394"/>
      <c r="B104" s="1395"/>
      <c r="C104" s="1395"/>
      <c r="D104" s="630">
        <v>700</v>
      </c>
      <c r="E104" s="630"/>
      <c r="F104" s="630"/>
      <c r="G104" s="630"/>
      <c r="H104" s="630">
        <v>700</v>
      </c>
      <c r="I104" s="630"/>
      <c r="J104" s="627">
        <v>2363</v>
      </c>
      <c r="K104" s="631">
        <v>700</v>
      </c>
      <c r="L104" s="631"/>
      <c r="M104" s="1393"/>
    </row>
    <row r="105" spans="1:13" s="653" customFormat="1" x14ac:dyDescent="0.2">
      <c r="A105" s="1383" t="s">
        <v>724</v>
      </c>
      <c r="B105" s="1090" t="s">
        <v>841</v>
      </c>
      <c r="C105" s="1090"/>
      <c r="D105" s="654">
        <f t="shared" ref="D105:I105" si="21">SUM(D106:D110)</f>
        <v>0</v>
      </c>
      <c r="E105" s="654">
        <f t="shared" si="21"/>
        <v>0</v>
      </c>
      <c r="F105" s="654">
        <f t="shared" si="21"/>
        <v>0</v>
      </c>
      <c r="G105" s="654">
        <f t="shared" si="21"/>
        <v>0</v>
      </c>
      <c r="H105" s="654">
        <f t="shared" si="21"/>
        <v>11360</v>
      </c>
      <c r="I105" s="654">
        <f t="shared" si="21"/>
        <v>0</v>
      </c>
      <c r="J105" s="627"/>
      <c r="K105" s="655">
        <f>SUM(K106:K110)</f>
        <v>9905</v>
      </c>
      <c r="L105" s="655">
        <f>SUM(L106:L110)</f>
        <v>0</v>
      </c>
      <c r="M105" s="1391" t="s">
        <v>823</v>
      </c>
    </row>
    <row r="106" spans="1:13" s="653" customFormat="1" x14ac:dyDescent="0.2">
      <c r="A106" s="1383"/>
      <c r="B106" s="1090"/>
      <c r="C106" s="1090"/>
      <c r="D106" s="656"/>
      <c r="E106" s="656"/>
      <c r="F106" s="656"/>
      <c r="G106" s="656"/>
      <c r="H106" s="656">
        <v>6900</v>
      </c>
      <c r="I106" s="656"/>
      <c r="J106" s="627">
        <v>2261</v>
      </c>
      <c r="K106" s="657">
        <v>6140</v>
      </c>
      <c r="L106" s="657"/>
      <c r="M106" s="1392"/>
    </row>
    <row r="107" spans="1:13" s="653" customFormat="1" x14ac:dyDescent="0.2">
      <c r="A107" s="1383"/>
      <c r="B107" s="1090"/>
      <c r="C107" s="1090"/>
      <c r="D107" s="656"/>
      <c r="E107" s="656"/>
      <c r="F107" s="656"/>
      <c r="G107" s="656"/>
      <c r="H107" s="656">
        <v>600</v>
      </c>
      <c r="I107" s="656"/>
      <c r="J107" s="627">
        <v>2262</v>
      </c>
      <c r="K107" s="657">
        <v>600</v>
      </c>
      <c r="L107" s="657"/>
      <c r="M107" s="1392"/>
    </row>
    <row r="108" spans="1:13" s="653" customFormat="1" x14ac:dyDescent="0.2">
      <c r="A108" s="1383"/>
      <c r="B108" s="1090"/>
      <c r="C108" s="1090"/>
      <c r="D108" s="656"/>
      <c r="E108" s="656"/>
      <c r="F108" s="656"/>
      <c r="G108" s="656"/>
      <c r="H108" s="656">
        <v>120</v>
      </c>
      <c r="I108" s="656"/>
      <c r="J108" s="627">
        <v>2341</v>
      </c>
      <c r="K108" s="657">
        <v>120</v>
      </c>
      <c r="L108" s="657"/>
      <c r="M108" s="1392"/>
    </row>
    <row r="109" spans="1:13" s="653" customFormat="1" x14ac:dyDescent="0.2">
      <c r="A109" s="1383"/>
      <c r="B109" s="1090"/>
      <c r="C109" s="1090"/>
      <c r="D109" s="656"/>
      <c r="E109" s="656"/>
      <c r="F109" s="656"/>
      <c r="G109" s="656"/>
      <c r="H109" s="656">
        <v>3500</v>
      </c>
      <c r="I109" s="656"/>
      <c r="J109" s="627">
        <v>2363</v>
      </c>
      <c r="K109" s="657">
        <v>2835</v>
      </c>
      <c r="L109" s="657"/>
      <c r="M109" s="1392"/>
    </row>
    <row r="110" spans="1:13" s="653" customFormat="1" x14ac:dyDescent="0.2">
      <c r="A110" s="1383"/>
      <c r="B110" s="1090"/>
      <c r="C110" s="1090"/>
      <c r="D110" s="656"/>
      <c r="E110" s="656"/>
      <c r="F110" s="656"/>
      <c r="G110" s="656"/>
      <c r="H110" s="656">
        <v>240</v>
      </c>
      <c r="I110" s="656"/>
      <c r="J110" s="627">
        <v>2111</v>
      </c>
      <c r="K110" s="657">
        <v>210</v>
      </c>
      <c r="L110" s="657"/>
      <c r="M110" s="1393"/>
    </row>
    <row r="111" spans="1:13" x14ac:dyDescent="0.2">
      <c r="A111" s="616">
        <v>8</v>
      </c>
      <c r="B111" s="1351" t="s">
        <v>847</v>
      </c>
      <c r="C111" s="1351"/>
      <c r="D111" s="517" t="e">
        <f t="shared" ref="D111:I111" si="22">D112+D117+D121</f>
        <v>#REF!</v>
      </c>
      <c r="E111" s="517" t="e">
        <f t="shared" si="22"/>
        <v>#REF!</v>
      </c>
      <c r="F111" s="517" t="e">
        <f t="shared" si="22"/>
        <v>#REF!</v>
      </c>
      <c r="G111" s="517" t="e">
        <f t="shared" si="22"/>
        <v>#REF!</v>
      </c>
      <c r="H111" s="517" t="e">
        <f t="shared" si="22"/>
        <v>#REF!</v>
      </c>
      <c r="I111" s="517" t="e">
        <f t="shared" si="22"/>
        <v>#REF!</v>
      </c>
      <c r="J111" s="634"/>
      <c r="K111" s="517">
        <f>K112+K117+K121</f>
        <v>13500</v>
      </c>
      <c r="L111" s="517">
        <f>L112+L117+L121</f>
        <v>0</v>
      </c>
      <c r="M111" s="617"/>
    </row>
    <row r="112" spans="1:13" x14ac:dyDescent="0.2">
      <c r="A112" s="1268">
        <v>8.1</v>
      </c>
      <c r="B112" s="1259" t="s">
        <v>831</v>
      </c>
      <c r="C112" s="1271"/>
      <c r="D112" s="544">
        <f t="shared" ref="D112:I112" si="23">SUM(D113:D116)</f>
        <v>3985</v>
      </c>
      <c r="E112" s="544">
        <f t="shared" si="23"/>
        <v>0</v>
      </c>
      <c r="F112" s="544">
        <f t="shared" si="23"/>
        <v>3985</v>
      </c>
      <c r="G112" s="544">
        <f t="shared" si="23"/>
        <v>0</v>
      </c>
      <c r="H112" s="544">
        <f t="shared" si="23"/>
        <v>4820</v>
      </c>
      <c r="I112" s="544">
        <f t="shared" si="23"/>
        <v>0</v>
      </c>
      <c r="J112" s="617"/>
      <c r="K112" s="544">
        <f>SUM(K113:K116)</f>
        <v>4220</v>
      </c>
      <c r="L112" s="544">
        <f>SUM(L113:L116)</f>
        <v>0</v>
      </c>
      <c r="M112" s="1265" t="s">
        <v>817</v>
      </c>
    </row>
    <row r="113" spans="1:13" x14ac:dyDescent="0.2">
      <c r="A113" s="1269"/>
      <c r="B113" s="1261"/>
      <c r="C113" s="1272"/>
      <c r="D113" s="545">
        <v>480</v>
      </c>
      <c r="E113" s="545"/>
      <c r="F113" s="545">
        <v>480</v>
      </c>
      <c r="G113" s="545"/>
      <c r="H113" s="545">
        <f>960</f>
        <v>960</v>
      </c>
      <c r="I113" s="545"/>
      <c r="J113" s="621">
        <v>2261</v>
      </c>
      <c r="K113" s="545">
        <v>960</v>
      </c>
      <c r="L113" s="545"/>
      <c r="M113" s="1266"/>
    </row>
    <row r="114" spans="1:13" x14ac:dyDescent="0.2">
      <c r="A114" s="1269"/>
      <c r="B114" s="1261"/>
      <c r="C114" s="1272"/>
      <c r="D114" s="545">
        <v>600</v>
      </c>
      <c r="E114" s="545"/>
      <c r="F114" s="545">
        <v>600</v>
      </c>
      <c r="G114" s="545"/>
      <c r="H114" s="545">
        <v>1200</v>
      </c>
      <c r="I114" s="545"/>
      <c r="J114" s="621">
        <v>2262</v>
      </c>
      <c r="K114" s="545">
        <v>600</v>
      </c>
      <c r="L114" s="545"/>
      <c r="M114" s="1266"/>
    </row>
    <row r="115" spans="1:13" x14ac:dyDescent="0.2">
      <c r="A115" s="1269"/>
      <c r="B115" s="1261"/>
      <c r="C115" s="1272"/>
      <c r="D115" s="545">
        <v>2485</v>
      </c>
      <c r="E115" s="545"/>
      <c r="F115" s="545">
        <v>2485</v>
      </c>
      <c r="G115" s="545"/>
      <c r="H115" s="545">
        <v>1820</v>
      </c>
      <c r="I115" s="545"/>
      <c r="J115" s="621">
        <v>2279</v>
      </c>
      <c r="K115" s="545">
        <v>1820</v>
      </c>
      <c r="L115" s="545"/>
      <c r="M115" s="1266"/>
    </row>
    <row r="116" spans="1:13" x14ac:dyDescent="0.2">
      <c r="A116" s="1270"/>
      <c r="B116" s="1263"/>
      <c r="C116" s="1273"/>
      <c r="D116" s="545">
        <v>420</v>
      </c>
      <c r="E116" s="545"/>
      <c r="F116" s="545">
        <v>420</v>
      </c>
      <c r="G116" s="545"/>
      <c r="H116" s="545">
        <v>840</v>
      </c>
      <c r="I116" s="545"/>
      <c r="J116" s="621">
        <v>2363</v>
      </c>
      <c r="K116" s="545">
        <v>840</v>
      </c>
      <c r="L116" s="545"/>
      <c r="M116" s="1267"/>
    </row>
    <row r="117" spans="1:13" x14ac:dyDescent="0.2">
      <c r="A117" s="1268">
        <v>8.1999999999999993</v>
      </c>
      <c r="B117" s="1374" t="s">
        <v>848</v>
      </c>
      <c r="C117" s="1375"/>
      <c r="D117" s="544">
        <f t="shared" ref="D117:I117" si="24">SUM(D118:D120)</f>
        <v>1560</v>
      </c>
      <c r="E117" s="544">
        <f t="shared" si="24"/>
        <v>0</v>
      </c>
      <c r="F117" s="544">
        <f t="shared" si="24"/>
        <v>1560</v>
      </c>
      <c r="G117" s="544">
        <f t="shared" si="24"/>
        <v>0</v>
      </c>
      <c r="H117" s="544">
        <f t="shared" si="24"/>
        <v>2228</v>
      </c>
      <c r="I117" s="544">
        <f t="shared" si="24"/>
        <v>0</v>
      </c>
      <c r="J117" s="621"/>
      <c r="K117" s="544">
        <f>SUM(K118:K120)</f>
        <v>1970</v>
      </c>
      <c r="L117" s="544">
        <f>SUM(L118:L120)</f>
        <v>0</v>
      </c>
      <c r="M117" s="1380" t="s">
        <v>828</v>
      </c>
    </row>
    <row r="118" spans="1:13" x14ac:dyDescent="0.2">
      <c r="A118" s="1269"/>
      <c r="B118" s="1376"/>
      <c r="C118" s="1377"/>
      <c r="D118" s="624">
        <v>410</v>
      </c>
      <c r="E118" s="624"/>
      <c r="F118" s="624">
        <v>410</v>
      </c>
      <c r="G118" s="624"/>
      <c r="H118" s="624">
        <v>410</v>
      </c>
      <c r="I118" s="624"/>
      <c r="J118" s="623">
        <v>2361</v>
      </c>
      <c r="K118" s="624">
        <v>410</v>
      </c>
      <c r="L118" s="625"/>
      <c r="M118" s="1381"/>
    </row>
    <row r="119" spans="1:13" x14ac:dyDescent="0.2">
      <c r="A119" s="1269"/>
      <c r="B119" s="1376"/>
      <c r="C119" s="1377"/>
      <c r="D119" s="624">
        <v>1150</v>
      </c>
      <c r="E119" s="624"/>
      <c r="F119" s="624">
        <v>1150</v>
      </c>
      <c r="G119" s="625"/>
      <c r="H119" s="624">
        <v>1568</v>
      </c>
      <c r="I119" s="624"/>
      <c r="J119" s="621">
        <v>2370</v>
      </c>
      <c r="K119" s="624">
        <f>900+220+190</f>
        <v>1310</v>
      </c>
      <c r="L119" s="625"/>
      <c r="M119" s="1381"/>
    </row>
    <row r="120" spans="1:13" x14ac:dyDescent="0.2">
      <c r="A120" s="1270"/>
      <c r="B120" s="1378"/>
      <c r="C120" s="1379"/>
      <c r="D120" s="624">
        <v>0</v>
      </c>
      <c r="E120" s="624"/>
      <c r="F120" s="624">
        <v>0</v>
      </c>
      <c r="G120" s="625"/>
      <c r="H120" s="624">
        <v>250</v>
      </c>
      <c r="I120" s="624"/>
      <c r="J120" s="621">
        <v>2312</v>
      </c>
      <c r="K120" s="624">
        <v>250</v>
      </c>
      <c r="L120" s="625"/>
      <c r="M120" s="1382"/>
    </row>
    <row r="121" spans="1:13" s="629" customFormat="1" x14ac:dyDescent="0.2">
      <c r="A121" s="985" t="s">
        <v>734</v>
      </c>
      <c r="B121" s="1090" t="s">
        <v>837</v>
      </c>
      <c r="C121" s="1090"/>
      <c r="D121" s="649" t="e">
        <f>D122+#REF!+D125</f>
        <v>#REF!</v>
      </c>
      <c r="E121" s="649" t="e">
        <f>E122+#REF!+E125</f>
        <v>#REF!</v>
      </c>
      <c r="F121" s="649" t="e">
        <f>F122+#REF!+F125</f>
        <v>#REF!</v>
      </c>
      <c r="G121" s="649" t="e">
        <f>G122+#REF!+G125</f>
        <v>#REF!</v>
      </c>
      <c r="H121" s="649" t="e">
        <f>H122+#REF!+H125</f>
        <v>#REF!</v>
      </c>
      <c r="I121" s="649" t="e">
        <f>I122+#REF!+I125</f>
        <v>#REF!</v>
      </c>
      <c r="J121" s="659"/>
      <c r="K121" s="651">
        <f>K122+K125</f>
        <v>7310</v>
      </c>
      <c r="L121" s="651">
        <f>L122+L125</f>
        <v>0</v>
      </c>
      <c r="M121" s="981"/>
    </row>
    <row r="122" spans="1:13" s="629" customFormat="1" x14ac:dyDescent="0.2">
      <c r="A122" s="1383" t="s">
        <v>849</v>
      </c>
      <c r="B122" s="1090" t="s">
        <v>822</v>
      </c>
      <c r="C122" s="1090"/>
      <c r="D122" s="643">
        <f t="shared" ref="D122:I122" si="25">SUM(D123:D124)</f>
        <v>2080</v>
      </c>
      <c r="E122" s="643">
        <f t="shared" si="25"/>
        <v>0</v>
      </c>
      <c r="F122" s="643">
        <f t="shared" si="25"/>
        <v>2070</v>
      </c>
      <c r="G122" s="643">
        <f t="shared" si="25"/>
        <v>0</v>
      </c>
      <c r="H122" s="643">
        <f t="shared" si="25"/>
        <v>2010</v>
      </c>
      <c r="I122" s="643">
        <f t="shared" si="25"/>
        <v>0</v>
      </c>
      <c r="J122" s="644"/>
      <c r="K122" s="647">
        <f>SUM(K123:K124)</f>
        <v>2010</v>
      </c>
      <c r="L122" s="647">
        <f>SUM(L123:L124)</f>
        <v>0</v>
      </c>
      <c r="M122" s="1388" t="s">
        <v>823</v>
      </c>
    </row>
    <row r="123" spans="1:13" s="629" customFormat="1" x14ac:dyDescent="0.2">
      <c r="A123" s="1383"/>
      <c r="B123" s="1090"/>
      <c r="C123" s="1090"/>
      <c r="D123" s="648">
        <v>1960</v>
      </c>
      <c r="E123" s="648"/>
      <c r="F123" s="648">
        <v>1960</v>
      </c>
      <c r="G123" s="648"/>
      <c r="H123" s="648">
        <v>1960</v>
      </c>
      <c r="I123" s="648"/>
      <c r="J123" s="644">
        <v>2363</v>
      </c>
      <c r="K123" s="650">
        <v>1960</v>
      </c>
      <c r="L123" s="650"/>
      <c r="M123" s="1389"/>
    </row>
    <row r="124" spans="1:13" s="629" customFormat="1" x14ac:dyDescent="0.2">
      <c r="A124" s="1383"/>
      <c r="B124" s="1090"/>
      <c r="C124" s="1090"/>
      <c r="D124" s="648">
        <v>120</v>
      </c>
      <c r="E124" s="648"/>
      <c r="F124" s="648">
        <v>110</v>
      </c>
      <c r="G124" s="648"/>
      <c r="H124" s="648">
        <v>50</v>
      </c>
      <c r="I124" s="648"/>
      <c r="J124" s="644">
        <v>2341</v>
      </c>
      <c r="K124" s="650">
        <v>50</v>
      </c>
      <c r="L124" s="650"/>
      <c r="M124" s="1390"/>
    </row>
    <row r="125" spans="1:13" s="629" customFormat="1" x14ac:dyDescent="0.2">
      <c r="A125" s="1385" t="s">
        <v>850</v>
      </c>
      <c r="B125" s="1090" t="s">
        <v>825</v>
      </c>
      <c r="C125" s="1090"/>
      <c r="D125" s="649">
        <f t="shared" ref="D125:I125" si="26">SUM(D126:D130)</f>
        <v>0</v>
      </c>
      <c r="E125" s="649">
        <f t="shared" si="26"/>
        <v>0</v>
      </c>
      <c r="F125" s="649">
        <f t="shared" si="26"/>
        <v>0</v>
      </c>
      <c r="G125" s="649">
        <f t="shared" si="26"/>
        <v>0</v>
      </c>
      <c r="H125" s="649">
        <f t="shared" si="26"/>
        <v>6236</v>
      </c>
      <c r="I125" s="649">
        <f t="shared" si="26"/>
        <v>0</v>
      </c>
      <c r="J125" s="644"/>
      <c r="K125" s="651">
        <f>SUM(K126:K130)</f>
        <v>5300</v>
      </c>
      <c r="L125" s="651">
        <f>SUM(L126:L130)</f>
        <v>0</v>
      </c>
      <c r="M125" s="1388" t="s">
        <v>823</v>
      </c>
    </row>
    <row r="126" spans="1:13" s="629" customFormat="1" x14ac:dyDescent="0.2">
      <c r="A126" s="1386"/>
      <c r="B126" s="1090"/>
      <c r="C126" s="1090"/>
      <c r="D126" s="648"/>
      <c r="E126" s="648"/>
      <c r="F126" s="648"/>
      <c r="G126" s="648"/>
      <c r="H126" s="648">
        <v>2880</v>
      </c>
      <c r="I126" s="648"/>
      <c r="J126" s="644">
        <v>2261</v>
      </c>
      <c r="K126" s="650">
        <v>2400</v>
      </c>
      <c r="L126" s="650"/>
      <c r="M126" s="1389"/>
    </row>
    <row r="127" spans="1:13" s="629" customFormat="1" x14ac:dyDescent="0.2">
      <c r="A127" s="1386"/>
      <c r="B127" s="1090"/>
      <c r="C127" s="1090"/>
      <c r="D127" s="648"/>
      <c r="E127" s="648"/>
      <c r="F127" s="648"/>
      <c r="G127" s="648"/>
      <c r="H127" s="648">
        <v>2520</v>
      </c>
      <c r="I127" s="648"/>
      <c r="J127" s="644">
        <v>2363</v>
      </c>
      <c r="K127" s="650">
        <v>2100</v>
      </c>
      <c r="L127" s="650"/>
      <c r="M127" s="1389"/>
    </row>
    <row r="128" spans="1:13" s="629" customFormat="1" x14ac:dyDescent="0.2">
      <c r="A128" s="1386"/>
      <c r="B128" s="1090"/>
      <c r="C128" s="1090"/>
      <c r="D128" s="648"/>
      <c r="E128" s="648"/>
      <c r="F128" s="648"/>
      <c r="G128" s="648"/>
      <c r="H128" s="648">
        <v>216</v>
      </c>
      <c r="I128" s="648"/>
      <c r="J128" s="644">
        <v>2111</v>
      </c>
      <c r="K128" s="650">
        <v>180</v>
      </c>
      <c r="L128" s="650"/>
      <c r="M128" s="1389"/>
    </row>
    <row r="129" spans="1:13" s="629" customFormat="1" x14ac:dyDescent="0.2">
      <c r="A129" s="1386"/>
      <c r="B129" s="1090"/>
      <c r="C129" s="1090"/>
      <c r="D129" s="648"/>
      <c r="E129" s="648"/>
      <c r="F129" s="648"/>
      <c r="G129" s="648"/>
      <c r="H129" s="648">
        <v>120</v>
      </c>
      <c r="I129" s="648"/>
      <c r="J129" s="644">
        <v>2279</v>
      </c>
      <c r="K129" s="650">
        <v>120</v>
      </c>
      <c r="L129" s="650"/>
      <c r="M129" s="1389"/>
    </row>
    <row r="130" spans="1:13" s="629" customFormat="1" x14ac:dyDescent="0.2">
      <c r="A130" s="1387"/>
      <c r="B130" s="1090"/>
      <c r="C130" s="1090"/>
      <c r="D130" s="648"/>
      <c r="E130" s="648"/>
      <c r="F130" s="648"/>
      <c r="G130" s="648"/>
      <c r="H130" s="648">
        <v>500</v>
      </c>
      <c r="I130" s="648"/>
      <c r="J130" s="644">
        <v>2262</v>
      </c>
      <c r="K130" s="650">
        <v>500</v>
      </c>
      <c r="L130" s="650"/>
      <c r="M130" s="1390"/>
    </row>
    <row r="131" spans="1:13" x14ac:dyDescent="0.2">
      <c r="A131" s="616">
        <v>9</v>
      </c>
      <c r="B131" s="1351" t="s">
        <v>851</v>
      </c>
      <c r="C131" s="1351"/>
      <c r="D131" s="517" t="e">
        <f>D132+D137+#REF!+D140</f>
        <v>#REF!</v>
      </c>
      <c r="E131" s="517" t="e">
        <f>E132+E137+#REF!+E140</f>
        <v>#REF!</v>
      </c>
      <c r="F131" s="517" t="e">
        <f>F132+F137+#REF!+F140</f>
        <v>#REF!</v>
      </c>
      <c r="G131" s="517" t="e">
        <f>G132+G137+#REF!+G140</f>
        <v>#REF!</v>
      </c>
      <c r="H131" s="517" t="e">
        <f>H132+H137+#REF!+H140</f>
        <v>#REF!</v>
      </c>
      <c r="I131" s="517" t="e">
        <f>I132+I137+#REF!+I140</f>
        <v>#REF!</v>
      </c>
      <c r="J131" s="634"/>
      <c r="K131" s="517">
        <f>K132+K137+K140</f>
        <v>23322</v>
      </c>
      <c r="L131" s="517">
        <f>L132+L137+L140</f>
        <v>4260</v>
      </c>
      <c r="M131" s="617"/>
    </row>
    <row r="132" spans="1:13" s="618" customFormat="1" x14ac:dyDescent="0.2">
      <c r="A132" s="1268">
        <v>9.1</v>
      </c>
      <c r="B132" s="1259" t="s">
        <v>814</v>
      </c>
      <c r="C132" s="1271"/>
      <c r="D132" s="544">
        <f t="shared" ref="D132:I132" si="27">SUM(D133:D136)</f>
        <v>9050</v>
      </c>
      <c r="E132" s="544">
        <f t="shared" si="27"/>
        <v>6100</v>
      </c>
      <c r="F132" s="544">
        <f t="shared" si="27"/>
        <v>9050</v>
      </c>
      <c r="G132" s="544">
        <f t="shared" si="27"/>
        <v>6100</v>
      </c>
      <c r="H132" s="544">
        <f t="shared" si="27"/>
        <v>10300</v>
      </c>
      <c r="I132" s="544">
        <f t="shared" si="27"/>
        <v>4260</v>
      </c>
      <c r="J132" s="621"/>
      <c r="K132" s="544">
        <f>SUM(K133:K136)</f>
        <v>8130</v>
      </c>
      <c r="L132" s="544">
        <f>SUM(L133:L136)</f>
        <v>4260</v>
      </c>
      <c r="M132" s="1265" t="s">
        <v>817</v>
      </c>
    </row>
    <row r="133" spans="1:13" x14ac:dyDescent="0.2">
      <c r="A133" s="1269"/>
      <c r="B133" s="1261"/>
      <c r="C133" s="1272"/>
      <c r="D133" s="545">
        <v>1180</v>
      </c>
      <c r="E133" s="545">
        <v>1200</v>
      </c>
      <c r="F133" s="545">
        <v>1180</v>
      </c>
      <c r="G133" s="545">
        <v>1200</v>
      </c>
      <c r="H133" s="545">
        <v>2880</v>
      </c>
      <c r="I133" s="660"/>
      <c r="J133" s="621">
        <v>2261</v>
      </c>
      <c r="K133" s="545">
        <v>1920</v>
      </c>
      <c r="L133" s="545"/>
      <c r="M133" s="1266"/>
    </row>
    <row r="134" spans="1:13" x14ac:dyDescent="0.2">
      <c r="A134" s="1269"/>
      <c r="B134" s="1261"/>
      <c r="C134" s="1272"/>
      <c r="D134" s="545">
        <v>3780</v>
      </c>
      <c r="E134" s="545">
        <v>3000</v>
      </c>
      <c r="F134" s="545">
        <v>3780</v>
      </c>
      <c r="G134" s="545">
        <v>3000</v>
      </c>
      <c r="H134" s="545">
        <v>2520</v>
      </c>
      <c r="I134" s="545">
        <v>3000</v>
      </c>
      <c r="J134" s="621">
        <v>2262</v>
      </c>
      <c r="K134" s="545">
        <v>1320</v>
      </c>
      <c r="L134" s="545">
        <v>3000</v>
      </c>
      <c r="M134" s="1266"/>
    </row>
    <row r="135" spans="1:13" x14ac:dyDescent="0.2">
      <c r="A135" s="1269"/>
      <c r="B135" s="1261"/>
      <c r="C135" s="1272"/>
      <c r="D135" s="545">
        <v>2700</v>
      </c>
      <c r="E135" s="545">
        <v>800</v>
      </c>
      <c r="F135" s="545">
        <v>2700</v>
      </c>
      <c r="G135" s="545">
        <v>800</v>
      </c>
      <c r="H135" s="545">
        <v>1750</v>
      </c>
      <c r="I135" s="545">
        <v>1260</v>
      </c>
      <c r="J135" s="621">
        <v>2279</v>
      </c>
      <c r="K135" s="545">
        <v>1740</v>
      </c>
      <c r="L135" s="545">
        <v>1260</v>
      </c>
      <c r="M135" s="1266"/>
    </row>
    <row r="136" spans="1:13" x14ac:dyDescent="0.2">
      <c r="A136" s="1270"/>
      <c r="B136" s="1263"/>
      <c r="C136" s="1273"/>
      <c r="D136" s="545">
        <v>1390</v>
      </c>
      <c r="E136" s="545">
        <v>1100</v>
      </c>
      <c r="F136" s="545">
        <v>1390</v>
      </c>
      <c r="G136" s="545">
        <v>1100</v>
      </c>
      <c r="H136" s="545">
        <v>3150</v>
      </c>
      <c r="I136" s="660"/>
      <c r="J136" s="621">
        <v>2363</v>
      </c>
      <c r="K136" s="545">
        <v>3150</v>
      </c>
      <c r="L136" s="545"/>
      <c r="M136" s="1267"/>
    </row>
    <row r="137" spans="1:13" s="618" customFormat="1" x14ac:dyDescent="0.2">
      <c r="A137" s="1268">
        <v>9.1999999999999993</v>
      </c>
      <c r="B137" s="1374" t="s">
        <v>852</v>
      </c>
      <c r="C137" s="1375"/>
      <c r="D137" s="544">
        <f t="shared" ref="D137:I137" si="28">SUM(D138:D139)</f>
        <v>2000</v>
      </c>
      <c r="E137" s="544">
        <f t="shared" si="28"/>
        <v>4500</v>
      </c>
      <c r="F137" s="544">
        <f t="shared" si="28"/>
        <v>2000</v>
      </c>
      <c r="G137" s="544">
        <f t="shared" si="28"/>
        <v>4500</v>
      </c>
      <c r="H137" s="544">
        <f t="shared" si="28"/>
        <v>5000</v>
      </c>
      <c r="I137" s="544">
        <f t="shared" si="28"/>
        <v>0</v>
      </c>
      <c r="J137" s="621"/>
      <c r="K137" s="544">
        <f>SUM(K138:K139)</f>
        <v>2790</v>
      </c>
      <c r="L137" s="544">
        <f>SUM(L138:L139)</f>
        <v>0</v>
      </c>
      <c r="M137" s="1380" t="s">
        <v>828</v>
      </c>
    </row>
    <row r="138" spans="1:13" ht="15" customHeight="1" x14ac:dyDescent="0.2">
      <c r="A138" s="1269"/>
      <c r="B138" s="1376"/>
      <c r="C138" s="1377"/>
      <c r="D138" s="624">
        <v>0</v>
      </c>
      <c r="E138" s="624">
        <v>4500</v>
      </c>
      <c r="F138" s="624">
        <v>0</v>
      </c>
      <c r="G138" s="624">
        <v>4500</v>
      </c>
      <c r="H138" s="624">
        <v>3000</v>
      </c>
      <c r="I138" s="624"/>
      <c r="J138" s="623">
        <v>2361</v>
      </c>
      <c r="K138" s="624">
        <v>1500</v>
      </c>
      <c r="L138" s="625"/>
      <c r="M138" s="1381"/>
    </row>
    <row r="139" spans="1:13" ht="15" customHeight="1" x14ac:dyDescent="0.2">
      <c r="A139" s="1270"/>
      <c r="B139" s="1378"/>
      <c r="C139" s="1379"/>
      <c r="D139" s="624">
        <v>2000</v>
      </c>
      <c r="E139" s="625"/>
      <c r="F139" s="624">
        <v>2000</v>
      </c>
      <c r="G139" s="625"/>
      <c r="H139" s="624">
        <v>2000</v>
      </c>
      <c r="I139" s="661"/>
      <c r="J139" s="623">
        <v>2370</v>
      </c>
      <c r="K139" s="624">
        <f>500+275+240+275</f>
        <v>1290</v>
      </c>
      <c r="L139" s="625"/>
      <c r="M139" s="1382"/>
    </row>
    <row r="140" spans="1:13" s="629" customFormat="1" ht="12" customHeight="1" x14ac:dyDescent="0.2">
      <c r="A140" s="985" t="s">
        <v>752</v>
      </c>
      <c r="B140" s="1090" t="s">
        <v>837</v>
      </c>
      <c r="C140" s="1090"/>
      <c r="D140" s="626">
        <f t="shared" ref="D140:I140" si="29">D141+D148+D152+D156</f>
        <v>11942</v>
      </c>
      <c r="E140" s="626">
        <f t="shared" si="29"/>
        <v>0</v>
      </c>
      <c r="F140" s="626">
        <f t="shared" si="29"/>
        <v>11414.66</v>
      </c>
      <c r="G140" s="626">
        <f t="shared" si="29"/>
        <v>0</v>
      </c>
      <c r="H140" s="626">
        <f t="shared" si="29"/>
        <v>13340</v>
      </c>
      <c r="I140" s="626">
        <f t="shared" si="29"/>
        <v>0</v>
      </c>
      <c r="J140" s="646"/>
      <c r="K140" s="628">
        <f>K141+K148+K152+K156</f>
        <v>12402</v>
      </c>
      <c r="L140" s="628">
        <f>L141+L148+L152+L156</f>
        <v>0</v>
      </c>
      <c r="M140" s="662"/>
    </row>
    <row r="141" spans="1:13" s="629" customFormat="1" x14ac:dyDescent="0.2">
      <c r="A141" s="1383" t="s">
        <v>853</v>
      </c>
      <c r="B141" s="1090" t="s">
        <v>854</v>
      </c>
      <c r="C141" s="1090"/>
      <c r="D141" s="626">
        <f t="shared" ref="D141:I141" si="30">SUM(D142:D147)</f>
        <v>3832</v>
      </c>
      <c r="E141" s="626">
        <f t="shared" si="30"/>
        <v>0</v>
      </c>
      <c r="F141" s="626">
        <f t="shared" si="30"/>
        <v>3827.96</v>
      </c>
      <c r="G141" s="626">
        <f t="shared" si="30"/>
        <v>0</v>
      </c>
      <c r="H141" s="626">
        <f t="shared" si="30"/>
        <v>4580</v>
      </c>
      <c r="I141" s="626">
        <f t="shared" si="30"/>
        <v>0</v>
      </c>
      <c r="J141" s="646"/>
      <c r="K141" s="628">
        <f>SUM(K142:K147)</f>
        <v>3642</v>
      </c>
      <c r="L141" s="628">
        <f>SUM(L142:L147)</f>
        <v>0</v>
      </c>
      <c r="M141" s="1072" t="s">
        <v>823</v>
      </c>
    </row>
    <row r="142" spans="1:13" s="629" customFormat="1" x14ac:dyDescent="0.2">
      <c r="A142" s="1383"/>
      <c r="B142" s="1090"/>
      <c r="C142" s="1090"/>
      <c r="D142" s="630">
        <v>1280</v>
      </c>
      <c r="E142" s="630"/>
      <c r="F142" s="630">
        <v>1276</v>
      </c>
      <c r="G142" s="630"/>
      <c r="H142" s="630">
        <v>1600</v>
      </c>
      <c r="I142" s="630"/>
      <c r="J142" s="627">
        <v>2261</v>
      </c>
      <c r="K142" s="631">
        <v>1280</v>
      </c>
      <c r="L142" s="631"/>
      <c r="M142" s="1072"/>
    </row>
    <row r="143" spans="1:13" s="629" customFormat="1" x14ac:dyDescent="0.2">
      <c r="A143" s="1383"/>
      <c r="B143" s="1090"/>
      <c r="C143" s="1090"/>
      <c r="D143" s="630">
        <v>1120</v>
      </c>
      <c r="E143" s="630"/>
      <c r="F143" s="630">
        <v>1120</v>
      </c>
      <c r="G143" s="630"/>
      <c r="H143" s="630">
        <v>1400</v>
      </c>
      <c r="I143" s="630"/>
      <c r="J143" s="627">
        <v>2363</v>
      </c>
      <c r="K143" s="631">
        <v>1120</v>
      </c>
      <c r="L143" s="631"/>
      <c r="M143" s="1072"/>
    </row>
    <row r="144" spans="1:13" s="629" customFormat="1" x14ac:dyDescent="0.2">
      <c r="A144" s="1383"/>
      <c r="B144" s="1090"/>
      <c r="C144" s="1090"/>
      <c r="D144" s="630">
        <v>464</v>
      </c>
      <c r="E144" s="630"/>
      <c r="F144" s="630">
        <v>464</v>
      </c>
      <c r="G144" s="630"/>
      <c r="H144" s="630">
        <v>580</v>
      </c>
      <c r="I144" s="630"/>
      <c r="J144" s="627">
        <v>2121</v>
      </c>
      <c r="K144" s="631">
        <v>464</v>
      </c>
      <c r="L144" s="631"/>
      <c r="M144" s="1072"/>
    </row>
    <row r="145" spans="1:13" s="629" customFormat="1" x14ac:dyDescent="0.2">
      <c r="A145" s="1383"/>
      <c r="B145" s="1090"/>
      <c r="C145" s="1090"/>
      <c r="D145" s="630">
        <v>128</v>
      </c>
      <c r="E145" s="630"/>
      <c r="F145" s="630">
        <v>127.96</v>
      </c>
      <c r="G145" s="630"/>
      <c r="H145" s="630">
        <v>160</v>
      </c>
      <c r="I145" s="630"/>
      <c r="J145" s="627">
        <v>2122</v>
      </c>
      <c r="K145" s="631">
        <v>128</v>
      </c>
      <c r="L145" s="631"/>
      <c r="M145" s="1072"/>
    </row>
    <row r="146" spans="1:13" s="629" customFormat="1" x14ac:dyDescent="0.2">
      <c r="A146" s="1383"/>
      <c r="B146" s="1090"/>
      <c r="C146" s="1090"/>
      <c r="D146" s="630">
        <v>240</v>
      </c>
      <c r="E146" s="630"/>
      <c r="F146" s="630">
        <v>240</v>
      </c>
      <c r="G146" s="630"/>
      <c r="H146" s="630">
        <v>240</v>
      </c>
      <c r="I146" s="630"/>
      <c r="J146" s="627">
        <v>2341</v>
      </c>
      <c r="K146" s="631">
        <v>50</v>
      </c>
      <c r="L146" s="631"/>
      <c r="M146" s="1072"/>
    </row>
    <row r="147" spans="1:13" s="629" customFormat="1" x14ac:dyDescent="0.2">
      <c r="A147" s="1383"/>
      <c r="B147" s="1090"/>
      <c r="C147" s="1090"/>
      <c r="D147" s="630">
        <v>600</v>
      </c>
      <c r="E147" s="630"/>
      <c r="F147" s="630">
        <v>600</v>
      </c>
      <c r="G147" s="630"/>
      <c r="H147" s="630">
        <v>600</v>
      </c>
      <c r="I147" s="630"/>
      <c r="J147" s="627">
        <v>2262</v>
      </c>
      <c r="K147" s="631">
        <v>600</v>
      </c>
      <c r="L147" s="631"/>
      <c r="M147" s="1072"/>
    </row>
    <row r="148" spans="1:13" s="629" customFormat="1" x14ac:dyDescent="0.2">
      <c r="A148" s="1383" t="s">
        <v>855</v>
      </c>
      <c r="B148" s="1090" t="s">
        <v>856</v>
      </c>
      <c r="C148" s="1090"/>
      <c r="D148" s="626">
        <f t="shared" ref="D148:I148" si="31">SUM(D149:D151)</f>
        <v>3775</v>
      </c>
      <c r="E148" s="626">
        <f t="shared" si="31"/>
        <v>0</v>
      </c>
      <c r="F148" s="626">
        <f t="shared" si="31"/>
        <v>3755.2</v>
      </c>
      <c r="G148" s="626">
        <f t="shared" si="31"/>
        <v>0</v>
      </c>
      <c r="H148" s="626">
        <f t="shared" si="31"/>
        <v>4100</v>
      </c>
      <c r="I148" s="626">
        <f t="shared" si="31"/>
        <v>0</v>
      </c>
      <c r="J148" s="627"/>
      <c r="K148" s="628">
        <f>SUM(K149:K151)</f>
        <v>4100</v>
      </c>
      <c r="L148" s="628">
        <f>SUM(L149:L151)</f>
        <v>0</v>
      </c>
      <c r="M148" s="1072" t="s">
        <v>823</v>
      </c>
    </row>
    <row r="149" spans="1:13" s="629" customFormat="1" x14ac:dyDescent="0.2">
      <c r="A149" s="1383"/>
      <c r="B149" s="1090"/>
      <c r="C149" s="1090"/>
      <c r="D149" s="630">
        <v>2975</v>
      </c>
      <c r="E149" s="630"/>
      <c r="F149" s="630">
        <v>2959.66</v>
      </c>
      <c r="G149" s="630"/>
      <c r="H149" s="630">
        <v>3500</v>
      </c>
      <c r="I149" s="630"/>
      <c r="J149" s="627">
        <v>2363</v>
      </c>
      <c r="K149" s="631">
        <v>3500</v>
      </c>
      <c r="L149" s="631"/>
      <c r="M149" s="1072"/>
    </row>
    <row r="150" spans="1:13" s="629" customFormat="1" x14ac:dyDescent="0.2">
      <c r="A150" s="1383"/>
      <c r="B150" s="1090"/>
      <c r="C150" s="1090"/>
      <c r="D150" s="630">
        <v>800</v>
      </c>
      <c r="E150" s="630"/>
      <c r="F150" s="630">
        <v>795.54</v>
      </c>
      <c r="G150" s="630"/>
      <c r="H150" s="630">
        <v>400</v>
      </c>
      <c r="I150" s="630"/>
      <c r="J150" s="627">
        <v>2262</v>
      </c>
      <c r="K150" s="631">
        <v>400</v>
      </c>
      <c r="L150" s="631"/>
      <c r="M150" s="1072"/>
    </row>
    <row r="151" spans="1:13" s="629" customFormat="1" x14ac:dyDescent="0.2">
      <c r="A151" s="1383"/>
      <c r="B151" s="1090"/>
      <c r="C151" s="1090"/>
      <c r="D151" s="630"/>
      <c r="E151" s="630"/>
      <c r="F151" s="630"/>
      <c r="G151" s="630"/>
      <c r="H151" s="630">
        <v>200</v>
      </c>
      <c r="I151" s="630"/>
      <c r="J151" s="627">
        <v>2279</v>
      </c>
      <c r="K151" s="631">
        <v>200</v>
      </c>
      <c r="L151" s="631"/>
      <c r="M151" s="1072"/>
    </row>
    <row r="152" spans="1:13" s="629" customFormat="1" x14ac:dyDescent="0.2">
      <c r="A152" s="1383" t="s">
        <v>857</v>
      </c>
      <c r="B152" s="1090" t="s">
        <v>858</v>
      </c>
      <c r="C152" s="1090"/>
      <c r="D152" s="626">
        <f t="shared" ref="D152:I152" si="32">SUM(D153:D155)</f>
        <v>3775</v>
      </c>
      <c r="E152" s="626">
        <f t="shared" si="32"/>
        <v>0</v>
      </c>
      <c r="F152" s="626">
        <f t="shared" si="32"/>
        <v>3272</v>
      </c>
      <c r="G152" s="626">
        <f t="shared" si="32"/>
        <v>0</v>
      </c>
      <c r="H152" s="626">
        <f t="shared" si="32"/>
        <v>4100</v>
      </c>
      <c r="I152" s="626">
        <f t="shared" si="32"/>
        <v>0</v>
      </c>
      <c r="J152" s="627"/>
      <c r="K152" s="628">
        <f>SUM(K153:K155)</f>
        <v>4100</v>
      </c>
      <c r="L152" s="628">
        <f>SUM(L153:L155)</f>
        <v>0</v>
      </c>
      <c r="M152" s="1072" t="s">
        <v>823</v>
      </c>
    </row>
    <row r="153" spans="1:13" s="629" customFormat="1" x14ac:dyDescent="0.2">
      <c r="A153" s="1383"/>
      <c r="B153" s="1090"/>
      <c r="C153" s="1090"/>
      <c r="D153" s="630">
        <v>2975</v>
      </c>
      <c r="E153" s="630"/>
      <c r="F153" s="630">
        <v>2975</v>
      </c>
      <c r="G153" s="630"/>
      <c r="H153" s="630">
        <v>3500</v>
      </c>
      <c r="I153" s="630"/>
      <c r="J153" s="627">
        <v>2363</v>
      </c>
      <c r="K153" s="631">
        <v>3500</v>
      </c>
      <c r="L153" s="631"/>
      <c r="M153" s="1072"/>
    </row>
    <row r="154" spans="1:13" s="629" customFormat="1" ht="12.75" customHeight="1" x14ac:dyDescent="0.2">
      <c r="A154" s="1383"/>
      <c r="B154" s="1090"/>
      <c r="C154" s="1090"/>
      <c r="D154" s="630">
        <v>800</v>
      </c>
      <c r="E154" s="630"/>
      <c r="F154" s="630">
        <v>297</v>
      </c>
      <c r="G154" s="630"/>
      <c r="H154" s="630">
        <v>400</v>
      </c>
      <c r="I154" s="630"/>
      <c r="J154" s="627">
        <v>2262</v>
      </c>
      <c r="K154" s="631">
        <v>400</v>
      </c>
      <c r="L154" s="631"/>
      <c r="M154" s="1072"/>
    </row>
    <row r="155" spans="1:13" s="629" customFormat="1" ht="12.75" customHeight="1" x14ac:dyDescent="0.2">
      <c r="A155" s="1383"/>
      <c r="B155" s="1090"/>
      <c r="C155" s="1090"/>
      <c r="D155" s="630"/>
      <c r="E155" s="630"/>
      <c r="F155" s="630"/>
      <c r="G155" s="630"/>
      <c r="H155" s="630">
        <v>200</v>
      </c>
      <c r="I155" s="630"/>
      <c r="J155" s="627">
        <v>2279</v>
      </c>
      <c r="K155" s="631">
        <v>200</v>
      </c>
      <c r="L155" s="631"/>
      <c r="M155" s="1072"/>
    </row>
    <row r="156" spans="1:13" s="629" customFormat="1" ht="12.75" customHeight="1" x14ac:dyDescent="0.2">
      <c r="A156" s="1383" t="s">
        <v>859</v>
      </c>
      <c r="B156" s="1090" t="s">
        <v>860</v>
      </c>
      <c r="C156" s="1090"/>
      <c r="D156" s="626">
        <f t="shared" ref="D156:I156" si="33">SUM(D157:D157)</f>
        <v>560</v>
      </c>
      <c r="E156" s="626">
        <f t="shared" si="33"/>
        <v>0</v>
      </c>
      <c r="F156" s="626">
        <f t="shared" si="33"/>
        <v>559.5</v>
      </c>
      <c r="G156" s="626">
        <f t="shared" si="33"/>
        <v>0</v>
      </c>
      <c r="H156" s="626">
        <f t="shared" si="33"/>
        <v>560</v>
      </c>
      <c r="I156" s="626">
        <f t="shared" si="33"/>
        <v>0</v>
      </c>
      <c r="J156" s="627"/>
      <c r="K156" s="628">
        <f>SUM(K157:K157)</f>
        <v>560</v>
      </c>
      <c r="L156" s="628">
        <f>SUM(L157:L157)</f>
        <v>0</v>
      </c>
      <c r="M156" s="1072" t="s">
        <v>823</v>
      </c>
    </row>
    <row r="157" spans="1:13" s="629" customFormat="1" ht="12.75" customHeight="1" x14ac:dyDescent="0.2">
      <c r="A157" s="1383"/>
      <c r="B157" s="1090"/>
      <c r="C157" s="1090"/>
      <c r="D157" s="630">
        <v>560</v>
      </c>
      <c r="E157" s="630"/>
      <c r="F157" s="630">
        <v>559.5</v>
      </c>
      <c r="G157" s="630"/>
      <c r="H157" s="630">
        <v>560</v>
      </c>
      <c r="I157" s="630"/>
      <c r="J157" s="627">
        <v>2363</v>
      </c>
      <c r="K157" s="631">
        <v>560</v>
      </c>
      <c r="L157" s="631"/>
      <c r="M157" s="1072"/>
    </row>
    <row r="158" spans="1:13" x14ac:dyDescent="0.2">
      <c r="A158" s="616">
        <v>10</v>
      </c>
      <c r="B158" s="1351" t="s">
        <v>861</v>
      </c>
      <c r="C158" s="1351"/>
      <c r="D158" s="517" t="e">
        <f t="shared" ref="D158:I158" si="34">D159+D163+D167</f>
        <v>#REF!</v>
      </c>
      <c r="E158" s="517" t="e">
        <f t="shared" si="34"/>
        <v>#REF!</v>
      </c>
      <c r="F158" s="517" t="e">
        <f t="shared" si="34"/>
        <v>#REF!</v>
      </c>
      <c r="G158" s="517" t="e">
        <f t="shared" si="34"/>
        <v>#REF!</v>
      </c>
      <c r="H158" s="517" t="e">
        <f t="shared" si="34"/>
        <v>#REF!</v>
      </c>
      <c r="I158" s="517" t="e">
        <f t="shared" si="34"/>
        <v>#REF!</v>
      </c>
      <c r="J158" s="634"/>
      <c r="K158" s="517">
        <f>K159+K163+K167</f>
        <v>6700</v>
      </c>
      <c r="L158" s="517">
        <f>L159+L163+L167</f>
        <v>0</v>
      </c>
      <c r="M158" s="617"/>
    </row>
    <row r="159" spans="1:13" s="618" customFormat="1" x14ac:dyDescent="0.2">
      <c r="A159" s="1268">
        <v>10.1</v>
      </c>
      <c r="B159" s="1259" t="s">
        <v>814</v>
      </c>
      <c r="C159" s="1271"/>
      <c r="D159" s="544">
        <f t="shared" ref="D159:I159" si="35">SUM(D160:D162)</f>
        <v>3930</v>
      </c>
      <c r="E159" s="544">
        <f t="shared" si="35"/>
        <v>0</v>
      </c>
      <c r="F159" s="544">
        <f t="shared" si="35"/>
        <v>3930</v>
      </c>
      <c r="G159" s="544">
        <f t="shared" si="35"/>
        <v>0</v>
      </c>
      <c r="H159" s="544">
        <f t="shared" si="35"/>
        <v>3930</v>
      </c>
      <c r="I159" s="544">
        <f t="shared" si="35"/>
        <v>0</v>
      </c>
      <c r="J159" s="621"/>
      <c r="K159" s="544">
        <f>SUM(K160:K162)</f>
        <v>2890</v>
      </c>
      <c r="L159" s="544">
        <f>SUM(L160:L162)</f>
        <v>0</v>
      </c>
      <c r="M159" s="1265" t="s">
        <v>817</v>
      </c>
    </row>
    <row r="160" spans="1:13" x14ac:dyDescent="0.2">
      <c r="A160" s="1269"/>
      <c r="B160" s="1261"/>
      <c r="C160" s="1272"/>
      <c r="D160" s="545">
        <v>2640</v>
      </c>
      <c r="E160" s="545"/>
      <c r="F160" s="545">
        <v>2640</v>
      </c>
      <c r="G160" s="545"/>
      <c r="H160" s="545">
        <v>2640</v>
      </c>
      <c r="I160" s="545"/>
      <c r="J160" s="621">
        <v>2262</v>
      </c>
      <c r="K160" s="545">
        <v>2000</v>
      </c>
      <c r="L160" s="545"/>
      <c r="M160" s="1266"/>
    </row>
    <row r="161" spans="1:13" x14ac:dyDescent="0.2">
      <c r="A161" s="1269"/>
      <c r="B161" s="1261"/>
      <c r="C161" s="1272"/>
      <c r="D161" s="545">
        <v>800</v>
      </c>
      <c r="E161" s="545"/>
      <c r="F161" s="545">
        <v>800</v>
      </c>
      <c r="G161" s="545"/>
      <c r="H161" s="545">
        <v>800</v>
      </c>
      <c r="I161" s="545"/>
      <c r="J161" s="621">
        <v>2279</v>
      </c>
      <c r="K161" s="545">
        <v>400</v>
      </c>
      <c r="L161" s="545"/>
      <c r="M161" s="1266"/>
    </row>
    <row r="162" spans="1:13" x14ac:dyDescent="0.2">
      <c r="A162" s="1270"/>
      <c r="B162" s="1263"/>
      <c r="C162" s="1273"/>
      <c r="D162" s="545">
        <v>490</v>
      </c>
      <c r="E162" s="545"/>
      <c r="F162" s="545">
        <v>490</v>
      </c>
      <c r="G162" s="545"/>
      <c r="H162" s="545">
        <v>490</v>
      </c>
      <c r="I162" s="545"/>
      <c r="J162" s="621">
        <v>2363</v>
      </c>
      <c r="K162" s="545">
        <v>490</v>
      </c>
      <c r="L162" s="545"/>
      <c r="M162" s="1267"/>
    </row>
    <row r="163" spans="1:13" s="618" customFormat="1" x14ac:dyDescent="0.2">
      <c r="A163" s="1268">
        <v>10.199999999999999</v>
      </c>
      <c r="B163" s="1374" t="s">
        <v>862</v>
      </c>
      <c r="C163" s="1375"/>
      <c r="D163" s="544">
        <f t="shared" ref="D163:I163" si="36">SUM(D164:D166)</f>
        <v>1060</v>
      </c>
      <c r="E163" s="544">
        <f t="shared" si="36"/>
        <v>400</v>
      </c>
      <c r="F163" s="544">
        <f t="shared" si="36"/>
        <v>1060</v>
      </c>
      <c r="G163" s="544">
        <f t="shared" si="36"/>
        <v>400</v>
      </c>
      <c r="H163" s="544">
        <f t="shared" si="36"/>
        <v>1460</v>
      </c>
      <c r="I163" s="544">
        <f t="shared" si="36"/>
        <v>0</v>
      </c>
      <c r="J163" s="621"/>
      <c r="K163" s="544">
        <f>SUM(K164:K166)</f>
        <v>1450</v>
      </c>
      <c r="L163" s="544">
        <f>SUM(L164:L166)</f>
        <v>0</v>
      </c>
      <c r="M163" s="1380" t="s">
        <v>828</v>
      </c>
    </row>
    <row r="164" spans="1:13" x14ac:dyDescent="0.2">
      <c r="A164" s="1269"/>
      <c r="B164" s="1376"/>
      <c r="C164" s="1377"/>
      <c r="D164" s="624">
        <v>110</v>
      </c>
      <c r="E164" s="624"/>
      <c r="F164" s="624">
        <v>110</v>
      </c>
      <c r="G164" s="624"/>
      <c r="H164" s="624">
        <v>110</v>
      </c>
      <c r="I164" s="663"/>
      <c r="J164" s="623">
        <v>2341</v>
      </c>
      <c r="K164" s="545">
        <v>50</v>
      </c>
      <c r="L164" s="545"/>
      <c r="M164" s="1381"/>
    </row>
    <row r="165" spans="1:13" x14ac:dyDescent="0.2">
      <c r="A165" s="1269"/>
      <c r="B165" s="1376"/>
      <c r="C165" s="1377"/>
      <c r="D165" s="624">
        <v>800</v>
      </c>
      <c r="E165" s="624">
        <v>400</v>
      </c>
      <c r="F165" s="624">
        <v>800</v>
      </c>
      <c r="G165" s="624">
        <v>400</v>
      </c>
      <c r="H165" s="624">
        <v>1200</v>
      </c>
      <c r="I165" s="663"/>
      <c r="J165" s="623">
        <v>2361</v>
      </c>
      <c r="K165" s="624">
        <v>1200</v>
      </c>
      <c r="L165" s="625"/>
      <c r="M165" s="1381"/>
    </row>
    <row r="166" spans="1:13" x14ac:dyDescent="0.2">
      <c r="A166" s="1270"/>
      <c r="B166" s="1378"/>
      <c r="C166" s="1379"/>
      <c r="D166" s="624">
        <v>150</v>
      </c>
      <c r="E166" s="624"/>
      <c r="F166" s="624">
        <v>150</v>
      </c>
      <c r="G166" s="624"/>
      <c r="H166" s="624">
        <v>150</v>
      </c>
      <c r="I166" s="663"/>
      <c r="J166" s="621">
        <v>2370</v>
      </c>
      <c r="K166" s="624">
        <v>200</v>
      </c>
      <c r="L166" s="625"/>
      <c r="M166" s="1382"/>
    </row>
    <row r="167" spans="1:13" s="629" customFormat="1" x14ac:dyDescent="0.2">
      <c r="A167" s="986" t="s">
        <v>759</v>
      </c>
      <c r="B167" s="1090" t="s">
        <v>837</v>
      </c>
      <c r="C167" s="1090"/>
      <c r="D167" s="649" t="e">
        <f>D168+#REF!</f>
        <v>#REF!</v>
      </c>
      <c r="E167" s="649" t="e">
        <f>E168+#REF!</f>
        <v>#REF!</v>
      </c>
      <c r="F167" s="649" t="e">
        <f>F168+#REF!</f>
        <v>#REF!</v>
      </c>
      <c r="G167" s="649" t="e">
        <f>G168+#REF!</f>
        <v>#REF!</v>
      </c>
      <c r="H167" s="649" t="e">
        <f>H168+#REF!</f>
        <v>#REF!</v>
      </c>
      <c r="I167" s="649" t="e">
        <f>I168+#REF!</f>
        <v>#REF!</v>
      </c>
      <c r="J167" s="659"/>
      <c r="K167" s="651">
        <f>K168</f>
        <v>2360</v>
      </c>
      <c r="L167" s="651">
        <f>L168</f>
        <v>0</v>
      </c>
      <c r="M167" s="662"/>
    </row>
    <row r="168" spans="1:13" s="629" customFormat="1" x14ac:dyDescent="0.2">
      <c r="A168" s="1383" t="s">
        <v>863</v>
      </c>
      <c r="B168" s="1090" t="s">
        <v>822</v>
      </c>
      <c r="C168" s="1090"/>
      <c r="D168" s="643">
        <f t="shared" ref="D168:I168" si="37">SUM(D169:D172)</f>
        <v>1875</v>
      </c>
      <c r="E168" s="643">
        <f t="shared" si="37"/>
        <v>0</v>
      </c>
      <c r="F168" s="643">
        <f t="shared" si="37"/>
        <v>1867.62</v>
      </c>
      <c r="G168" s="643">
        <f t="shared" si="37"/>
        <v>0</v>
      </c>
      <c r="H168" s="643">
        <f t="shared" si="37"/>
        <v>2360</v>
      </c>
      <c r="I168" s="643">
        <f t="shared" si="37"/>
        <v>0</v>
      </c>
      <c r="J168" s="644"/>
      <c r="K168" s="647">
        <f>SUM(K169:K172)</f>
        <v>2360</v>
      </c>
      <c r="L168" s="647">
        <f>SUM(L169:L172)</f>
        <v>0</v>
      </c>
      <c r="M168" s="1072" t="s">
        <v>823</v>
      </c>
    </row>
    <row r="169" spans="1:13" s="629" customFormat="1" x14ac:dyDescent="0.2">
      <c r="A169" s="1383"/>
      <c r="B169" s="1090"/>
      <c r="C169" s="1090"/>
      <c r="D169" s="648">
        <v>1225</v>
      </c>
      <c r="E169" s="649"/>
      <c r="F169" s="648">
        <v>1225</v>
      </c>
      <c r="G169" s="649"/>
      <c r="H169" s="648">
        <v>1610</v>
      </c>
      <c r="I169" s="649"/>
      <c r="J169" s="644">
        <v>2363</v>
      </c>
      <c r="K169" s="650">
        <v>1610</v>
      </c>
      <c r="L169" s="651"/>
      <c r="M169" s="1072"/>
    </row>
    <row r="170" spans="1:13" s="629" customFormat="1" x14ac:dyDescent="0.2">
      <c r="A170" s="1383"/>
      <c r="B170" s="1090"/>
      <c r="C170" s="1090"/>
      <c r="D170" s="648">
        <v>450</v>
      </c>
      <c r="E170" s="649"/>
      <c r="F170" s="648">
        <v>444.02</v>
      </c>
      <c r="G170" s="649"/>
      <c r="H170" s="648">
        <v>450</v>
      </c>
      <c r="I170" s="649"/>
      <c r="J170" s="644">
        <v>2262</v>
      </c>
      <c r="K170" s="650">
        <v>450</v>
      </c>
      <c r="L170" s="651"/>
      <c r="M170" s="1072"/>
    </row>
    <row r="171" spans="1:13" s="629" customFormat="1" x14ac:dyDescent="0.2">
      <c r="A171" s="1383"/>
      <c r="B171" s="1090"/>
      <c r="C171" s="1090"/>
      <c r="D171" s="648"/>
      <c r="E171" s="649"/>
      <c r="F171" s="648"/>
      <c r="G171" s="649"/>
      <c r="H171" s="648">
        <v>100</v>
      </c>
      <c r="I171" s="649"/>
      <c r="J171" s="644">
        <v>2341</v>
      </c>
      <c r="K171" s="650">
        <v>100</v>
      </c>
      <c r="L171" s="651"/>
      <c r="M171" s="1072"/>
    </row>
    <row r="172" spans="1:13" s="629" customFormat="1" x14ac:dyDescent="0.2">
      <c r="A172" s="1383"/>
      <c r="B172" s="1090"/>
      <c r="C172" s="1090"/>
      <c r="D172" s="648">
        <v>200</v>
      </c>
      <c r="E172" s="649"/>
      <c r="F172" s="648">
        <v>198.6</v>
      </c>
      <c r="G172" s="649"/>
      <c r="H172" s="648">
        <v>200</v>
      </c>
      <c r="I172" s="649"/>
      <c r="J172" s="644">
        <v>2279</v>
      </c>
      <c r="K172" s="650">
        <v>200</v>
      </c>
      <c r="L172" s="651"/>
      <c r="M172" s="1072"/>
    </row>
    <row r="173" spans="1:13" x14ac:dyDescent="0.2">
      <c r="A173" s="616">
        <v>11</v>
      </c>
      <c r="B173" s="1351" t="s">
        <v>864</v>
      </c>
      <c r="C173" s="1351"/>
      <c r="D173" s="517" t="e">
        <f t="shared" ref="D173:I173" si="38">D174+D179+D183</f>
        <v>#REF!</v>
      </c>
      <c r="E173" s="517" t="e">
        <f t="shared" si="38"/>
        <v>#REF!</v>
      </c>
      <c r="F173" s="517" t="e">
        <f t="shared" si="38"/>
        <v>#REF!</v>
      </c>
      <c r="G173" s="517" t="e">
        <f t="shared" si="38"/>
        <v>#REF!</v>
      </c>
      <c r="H173" s="517" t="e">
        <f t="shared" si="38"/>
        <v>#REF!</v>
      </c>
      <c r="I173" s="517" t="e">
        <f t="shared" si="38"/>
        <v>#REF!</v>
      </c>
      <c r="J173" s="634"/>
      <c r="K173" s="517">
        <f>K174+K179+K183</f>
        <v>11990</v>
      </c>
      <c r="L173" s="517">
        <f>L174+L179+L183</f>
        <v>0</v>
      </c>
      <c r="M173" s="617"/>
    </row>
    <row r="174" spans="1:13" s="618" customFormat="1" x14ac:dyDescent="0.2">
      <c r="A174" s="1268">
        <v>11.1</v>
      </c>
      <c r="B174" s="1259" t="s">
        <v>814</v>
      </c>
      <c r="C174" s="1271"/>
      <c r="D174" s="544">
        <f>SUM(D175:D178)</f>
        <v>4095</v>
      </c>
      <c r="E174" s="544"/>
      <c r="F174" s="544">
        <f>SUM(F175:F178)</f>
        <v>1880</v>
      </c>
      <c r="G174" s="544"/>
      <c r="H174" s="544">
        <f>SUM(H175:H178)</f>
        <v>4220</v>
      </c>
      <c r="I174" s="544"/>
      <c r="J174" s="621"/>
      <c r="K174" s="544">
        <f>SUM(K175:K178)</f>
        <v>2720</v>
      </c>
      <c r="L174" s="544">
        <f>SUM(L175:L178)</f>
        <v>0</v>
      </c>
      <c r="M174" s="1265" t="s">
        <v>817</v>
      </c>
    </row>
    <row r="175" spans="1:13" x14ac:dyDescent="0.2">
      <c r="A175" s="1269"/>
      <c r="B175" s="1261"/>
      <c r="C175" s="1272"/>
      <c r="D175" s="545">
        <v>835</v>
      </c>
      <c r="E175" s="545"/>
      <c r="F175" s="545">
        <v>250</v>
      </c>
      <c r="G175" s="545"/>
      <c r="H175" s="545">
        <v>960</v>
      </c>
      <c r="I175" s="545"/>
      <c r="J175" s="621">
        <v>2261</v>
      </c>
      <c r="K175" s="545">
        <v>480</v>
      </c>
      <c r="L175" s="545"/>
      <c r="M175" s="1266"/>
    </row>
    <row r="176" spans="1:13" x14ac:dyDescent="0.2">
      <c r="A176" s="1269"/>
      <c r="B176" s="1261"/>
      <c r="C176" s="1272"/>
      <c r="D176" s="545">
        <v>2400</v>
      </c>
      <c r="E176" s="545"/>
      <c r="F176" s="545">
        <v>1080</v>
      </c>
      <c r="G176" s="545"/>
      <c r="H176" s="545">
        <v>1600</v>
      </c>
      <c r="I176" s="545"/>
      <c r="J176" s="621">
        <v>2262</v>
      </c>
      <c r="K176" s="545">
        <v>1000</v>
      </c>
      <c r="L176" s="545"/>
      <c r="M176" s="1266"/>
    </row>
    <row r="177" spans="1:13" x14ac:dyDescent="0.2">
      <c r="A177" s="1269"/>
      <c r="B177" s="1261"/>
      <c r="C177" s="1272"/>
      <c r="D177" s="545">
        <v>400</v>
      </c>
      <c r="E177" s="545"/>
      <c r="F177" s="545">
        <v>500</v>
      </c>
      <c r="G177" s="545"/>
      <c r="H177" s="545">
        <v>400</v>
      </c>
      <c r="I177" s="545"/>
      <c r="J177" s="621">
        <v>2279</v>
      </c>
      <c r="K177" s="545">
        <v>400</v>
      </c>
      <c r="L177" s="545"/>
      <c r="M177" s="1266"/>
    </row>
    <row r="178" spans="1:13" x14ac:dyDescent="0.2">
      <c r="A178" s="1270"/>
      <c r="B178" s="1263"/>
      <c r="C178" s="1273"/>
      <c r="D178" s="545">
        <v>460</v>
      </c>
      <c r="E178" s="545"/>
      <c r="F178" s="545">
        <v>50</v>
      </c>
      <c r="G178" s="545"/>
      <c r="H178" s="545">
        <f>840+420</f>
        <v>1260</v>
      </c>
      <c r="I178" s="545"/>
      <c r="J178" s="621">
        <v>2363</v>
      </c>
      <c r="K178" s="545">
        <v>840</v>
      </c>
      <c r="L178" s="545"/>
      <c r="M178" s="1267"/>
    </row>
    <row r="179" spans="1:13" s="618" customFormat="1" x14ac:dyDescent="0.2">
      <c r="A179" s="1268">
        <v>11.2</v>
      </c>
      <c r="B179" s="1374" t="s">
        <v>865</v>
      </c>
      <c r="C179" s="1375"/>
      <c r="D179" s="544">
        <f>SUM(D180:D182)</f>
        <v>3850</v>
      </c>
      <c r="E179" s="544"/>
      <c r="F179" s="544">
        <f>SUM(F180:F182)</f>
        <v>3850</v>
      </c>
      <c r="G179" s="544"/>
      <c r="H179" s="544">
        <f>SUM(H180:H182)</f>
        <v>3850</v>
      </c>
      <c r="I179" s="544"/>
      <c r="J179" s="621"/>
      <c r="K179" s="544">
        <f>SUM(K180:K182)</f>
        <v>4150</v>
      </c>
      <c r="L179" s="544">
        <f>SUM(L180:L182)</f>
        <v>0</v>
      </c>
      <c r="M179" s="1380" t="s">
        <v>828</v>
      </c>
    </row>
    <row r="180" spans="1:13" x14ac:dyDescent="0.2">
      <c r="A180" s="1269"/>
      <c r="B180" s="1376"/>
      <c r="C180" s="1377"/>
      <c r="D180" s="545">
        <v>3000</v>
      </c>
      <c r="E180" s="545"/>
      <c r="F180" s="545">
        <v>3000</v>
      </c>
      <c r="G180" s="545"/>
      <c r="H180" s="545">
        <v>3000</v>
      </c>
      <c r="I180" s="545"/>
      <c r="J180" s="621">
        <v>2261</v>
      </c>
      <c r="K180" s="545">
        <v>3000</v>
      </c>
      <c r="L180" s="545"/>
      <c r="M180" s="1381"/>
    </row>
    <row r="181" spans="1:13" x14ac:dyDescent="0.2">
      <c r="A181" s="1269"/>
      <c r="B181" s="1376"/>
      <c r="C181" s="1377"/>
      <c r="D181" s="624">
        <v>750</v>
      </c>
      <c r="E181" s="624"/>
      <c r="F181" s="624">
        <v>750</v>
      </c>
      <c r="G181" s="625"/>
      <c r="H181" s="624">
        <v>750</v>
      </c>
      <c r="I181" s="624"/>
      <c r="J181" s="623">
        <v>2361</v>
      </c>
      <c r="K181" s="624">
        <v>750</v>
      </c>
      <c r="L181" s="625"/>
      <c r="M181" s="1381"/>
    </row>
    <row r="182" spans="1:13" x14ac:dyDescent="0.2">
      <c r="A182" s="1269"/>
      <c r="B182" s="1376"/>
      <c r="C182" s="1377"/>
      <c r="D182" s="624">
        <v>100</v>
      </c>
      <c r="E182" s="624"/>
      <c r="F182" s="624">
        <v>100</v>
      </c>
      <c r="G182" s="625"/>
      <c r="H182" s="624">
        <v>100</v>
      </c>
      <c r="I182" s="624"/>
      <c r="J182" s="621">
        <v>2370</v>
      </c>
      <c r="K182" s="624">
        <f>100+300</f>
        <v>400</v>
      </c>
      <c r="L182" s="625"/>
      <c r="M182" s="1382"/>
    </row>
    <row r="183" spans="1:13" s="629" customFormat="1" ht="22.5" customHeight="1" x14ac:dyDescent="0.2">
      <c r="A183" s="986" t="s">
        <v>866</v>
      </c>
      <c r="B183" s="1090" t="s">
        <v>837</v>
      </c>
      <c r="C183" s="1090"/>
      <c r="D183" s="626" t="e">
        <f>#REF!+#REF!+D184+D186</f>
        <v>#REF!</v>
      </c>
      <c r="E183" s="626" t="e">
        <f>#REF!+#REF!+E184+E186</f>
        <v>#REF!</v>
      </c>
      <c r="F183" s="626" t="e">
        <f>#REF!+#REF!+F184+F186</f>
        <v>#REF!</v>
      </c>
      <c r="G183" s="626" t="e">
        <f>#REF!+#REF!+G184+G186</f>
        <v>#REF!</v>
      </c>
      <c r="H183" s="626" t="e">
        <f>#REF!+#REF!+H184+H186</f>
        <v>#REF!</v>
      </c>
      <c r="I183" s="626" t="e">
        <f>#REF!+#REF!+I184+I186</f>
        <v>#REF!</v>
      </c>
      <c r="J183" s="646"/>
      <c r="K183" s="638">
        <f>K184+K186</f>
        <v>5120</v>
      </c>
      <c r="L183" s="638">
        <f>L184+L186</f>
        <v>0</v>
      </c>
      <c r="M183" s="662"/>
    </row>
    <row r="184" spans="1:13" s="629" customFormat="1" x14ac:dyDescent="0.2">
      <c r="A184" s="1383" t="s">
        <v>867</v>
      </c>
      <c r="B184" s="1090" t="s">
        <v>822</v>
      </c>
      <c r="C184" s="1090"/>
      <c r="D184" s="654">
        <f t="shared" ref="D184:I184" si="39">SUM(D185:D185)</f>
        <v>700</v>
      </c>
      <c r="E184" s="654">
        <f t="shared" si="39"/>
        <v>0</v>
      </c>
      <c r="F184" s="654">
        <f t="shared" si="39"/>
        <v>689.26</v>
      </c>
      <c r="G184" s="654">
        <f t="shared" si="39"/>
        <v>0</v>
      </c>
      <c r="H184" s="654">
        <f t="shared" si="39"/>
        <v>700</v>
      </c>
      <c r="I184" s="654">
        <f t="shared" si="39"/>
        <v>0</v>
      </c>
      <c r="J184" s="627"/>
      <c r="K184" s="655">
        <f>SUM(K185:K185)</f>
        <v>700</v>
      </c>
      <c r="L184" s="655">
        <f>SUM(L185:L185)</f>
        <v>0</v>
      </c>
      <c r="M184" s="1072" t="s">
        <v>823</v>
      </c>
    </row>
    <row r="185" spans="1:13" s="629" customFormat="1" x14ac:dyDescent="0.2">
      <c r="A185" s="1383"/>
      <c r="B185" s="1090"/>
      <c r="C185" s="1090"/>
      <c r="D185" s="630">
        <v>700</v>
      </c>
      <c r="E185" s="630"/>
      <c r="F185" s="630">
        <v>689.26</v>
      </c>
      <c r="G185" s="630"/>
      <c r="H185" s="630">
        <v>700</v>
      </c>
      <c r="I185" s="630"/>
      <c r="J185" s="664">
        <v>2363</v>
      </c>
      <c r="K185" s="631">
        <v>700</v>
      </c>
      <c r="L185" s="631"/>
      <c r="M185" s="1072"/>
    </row>
    <row r="186" spans="1:13" s="629" customFormat="1" x14ac:dyDescent="0.2">
      <c r="A186" s="1384" t="s">
        <v>868</v>
      </c>
      <c r="B186" s="1090" t="s">
        <v>825</v>
      </c>
      <c r="C186" s="1090"/>
      <c r="D186" s="654">
        <f t="shared" ref="D186:I186" si="40">SUM(D187:D191)</f>
        <v>0</v>
      </c>
      <c r="E186" s="654">
        <f t="shared" si="40"/>
        <v>0</v>
      </c>
      <c r="F186" s="654">
        <f t="shared" si="40"/>
        <v>0</v>
      </c>
      <c r="G186" s="654">
        <f t="shared" si="40"/>
        <v>0</v>
      </c>
      <c r="H186" s="654">
        <f t="shared" si="40"/>
        <v>4420</v>
      </c>
      <c r="I186" s="654">
        <f t="shared" si="40"/>
        <v>0</v>
      </c>
      <c r="J186" s="627"/>
      <c r="K186" s="655">
        <f>SUM(K187:K191)</f>
        <v>4420</v>
      </c>
      <c r="L186" s="655">
        <f>SUM(L187:L191)</f>
        <v>0</v>
      </c>
      <c r="M186" s="1072" t="s">
        <v>823</v>
      </c>
    </row>
    <row r="187" spans="1:13" s="629" customFormat="1" x14ac:dyDescent="0.2">
      <c r="A187" s="1383"/>
      <c r="B187" s="1090"/>
      <c r="C187" s="1090"/>
      <c r="D187" s="630"/>
      <c r="E187" s="630"/>
      <c r="F187" s="630"/>
      <c r="G187" s="630"/>
      <c r="H187" s="630">
        <v>2400</v>
      </c>
      <c r="I187" s="630"/>
      <c r="J187" s="627">
        <v>2261</v>
      </c>
      <c r="K187" s="631">
        <v>2400</v>
      </c>
      <c r="L187" s="631"/>
      <c r="M187" s="1072"/>
    </row>
    <row r="188" spans="1:13" s="629" customFormat="1" x14ac:dyDescent="0.2">
      <c r="A188" s="1383"/>
      <c r="B188" s="1090"/>
      <c r="C188" s="1090"/>
      <c r="D188" s="630"/>
      <c r="E188" s="630"/>
      <c r="F188" s="630"/>
      <c r="G188" s="630"/>
      <c r="H188" s="630">
        <v>1400</v>
      </c>
      <c r="I188" s="630"/>
      <c r="J188" s="627">
        <v>2363</v>
      </c>
      <c r="K188" s="631">
        <v>1400</v>
      </c>
      <c r="L188" s="631"/>
      <c r="M188" s="1072"/>
    </row>
    <row r="189" spans="1:13" s="629" customFormat="1" x14ac:dyDescent="0.2">
      <c r="A189" s="1383"/>
      <c r="B189" s="1090"/>
      <c r="C189" s="1090"/>
      <c r="D189" s="630"/>
      <c r="E189" s="630"/>
      <c r="F189" s="630"/>
      <c r="G189" s="630"/>
      <c r="H189" s="630">
        <v>150</v>
      </c>
      <c r="I189" s="630"/>
      <c r="J189" s="627">
        <v>2341</v>
      </c>
      <c r="K189" s="631">
        <v>150</v>
      </c>
      <c r="L189" s="631"/>
      <c r="M189" s="1072"/>
    </row>
    <row r="190" spans="1:13" s="629" customFormat="1" x14ac:dyDescent="0.2">
      <c r="A190" s="1383"/>
      <c r="B190" s="1090"/>
      <c r="C190" s="1090"/>
      <c r="D190" s="630"/>
      <c r="E190" s="630"/>
      <c r="F190" s="630"/>
      <c r="G190" s="630"/>
      <c r="H190" s="630">
        <v>120</v>
      </c>
      <c r="I190" s="630"/>
      <c r="J190" s="627">
        <v>2111</v>
      </c>
      <c r="K190" s="631">
        <v>120</v>
      </c>
      <c r="L190" s="631"/>
      <c r="M190" s="1072"/>
    </row>
    <row r="191" spans="1:13" s="629" customFormat="1" x14ac:dyDescent="0.2">
      <c r="A191" s="1383"/>
      <c r="B191" s="1090"/>
      <c r="C191" s="1090"/>
      <c r="D191" s="630"/>
      <c r="E191" s="630"/>
      <c r="F191" s="630"/>
      <c r="G191" s="630"/>
      <c r="H191" s="630">
        <v>350</v>
      </c>
      <c r="I191" s="630"/>
      <c r="J191" s="627">
        <v>2262</v>
      </c>
      <c r="K191" s="631">
        <v>350</v>
      </c>
      <c r="L191" s="631"/>
      <c r="M191" s="1072"/>
    </row>
    <row r="192" spans="1:13" x14ac:dyDescent="0.2">
      <c r="A192" s="616">
        <v>12</v>
      </c>
      <c r="B192" s="1351" t="s">
        <v>869</v>
      </c>
      <c r="C192" s="1351"/>
      <c r="D192" s="517">
        <f t="shared" ref="D192:I192" si="41">D193+D198</f>
        <v>7403</v>
      </c>
      <c r="E192" s="517">
        <f t="shared" si="41"/>
        <v>0</v>
      </c>
      <c r="F192" s="517">
        <f t="shared" si="41"/>
        <v>7403</v>
      </c>
      <c r="G192" s="517">
        <f t="shared" si="41"/>
        <v>0</v>
      </c>
      <c r="H192" s="517">
        <f t="shared" si="41"/>
        <v>8210</v>
      </c>
      <c r="I192" s="517">
        <f t="shared" si="41"/>
        <v>0</v>
      </c>
      <c r="J192" s="634"/>
      <c r="K192" s="517">
        <f>K193+K198</f>
        <v>7940</v>
      </c>
      <c r="L192" s="517">
        <f>L193+L198</f>
        <v>0</v>
      </c>
      <c r="M192" s="617"/>
    </row>
    <row r="193" spans="1:13" s="618" customFormat="1" x14ac:dyDescent="0.2">
      <c r="A193" s="1268">
        <v>12.1</v>
      </c>
      <c r="B193" s="1259" t="s">
        <v>814</v>
      </c>
      <c r="C193" s="1271"/>
      <c r="D193" s="544">
        <f t="shared" ref="D193:I193" si="42">SUM(D194:D197)</f>
        <v>3520</v>
      </c>
      <c r="E193" s="544">
        <f t="shared" si="42"/>
        <v>0</v>
      </c>
      <c r="F193" s="544">
        <f t="shared" si="42"/>
        <v>3520</v>
      </c>
      <c r="G193" s="544">
        <f t="shared" si="42"/>
        <v>0</v>
      </c>
      <c r="H193" s="544">
        <f t="shared" si="42"/>
        <v>3920</v>
      </c>
      <c r="I193" s="544">
        <f t="shared" si="42"/>
        <v>0</v>
      </c>
      <c r="J193" s="621"/>
      <c r="K193" s="544">
        <f>SUM(K194:K197)</f>
        <v>3920</v>
      </c>
      <c r="L193" s="544">
        <f>SUM(L194:L197)</f>
        <v>0</v>
      </c>
      <c r="M193" s="1265" t="s">
        <v>817</v>
      </c>
    </row>
    <row r="194" spans="1:13" x14ac:dyDescent="0.2">
      <c r="A194" s="1269"/>
      <c r="B194" s="1261"/>
      <c r="C194" s="1272"/>
      <c r="D194" s="545">
        <v>184</v>
      </c>
      <c r="E194" s="545"/>
      <c r="F194" s="545">
        <v>184</v>
      </c>
      <c r="G194" s="545"/>
      <c r="H194" s="545">
        <v>400</v>
      </c>
      <c r="I194" s="545"/>
      <c r="J194" s="621">
        <v>2261</v>
      </c>
      <c r="K194" s="545">
        <v>400</v>
      </c>
      <c r="L194" s="545"/>
      <c r="M194" s="1266"/>
    </row>
    <row r="195" spans="1:13" x14ac:dyDescent="0.2">
      <c r="A195" s="1269"/>
      <c r="B195" s="1261"/>
      <c r="C195" s="1272"/>
      <c r="D195" s="545">
        <v>2776</v>
      </c>
      <c r="E195" s="545"/>
      <c r="F195" s="545">
        <v>2776</v>
      </c>
      <c r="G195" s="545"/>
      <c r="H195" s="545">
        <v>2200</v>
      </c>
      <c r="I195" s="545"/>
      <c r="J195" s="621">
        <v>2262</v>
      </c>
      <c r="K195" s="545">
        <v>2200</v>
      </c>
      <c r="L195" s="545"/>
      <c r="M195" s="1266"/>
    </row>
    <row r="196" spans="1:13" x14ac:dyDescent="0.2">
      <c r="A196" s="1269"/>
      <c r="B196" s="1261"/>
      <c r="C196" s="1272"/>
      <c r="D196" s="545">
        <v>275</v>
      </c>
      <c r="E196" s="545"/>
      <c r="F196" s="545">
        <v>275</v>
      </c>
      <c r="G196" s="545"/>
      <c r="H196" s="545">
        <v>760</v>
      </c>
      <c r="I196" s="545"/>
      <c r="J196" s="621">
        <v>2279</v>
      </c>
      <c r="K196" s="545">
        <v>760</v>
      </c>
      <c r="L196" s="545"/>
      <c r="M196" s="1266"/>
    </row>
    <row r="197" spans="1:13" x14ac:dyDescent="0.2">
      <c r="A197" s="1270"/>
      <c r="B197" s="1263"/>
      <c r="C197" s="1273"/>
      <c r="D197" s="545">
        <v>285</v>
      </c>
      <c r="E197" s="545"/>
      <c r="F197" s="545">
        <v>285</v>
      </c>
      <c r="G197" s="545"/>
      <c r="H197" s="545">
        <v>560</v>
      </c>
      <c r="I197" s="545"/>
      <c r="J197" s="621">
        <v>2363</v>
      </c>
      <c r="K197" s="545">
        <v>560</v>
      </c>
      <c r="L197" s="545"/>
      <c r="M197" s="1267"/>
    </row>
    <row r="198" spans="1:13" s="618" customFormat="1" x14ac:dyDescent="0.2">
      <c r="A198" s="1268">
        <v>12.2</v>
      </c>
      <c r="B198" s="1374" t="s">
        <v>870</v>
      </c>
      <c r="C198" s="1375"/>
      <c r="D198" s="544">
        <f t="shared" ref="D198:I198" si="43">SUM(D199:D202)</f>
        <v>3883</v>
      </c>
      <c r="E198" s="544">
        <f t="shared" si="43"/>
        <v>0</v>
      </c>
      <c r="F198" s="544">
        <f t="shared" si="43"/>
        <v>3883</v>
      </c>
      <c r="G198" s="544">
        <f t="shared" si="43"/>
        <v>0</v>
      </c>
      <c r="H198" s="544">
        <f t="shared" si="43"/>
        <v>4290</v>
      </c>
      <c r="I198" s="544">
        <f t="shared" si="43"/>
        <v>0</v>
      </c>
      <c r="J198" s="621"/>
      <c r="K198" s="544">
        <f>SUM(K199:K202)</f>
        <v>4020</v>
      </c>
      <c r="L198" s="544">
        <f>SUM(L199:L202)</f>
        <v>0</v>
      </c>
      <c r="M198" s="1380" t="s">
        <v>828</v>
      </c>
    </row>
    <row r="199" spans="1:13" x14ac:dyDescent="0.2">
      <c r="A199" s="1269"/>
      <c r="B199" s="1376"/>
      <c r="C199" s="1377"/>
      <c r="D199" s="661">
        <v>3290</v>
      </c>
      <c r="E199" s="545"/>
      <c r="F199" s="661">
        <v>3290</v>
      </c>
      <c r="G199" s="545"/>
      <c r="H199" s="545">
        <v>3290</v>
      </c>
      <c r="I199" s="545"/>
      <c r="J199" s="621">
        <v>2261</v>
      </c>
      <c r="K199" s="545">
        <v>3290</v>
      </c>
      <c r="L199" s="545"/>
      <c r="M199" s="1381"/>
    </row>
    <row r="200" spans="1:13" x14ac:dyDescent="0.2">
      <c r="A200" s="1269"/>
      <c r="B200" s="1376"/>
      <c r="C200" s="1377"/>
      <c r="D200" s="661">
        <v>50</v>
      </c>
      <c r="E200" s="545"/>
      <c r="F200" s="661">
        <v>50</v>
      </c>
      <c r="G200" s="545"/>
      <c r="H200" s="545">
        <v>50</v>
      </c>
      <c r="I200" s="545"/>
      <c r="J200" s="621">
        <v>2341</v>
      </c>
      <c r="K200" s="545">
        <v>50</v>
      </c>
      <c r="L200" s="545"/>
      <c r="M200" s="1381"/>
    </row>
    <row r="201" spans="1:13" x14ac:dyDescent="0.2">
      <c r="A201" s="1269"/>
      <c r="B201" s="1376"/>
      <c r="C201" s="1377"/>
      <c r="D201" s="624">
        <v>73</v>
      </c>
      <c r="E201" s="625"/>
      <c r="F201" s="624">
        <v>73</v>
      </c>
      <c r="G201" s="625"/>
      <c r="H201" s="624">
        <v>480</v>
      </c>
      <c r="I201" s="624"/>
      <c r="J201" s="623">
        <v>2361</v>
      </c>
      <c r="K201" s="545">
        <v>480</v>
      </c>
      <c r="L201" s="545"/>
      <c r="M201" s="1381"/>
    </row>
    <row r="202" spans="1:13" x14ac:dyDescent="0.2">
      <c r="A202" s="1270"/>
      <c r="B202" s="1378"/>
      <c r="C202" s="1379"/>
      <c r="D202" s="624">
        <v>470</v>
      </c>
      <c r="E202" s="624"/>
      <c r="F202" s="624">
        <v>470</v>
      </c>
      <c r="G202" s="624"/>
      <c r="H202" s="624">
        <v>470</v>
      </c>
      <c r="I202" s="624"/>
      <c r="J202" s="621">
        <v>2370</v>
      </c>
      <c r="K202" s="624">
        <v>200</v>
      </c>
      <c r="L202" s="625"/>
      <c r="M202" s="1382"/>
    </row>
    <row r="203" spans="1:13" x14ac:dyDescent="0.2">
      <c r="A203" s="1370">
        <v>13</v>
      </c>
      <c r="B203" s="1373" t="s">
        <v>871</v>
      </c>
      <c r="C203" s="1373"/>
      <c r="D203" s="536">
        <f t="shared" ref="D203:I203" si="44">SUM(D204:D208)</f>
        <v>6300</v>
      </c>
      <c r="E203" s="536">
        <f t="shared" si="44"/>
        <v>0</v>
      </c>
      <c r="F203" s="536">
        <f t="shared" si="44"/>
        <v>0</v>
      </c>
      <c r="G203" s="536">
        <f t="shared" si="44"/>
        <v>0</v>
      </c>
      <c r="H203" s="536">
        <f t="shared" si="44"/>
        <v>6300</v>
      </c>
      <c r="I203" s="536">
        <f t="shared" si="44"/>
        <v>0</v>
      </c>
      <c r="J203" s="621"/>
      <c r="K203" s="536">
        <f>SUM(K204:K208)</f>
        <v>6300</v>
      </c>
      <c r="L203" s="625"/>
      <c r="M203" s="1265" t="s">
        <v>820</v>
      </c>
    </row>
    <row r="204" spans="1:13" x14ac:dyDescent="0.2">
      <c r="A204" s="1371"/>
      <c r="B204" s="1373"/>
      <c r="C204" s="1373"/>
      <c r="D204" s="624">
        <v>1135</v>
      </c>
      <c r="E204" s="624"/>
      <c r="F204" s="624"/>
      <c r="G204" s="624"/>
      <c r="H204" s="624"/>
      <c r="I204" s="624"/>
      <c r="J204" s="621">
        <v>2121</v>
      </c>
      <c r="K204" s="624">
        <v>1135</v>
      </c>
      <c r="L204" s="625"/>
      <c r="M204" s="1266"/>
    </row>
    <row r="205" spans="1:13" x14ac:dyDescent="0.2">
      <c r="A205" s="1371"/>
      <c r="B205" s="1373"/>
      <c r="C205" s="1373"/>
      <c r="D205" s="624">
        <v>1340</v>
      </c>
      <c r="E205" s="624"/>
      <c r="F205" s="624"/>
      <c r="G205" s="624"/>
      <c r="H205" s="624"/>
      <c r="I205" s="624"/>
      <c r="J205" s="621">
        <v>2122</v>
      </c>
      <c r="K205" s="624">
        <v>1340</v>
      </c>
      <c r="L205" s="625"/>
      <c r="M205" s="1266"/>
    </row>
    <row r="206" spans="1:13" x14ac:dyDescent="0.2">
      <c r="A206" s="1371"/>
      <c r="B206" s="1373"/>
      <c r="C206" s="1373"/>
      <c r="D206" s="624">
        <v>2475</v>
      </c>
      <c r="E206" s="624"/>
      <c r="F206" s="624"/>
      <c r="G206" s="624"/>
      <c r="H206" s="624">
        <v>6300</v>
      </c>
      <c r="I206" s="624"/>
      <c r="J206" s="621">
        <v>2279</v>
      </c>
      <c r="K206" s="624">
        <v>2475</v>
      </c>
      <c r="L206" s="625"/>
      <c r="M206" s="1266"/>
    </row>
    <row r="207" spans="1:13" x14ac:dyDescent="0.2">
      <c r="A207" s="1371"/>
      <c r="B207" s="1373"/>
      <c r="C207" s="1373"/>
      <c r="D207" s="624">
        <v>950</v>
      </c>
      <c r="E207" s="624"/>
      <c r="F207" s="624"/>
      <c r="G207" s="624"/>
      <c r="H207" s="624"/>
      <c r="I207" s="624"/>
      <c r="J207" s="621">
        <v>2341</v>
      </c>
      <c r="K207" s="624">
        <v>950</v>
      </c>
      <c r="L207" s="625"/>
      <c r="M207" s="1266"/>
    </row>
    <row r="208" spans="1:13" x14ac:dyDescent="0.2">
      <c r="A208" s="1372"/>
      <c r="B208" s="1373"/>
      <c r="C208" s="1373"/>
      <c r="D208" s="624">
        <v>400</v>
      </c>
      <c r="E208" s="624"/>
      <c r="F208" s="624"/>
      <c r="G208" s="624"/>
      <c r="H208" s="624"/>
      <c r="I208" s="624"/>
      <c r="J208" s="621">
        <v>2370</v>
      </c>
      <c r="K208" s="624">
        <v>400</v>
      </c>
      <c r="L208" s="625"/>
      <c r="M208" s="1267"/>
    </row>
    <row r="209" spans="1:13" x14ac:dyDescent="0.2">
      <c r="A209" s="485" t="s">
        <v>399</v>
      </c>
      <c r="B209" s="552"/>
      <c r="C209" s="552"/>
      <c r="D209" s="552"/>
      <c r="E209" s="553"/>
      <c r="F209" s="552"/>
      <c r="G209" s="553"/>
      <c r="H209" s="552"/>
      <c r="I209" s="552"/>
      <c r="J209" s="552"/>
      <c r="K209" s="483"/>
      <c r="L209" s="483"/>
      <c r="M209" s="561"/>
    </row>
    <row r="210" spans="1:13" x14ac:dyDescent="0.2">
      <c r="A210" s="1214" t="s">
        <v>765</v>
      </c>
      <c r="B210" s="1214"/>
      <c r="C210" s="1214"/>
      <c r="D210" s="1214"/>
      <c r="E210" s="1214"/>
      <c r="F210" s="1214"/>
      <c r="G210" s="1214"/>
      <c r="H210" s="1214"/>
      <c r="I210" s="1214"/>
      <c r="J210" s="1214"/>
      <c r="K210" s="1214"/>
      <c r="L210" s="1214"/>
    </row>
    <row r="211" spans="1:13" x14ac:dyDescent="0.2">
      <c r="A211" s="555"/>
      <c r="B211" s="1262" t="s">
        <v>872</v>
      </c>
      <c r="C211" s="1262"/>
      <c r="D211" s="1262"/>
      <c r="E211" s="1262"/>
      <c r="F211" s="1262"/>
      <c r="G211" s="1262"/>
      <c r="H211" s="1262"/>
      <c r="I211" s="1262"/>
      <c r="J211" s="1262"/>
      <c r="K211" s="1262"/>
      <c r="L211" s="1262"/>
    </row>
    <row r="212" spans="1:13" x14ac:dyDescent="0.2">
      <c r="A212" s="555"/>
      <c r="B212" s="555"/>
      <c r="C212" s="557" t="s">
        <v>873</v>
      </c>
      <c r="D212" s="555"/>
      <c r="E212" s="555"/>
      <c r="F212" s="555"/>
      <c r="G212" s="555"/>
      <c r="H212" s="555"/>
      <c r="J212" s="557"/>
      <c r="K212" s="557"/>
      <c r="L212" s="557"/>
    </row>
    <row r="213" spans="1:13" x14ac:dyDescent="0.2">
      <c r="A213" s="555"/>
      <c r="B213" s="555"/>
      <c r="C213" s="557" t="s">
        <v>874</v>
      </c>
      <c r="D213" s="555"/>
      <c r="E213" s="555"/>
      <c r="F213" s="555"/>
      <c r="G213" s="555"/>
      <c r="H213" s="555"/>
      <c r="J213" s="557"/>
      <c r="K213" s="557"/>
      <c r="L213" s="557"/>
    </row>
    <row r="214" spans="1:13" ht="12" customHeight="1" x14ac:dyDescent="0.2">
      <c r="A214" s="555"/>
      <c r="B214" s="555"/>
      <c r="C214" s="557" t="s">
        <v>875</v>
      </c>
      <c r="D214" s="555"/>
      <c r="E214" s="555"/>
      <c r="F214" s="555"/>
      <c r="G214" s="555"/>
      <c r="H214" s="555"/>
      <c r="I214" s="557"/>
      <c r="J214" s="557"/>
      <c r="K214" s="557"/>
      <c r="L214" s="557"/>
    </row>
    <row r="215" spans="1:13" ht="12" customHeight="1" x14ac:dyDescent="0.2">
      <c r="A215" s="555"/>
      <c r="B215" s="555"/>
      <c r="C215" s="557" t="s">
        <v>876</v>
      </c>
      <c r="D215" s="555"/>
      <c r="E215" s="555"/>
      <c r="F215" s="555"/>
      <c r="G215" s="555"/>
      <c r="H215" s="555"/>
      <c r="I215" s="557"/>
      <c r="J215" s="557"/>
      <c r="K215" s="557"/>
      <c r="L215" s="557"/>
    </row>
    <row r="216" spans="1:13" ht="12" customHeight="1" x14ac:dyDescent="0.2">
      <c r="A216" s="559"/>
      <c r="B216" s="983"/>
      <c r="C216" s="557" t="s">
        <v>877</v>
      </c>
      <c r="D216" s="983"/>
      <c r="E216" s="983"/>
      <c r="F216" s="983"/>
      <c r="G216" s="983"/>
      <c r="H216" s="983"/>
      <c r="I216" s="557"/>
      <c r="J216" s="557"/>
      <c r="K216" s="557"/>
      <c r="L216" s="557"/>
    </row>
    <row r="217" spans="1:13" x14ac:dyDescent="0.2">
      <c r="I217" s="665"/>
      <c r="J217" s="665"/>
      <c r="K217" s="665"/>
      <c r="L217" s="665"/>
    </row>
  </sheetData>
  <sheetProtection algorithmName="SHA-512" hashValue="bw0s2NIfEhv15L2ZPcFW9VPpw+XG+k/ziMr5ldD32AS03wmlZTg+uEuPd7ZOzipxxfK/n+s5dWdTR0fMksAzwQ==" saltValue="rygbmChkOgGZSRau4aALGQ==" spinCount="100000" sheet="1" objects="1" scenarios="1" selectLockedCells="1" selectUnlockedCells="1"/>
  <mergeCells count="172">
    <mergeCell ref="A203:A208"/>
    <mergeCell ref="B203:C208"/>
    <mergeCell ref="M203:M208"/>
    <mergeCell ref="A210:L210"/>
    <mergeCell ref="B211:L211"/>
    <mergeCell ref="B192:C192"/>
    <mergeCell ref="A193:A197"/>
    <mergeCell ref="B193:C197"/>
    <mergeCell ref="M193:M197"/>
    <mergeCell ref="A198:A202"/>
    <mergeCell ref="B198:C202"/>
    <mergeCell ref="M198:M202"/>
    <mergeCell ref="B183:C183"/>
    <mergeCell ref="A184:A185"/>
    <mergeCell ref="B184:C185"/>
    <mergeCell ref="M184:M185"/>
    <mergeCell ref="A186:A191"/>
    <mergeCell ref="B186:C191"/>
    <mergeCell ref="M186:M191"/>
    <mergeCell ref="B173:C173"/>
    <mergeCell ref="A174:A178"/>
    <mergeCell ref="B174:C178"/>
    <mergeCell ref="M174:M178"/>
    <mergeCell ref="A179:A182"/>
    <mergeCell ref="B179:C182"/>
    <mergeCell ref="M179:M182"/>
    <mergeCell ref="A163:A166"/>
    <mergeCell ref="B163:C166"/>
    <mergeCell ref="M163:M166"/>
    <mergeCell ref="B167:C167"/>
    <mergeCell ref="A168:A172"/>
    <mergeCell ref="B168:C172"/>
    <mergeCell ref="M168:M172"/>
    <mergeCell ref="A156:A157"/>
    <mergeCell ref="B156:C157"/>
    <mergeCell ref="M156:M157"/>
    <mergeCell ref="B158:C158"/>
    <mergeCell ref="A159:A162"/>
    <mergeCell ref="B159:C162"/>
    <mergeCell ref="M159:M162"/>
    <mergeCell ref="A148:A151"/>
    <mergeCell ref="B148:C151"/>
    <mergeCell ref="M148:M151"/>
    <mergeCell ref="A152:A155"/>
    <mergeCell ref="B152:C155"/>
    <mergeCell ref="M152:M155"/>
    <mergeCell ref="A137:A139"/>
    <mergeCell ref="B137:C139"/>
    <mergeCell ref="M137:M139"/>
    <mergeCell ref="B140:C140"/>
    <mergeCell ref="A141:A147"/>
    <mergeCell ref="B141:C147"/>
    <mergeCell ref="M141:M147"/>
    <mergeCell ref="A125:A130"/>
    <mergeCell ref="B125:C130"/>
    <mergeCell ref="M125:M130"/>
    <mergeCell ref="B131:C131"/>
    <mergeCell ref="A132:A136"/>
    <mergeCell ref="B132:C136"/>
    <mergeCell ref="M132:M136"/>
    <mergeCell ref="A117:A120"/>
    <mergeCell ref="B117:C120"/>
    <mergeCell ref="M117:M120"/>
    <mergeCell ref="B121:C121"/>
    <mergeCell ref="A122:A124"/>
    <mergeCell ref="B122:C124"/>
    <mergeCell ref="M122:M124"/>
    <mergeCell ref="A105:A110"/>
    <mergeCell ref="B105:C110"/>
    <mergeCell ref="M105:M110"/>
    <mergeCell ref="B111:C111"/>
    <mergeCell ref="A112:A116"/>
    <mergeCell ref="B112:C116"/>
    <mergeCell ref="M112:M116"/>
    <mergeCell ref="A100:A102"/>
    <mergeCell ref="B100:C102"/>
    <mergeCell ref="M100:M102"/>
    <mergeCell ref="A103:A104"/>
    <mergeCell ref="B103:C104"/>
    <mergeCell ref="M103:M104"/>
    <mergeCell ref="A93:A94"/>
    <mergeCell ref="B93:C94"/>
    <mergeCell ref="M93:M94"/>
    <mergeCell ref="B95:C95"/>
    <mergeCell ref="A96:A99"/>
    <mergeCell ref="B96:C99"/>
    <mergeCell ref="M96:M99"/>
    <mergeCell ref="B84:C84"/>
    <mergeCell ref="A85:A89"/>
    <mergeCell ref="B85:C89"/>
    <mergeCell ref="M85:M89"/>
    <mergeCell ref="A90:A92"/>
    <mergeCell ref="B90:C92"/>
    <mergeCell ref="M90:M92"/>
    <mergeCell ref="B72:C72"/>
    <mergeCell ref="A73:A78"/>
    <mergeCell ref="B73:C78"/>
    <mergeCell ref="M73:M78"/>
    <mergeCell ref="A79:A83"/>
    <mergeCell ref="B79:C83"/>
    <mergeCell ref="M79:M83"/>
    <mergeCell ref="B64:C64"/>
    <mergeCell ref="A65:A68"/>
    <mergeCell ref="B65:C68"/>
    <mergeCell ref="M65:M68"/>
    <mergeCell ref="A69:A71"/>
    <mergeCell ref="B69:C71"/>
    <mergeCell ref="M69:M71"/>
    <mergeCell ref="B58:C58"/>
    <mergeCell ref="A59:A61"/>
    <mergeCell ref="B59:C61"/>
    <mergeCell ref="M59:M61"/>
    <mergeCell ref="A62:A63"/>
    <mergeCell ref="B62:C63"/>
    <mergeCell ref="M62:M63"/>
    <mergeCell ref="A52:A54"/>
    <mergeCell ref="B52:C54"/>
    <mergeCell ref="M52:M54"/>
    <mergeCell ref="A55:A57"/>
    <mergeCell ref="B55:C57"/>
    <mergeCell ref="M55:M57"/>
    <mergeCell ref="A44:A47"/>
    <mergeCell ref="B44:C47"/>
    <mergeCell ref="M44:M47"/>
    <mergeCell ref="B48:C48"/>
    <mergeCell ref="A49:A51"/>
    <mergeCell ref="B49:C51"/>
    <mergeCell ref="M49:M51"/>
    <mergeCell ref="B36:C36"/>
    <mergeCell ref="A37:A40"/>
    <mergeCell ref="B37:C40"/>
    <mergeCell ref="M37:M40"/>
    <mergeCell ref="A41:A43"/>
    <mergeCell ref="B41:C43"/>
    <mergeCell ref="M41:M43"/>
    <mergeCell ref="A27:A28"/>
    <mergeCell ref="B27:C28"/>
    <mergeCell ref="M27:M28"/>
    <mergeCell ref="A29:A35"/>
    <mergeCell ref="B29:C35"/>
    <mergeCell ref="M29:M35"/>
    <mergeCell ref="A18:A22"/>
    <mergeCell ref="B18:C22"/>
    <mergeCell ref="M18:M22"/>
    <mergeCell ref="A23:A26"/>
    <mergeCell ref="B23:C26"/>
    <mergeCell ref="M23:M26"/>
    <mergeCell ref="K8:L8"/>
    <mergeCell ref="M8:M9"/>
    <mergeCell ref="A10:C10"/>
    <mergeCell ref="B11:C11"/>
    <mergeCell ref="B12:C12"/>
    <mergeCell ref="A13:A17"/>
    <mergeCell ref="B13:C17"/>
    <mergeCell ref="M13:M17"/>
    <mergeCell ref="A6:B6"/>
    <mergeCell ref="C6:M6"/>
    <mergeCell ref="A7:B7"/>
    <mergeCell ref="C7:M7"/>
    <mergeCell ref="A8:A9"/>
    <mergeCell ref="B8:C9"/>
    <mergeCell ref="D8:E8"/>
    <mergeCell ref="F8:G8"/>
    <mergeCell ref="H8:I8"/>
    <mergeCell ref="J8:J9"/>
    <mergeCell ref="A1:B1"/>
    <mergeCell ref="C1:M1"/>
    <mergeCell ref="A2:B2"/>
    <mergeCell ref="C2:M2"/>
    <mergeCell ref="A3:M3"/>
    <mergeCell ref="A5:B5"/>
    <mergeCell ref="C5:M5"/>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         &amp;8  </oddHeader>
    <oddFooter>&amp;R&amp;"Times New Roman,Regular"&amp;8&amp;P(&amp;N)</oddFooter>
    <firstHeader xml:space="preserve">&amp;R&amp;"Times New Roman,Regular"&amp;8
30.pielikums Jūrmalas pilsētas domes  2016.gada __________ saistošajiem noteikumiem Nr._______ </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1"/>
  <sheetViews>
    <sheetView view="pageLayout" zoomScaleNormal="100" workbookViewId="0">
      <selection activeCell="B26" sqref="B26"/>
    </sheetView>
  </sheetViews>
  <sheetFormatPr defaultRowHeight="12.75" x14ac:dyDescent="0.2"/>
  <cols>
    <col min="1" max="1" width="8.140625" style="208" customWidth="1"/>
    <col min="2" max="2" width="40.5703125" style="208" customWidth="1"/>
    <col min="3" max="3" width="6.85546875" style="208" customWidth="1"/>
    <col min="4" max="4" width="10.85546875" style="208" customWidth="1"/>
    <col min="5" max="5" width="8.28515625" style="208" customWidth="1"/>
    <col min="6" max="6" width="10.85546875" style="208" customWidth="1"/>
    <col min="7" max="7" width="8" style="208" customWidth="1"/>
    <col min="8" max="8" width="11.5703125" style="208" customWidth="1"/>
    <col min="9" max="9" width="7.42578125" style="208" customWidth="1"/>
    <col min="10" max="10" width="11" style="208" customWidth="1"/>
    <col min="11" max="16384" width="9.140625" style="208"/>
  </cols>
  <sheetData>
    <row r="1" spans="1:10" ht="15.75" x14ac:dyDescent="0.25">
      <c r="A1" s="1410" t="s">
        <v>127</v>
      </c>
      <c r="B1" s="1410"/>
      <c r="C1" s="1410"/>
      <c r="D1" s="1410"/>
      <c r="E1" s="1410"/>
      <c r="F1" s="1410"/>
      <c r="G1" s="1410"/>
      <c r="H1" s="1410"/>
      <c r="I1" s="1410"/>
      <c r="J1" s="1410"/>
    </row>
    <row r="2" spans="1:10" ht="15.75" x14ac:dyDescent="0.25">
      <c r="A2" s="1410" t="s">
        <v>181</v>
      </c>
      <c r="B2" s="1410"/>
      <c r="C2" s="1410"/>
      <c r="D2" s="1410"/>
      <c r="E2" s="1410"/>
      <c r="F2" s="1410"/>
      <c r="G2" s="1410"/>
      <c r="H2" s="1410"/>
      <c r="I2" s="1410"/>
      <c r="J2" s="1410"/>
    </row>
    <row r="3" spans="1:10" ht="15.75" x14ac:dyDescent="0.25">
      <c r="A3" s="209"/>
      <c r="B3" s="209"/>
      <c r="C3" s="209"/>
      <c r="D3" s="209"/>
      <c r="E3" s="209"/>
      <c r="F3" s="209"/>
      <c r="G3" s="209"/>
      <c r="H3" s="209"/>
      <c r="I3" s="209"/>
      <c r="J3" s="209"/>
    </row>
    <row r="4" spans="1:10" x14ac:dyDescent="0.2">
      <c r="A4" s="1411" t="s">
        <v>22</v>
      </c>
      <c r="B4" s="1414" t="s">
        <v>128</v>
      </c>
      <c r="C4" s="1417" t="s">
        <v>14</v>
      </c>
      <c r="D4" s="1420" t="s">
        <v>14</v>
      </c>
      <c r="E4" s="1422" t="s">
        <v>129</v>
      </c>
      <c r="F4" s="1423"/>
      <c r="G4" s="1423"/>
      <c r="H4" s="1423"/>
      <c r="I4" s="1423"/>
      <c r="J4" s="1424"/>
    </row>
    <row r="5" spans="1:10" ht="15" customHeight="1" x14ac:dyDescent="0.2">
      <c r="A5" s="1412"/>
      <c r="B5" s="1415"/>
      <c r="C5" s="1418"/>
      <c r="D5" s="1421"/>
      <c r="E5" s="1425" t="s">
        <v>130</v>
      </c>
      <c r="F5" s="1426"/>
      <c r="G5" s="1425" t="s">
        <v>131</v>
      </c>
      <c r="H5" s="1426"/>
      <c r="I5" s="1425" t="s">
        <v>132</v>
      </c>
      <c r="J5" s="1426"/>
    </row>
    <row r="6" spans="1:10" x14ac:dyDescent="0.2">
      <c r="A6" s="1412"/>
      <c r="B6" s="1415"/>
      <c r="C6" s="1418"/>
      <c r="D6" s="1421"/>
      <c r="E6" s="1427"/>
      <c r="F6" s="1428"/>
      <c r="G6" s="1427"/>
      <c r="H6" s="1428"/>
      <c r="I6" s="1427"/>
      <c r="J6" s="1428"/>
    </row>
    <row r="7" spans="1:10" ht="36" x14ac:dyDescent="0.2">
      <c r="A7" s="1413"/>
      <c r="B7" s="1416"/>
      <c r="C7" s="1419"/>
      <c r="D7" s="218" t="s">
        <v>133</v>
      </c>
      <c r="E7" s="219" t="s">
        <v>134</v>
      </c>
      <c r="F7" s="218" t="s">
        <v>133</v>
      </c>
      <c r="G7" s="219" t="s">
        <v>134</v>
      </c>
      <c r="H7" s="218" t="s">
        <v>133</v>
      </c>
      <c r="I7" s="219" t="s">
        <v>134</v>
      </c>
      <c r="J7" s="218" t="s">
        <v>133</v>
      </c>
    </row>
    <row r="8" spans="1:10" ht="8.25" customHeight="1" x14ac:dyDescent="0.2">
      <c r="A8" s="269">
        <v>1</v>
      </c>
      <c r="B8" s="270">
        <v>2</v>
      </c>
      <c r="C8" s="271">
        <v>3</v>
      </c>
      <c r="D8" s="272">
        <v>4</v>
      </c>
      <c r="E8" s="269">
        <v>5</v>
      </c>
      <c r="F8" s="273">
        <v>6</v>
      </c>
      <c r="G8" s="269">
        <v>7</v>
      </c>
      <c r="H8" s="273">
        <v>8</v>
      </c>
      <c r="I8" s="269">
        <v>9</v>
      </c>
      <c r="J8" s="273">
        <v>10</v>
      </c>
    </row>
    <row r="9" spans="1:10" ht="2.25" customHeight="1" x14ac:dyDescent="0.2">
      <c r="A9" s="220"/>
      <c r="B9" s="224"/>
      <c r="C9" s="221"/>
      <c r="D9" s="222"/>
      <c r="E9" s="220"/>
      <c r="F9" s="223"/>
      <c r="G9" s="220"/>
      <c r="H9" s="223"/>
      <c r="I9" s="220"/>
      <c r="J9" s="223"/>
    </row>
    <row r="10" spans="1:10" ht="2.25" customHeight="1" x14ac:dyDescent="0.2">
      <c r="A10" s="220"/>
      <c r="B10" s="224"/>
      <c r="C10" s="221"/>
      <c r="D10" s="222"/>
      <c r="E10" s="220"/>
      <c r="F10" s="223"/>
      <c r="G10" s="220"/>
      <c r="H10" s="223"/>
      <c r="I10" s="220"/>
      <c r="J10" s="223"/>
    </row>
    <row r="11" spans="1:10" ht="14.25" customHeight="1" x14ac:dyDescent="0.2">
      <c r="A11" s="220"/>
      <c r="B11" s="225" t="s">
        <v>135</v>
      </c>
      <c r="C11" s="226">
        <f>E11+G11+I11</f>
        <v>395703</v>
      </c>
      <c r="D11" s="222"/>
      <c r="E11" s="227">
        <f>E12+15</f>
        <v>150288</v>
      </c>
      <c r="F11" s="228">
        <f>E11</f>
        <v>150288</v>
      </c>
      <c r="G11" s="227">
        <f>G12+15</f>
        <v>94647</v>
      </c>
      <c r="H11" s="228">
        <f>G11</f>
        <v>94647</v>
      </c>
      <c r="I11" s="227">
        <f>I12+20</f>
        <v>150768</v>
      </c>
      <c r="J11" s="228">
        <f>I11</f>
        <v>150768</v>
      </c>
    </row>
    <row r="12" spans="1:10" ht="14.25" hidden="1" customHeight="1" x14ac:dyDescent="0.2">
      <c r="A12" s="220"/>
      <c r="B12" s="225" t="s">
        <v>135</v>
      </c>
      <c r="C12" s="226">
        <f>E12+G12+I12</f>
        <v>395653</v>
      </c>
      <c r="D12" s="229"/>
      <c r="E12" s="227">
        <f>E24-E13</f>
        <v>150273</v>
      </c>
      <c r="F12" s="228"/>
      <c r="G12" s="227">
        <f>G24-G13</f>
        <v>94632</v>
      </c>
      <c r="H12" s="228"/>
      <c r="I12" s="227">
        <f>I24-I13</f>
        <v>150748</v>
      </c>
      <c r="J12" s="228"/>
    </row>
    <row r="13" spans="1:10" ht="28.5" customHeight="1" x14ac:dyDescent="0.2">
      <c r="A13" s="220"/>
      <c r="B13" s="230" t="s">
        <v>136</v>
      </c>
      <c r="C13" s="231"/>
      <c r="D13" s="232"/>
      <c r="E13" s="233">
        <f>E15</f>
        <v>46199</v>
      </c>
      <c r="F13" s="234"/>
      <c r="G13" s="235">
        <f>SUM(G15:G17)</f>
        <v>22612</v>
      </c>
      <c r="H13" s="236"/>
      <c r="I13" s="235">
        <f t="shared" ref="I13" si="0">SUM(I15:I17)</f>
        <v>30149</v>
      </c>
      <c r="J13" s="234"/>
    </row>
    <row r="14" spans="1:10" ht="1.5" customHeight="1" x14ac:dyDescent="0.2">
      <c r="A14" s="220"/>
      <c r="B14" s="225"/>
      <c r="C14" s="221"/>
      <c r="D14" s="222"/>
      <c r="E14" s="220"/>
      <c r="F14" s="223"/>
      <c r="G14" s="220"/>
      <c r="H14" s="223"/>
      <c r="I14" s="220"/>
      <c r="J14" s="223"/>
    </row>
    <row r="15" spans="1:10" ht="15.75" customHeight="1" x14ac:dyDescent="0.2">
      <c r="A15" s="220"/>
      <c r="B15" s="217" t="s">
        <v>137</v>
      </c>
      <c r="C15" s="221"/>
      <c r="D15" s="222"/>
      <c r="E15" s="233">
        <v>46199</v>
      </c>
      <c r="F15" s="234"/>
      <c r="G15" s="233"/>
      <c r="H15" s="234"/>
      <c r="I15" s="233"/>
      <c r="J15" s="234"/>
    </row>
    <row r="16" spans="1:10" ht="15.75" customHeight="1" x14ac:dyDescent="0.2">
      <c r="A16" s="220"/>
      <c r="B16" s="217" t="s">
        <v>138</v>
      </c>
      <c r="C16" s="221"/>
      <c r="D16" s="222"/>
      <c r="E16" s="233"/>
      <c r="F16" s="234"/>
      <c r="G16" s="233">
        <v>22612</v>
      </c>
      <c r="H16" s="234"/>
      <c r="I16" s="233">
        <v>30149</v>
      </c>
      <c r="J16" s="234"/>
    </row>
    <row r="17" spans="1:14" ht="15.75" customHeight="1" x14ac:dyDescent="0.2">
      <c r="A17" s="220"/>
      <c r="B17" s="217" t="s">
        <v>139</v>
      </c>
      <c r="C17" s="221"/>
      <c r="D17" s="222"/>
      <c r="E17" s="233"/>
      <c r="F17" s="234"/>
      <c r="G17" s="233">
        <f>ROUNDUP(G24*(G20-G19)/G20,0)</f>
        <v>0</v>
      </c>
      <c r="H17" s="234"/>
      <c r="I17" s="233">
        <f>ROUNDUP(I24*(I20-I19)/I20,0)</f>
        <v>0</v>
      </c>
      <c r="J17" s="234"/>
    </row>
    <row r="18" spans="1:14" ht="15.75" customHeight="1" x14ac:dyDescent="0.2">
      <c r="A18" s="220"/>
      <c r="B18" s="224"/>
      <c r="C18" s="221"/>
      <c r="D18" s="222"/>
      <c r="E18" s="233"/>
      <c r="F18" s="234"/>
      <c r="G18" s="233"/>
      <c r="H18" s="234"/>
      <c r="I18" s="233"/>
      <c r="J18" s="234"/>
    </row>
    <row r="19" spans="1:14" ht="15.75" customHeight="1" x14ac:dyDescent="0.2">
      <c r="A19" s="220"/>
      <c r="B19" s="224" t="s">
        <v>140</v>
      </c>
      <c r="C19" s="221"/>
      <c r="D19" s="222"/>
      <c r="E19" s="233">
        <v>25</v>
      </c>
      <c r="F19" s="234"/>
      <c r="G19" s="233">
        <v>15</v>
      </c>
      <c r="H19" s="234"/>
      <c r="I19" s="233">
        <v>20</v>
      </c>
      <c r="J19" s="234"/>
    </row>
    <row r="20" spans="1:14" ht="15.75" customHeight="1" x14ac:dyDescent="0.2">
      <c r="A20" s="220"/>
      <c r="B20" s="224" t="s">
        <v>141</v>
      </c>
      <c r="C20" s="221"/>
      <c r="D20" s="222"/>
      <c r="E20" s="233">
        <v>25</v>
      </c>
      <c r="F20" s="234"/>
      <c r="G20" s="233">
        <v>15</v>
      </c>
      <c r="H20" s="234"/>
      <c r="I20" s="233">
        <v>20</v>
      </c>
      <c r="J20" s="234"/>
    </row>
    <row r="21" spans="1:14" ht="15.75" customHeight="1" x14ac:dyDescent="0.2">
      <c r="A21" s="220"/>
      <c r="B21" s="224" t="s">
        <v>142</v>
      </c>
      <c r="C21" s="237"/>
      <c r="D21" s="238"/>
      <c r="E21" s="239">
        <f>E24/E22</f>
        <v>21.531178082191779</v>
      </c>
      <c r="F21" s="240"/>
      <c r="G21" s="239">
        <f t="shared" ref="G21:I21" si="1">G24/G22</f>
        <v>21.414429223744293</v>
      </c>
      <c r="H21" s="240"/>
      <c r="I21" s="239">
        <f t="shared" si="1"/>
        <v>24.78041095890411</v>
      </c>
      <c r="J21" s="240"/>
    </row>
    <row r="22" spans="1:14" ht="15.75" customHeight="1" x14ac:dyDescent="0.2">
      <c r="A22" s="241"/>
      <c r="B22" s="242" t="s">
        <v>143</v>
      </c>
      <c r="C22" s="243">
        <v>26280</v>
      </c>
      <c r="D22" s="244">
        <f>F22+H22+J22</f>
        <v>21900</v>
      </c>
      <c r="E22" s="245">
        <v>9125</v>
      </c>
      <c r="F22" s="246">
        <f>E19*365</f>
        <v>9125</v>
      </c>
      <c r="G22" s="245">
        <f>H22</f>
        <v>5475</v>
      </c>
      <c r="H22" s="246">
        <f>G19*365</f>
        <v>5475</v>
      </c>
      <c r="I22" s="245">
        <f>J22</f>
        <v>7300</v>
      </c>
      <c r="J22" s="246">
        <f>I19*365</f>
        <v>7300</v>
      </c>
    </row>
    <row r="23" spans="1:14" ht="2.25" customHeight="1" x14ac:dyDescent="0.2">
      <c r="A23" s="241"/>
      <c r="B23" s="242"/>
      <c r="C23" s="243"/>
      <c r="D23" s="244"/>
      <c r="E23" s="245"/>
      <c r="F23" s="246"/>
      <c r="G23" s="245"/>
      <c r="H23" s="246"/>
      <c r="I23" s="245"/>
      <c r="J23" s="246"/>
    </row>
    <row r="24" spans="1:14" ht="15.75" customHeight="1" x14ac:dyDescent="0.2">
      <c r="A24" s="247"/>
      <c r="B24" s="248" t="s">
        <v>144</v>
      </c>
      <c r="C24" s="249">
        <f>E24+G24+I24</f>
        <v>494613</v>
      </c>
      <c r="D24" s="250">
        <f>F24+H24+J24</f>
        <v>395703</v>
      </c>
      <c r="E24" s="251">
        <f t="shared" ref="E24:J24" si="2">E26+E36</f>
        <v>196472</v>
      </c>
      <c r="F24" s="252">
        <f>F26+F36</f>
        <v>150288</v>
      </c>
      <c r="G24" s="251">
        <f t="shared" si="2"/>
        <v>117244</v>
      </c>
      <c r="H24" s="252">
        <f>H26+H36</f>
        <v>94647</v>
      </c>
      <c r="I24" s="251">
        <f t="shared" si="2"/>
        <v>180897</v>
      </c>
      <c r="J24" s="252">
        <f t="shared" si="2"/>
        <v>150768</v>
      </c>
      <c r="L24" s="210"/>
      <c r="N24" s="210"/>
    </row>
    <row r="25" spans="1:14" ht="2.25" customHeight="1" x14ac:dyDescent="0.2">
      <c r="A25" s="247"/>
      <c r="B25" s="248"/>
      <c r="C25" s="249"/>
      <c r="D25" s="250"/>
      <c r="E25" s="251"/>
      <c r="F25" s="252"/>
      <c r="G25" s="251"/>
      <c r="H25" s="252"/>
      <c r="I25" s="251"/>
      <c r="J25" s="252"/>
      <c r="L25" s="210"/>
      <c r="N25" s="210"/>
    </row>
    <row r="26" spans="1:14" ht="15.75" customHeight="1" x14ac:dyDescent="0.2">
      <c r="A26" s="253">
        <v>1000</v>
      </c>
      <c r="B26" s="248" t="s">
        <v>145</v>
      </c>
      <c r="C26" s="249">
        <f>I26+G26+E26</f>
        <v>366767</v>
      </c>
      <c r="D26" s="250">
        <f>F26+H26+J26</f>
        <v>293662</v>
      </c>
      <c r="E26" s="251">
        <f t="shared" ref="E26:J26" si="3">E27+E33</f>
        <v>143030</v>
      </c>
      <c r="F26" s="252">
        <f t="shared" si="3"/>
        <v>109400</v>
      </c>
      <c r="G26" s="251">
        <f t="shared" si="3"/>
        <v>83640</v>
      </c>
      <c r="H26" s="252">
        <f>H27+H33</f>
        <v>67511</v>
      </c>
      <c r="I26" s="251">
        <f t="shared" si="3"/>
        <v>140097</v>
      </c>
      <c r="J26" s="252">
        <f t="shared" si="3"/>
        <v>116751</v>
      </c>
      <c r="L26" s="210"/>
      <c r="N26" s="210"/>
    </row>
    <row r="27" spans="1:14" ht="15.75" customHeight="1" x14ac:dyDescent="0.2">
      <c r="A27" s="254">
        <v>1100</v>
      </c>
      <c r="B27" s="248" t="s">
        <v>146</v>
      </c>
      <c r="C27" s="226">
        <f t="shared" ref="C27:C68" si="4">I27+G27+E27</f>
        <v>290441</v>
      </c>
      <c r="D27" s="229">
        <f>F27+H27+J27</f>
        <v>232551</v>
      </c>
      <c r="E27" s="251">
        <f t="shared" ref="E27:J27" si="5">E28+E30</f>
        <v>113268</v>
      </c>
      <c r="F27" s="252">
        <f t="shared" si="5"/>
        <v>86636</v>
      </c>
      <c r="G27" s="251">
        <f t="shared" si="5"/>
        <v>66136</v>
      </c>
      <c r="H27" s="252">
        <f t="shared" si="5"/>
        <v>53382</v>
      </c>
      <c r="I27" s="251">
        <f t="shared" si="5"/>
        <v>111037</v>
      </c>
      <c r="J27" s="252">
        <f t="shared" si="5"/>
        <v>92533</v>
      </c>
      <c r="L27" s="210"/>
      <c r="N27" s="210"/>
    </row>
    <row r="28" spans="1:14" ht="15.75" customHeight="1" x14ac:dyDescent="0.2">
      <c r="A28" s="255">
        <v>1110</v>
      </c>
      <c r="B28" s="248" t="s">
        <v>146</v>
      </c>
      <c r="C28" s="249">
        <f t="shared" si="4"/>
        <v>263104</v>
      </c>
      <c r="D28" s="250">
        <f t="shared" ref="D28:D68" si="6">F28+H28+J28</f>
        <v>210662</v>
      </c>
      <c r="E28" s="251">
        <f>E29</f>
        <v>102899</v>
      </c>
      <c r="F28" s="252">
        <f>SUM(F29)</f>
        <v>78704</v>
      </c>
      <c r="G28" s="251">
        <f>G29</f>
        <v>59074</v>
      </c>
      <c r="H28" s="252">
        <f>SUM(H29)</f>
        <v>47681</v>
      </c>
      <c r="I28" s="251">
        <f>I29</f>
        <v>101131</v>
      </c>
      <c r="J28" s="252">
        <f>SUM(J29)</f>
        <v>84277</v>
      </c>
      <c r="L28" s="210"/>
      <c r="N28" s="210"/>
    </row>
    <row r="29" spans="1:14" ht="15.75" customHeight="1" x14ac:dyDescent="0.2">
      <c r="A29" s="233">
        <v>1119</v>
      </c>
      <c r="B29" s="242" t="s">
        <v>147</v>
      </c>
      <c r="C29" s="243">
        <f t="shared" si="4"/>
        <v>263104</v>
      </c>
      <c r="D29" s="244">
        <f t="shared" si="6"/>
        <v>210662</v>
      </c>
      <c r="E29" s="245">
        <v>102899</v>
      </c>
      <c r="F29" s="246">
        <f>ROUNDUP($E$12/$E$24*E29, 0)</f>
        <v>78704</v>
      </c>
      <c r="G29" s="245">
        <v>59074</v>
      </c>
      <c r="H29" s="246">
        <f>ROUNDUP($G$12/$G$24*G29, 0)</f>
        <v>47681</v>
      </c>
      <c r="I29" s="245">
        <v>101131</v>
      </c>
      <c r="J29" s="246">
        <f>ROUNDUP($I$12/$I$24*I29, 0)</f>
        <v>84277</v>
      </c>
      <c r="L29" s="210"/>
      <c r="N29" s="210"/>
    </row>
    <row r="30" spans="1:14" ht="15.75" customHeight="1" x14ac:dyDescent="0.2">
      <c r="A30" s="255">
        <v>1140</v>
      </c>
      <c r="B30" s="248" t="s">
        <v>148</v>
      </c>
      <c r="C30" s="226">
        <f t="shared" si="4"/>
        <v>27337</v>
      </c>
      <c r="D30" s="229">
        <f t="shared" si="6"/>
        <v>21889</v>
      </c>
      <c r="E30" s="227">
        <f t="shared" ref="E30:J30" si="7">SUM(E31:E32)</f>
        <v>10369</v>
      </c>
      <c r="F30" s="228">
        <f t="shared" si="7"/>
        <v>7932</v>
      </c>
      <c r="G30" s="227">
        <f t="shared" si="7"/>
        <v>7062</v>
      </c>
      <c r="H30" s="228">
        <f t="shared" si="7"/>
        <v>5701</v>
      </c>
      <c r="I30" s="227">
        <f t="shared" si="7"/>
        <v>9906</v>
      </c>
      <c r="J30" s="228">
        <f t="shared" si="7"/>
        <v>8256</v>
      </c>
      <c r="L30" s="210"/>
      <c r="N30" s="210"/>
    </row>
    <row r="31" spans="1:14" ht="15.75" customHeight="1" x14ac:dyDescent="0.2">
      <c r="A31" s="241">
        <v>1141</v>
      </c>
      <c r="B31" s="256" t="s">
        <v>149</v>
      </c>
      <c r="C31" s="243">
        <f t="shared" si="4"/>
        <v>21507</v>
      </c>
      <c r="D31" s="244">
        <f t="shared" si="6"/>
        <v>17220</v>
      </c>
      <c r="E31" s="245">
        <v>8158</v>
      </c>
      <c r="F31" s="246">
        <f>ROUNDUP($E$12/$E$24*E31, 0)</f>
        <v>6240</v>
      </c>
      <c r="G31" s="245">
        <v>5556</v>
      </c>
      <c r="H31" s="246">
        <f>ROUNDUP($G$12/$G$24*G31, 0)</f>
        <v>4485</v>
      </c>
      <c r="I31" s="245">
        <v>7793</v>
      </c>
      <c r="J31" s="246">
        <f>ROUNDUP($I$12/$I$24*I31, 0)</f>
        <v>6495</v>
      </c>
      <c r="L31" s="210"/>
      <c r="N31" s="210"/>
    </row>
    <row r="32" spans="1:14" ht="15.75" customHeight="1" x14ac:dyDescent="0.2">
      <c r="A32" s="241">
        <v>1142</v>
      </c>
      <c r="B32" s="257" t="s">
        <v>21</v>
      </c>
      <c r="C32" s="243">
        <f t="shared" si="4"/>
        <v>5830</v>
      </c>
      <c r="D32" s="244">
        <f t="shared" si="6"/>
        <v>4669</v>
      </c>
      <c r="E32" s="245">
        <v>2211</v>
      </c>
      <c r="F32" s="246">
        <f>ROUNDUP($E$12/$E$24*E32, 0)</f>
        <v>1692</v>
      </c>
      <c r="G32" s="245">
        <v>1506</v>
      </c>
      <c r="H32" s="246">
        <f>ROUNDUP($G$12/$G$24*G32, 0)</f>
        <v>1216</v>
      </c>
      <c r="I32" s="245">
        <v>2113</v>
      </c>
      <c r="J32" s="246">
        <f>ROUNDUP($I$12/$I$24*I32, 0)</f>
        <v>1761</v>
      </c>
      <c r="L32" s="210"/>
      <c r="N32" s="210"/>
    </row>
    <row r="33" spans="1:14" ht="30" customHeight="1" x14ac:dyDescent="0.2">
      <c r="A33" s="254">
        <v>1200</v>
      </c>
      <c r="B33" s="258" t="s">
        <v>150</v>
      </c>
      <c r="C33" s="226">
        <f t="shared" si="4"/>
        <v>76326</v>
      </c>
      <c r="D33" s="229">
        <f t="shared" si="6"/>
        <v>61111</v>
      </c>
      <c r="E33" s="227">
        <f t="shared" ref="E33:J33" si="8">SUM(E34:E35)</f>
        <v>29762</v>
      </c>
      <c r="F33" s="228">
        <f t="shared" si="8"/>
        <v>22764</v>
      </c>
      <c r="G33" s="227">
        <f t="shared" si="8"/>
        <v>17504</v>
      </c>
      <c r="H33" s="228">
        <f t="shared" si="8"/>
        <v>14129</v>
      </c>
      <c r="I33" s="227">
        <f t="shared" si="8"/>
        <v>29060</v>
      </c>
      <c r="J33" s="228">
        <f t="shared" si="8"/>
        <v>24218</v>
      </c>
      <c r="L33" s="210"/>
      <c r="N33" s="210"/>
    </row>
    <row r="34" spans="1:14" ht="30" customHeight="1" x14ac:dyDescent="0.2">
      <c r="A34" s="241">
        <v>1210</v>
      </c>
      <c r="B34" s="259" t="s">
        <v>150</v>
      </c>
      <c r="C34" s="243">
        <f t="shared" si="4"/>
        <v>68516</v>
      </c>
      <c r="D34" s="244">
        <f t="shared" si="6"/>
        <v>54859</v>
      </c>
      <c r="E34" s="245">
        <v>26720</v>
      </c>
      <c r="F34" s="246">
        <f>ROUNDUP($E$12/$E$24*E34, 0)</f>
        <v>20437</v>
      </c>
      <c r="G34" s="245">
        <v>15602</v>
      </c>
      <c r="H34" s="246">
        <f>ROUNDUP($G$12/$G$24*G34, 0)</f>
        <v>12593</v>
      </c>
      <c r="I34" s="245">
        <v>26194</v>
      </c>
      <c r="J34" s="246">
        <f>ROUNDUP($I$12/$I$24*I34, 0)</f>
        <v>21829</v>
      </c>
      <c r="L34" s="210"/>
      <c r="N34" s="210"/>
    </row>
    <row r="35" spans="1:14" ht="30" customHeight="1" x14ac:dyDescent="0.2">
      <c r="A35" s="241">
        <v>1227</v>
      </c>
      <c r="B35" s="259" t="s">
        <v>151</v>
      </c>
      <c r="C35" s="243">
        <f t="shared" si="4"/>
        <v>7810</v>
      </c>
      <c r="D35" s="244">
        <f t="shared" si="6"/>
        <v>6252</v>
      </c>
      <c r="E35" s="245">
        <v>3042</v>
      </c>
      <c r="F35" s="246">
        <f>ROUNDUP($E$12/$E$24*E35, 0)</f>
        <v>2327</v>
      </c>
      <c r="G35" s="245">
        <v>1902</v>
      </c>
      <c r="H35" s="246">
        <f>ROUNDUP($G$12/$G$24*G35, 0)</f>
        <v>1536</v>
      </c>
      <c r="I35" s="245">
        <v>2866</v>
      </c>
      <c r="J35" s="246">
        <f>ROUNDUP($I$12/$I$24*I35, 0)</f>
        <v>2389</v>
      </c>
      <c r="L35" s="210"/>
      <c r="N35" s="210"/>
    </row>
    <row r="36" spans="1:14" ht="15.75" customHeight="1" x14ac:dyDescent="0.2">
      <c r="A36" s="253">
        <v>2000</v>
      </c>
      <c r="B36" s="248" t="s">
        <v>152</v>
      </c>
      <c r="C36" s="226">
        <f>I36+G36+E36</f>
        <v>127846</v>
      </c>
      <c r="D36" s="229">
        <f t="shared" si="6"/>
        <v>102041</v>
      </c>
      <c r="E36" s="227">
        <f t="shared" ref="E36:J36" si="9">E37+E52+E66</f>
        <v>53442</v>
      </c>
      <c r="F36" s="228">
        <f t="shared" si="9"/>
        <v>40888</v>
      </c>
      <c r="G36" s="227">
        <f t="shared" si="9"/>
        <v>33604</v>
      </c>
      <c r="H36" s="228">
        <f t="shared" si="9"/>
        <v>27136</v>
      </c>
      <c r="I36" s="227">
        <f t="shared" si="9"/>
        <v>40800</v>
      </c>
      <c r="J36" s="228">
        <f t="shared" si="9"/>
        <v>34017</v>
      </c>
      <c r="L36" s="210"/>
      <c r="N36" s="210"/>
    </row>
    <row r="37" spans="1:14" ht="15.75" customHeight="1" x14ac:dyDescent="0.2">
      <c r="A37" s="254">
        <v>2200</v>
      </c>
      <c r="B37" s="248" t="s">
        <v>153</v>
      </c>
      <c r="C37" s="226">
        <f t="shared" si="4"/>
        <v>37648</v>
      </c>
      <c r="D37" s="229">
        <f t="shared" si="6"/>
        <v>29960</v>
      </c>
      <c r="E37" s="227">
        <f t="shared" ref="E37:J37" si="10">SUM(E38:E51)</f>
        <v>17455</v>
      </c>
      <c r="F37" s="228">
        <f t="shared" si="10"/>
        <v>13356</v>
      </c>
      <c r="G37" s="227">
        <f t="shared" si="10"/>
        <v>9079</v>
      </c>
      <c r="H37" s="228">
        <f t="shared" si="10"/>
        <v>7335</v>
      </c>
      <c r="I37" s="227">
        <f t="shared" si="10"/>
        <v>11114</v>
      </c>
      <c r="J37" s="228">
        <f t="shared" si="10"/>
        <v>9269</v>
      </c>
      <c r="L37" s="210"/>
      <c r="N37" s="210"/>
    </row>
    <row r="38" spans="1:14" ht="27" customHeight="1" x14ac:dyDescent="0.2">
      <c r="A38" s="241">
        <v>2212</v>
      </c>
      <c r="B38" s="242" t="s">
        <v>154</v>
      </c>
      <c r="C38" s="243">
        <f t="shared" si="4"/>
        <v>850</v>
      </c>
      <c r="D38" s="244">
        <f t="shared" si="6"/>
        <v>682</v>
      </c>
      <c r="E38" s="260">
        <v>340</v>
      </c>
      <c r="F38" s="261">
        <f t="shared" ref="F38:F51" si="11">ROUNDUP($E$12/$E$24*E38, 0)</f>
        <v>261</v>
      </c>
      <c r="G38" s="260">
        <v>210</v>
      </c>
      <c r="H38" s="261">
        <f>ROUNDUP($G$12/$G$24*G38, 0)</f>
        <v>170</v>
      </c>
      <c r="I38" s="260">
        <v>300</v>
      </c>
      <c r="J38" s="261">
        <f t="shared" ref="J38:J51" si="12">ROUNDUP($I$12/$I$24*I38, 0)</f>
        <v>251</v>
      </c>
      <c r="L38" s="210"/>
      <c r="N38" s="210"/>
    </row>
    <row r="39" spans="1:14" ht="27" customHeight="1" x14ac:dyDescent="0.2">
      <c r="A39" s="241">
        <v>2214</v>
      </c>
      <c r="B39" s="262" t="s">
        <v>155</v>
      </c>
      <c r="C39" s="243">
        <f t="shared" si="4"/>
        <v>610</v>
      </c>
      <c r="D39" s="244">
        <f t="shared" si="6"/>
        <v>486</v>
      </c>
      <c r="E39" s="260">
        <v>295</v>
      </c>
      <c r="F39" s="261">
        <f t="shared" si="11"/>
        <v>226</v>
      </c>
      <c r="G39" s="260">
        <v>165</v>
      </c>
      <c r="H39" s="261">
        <f t="shared" ref="H39:H51" si="13">ROUNDUP($G$12/$G$24*G39, 0)</f>
        <v>134</v>
      </c>
      <c r="I39" s="260">
        <v>150</v>
      </c>
      <c r="J39" s="261">
        <f t="shared" si="12"/>
        <v>126</v>
      </c>
      <c r="L39" s="210"/>
      <c r="N39" s="210"/>
    </row>
    <row r="40" spans="1:14" ht="15.75" customHeight="1" x14ac:dyDescent="0.2">
      <c r="A40" s="241">
        <v>2222</v>
      </c>
      <c r="B40" s="256" t="s">
        <v>156</v>
      </c>
      <c r="C40" s="243">
        <f t="shared" si="4"/>
        <v>3250</v>
      </c>
      <c r="D40" s="244">
        <f t="shared" si="6"/>
        <v>2583</v>
      </c>
      <c r="E40" s="260">
        <v>1570</v>
      </c>
      <c r="F40" s="261">
        <f t="shared" si="11"/>
        <v>1201</v>
      </c>
      <c r="G40" s="260">
        <v>730</v>
      </c>
      <c r="H40" s="261">
        <f t="shared" si="13"/>
        <v>590</v>
      </c>
      <c r="I40" s="260">
        <v>950</v>
      </c>
      <c r="J40" s="261">
        <f t="shared" si="12"/>
        <v>792</v>
      </c>
      <c r="K40" s="211"/>
      <c r="L40" s="212"/>
      <c r="N40" s="210"/>
    </row>
    <row r="41" spans="1:14" ht="15.75" customHeight="1" x14ac:dyDescent="0.2">
      <c r="A41" s="241">
        <v>2223</v>
      </c>
      <c r="B41" s="256" t="s">
        <v>157</v>
      </c>
      <c r="C41" s="243">
        <f t="shared" si="4"/>
        <v>8955</v>
      </c>
      <c r="D41" s="244">
        <f t="shared" si="6"/>
        <v>7129</v>
      </c>
      <c r="E41" s="260">
        <v>4085</v>
      </c>
      <c r="F41" s="261">
        <f t="shared" si="11"/>
        <v>3125</v>
      </c>
      <c r="G41" s="260">
        <v>2120</v>
      </c>
      <c r="H41" s="261">
        <f t="shared" si="13"/>
        <v>1712</v>
      </c>
      <c r="I41" s="260">
        <v>2750</v>
      </c>
      <c r="J41" s="261">
        <f t="shared" si="12"/>
        <v>2292</v>
      </c>
      <c r="K41" s="211"/>
      <c r="L41" s="212"/>
      <c r="N41" s="210"/>
    </row>
    <row r="42" spans="1:14" ht="15.75" customHeight="1" x14ac:dyDescent="0.2">
      <c r="A42" s="241">
        <v>2224</v>
      </c>
      <c r="B42" s="262" t="s">
        <v>158</v>
      </c>
      <c r="C42" s="243">
        <f t="shared" si="4"/>
        <v>1425</v>
      </c>
      <c r="D42" s="244">
        <f t="shared" si="6"/>
        <v>1139</v>
      </c>
      <c r="E42" s="260">
        <v>585</v>
      </c>
      <c r="F42" s="261">
        <f t="shared" si="11"/>
        <v>448</v>
      </c>
      <c r="G42" s="260">
        <v>365</v>
      </c>
      <c r="H42" s="261">
        <f t="shared" si="13"/>
        <v>295</v>
      </c>
      <c r="I42" s="260">
        <v>475</v>
      </c>
      <c r="J42" s="261">
        <f t="shared" si="12"/>
        <v>396</v>
      </c>
      <c r="K42" s="211"/>
      <c r="L42" s="212"/>
      <c r="N42" s="210"/>
    </row>
    <row r="43" spans="1:14" ht="15.75" customHeight="1" x14ac:dyDescent="0.2">
      <c r="A43" s="241">
        <v>2232</v>
      </c>
      <c r="B43" s="262" t="s">
        <v>159</v>
      </c>
      <c r="C43" s="243">
        <f t="shared" si="4"/>
        <v>1114</v>
      </c>
      <c r="D43" s="244">
        <f t="shared" si="6"/>
        <v>891</v>
      </c>
      <c r="E43" s="260">
        <v>390</v>
      </c>
      <c r="F43" s="261">
        <f t="shared" si="11"/>
        <v>299</v>
      </c>
      <c r="G43" s="260">
        <v>480</v>
      </c>
      <c r="H43" s="261">
        <f t="shared" si="13"/>
        <v>388</v>
      </c>
      <c r="I43" s="260">
        <v>244</v>
      </c>
      <c r="J43" s="261">
        <f t="shared" si="12"/>
        <v>204</v>
      </c>
      <c r="K43" s="211"/>
      <c r="L43" s="212"/>
      <c r="N43" s="210"/>
    </row>
    <row r="44" spans="1:14" ht="15.75" customHeight="1" x14ac:dyDescent="0.2">
      <c r="A44" s="241">
        <v>2235</v>
      </c>
      <c r="B44" s="262" t="s">
        <v>160</v>
      </c>
      <c r="C44" s="243">
        <f t="shared" si="4"/>
        <v>1350</v>
      </c>
      <c r="D44" s="244">
        <f t="shared" si="6"/>
        <v>1078</v>
      </c>
      <c r="E44" s="260">
        <v>550</v>
      </c>
      <c r="F44" s="261">
        <f t="shared" si="11"/>
        <v>421</v>
      </c>
      <c r="G44" s="260">
        <v>400</v>
      </c>
      <c r="H44" s="261">
        <f t="shared" si="13"/>
        <v>323</v>
      </c>
      <c r="I44" s="260">
        <v>400</v>
      </c>
      <c r="J44" s="261">
        <f t="shared" si="12"/>
        <v>334</v>
      </c>
      <c r="K44" s="211"/>
      <c r="L44" s="212"/>
      <c r="N44" s="210"/>
    </row>
    <row r="45" spans="1:14" ht="15.75" customHeight="1" x14ac:dyDescent="0.2">
      <c r="A45" s="241">
        <v>2239</v>
      </c>
      <c r="B45" s="262" t="s">
        <v>161</v>
      </c>
      <c r="C45" s="243">
        <f t="shared" si="4"/>
        <v>2240</v>
      </c>
      <c r="D45" s="244">
        <f t="shared" si="6"/>
        <v>1786</v>
      </c>
      <c r="E45" s="260">
        <v>970</v>
      </c>
      <c r="F45" s="261">
        <f t="shared" si="11"/>
        <v>742</v>
      </c>
      <c r="G45" s="260">
        <v>560</v>
      </c>
      <c r="H45" s="261">
        <f t="shared" si="13"/>
        <v>452</v>
      </c>
      <c r="I45" s="260">
        <v>710</v>
      </c>
      <c r="J45" s="261">
        <f t="shared" si="12"/>
        <v>592</v>
      </c>
      <c r="K45" s="211"/>
      <c r="L45" s="212"/>
      <c r="N45" s="210"/>
    </row>
    <row r="46" spans="1:14" ht="15.75" customHeight="1" x14ac:dyDescent="0.2">
      <c r="A46" s="241">
        <v>2241</v>
      </c>
      <c r="B46" s="262" t="s">
        <v>162</v>
      </c>
      <c r="C46" s="243">
        <f t="shared" si="4"/>
        <v>2839</v>
      </c>
      <c r="D46" s="244">
        <f t="shared" si="6"/>
        <v>2248</v>
      </c>
      <c r="E46" s="260">
        <v>1460</v>
      </c>
      <c r="F46" s="261">
        <f t="shared" si="11"/>
        <v>1117</v>
      </c>
      <c r="G46" s="260">
        <v>744</v>
      </c>
      <c r="H46" s="261">
        <f t="shared" si="13"/>
        <v>601</v>
      </c>
      <c r="I46" s="260">
        <v>635</v>
      </c>
      <c r="J46" s="261">
        <f t="shared" si="12"/>
        <v>530</v>
      </c>
      <c r="K46" s="211"/>
      <c r="L46" s="212"/>
      <c r="N46" s="210"/>
    </row>
    <row r="47" spans="1:14" ht="15.75" customHeight="1" x14ac:dyDescent="0.2">
      <c r="A47" s="241">
        <v>2242</v>
      </c>
      <c r="B47" s="262" t="s">
        <v>18</v>
      </c>
      <c r="C47" s="243">
        <f t="shared" si="4"/>
        <v>2730</v>
      </c>
      <c r="D47" s="244">
        <f t="shared" si="6"/>
        <v>2181</v>
      </c>
      <c r="E47" s="260">
        <v>1150</v>
      </c>
      <c r="F47" s="261">
        <f t="shared" si="11"/>
        <v>880</v>
      </c>
      <c r="G47" s="260">
        <v>630</v>
      </c>
      <c r="H47" s="261">
        <f t="shared" si="13"/>
        <v>509</v>
      </c>
      <c r="I47" s="260">
        <v>950</v>
      </c>
      <c r="J47" s="261">
        <f t="shared" si="12"/>
        <v>792</v>
      </c>
      <c r="K47" s="211"/>
      <c r="L47" s="212"/>
      <c r="N47" s="210"/>
    </row>
    <row r="48" spans="1:14" ht="24" x14ac:dyDescent="0.2">
      <c r="A48" s="241">
        <v>2243</v>
      </c>
      <c r="B48" s="262" t="s">
        <v>163</v>
      </c>
      <c r="C48" s="243">
        <f t="shared" si="4"/>
        <v>300</v>
      </c>
      <c r="D48" s="244">
        <f t="shared" si="6"/>
        <v>242</v>
      </c>
      <c r="E48" s="260">
        <v>100</v>
      </c>
      <c r="F48" s="261">
        <f t="shared" si="11"/>
        <v>77</v>
      </c>
      <c r="G48" s="260">
        <v>100</v>
      </c>
      <c r="H48" s="261">
        <f t="shared" si="13"/>
        <v>81</v>
      </c>
      <c r="I48" s="260">
        <v>100</v>
      </c>
      <c r="J48" s="261">
        <f t="shared" si="12"/>
        <v>84</v>
      </c>
      <c r="K48" s="211"/>
      <c r="L48" s="212"/>
      <c r="N48" s="210"/>
    </row>
    <row r="49" spans="1:14" ht="15.75" customHeight="1" x14ac:dyDescent="0.2">
      <c r="A49" s="241">
        <v>2244</v>
      </c>
      <c r="B49" s="262" t="s">
        <v>164</v>
      </c>
      <c r="C49" s="243">
        <f t="shared" si="4"/>
        <v>6510</v>
      </c>
      <c r="D49" s="244">
        <f t="shared" si="6"/>
        <v>5143</v>
      </c>
      <c r="E49" s="260">
        <v>3700</v>
      </c>
      <c r="F49" s="261">
        <f t="shared" si="11"/>
        <v>2830</v>
      </c>
      <c r="G49" s="260">
        <v>1110</v>
      </c>
      <c r="H49" s="261">
        <f t="shared" si="13"/>
        <v>896</v>
      </c>
      <c r="I49" s="260">
        <v>1700</v>
      </c>
      <c r="J49" s="261">
        <f t="shared" si="12"/>
        <v>1417</v>
      </c>
      <c r="K49" s="211"/>
      <c r="L49" s="212"/>
      <c r="N49" s="210"/>
    </row>
    <row r="50" spans="1:14" ht="15.75" customHeight="1" x14ac:dyDescent="0.2">
      <c r="A50" s="241">
        <v>2249</v>
      </c>
      <c r="B50" s="262" t="s">
        <v>165</v>
      </c>
      <c r="C50" s="243">
        <f t="shared" si="4"/>
        <v>3880</v>
      </c>
      <c r="D50" s="244">
        <f t="shared" si="6"/>
        <v>3098</v>
      </c>
      <c r="E50" s="260">
        <v>1600</v>
      </c>
      <c r="F50" s="261">
        <f t="shared" si="11"/>
        <v>1224</v>
      </c>
      <c r="G50" s="260">
        <v>1030</v>
      </c>
      <c r="H50" s="261">
        <f t="shared" si="13"/>
        <v>832</v>
      </c>
      <c r="I50" s="260">
        <v>1250</v>
      </c>
      <c r="J50" s="261">
        <f t="shared" si="12"/>
        <v>1042</v>
      </c>
      <c r="K50" s="211"/>
      <c r="L50" s="212"/>
      <c r="N50" s="210"/>
    </row>
    <row r="51" spans="1:14" ht="15.75" customHeight="1" x14ac:dyDescent="0.2">
      <c r="A51" s="241">
        <v>2251</v>
      </c>
      <c r="B51" s="262" t="s">
        <v>20</v>
      </c>
      <c r="C51" s="243">
        <f t="shared" si="4"/>
        <v>1595</v>
      </c>
      <c r="D51" s="244">
        <f t="shared" si="6"/>
        <v>1274</v>
      </c>
      <c r="E51" s="260">
        <v>660</v>
      </c>
      <c r="F51" s="261">
        <f t="shared" si="11"/>
        <v>505</v>
      </c>
      <c r="G51" s="260">
        <v>435</v>
      </c>
      <c r="H51" s="261">
        <f t="shared" si="13"/>
        <v>352</v>
      </c>
      <c r="I51" s="260">
        <v>500</v>
      </c>
      <c r="J51" s="261">
        <f t="shared" si="12"/>
        <v>417</v>
      </c>
      <c r="K51" s="211"/>
      <c r="L51" s="212"/>
      <c r="N51" s="210"/>
    </row>
    <row r="52" spans="1:14" ht="26.25" customHeight="1" x14ac:dyDescent="0.2">
      <c r="A52" s="254">
        <v>2300</v>
      </c>
      <c r="B52" s="258" t="s">
        <v>166</v>
      </c>
      <c r="C52" s="226">
        <f t="shared" si="4"/>
        <v>89551</v>
      </c>
      <c r="D52" s="229">
        <f t="shared" si="6"/>
        <v>71554</v>
      </c>
      <c r="E52" s="251">
        <f t="shared" ref="E52:F52" si="14">SUM(E53:E65)</f>
        <v>35860</v>
      </c>
      <c r="F52" s="252">
        <f t="shared" si="14"/>
        <v>27434</v>
      </c>
      <c r="G52" s="251">
        <f>SUM(G53:G65)</f>
        <v>24265</v>
      </c>
      <c r="H52" s="252">
        <f t="shared" ref="H52:J52" si="15">SUM(H53:H65)</f>
        <v>19590</v>
      </c>
      <c r="I52" s="251">
        <f t="shared" si="15"/>
        <v>29426</v>
      </c>
      <c r="J52" s="252">
        <f t="shared" si="15"/>
        <v>24530</v>
      </c>
      <c r="K52" s="211"/>
      <c r="L52" s="212"/>
      <c r="N52" s="210"/>
    </row>
    <row r="53" spans="1:14" ht="15.75" customHeight="1" x14ac:dyDescent="0.2">
      <c r="A53" s="241">
        <v>2311</v>
      </c>
      <c r="B53" s="262" t="s">
        <v>167</v>
      </c>
      <c r="C53" s="243">
        <f t="shared" si="4"/>
        <v>710</v>
      </c>
      <c r="D53" s="244">
        <f t="shared" si="6"/>
        <v>569</v>
      </c>
      <c r="E53" s="260">
        <v>290</v>
      </c>
      <c r="F53" s="261">
        <f t="shared" ref="F53:F65" si="16">ROUNDUP($E$12/$E$24*E53, 0)</f>
        <v>222</v>
      </c>
      <c r="G53" s="260">
        <v>130</v>
      </c>
      <c r="H53" s="261">
        <f t="shared" ref="H53:H65" si="17">ROUNDUP($G$12/$G$24*G53, 0)</f>
        <v>105</v>
      </c>
      <c r="I53" s="260">
        <v>290</v>
      </c>
      <c r="J53" s="261">
        <f t="shared" ref="J53:J65" si="18">ROUNDUP($I$12/$I$24*I53, 0)</f>
        <v>242</v>
      </c>
      <c r="K53" s="211"/>
      <c r="L53" s="212"/>
      <c r="N53" s="210"/>
    </row>
    <row r="54" spans="1:14" ht="15.75" customHeight="1" x14ac:dyDescent="0.2">
      <c r="A54" s="241">
        <v>2312</v>
      </c>
      <c r="B54" s="262" t="s">
        <v>17</v>
      </c>
      <c r="C54" s="243">
        <f t="shared" si="4"/>
        <v>1220</v>
      </c>
      <c r="D54" s="244">
        <f t="shared" si="6"/>
        <v>959</v>
      </c>
      <c r="E54" s="260">
        <v>800</v>
      </c>
      <c r="F54" s="261">
        <f t="shared" si="16"/>
        <v>612</v>
      </c>
      <c r="G54" s="260">
        <v>130</v>
      </c>
      <c r="H54" s="261">
        <f t="shared" si="17"/>
        <v>105</v>
      </c>
      <c r="I54" s="260">
        <v>290</v>
      </c>
      <c r="J54" s="261">
        <f t="shared" si="18"/>
        <v>242</v>
      </c>
      <c r="K54" s="211"/>
      <c r="L54" s="212"/>
      <c r="N54" s="210"/>
    </row>
    <row r="55" spans="1:14" ht="15.75" customHeight="1" x14ac:dyDescent="0.2">
      <c r="A55" s="241">
        <v>2321</v>
      </c>
      <c r="B55" s="262" t="s">
        <v>168</v>
      </c>
      <c r="C55" s="243">
        <f t="shared" si="4"/>
        <v>3770</v>
      </c>
      <c r="D55" s="244">
        <f t="shared" si="6"/>
        <v>3009</v>
      </c>
      <c r="E55" s="260">
        <v>1570</v>
      </c>
      <c r="F55" s="261">
        <f t="shared" si="16"/>
        <v>1201</v>
      </c>
      <c r="G55" s="260">
        <v>1020</v>
      </c>
      <c r="H55" s="261">
        <f t="shared" si="17"/>
        <v>824</v>
      </c>
      <c r="I55" s="260">
        <v>1180</v>
      </c>
      <c r="J55" s="261">
        <f t="shared" si="18"/>
        <v>984</v>
      </c>
      <c r="K55" s="211"/>
      <c r="L55" s="212"/>
      <c r="N55" s="210"/>
    </row>
    <row r="56" spans="1:14" ht="15.75" customHeight="1" x14ac:dyDescent="0.2">
      <c r="A56" s="241">
        <v>2322</v>
      </c>
      <c r="B56" s="262" t="s">
        <v>19</v>
      </c>
      <c r="C56" s="243">
        <f t="shared" si="4"/>
        <v>2190</v>
      </c>
      <c r="D56" s="244">
        <f t="shared" si="6"/>
        <v>1760</v>
      </c>
      <c r="E56" s="260">
        <v>730</v>
      </c>
      <c r="F56" s="261">
        <f t="shared" si="16"/>
        <v>559</v>
      </c>
      <c r="G56" s="260">
        <v>640</v>
      </c>
      <c r="H56" s="261">
        <f t="shared" si="17"/>
        <v>517</v>
      </c>
      <c r="I56" s="260">
        <v>820</v>
      </c>
      <c r="J56" s="261">
        <f t="shared" si="18"/>
        <v>684</v>
      </c>
      <c r="K56" s="211"/>
      <c r="L56" s="212"/>
      <c r="N56" s="210"/>
    </row>
    <row r="57" spans="1:14" ht="15.75" customHeight="1" x14ac:dyDescent="0.2">
      <c r="A57" s="241">
        <v>2341</v>
      </c>
      <c r="B57" s="256" t="s">
        <v>169</v>
      </c>
      <c r="C57" s="243">
        <f t="shared" si="4"/>
        <v>13980</v>
      </c>
      <c r="D57" s="244">
        <f t="shared" si="6"/>
        <v>11199</v>
      </c>
      <c r="E57" s="260">
        <v>5190</v>
      </c>
      <c r="F57" s="261">
        <f t="shared" si="16"/>
        <v>3970</v>
      </c>
      <c r="G57" s="260">
        <v>3710</v>
      </c>
      <c r="H57" s="261">
        <f t="shared" si="17"/>
        <v>2995</v>
      </c>
      <c r="I57" s="260">
        <v>5080</v>
      </c>
      <c r="J57" s="261">
        <f t="shared" si="18"/>
        <v>4234</v>
      </c>
      <c r="K57" s="211"/>
      <c r="L57" s="212"/>
      <c r="N57" s="210"/>
    </row>
    <row r="58" spans="1:14" ht="15.75" customHeight="1" x14ac:dyDescent="0.2">
      <c r="A58" s="241">
        <v>2351</v>
      </c>
      <c r="B58" s="256" t="s">
        <v>170</v>
      </c>
      <c r="C58" s="243">
        <f t="shared" si="4"/>
        <v>4800</v>
      </c>
      <c r="D58" s="244">
        <f t="shared" si="6"/>
        <v>3833</v>
      </c>
      <c r="E58" s="260">
        <v>2000</v>
      </c>
      <c r="F58" s="261">
        <f t="shared" si="16"/>
        <v>1530</v>
      </c>
      <c r="G58" s="260">
        <v>1200</v>
      </c>
      <c r="H58" s="261">
        <f t="shared" si="17"/>
        <v>969</v>
      </c>
      <c r="I58" s="260">
        <v>1600</v>
      </c>
      <c r="J58" s="261">
        <f t="shared" si="18"/>
        <v>1334</v>
      </c>
      <c r="L58" s="210"/>
      <c r="N58" s="210"/>
    </row>
    <row r="59" spans="1:14" ht="15.75" customHeight="1" x14ac:dyDescent="0.2">
      <c r="A59" s="241">
        <v>2352</v>
      </c>
      <c r="B59" s="256" t="s">
        <v>171</v>
      </c>
      <c r="C59" s="243">
        <f t="shared" si="4"/>
        <v>3120</v>
      </c>
      <c r="D59" s="244">
        <f t="shared" si="6"/>
        <v>2497</v>
      </c>
      <c r="E59" s="260">
        <v>1240</v>
      </c>
      <c r="F59" s="261">
        <f t="shared" si="16"/>
        <v>949</v>
      </c>
      <c r="G59" s="260">
        <v>770</v>
      </c>
      <c r="H59" s="261">
        <f t="shared" si="17"/>
        <v>622</v>
      </c>
      <c r="I59" s="260">
        <v>1110</v>
      </c>
      <c r="J59" s="261">
        <f t="shared" si="18"/>
        <v>926</v>
      </c>
      <c r="L59" s="210"/>
      <c r="N59" s="210"/>
    </row>
    <row r="60" spans="1:14" ht="15.75" customHeight="1" x14ac:dyDescent="0.2">
      <c r="A60" s="241">
        <v>2355</v>
      </c>
      <c r="B60" s="262" t="s">
        <v>172</v>
      </c>
      <c r="C60" s="243">
        <f t="shared" si="4"/>
        <v>570</v>
      </c>
      <c r="D60" s="244">
        <f t="shared" si="6"/>
        <v>459</v>
      </c>
      <c r="E60" s="260">
        <v>190</v>
      </c>
      <c r="F60" s="261">
        <f t="shared" si="16"/>
        <v>146</v>
      </c>
      <c r="G60" s="260">
        <v>190</v>
      </c>
      <c r="H60" s="261">
        <f t="shared" si="17"/>
        <v>154</v>
      </c>
      <c r="I60" s="260">
        <v>190</v>
      </c>
      <c r="J60" s="261">
        <f t="shared" si="18"/>
        <v>159</v>
      </c>
      <c r="L60" s="210"/>
      <c r="N60" s="210"/>
    </row>
    <row r="61" spans="1:14" ht="15.75" customHeight="1" x14ac:dyDescent="0.2">
      <c r="A61" s="241">
        <v>2361</v>
      </c>
      <c r="B61" s="256" t="s">
        <v>173</v>
      </c>
      <c r="C61" s="243">
        <f t="shared" si="4"/>
        <v>1750</v>
      </c>
      <c r="D61" s="244">
        <f t="shared" si="6"/>
        <v>1389</v>
      </c>
      <c r="E61" s="260">
        <v>850</v>
      </c>
      <c r="F61" s="261">
        <f t="shared" si="16"/>
        <v>651</v>
      </c>
      <c r="G61" s="260">
        <v>500</v>
      </c>
      <c r="H61" s="261">
        <f t="shared" si="17"/>
        <v>404</v>
      </c>
      <c r="I61" s="260">
        <v>400</v>
      </c>
      <c r="J61" s="261">
        <f t="shared" si="18"/>
        <v>334</v>
      </c>
      <c r="L61" s="210"/>
      <c r="N61" s="210"/>
    </row>
    <row r="62" spans="1:14" ht="15.75" customHeight="1" x14ac:dyDescent="0.2">
      <c r="A62" s="241">
        <v>2362</v>
      </c>
      <c r="B62" s="256" t="s">
        <v>174</v>
      </c>
      <c r="C62" s="243">
        <f t="shared" si="4"/>
        <v>1440</v>
      </c>
      <c r="D62" s="244">
        <f t="shared" si="6"/>
        <v>1158</v>
      </c>
      <c r="E62" s="260">
        <v>450</v>
      </c>
      <c r="F62" s="261">
        <f t="shared" si="16"/>
        <v>345</v>
      </c>
      <c r="G62" s="260">
        <v>490</v>
      </c>
      <c r="H62" s="261">
        <f t="shared" si="17"/>
        <v>396</v>
      </c>
      <c r="I62" s="260">
        <v>500</v>
      </c>
      <c r="J62" s="261">
        <f t="shared" si="18"/>
        <v>417</v>
      </c>
      <c r="L62" s="210"/>
      <c r="N62" s="210"/>
    </row>
    <row r="63" spans="1:14" ht="15.75" customHeight="1" x14ac:dyDescent="0.2">
      <c r="A63" s="241">
        <v>2363</v>
      </c>
      <c r="B63" s="256" t="s">
        <v>175</v>
      </c>
      <c r="C63" s="243">
        <f t="shared" si="4"/>
        <v>45910</v>
      </c>
      <c r="D63" s="244">
        <f t="shared" si="6"/>
        <v>36659</v>
      </c>
      <c r="E63" s="260">
        <v>18660</v>
      </c>
      <c r="F63" s="261">
        <f t="shared" si="16"/>
        <v>14273</v>
      </c>
      <c r="G63" s="260">
        <v>12320</v>
      </c>
      <c r="H63" s="261">
        <f t="shared" si="17"/>
        <v>9944</v>
      </c>
      <c r="I63" s="260">
        <v>14930</v>
      </c>
      <c r="J63" s="261">
        <f t="shared" si="18"/>
        <v>12442</v>
      </c>
      <c r="L63" s="210"/>
      <c r="N63" s="210"/>
    </row>
    <row r="64" spans="1:14" ht="26.25" customHeight="1" x14ac:dyDescent="0.2">
      <c r="A64" s="241">
        <v>2366</v>
      </c>
      <c r="B64" s="242" t="s">
        <v>176</v>
      </c>
      <c r="C64" s="243">
        <f t="shared" si="4"/>
        <v>465</v>
      </c>
      <c r="D64" s="244">
        <f t="shared" si="6"/>
        <v>373</v>
      </c>
      <c r="E64" s="260">
        <v>190</v>
      </c>
      <c r="F64" s="261">
        <f t="shared" si="16"/>
        <v>146</v>
      </c>
      <c r="G64" s="260">
        <v>125</v>
      </c>
      <c r="H64" s="261">
        <f t="shared" si="17"/>
        <v>101</v>
      </c>
      <c r="I64" s="260">
        <v>150</v>
      </c>
      <c r="J64" s="261">
        <f t="shared" si="18"/>
        <v>126</v>
      </c>
      <c r="L64" s="210"/>
      <c r="N64" s="210"/>
    </row>
    <row r="65" spans="1:14" ht="45" customHeight="1" x14ac:dyDescent="0.2">
      <c r="A65" s="241">
        <v>2369</v>
      </c>
      <c r="B65" s="262" t="s">
        <v>177</v>
      </c>
      <c r="C65" s="243">
        <f t="shared" si="4"/>
        <v>9626</v>
      </c>
      <c r="D65" s="244">
        <f t="shared" si="6"/>
        <v>7690</v>
      </c>
      <c r="E65" s="260">
        <v>3700</v>
      </c>
      <c r="F65" s="261">
        <f t="shared" si="16"/>
        <v>2830</v>
      </c>
      <c r="G65" s="260">
        <v>3040</v>
      </c>
      <c r="H65" s="261">
        <f t="shared" si="17"/>
        <v>2454</v>
      </c>
      <c r="I65" s="260">
        <v>2886</v>
      </c>
      <c r="J65" s="261">
        <f t="shared" si="18"/>
        <v>2406</v>
      </c>
      <c r="L65" s="210"/>
      <c r="N65" s="210"/>
    </row>
    <row r="66" spans="1:14" ht="15.75" customHeight="1" x14ac:dyDescent="0.2">
      <c r="A66" s="254">
        <v>2500</v>
      </c>
      <c r="B66" s="248" t="s">
        <v>178</v>
      </c>
      <c r="C66" s="226">
        <f>I66+G66+E66</f>
        <v>647</v>
      </c>
      <c r="D66" s="229">
        <f>F66+H66+J66</f>
        <v>527</v>
      </c>
      <c r="E66" s="251">
        <f t="shared" ref="E66:J66" si="19">SUM(E67:E68)</f>
        <v>127</v>
      </c>
      <c r="F66" s="252">
        <f t="shared" si="19"/>
        <v>98</v>
      </c>
      <c r="G66" s="251">
        <f t="shared" si="19"/>
        <v>260</v>
      </c>
      <c r="H66" s="252">
        <f t="shared" si="19"/>
        <v>211</v>
      </c>
      <c r="I66" s="251">
        <f t="shared" si="19"/>
        <v>260</v>
      </c>
      <c r="J66" s="252">
        <f t="shared" si="19"/>
        <v>218</v>
      </c>
      <c r="L66" s="210"/>
      <c r="N66" s="210"/>
    </row>
    <row r="67" spans="1:14" ht="15.75" customHeight="1" x14ac:dyDescent="0.2">
      <c r="A67" s="233">
        <v>2515</v>
      </c>
      <c r="B67" s="242" t="s">
        <v>179</v>
      </c>
      <c r="C67" s="243">
        <f t="shared" si="4"/>
        <v>97</v>
      </c>
      <c r="D67" s="244">
        <f t="shared" si="6"/>
        <v>80</v>
      </c>
      <c r="E67" s="260">
        <v>37</v>
      </c>
      <c r="F67" s="261">
        <f>ROUNDUP($E$12/$E$24*E67, 0)</f>
        <v>29</v>
      </c>
      <c r="G67" s="260">
        <v>30</v>
      </c>
      <c r="H67" s="261">
        <f>ROUNDUP($G$12/$G$24*G67, 0)</f>
        <v>25</v>
      </c>
      <c r="I67" s="260">
        <v>30</v>
      </c>
      <c r="J67" s="261">
        <f>ROUNDUP($I$12/$I$24*I67, 0)</f>
        <v>26</v>
      </c>
      <c r="L67" s="210"/>
      <c r="N67" s="210"/>
    </row>
    <row r="68" spans="1:14" ht="15.75" customHeight="1" x14ac:dyDescent="0.2">
      <c r="A68" s="263">
        <v>2519</v>
      </c>
      <c r="B68" s="264" t="s">
        <v>182</v>
      </c>
      <c r="C68" s="265">
        <f t="shared" si="4"/>
        <v>550</v>
      </c>
      <c r="D68" s="266">
        <f t="shared" si="6"/>
        <v>447</v>
      </c>
      <c r="E68" s="267">
        <v>90</v>
      </c>
      <c r="F68" s="268">
        <f>ROUNDUP($E$12/$E$24*E68, 0)</f>
        <v>69</v>
      </c>
      <c r="G68" s="267">
        <v>230</v>
      </c>
      <c r="H68" s="268">
        <f>ROUNDUP($G$12/$G$24*G68, 0)</f>
        <v>186</v>
      </c>
      <c r="I68" s="267">
        <v>230</v>
      </c>
      <c r="J68" s="268">
        <f>ROUNDUP($I$12/$I$24*I68, 0)</f>
        <v>192</v>
      </c>
      <c r="L68" s="210"/>
      <c r="N68" s="210"/>
    </row>
    <row r="70" spans="1:14" x14ac:dyDescent="0.2">
      <c r="A70" s="213"/>
      <c r="C70" s="211"/>
      <c r="D70" s="211"/>
      <c r="E70" s="211"/>
      <c r="F70" s="211"/>
      <c r="G70" s="211"/>
      <c r="H70" s="211"/>
      <c r="I70" s="211"/>
      <c r="J70" s="211"/>
    </row>
    <row r="71" spans="1:14" x14ac:dyDescent="0.2">
      <c r="A71" s="214"/>
      <c r="C71" s="215"/>
      <c r="D71" s="215"/>
    </row>
  </sheetData>
  <sheetProtection algorithmName="SHA-512" hashValue="iAApUhCi8alI2Rc/WIOg8n5T88zwaSyj+6/5nZ0Wq8S/fTSPwZI8bbP3bGpSG1gO0ra5u/lEBEZLPcW/vNHTqQ==" saltValue="XoVJDzmNC1P5wmRKomVRuw==" spinCount="100000" sheet="1" objects="1" scenarios="1" selectLockedCells="1" selectUnlockedCells="1"/>
  <mergeCells count="10">
    <mergeCell ref="A1:J1"/>
    <mergeCell ref="A2:J2"/>
    <mergeCell ref="A4:A7"/>
    <mergeCell ref="B4:B7"/>
    <mergeCell ref="C4:C7"/>
    <mergeCell ref="D4:D6"/>
    <mergeCell ref="E4:J4"/>
    <mergeCell ref="E5:F6"/>
    <mergeCell ref="G5:H6"/>
    <mergeCell ref="I5:J6"/>
  </mergeCells>
  <pageMargins left="0.98425196850393704" right="0.39370078740157483" top="0.89687499999999998" bottom="0.39370078740157483" header="0.23622047244094491" footer="0.23622047244094491"/>
  <pageSetup paperSize="9" scale="70" orientation="portrait" r:id="rId1"/>
  <headerFooter differentFirst="1">
    <oddHeader xml:space="preserve">&amp;R&amp;"Times New Roman,Regular"         &amp;8  </oddHeader>
    <oddFooter>&amp;R&amp;"Times New Roman,Regular"&amp;8&amp;P(&amp;N)</oddFooter>
    <firstHeader>&amp;R&amp;"Times New Roman,Regular"&amp;8
31.pielikums Jūrmalas pilsētas domes
2016.gada 16.decembra saistošajiem noteikumiem Nr.47
(protokols Nr.19, 19.punkts)</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5"/>
  <sheetViews>
    <sheetView view="pageLayout" zoomScaleNormal="100" workbookViewId="0">
      <selection activeCell="B52" sqref="B52"/>
    </sheetView>
  </sheetViews>
  <sheetFormatPr defaultRowHeight="12" x14ac:dyDescent="0.2"/>
  <cols>
    <col min="1" max="1" width="6.140625" style="1" customWidth="1"/>
    <col min="2" max="2" width="17.28515625" style="1" customWidth="1"/>
    <col min="3" max="3" width="18.42578125" style="1" customWidth="1"/>
    <col min="4" max="4" width="11.85546875" style="1" hidden="1" customWidth="1"/>
    <col min="5" max="5" width="11.140625" style="1" hidden="1" customWidth="1"/>
    <col min="6" max="6" width="10.28515625" style="1" hidden="1" customWidth="1"/>
    <col min="7" max="7" width="10.5703125" style="1" customWidth="1"/>
    <col min="8" max="8" width="8.28515625" style="1" customWidth="1"/>
    <col min="9" max="9" width="20.85546875" style="1" customWidth="1"/>
    <col min="10" max="10" width="20.140625" style="1" hidden="1" customWidth="1"/>
    <col min="11" max="16384" width="9.140625" style="1"/>
  </cols>
  <sheetData>
    <row r="1" spans="1:10" x14ac:dyDescent="0.2">
      <c r="A1" s="1016" t="s">
        <v>8</v>
      </c>
      <c r="B1" s="1016"/>
      <c r="C1" s="1016" t="s">
        <v>15</v>
      </c>
      <c r="D1" s="1016"/>
      <c r="E1" s="1016"/>
      <c r="F1" s="1016"/>
      <c r="G1" s="1016"/>
      <c r="H1" s="1016"/>
      <c r="I1" s="1016"/>
      <c r="J1" s="1016"/>
    </row>
    <row r="2" spans="1:10" x14ac:dyDescent="0.2">
      <c r="A2" s="1016" t="s">
        <v>7</v>
      </c>
      <c r="B2" s="1016"/>
      <c r="C2" s="1016">
        <v>90000056357</v>
      </c>
      <c r="D2" s="1016"/>
      <c r="E2" s="1016"/>
      <c r="F2" s="1016"/>
      <c r="G2" s="1016"/>
      <c r="H2" s="1016"/>
      <c r="I2" s="1016"/>
      <c r="J2" s="1016"/>
    </row>
    <row r="3" spans="1:10" ht="15.75" x14ac:dyDescent="0.25">
      <c r="A3" s="1018" t="s">
        <v>9</v>
      </c>
      <c r="B3" s="1018"/>
      <c r="C3" s="1018"/>
      <c r="D3" s="1018"/>
      <c r="E3" s="1018"/>
      <c r="F3" s="1018"/>
      <c r="G3" s="1018"/>
      <c r="H3" s="1018"/>
      <c r="I3" s="1018"/>
      <c r="J3" s="1018"/>
    </row>
    <row r="4" spans="1:10" ht="15.75" x14ac:dyDescent="0.25">
      <c r="A4" s="275"/>
      <c r="B4" s="275"/>
      <c r="C4" s="275"/>
      <c r="D4" s="275"/>
      <c r="E4" s="275"/>
      <c r="F4" s="275"/>
      <c r="G4" s="275"/>
      <c r="H4" s="275"/>
      <c r="I4" s="275"/>
      <c r="J4" s="275"/>
    </row>
    <row r="5" spans="1:10" ht="15.75" x14ac:dyDescent="0.25">
      <c r="A5" s="1016" t="s">
        <v>10</v>
      </c>
      <c r="B5" s="1016"/>
      <c r="C5" s="1017" t="s">
        <v>974</v>
      </c>
      <c r="D5" s="1017"/>
      <c r="E5" s="1017"/>
      <c r="F5" s="1017"/>
      <c r="G5" s="1017"/>
      <c r="H5" s="1017"/>
      <c r="I5" s="1017"/>
      <c r="J5" s="1017"/>
    </row>
    <row r="6" spans="1:10" x14ac:dyDescent="0.2">
      <c r="A6" s="1016" t="s">
        <v>6</v>
      </c>
      <c r="B6" s="1016"/>
      <c r="C6" s="1016" t="s">
        <v>975</v>
      </c>
      <c r="D6" s="1016"/>
      <c r="E6" s="1016"/>
      <c r="F6" s="1016"/>
      <c r="G6" s="1016"/>
      <c r="H6" s="1016"/>
      <c r="I6" s="1016"/>
      <c r="J6" s="1016"/>
    </row>
    <row r="7" spans="1:10" x14ac:dyDescent="0.2">
      <c r="A7" s="1016" t="s">
        <v>5</v>
      </c>
      <c r="B7" s="1016"/>
      <c r="C7" s="1019" t="s">
        <v>16</v>
      </c>
      <c r="D7" s="1019"/>
      <c r="E7" s="1019"/>
      <c r="F7" s="1019"/>
      <c r="G7" s="1019"/>
      <c r="H7" s="1019"/>
      <c r="I7" s="1019"/>
      <c r="J7" s="1019"/>
    </row>
    <row r="8" spans="1:10" ht="48.75" customHeight="1" x14ac:dyDescent="0.2">
      <c r="A8" s="6" t="s">
        <v>4</v>
      </c>
      <c r="B8" s="1020" t="s">
        <v>3</v>
      </c>
      <c r="C8" s="1021"/>
      <c r="D8" s="6" t="s">
        <v>11</v>
      </c>
      <c r="E8" s="6" t="s">
        <v>12</v>
      </c>
      <c r="F8" s="6" t="s">
        <v>13</v>
      </c>
      <c r="G8" s="6" t="s">
        <v>2</v>
      </c>
      <c r="H8" s="6" t="s">
        <v>180</v>
      </c>
      <c r="I8" s="6" t="s">
        <v>1</v>
      </c>
      <c r="J8" s="6" t="s">
        <v>0</v>
      </c>
    </row>
    <row r="9" spans="1:10" ht="12.75" customHeight="1" x14ac:dyDescent="0.2">
      <c r="A9" s="1022" t="s">
        <v>14</v>
      </c>
      <c r="B9" s="1023"/>
      <c r="C9" s="1024"/>
      <c r="D9" s="7">
        <f>SUM(D10:D10)</f>
        <v>2000</v>
      </c>
      <c r="E9" s="7">
        <f>SUM(E10:E10)</f>
        <v>2000</v>
      </c>
      <c r="F9" s="7">
        <f>SUM(F10:F10)</f>
        <v>4000</v>
      </c>
      <c r="G9" s="7"/>
      <c r="H9" s="7">
        <f>SUM(H10:H10)</f>
        <v>2000</v>
      </c>
      <c r="I9" s="7"/>
      <c r="J9" s="8"/>
    </row>
    <row r="10" spans="1:10" ht="15" customHeight="1" x14ac:dyDescent="0.2">
      <c r="A10" s="3">
        <v>1</v>
      </c>
      <c r="B10" s="1025" t="s">
        <v>25</v>
      </c>
      <c r="C10" s="1026"/>
      <c r="D10" s="4">
        <v>2000</v>
      </c>
      <c r="E10" s="4">
        <v>2000</v>
      </c>
      <c r="F10" s="4">
        <v>4000</v>
      </c>
      <c r="G10" s="286">
        <v>2276</v>
      </c>
      <c r="H10" s="4">
        <v>2000</v>
      </c>
      <c r="I10" s="300" t="s">
        <v>976</v>
      </c>
      <c r="J10" s="746"/>
    </row>
    <row r="11" spans="1:10" x14ac:dyDescent="0.2">
      <c r="A11" s="10"/>
      <c r="B11" s="10"/>
      <c r="C11" s="10"/>
      <c r="D11" s="10"/>
      <c r="E11" s="10"/>
      <c r="F11" s="10"/>
      <c r="G11" s="10"/>
      <c r="H11" s="10"/>
      <c r="I11" s="10"/>
      <c r="J11" s="10"/>
    </row>
    <row r="12" spans="1:10" x14ac:dyDescent="0.2">
      <c r="A12" s="1" t="s">
        <v>967</v>
      </c>
    </row>
    <row r="13" spans="1:10" x14ac:dyDescent="0.2">
      <c r="A13" s="1" t="s">
        <v>977</v>
      </c>
    </row>
    <row r="14" spans="1:10" x14ac:dyDescent="0.2">
      <c r="B14" s="1" t="s">
        <v>186</v>
      </c>
    </row>
    <row r="15" spans="1:10" x14ac:dyDescent="0.2">
      <c r="C15" s="1" t="s">
        <v>978</v>
      </c>
    </row>
  </sheetData>
  <sheetProtection algorithmName="SHA-512" hashValue="2uWAXuEW4TmVzxdRFHMEVGzpMozaz9lxvO1923eWci6lMrE2wgSayspklePzlIjQ56iUFwfAzjqhk39B4edqsw==" saltValue="QYUf1sZkEYspHRnvESUBxA==" spinCount="100000" sheet="1" objects="1" scenarios="1" selectLockedCells="1" selectUnlockedCells="1"/>
  <mergeCells count="14">
    <mergeCell ref="A5:B5"/>
    <mergeCell ref="C5:J5"/>
    <mergeCell ref="A1:B1"/>
    <mergeCell ref="C1:J1"/>
    <mergeCell ref="A2:B2"/>
    <mergeCell ref="C2:J2"/>
    <mergeCell ref="A3:J3"/>
    <mergeCell ref="B10:C10"/>
    <mergeCell ref="A6:B6"/>
    <mergeCell ref="C6:J6"/>
    <mergeCell ref="A7:B7"/>
    <mergeCell ref="C7:J7"/>
    <mergeCell ref="B8:C8"/>
    <mergeCell ref="A9:C9"/>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5.pielikums Jūrmalas pilsētas domes
2016.gada 16.decembra saistošajiem noteikumiem Nr.47
(protokols Nr.19, 19.punkts)</firstHead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110"/>
  <sheetViews>
    <sheetView showWhiteSpace="0" view="pageLayout" topLeftCell="F1" zoomScale="85" zoomScaleNormal="75" zoomScaleSheetLayoutView="75" zoomScalePageLayoutView="85" workbookViewId="0">
      <selection activeCell="B26" sqref="B26"/>
    </sheetView>
  </sheetViews>
  <sheetFormatPr defaultRowHeight="12.75" x14ac:dyDescent="0.2"/>
  <cols>
    <col min="1" max="1" width="10.28515625" style="11" customWidth="1"/>
    <col min="2" max="2" width="9.140625" style="11" customWidth="1"/>
    <col min="3" max="3" width="35.140625" style="11" customWidth="1"/>
    <col min="4" max="5" width="9.28515625" style="11" hidden="1" customWidth="1"/>
    <col min="6" max="7" width="9.42578125" style="11" customWidth="1"/>
    <col min="8" max="8" width="9.7109375" style="11" customWidth="1"/>
    <col min="9" max="9" width="9.42578125" style="11" customWidth="1"/>
    <col min="10" max="10" width="9.85546875" style="11" customWidth="1"/>
    <col min="11" max="11" width="9.7109375" style="11" customWidth="1"/>
    <col min="12" max="12" width="10.140625" style="207" bestFit="1" customWidth="1"/>
    <col min="13" max="13" width="9.42578125" style="11" customWidth="1"/>
    <col min="14" max="14" width="10.140625" style="11" customWidth="1"/>
    <col min="15" max="16" width="9.5703125" style="11" customWidth="1"/>
    <col min="17" max="17" width="9.85546875" style="11" customWidth="1"/>
    <col min="18" max="18" width="10.42578125" style="11" customWidth="1"/>
    <col min="19" max="19" width="9.5703125" style="11" customWidth="1"/>
    <col min="20" max="21" width="9.7109375" style="11" customWidth="1"/>
    <col min="22" max="22" width="9.5703125" style="11" customWidth="1"/>
    <col min="23" max="23" width="9.7109375" style="11" customWidth="1"/>
    <col min="24" max="25" width="9.5703125" style="11" customWidth="1"/>
    <col min="26" max="26" width="9.42578125" style="11" customWidth="1"/>
    <col min="27" max="27" width="10.42578125" style="11" customWidth="1"/>
    <col min="28" max="28" width="9" style="11" customWidth="1"/>
    <col min="29" max="29" width="10.28515625" style="11" customWidth="1"/>
    <col min="30" max="16384" width="9.140625" style="11"/>
  </cols>
  <sheetData>
    <row r="1" spans="1:29" ht="16.5" customHeight="1" x14ac:dyDescent="0.3">
      <c r="A1" s="1429" t="s">
        <v>31</v>
      </c>
      <c r="B1" s="1430"/>
      <c r="C1" s="1430"/>
      <c r="D1" s="1430"/>
      <c r="E1" s="1430"/>
      <c r="F1" s="1430"/>
      <c r="G1" s="1430"/>
      <c r="H1" s="1430"/>
      <c r="I1" s="1430"/>
      <c r="J1" s="1430"/>
      <c r="K1" s="1430"/>
      <c r="L1" s="1430"/>
      <c r="M1" s="1430"/>
      <c r="N1" s="1430"/>
      <c r="O1" s="1430"/>
      <c r="P1" s="1430"/>
      <c r="Q1" s="1430"/>
      <c r="R1" s="1430"/>
      <c r="S1" s="1430"/>
      <c r="T1" s="1430"/>
      <c r="U1" s="1430"/>
      <c r="V1" s="1430"/>
      <c r="W1" s="1430"/>
      <c r="X1" s="1430"/>
      <c r="Y1" s="1430"/>
      <c r="Z1" s="1430"/>
      <c r="AA1" s="1430"/>
      <c r="AB1" s="1430"/>
      <c r="AC1" s="1430"/>
    </row>
    <row r="2" spans="1:29" ht="13.5" thickBot="1" x14ac:dyDescent="0.25">
      <c r="A2" s="12"/>
      <c r="B2" s="12"/>
      <c r="C2" s="12"/>
      <c r="D2" s="13"/>
      <c r="E2" s="13"/>
      <c r="F2" s="13"/>
      <c r="G2" s="13"/>
      <c r="H2" s="13"/>
      <c r="I2" s="13"/>
      <c r="J2" s="13"/>
      <c r="K2" s="13"/>
      <c r="L2" s="14"/>
      <c r="M2" s="15"/>
      <c r="N2" s="15"/>
      <c r="O2" s="15"/>
      <c r="P2" s="15"/>
      <c r="Q2" s="15"/>
      <c r="R2" s="15"/>
      <c r="S2" s="15"/>
      <c r="T2" s="15"/>
      <c r="U2" s="15"/>
      <c r="V2" s="15"/>
      <c r="W2" s="15"/>
      <c r="X2" s="15"/>
    </row>
    <row r="3" spans="1:29" ht="42.75" customHeight="1" x14ac:dyDescent="0.2">
      <c r="A3" s="16" t="s">
        <v>32</v>
      </c>
      <c r="B3" s="16" t="s">
        <v>33</v>
      </c>
      <c r="C3" s="17" t="s">
        <v>34</v>
      </c>
      <c r="D3" s="18">
        <v>2015</v>
      </c>
      <c r="E3" s="18">
        <v>2016</v>
      </c>
      <c r="F3" s="18">
        <v>2017</v>
      </c>
      <c r="G3" s="18">
        <v>2018</v>
      </c>
      <c r="H3" s="18">
        <v>2019</v>
      </c>
      <c r="I3" s="18">
        <v>2020</v>
      </c>
      <c r="J3" s="19">
        <v>2021</v>
      </c>
      <c r="K3" s="20">
        <v>2022</v>
      </c>
      <c r="L3" s="16">
        <v>2023</v>
      </c>
      <c r="M3" s="20">
        <v>2024</v>
      </c>
      <c r="N3" s="20">
        <v>2025</v>
      </c>
      <c r="O3" s="16">
        <v>2026</v>
      </c>
      <c r="P3" s="16">
        <v>2027</v>
      </c>
      <c r="Q3" s="16">
        <v>2028</v>
      </c>
      <c r="R3" s="16">
        <v>2029</v>
      </c>
      <c r="S3" s="16">
        <v>2030</v>
      </c>
      <c r="T3" s="16">
        <v>2031</v>
      </c>
      <c r="U3" s="16">
        <v>2032</v>
      </c>
      <c r="V3" s="16">
        <v>2033</v>
      </c>
      <c r="W3" s="16">
        <v>2034</v>
      </c>
      <c r="X3" s="20">
        <v>2035</v>
      </c>
      <c r="Y3" s="16">
        <v>2036</v>
      </c>
      <c r="Z3" s="16">
        <v>2037</v>
      </c>
      <c r="AA3" s="16">
        <v>2038</v>
      </c>
      <c r="AB3" s="16">
        <v>2039</v>
      </c>
      <c r="AC3" s="16">
        <v>2040</v>
      </c>
    </row>
    <row r="4" spans="1:29" ht="24" customHeight="1" x14ac:dyDescent="0.2">
      <c r="A4" s="21"/>
      <c r="B4" s="21"/>
      <c r="C4" s="22" t="s">
        <v>35</v>
      </c>
      <c r="D4" s="23">
        <f t="shared" ref="D4:AC4" si="0">SUM(D13:D102)</f>
        <v>6101581.5113333333</v>
      </c>
      <c r="E4" s="23">
        <f t="shared" si="0"/>
        <v>8032761.7811400006</v>
      </c>
      <c r="F4" s="23">
        <f t="shared" si="0"/>
        <v>7107038.3792891512</v>
      </c>
      <c r="G4" s="23">
        <f t="shared" si="0"/>
        <v>6630763.6365397992</v>
      </c>
      <c r="H4" s="23">
        <f t="shared" si="0"/>
        <v>7963407.8647427801</v>
      </c>
      <c r="I4" s="23">
        <f t="shared" si="0"/>
        <v>7829037.8632816998</v>
      </c>
      <c r="J4" s="23">
        <f t="shared" si="0"/>
        <v>8691944.1410000008</v>
      </c>
      <c r="K4" s="23">
        <f t="shared" si="0"/>
        <v>8598994.4030000027</v>
      </c>
      <c r="L4" s="23">
        <f t="shared" si="0"/>
        <v>7766058.4400000004</v>
      </c>
      <c r="M4" s="23">
        <f t="shared" si="0"/>
        <v>7700646.2460000003</v>
      </c>
      <c r="N4" s="23">
        <f t="shared" si="0"/>
        <v>6736449.341</v>
      </c>
      <c r="O4" s="23">
        <f t="shared" si="0"/>
        <v>6364073.477</v>
      </c>
      <c r="P4" s="23">
        <f t="shared" si="0"/>
        <v>5302430.335</v>
      </c>
      <c r="Q4" s="23">
        <f t="shared" si="0"/>
        <v>3474333.1319999998</v>
      </c>
      <c r="R4" s="23">
        <f t="shared" si="0"/>
        <v>2969523.497</v>
      </c>
      <c r="S4" s="23">
        <f t="shared" si="0"/>
        <v>2739226.1379999998</v>
      </c>
      <c r="T4" s="23">
        <f t="shared" si="0"/>
        <v>2427741.804</v>
      </c>
      <c r="U4" s="23">
        <f t="shared" si="0"/>
        <v>2174694.4249999998</v>
      </c>
      <c r="V4" s="23">
        <f t="shared" si="0"/>
        <v>2012060.48</v>
      </c>
      <c r="W4" s="23">
        <f t="shared" si="0"/>
        <v>1975991.3770000001</v>
      </c>
      <c r="X4" s="24">
        <f t="shared" si="0"/>
        <v>4500568.7890000008</v>
      </c>
      <c r="Y4" s="23">
        <f t="shared" si="0"/>
        <v>1195124.209</v>
      </c>
      <c r="Z4" s="23">
        <f t="shared" si="0"/>
        <v>1165745.8059999999</v>
      </c>
      <c r="AA4" s="23">
        <f t="shared" si="0"/>
        <v>1136367.4029999999</v>
      </c>
      <c r="AB4" s="23">
        <f t="shared" si="0"/>
        <v>368900</v>
      </c>
      <c r="AC4" s="23">
        <f t="shared" si="0"/>
        <v>359450</v>
      </c>
    </row>
    <row r="5" spans="1:29" ht="24" x14ac:dyDescent="0.2">
      <c r="A5" s="25"/>
      <c r="B5" s="25"/>
      <c r="C5" s="26" t="s">
        <v>36</v>
      </c>
      <c r="D5" s="27">
        <f t="shared" ref="D5:AC5" si="1">D4/D11</f>
        <v>0.11832140005445123</v>
      </c>
      <c r="E5" s="27">
        <f t="shared" si="1"/>
        <v>0.15247462438253351</v>
      </c>
      <c r="F5" s="27">
        <f>F4/F11</f>
        <v>0.13490291843318844</v>
      </c>
      <c r="G5" s="27">
        <f t="shared" si="1"/>
        <v>0.12586246454171388</v>
      </c>
      <c r="H5" s="27">
        <f t="shared" si="1"/>
        <v>0.15115817648575258</v>
      </c>
      <c r="I5" s="27">
        <f t="shared" si="1"/>
        <v>0.14860761964624042</v>
      </c>
      <c r="J5" s="27">
        <f t="shared" si="1"/>
        <v>0.16498695643689967</v>
      </c>
      <c r="K5" s="27">
        <f t="shared" si="1"/>
        <v>0.16322262222979297</v>
      </c>
      <c r="L5" s="27">
        <f t="shared" si="1"/>
        <v>0.14741216979096747</v>
      </c>
      <c r="M5" s="27">
        <f t="shared" si="1"/>
        <v>0.14617054206915397</v>
      </c>
      <c r="N5" s="28">
        <f t="shared" si="1"/>
        <v>0.12786854769582998</v>
      </c>
      <c r="O5" s="27">
        <f t="shared" si="1"/>
        <v>0.1208002601579337</v>
      </c>
      <c r="P5" s="27">
        <f t="shared" si="1"/>
        <v>0.10064858085819356</v>
      </c>
      <c r="Q5" s="27">
        <f t="shared" si="1"/>
        <v>6.5948381604602993E-2</v>
      </c>
      <c r="R5" s="27">
        <f t="shared" si="1"/>
        <v>5.6366289968071817E-2</v>
      </c>
      <c r="S5" s="27">
        <f t="shared" si="1"/>
        <v>5.1994878955702539E-2</v>
      </c>
      <c r="T5" s="27">
        <f t="shared" si="1"/>
        <v>4.6082409730086663E-2</v>
      </c>
      <c r="U5" s="27">
        <f t="shared" si="1"/>
        <v>4.1279167070183719E-2</v>
      </c>
      <c r="V5" s="27">
        <f t="shared" si="1"/>
        <v>3.81921155241082E-2</v>
      </c>
      <c r="W5" s="27">
        <f t="shared" si="1"/>
        <v>3.7507466448039199E-2</v>
      </c>
      <c r="X5" s="28">
        <f t="shared" si="1"/>
        <v>8.5427970392661243E-2</v>
      </c>
      <c r="Y5" s="27">
        <f t="shared" si="1"/>
        <v>2.2685362746047492E-2</v>
      </c>
      <c r="Z5" s="27">
        <f t="shared" si="1"/>
        <v>2.2127713822248832E-2</v>
      </c>
      <c r="AA5" s="27">
        <f t="shared" si="1"/>
        <v>2.1570064898450179E-2</v>
      </c>
      <c r="AB5" s="27">
        <f t="shared" si="1"/>
        <v>7.0023100979765352E-3</v>
      </c>
      <c r="AC5" s="27">
        <f t="shared" si="1"/>
        <v>6.8229340328481046E-3</v>
      </c>
    </row>
    <row r="6" spans="1:29" ht="19.5" hidden="1" customHeight="1" x14ac:dyDescent="0.2">
      <c r="A6" s="25"/>
      <c r="B6" s="25"/>
      <c r="C6" s="29" t="s">
        <v>37</v>
      </c>
      <c r="D6" s="23"/>
      <c r="E6" s="30"/>
      <c r="F6" s="30"/>
      <c r="G6" s="30"/>
      <c r="H6" s="30"/>
      <c r="I6" s="30"/>
      <c r="J6" s="31"/>
      <c r="K6" s="31"/>
      <c r="L6" s="30"/>
      <c r="M6" s="31"/>
      <c r="N6" s="31"/>
      <c r="O6" s="32"/>
      <c r="P6" s="32"/>
      <c r="Q6" s="32"/>
      <c r="R6" s="32"/>
      <c r="S6" s="32"/>
      <c r="T6" s="32"/>
      <c r="U6" s="32"/>
      <c r="V6" s="32"/>
      <c r="W6" s="32"/>
      <c r="X6" s="33"/>
      <c r="Y6" s="34"/>
      <c r="Z6" s="34"/>
    </row>
    <row r="7" spans="1:29" ht="18" customHeight="1" x14ac:dyDescent="0.2">
      <c r="A7" s="25"/>
      <c r="B7" s="25"/>
      <c r="C7" s="1431" t="s">
        <v>38</v>
      </c>
      <c r="D7" s="30">
        <f t="shared" ref="D7:AC7" si="2">SUM(D48:D102)</f>
        <v>6101581.5113333333</v>
      </c>
      <c r="E7" s="30">
        <f>SUM(E48:E102)</f>
        <v>8032761.7811400006</v>
      </c>
      <c r="F7" s="30">
        <f t="shared" si="2"/>
        <v>7093538.3792891512</v>
      </c>
      <c r="G7" s="30">
        <f t="shared" si="2"/>
        <v>6027671.5185397984</v>
      </c>
      <c r="H7" s="30">
        <f t="shared" si="2"/>
        <v>5698907.5597427795</v>
      </c>
      <c r="I7" s="30">
        <f t="shared" si="2"/>
        <v>5150729.6102816993</v>
      </c>
      <c r="J7" s="30">
        <f t="shared" si="2"/>
        <v>5181739.2410000004</v>
      </c>
      <c r="K7" s="31">
        <f t="shared" si="2"/>
        <v>5157788.5430000015</v>
      </c>
      <c r="L7" s="31">
        <f t="shared" si="2"/>
        <v>4388048.620000001</v>
      </c>
      <c r="M7" s="31">
        <f t="shared" si="2"/>
        <v>4269230.8660000004</v>
      </c>
      <c r="N7" s="31">
        <f t="shared" si="2"/>
        <v>2305295.8199999998</v>
      </c>
      <c r="O7" s="30">
        <f t="shared" si="2"/>
        <v>1976666.399</v>
      </c>
      <c r="P7" s="30">
        <f t="shared" si="2"/>
        <v>1263295.4839999999</v>
      </c>
      <c r="Q7" s="30">
        <f t="shared" si="2"/>
        <v>1212440.5079999999</v>
      </c>
      <c r="R7" s="30">
        <f t="shared" si="2"/>
        <v>1139179.5319999999</v>
      </c>
      <c r="S7" s="30">
        <f t="shared" si="2"/>
        <v>1112452.5559999999</v>
      </c>
      <c r="T7" s="30">
        <f t="shared" si="2"/>
        <v>1085725.58</v>
      </c>
      <c r="U7" s="30">
        <f t="shared" si="2"/>
        <v>862056.60400000005</v>
      </c>
      <c r="V7" s="30">
        <f t="shared" si="2"/>
        <v>728801.06200000003</v>
      </c>
      <c r="W7" s="30">
        <f t="shared" si="2"/>
        <v>722110.36200000008</v>
      </c>
      <c r="X7" s="31">
        <f t="shared" si="2"/>
        <v>403423.78899999999</v>
      </c>
      <c r="Y7" s="30">
        <f t="shared" si="2"/>
        <v>0</v>
      </c>
      <c r="Z7" s="30">
        <f t="shared" si="2"/>
        <v>0</v>
      </c>
      <c r="AA7" s="30">
        <f t="shared" si="2"/>
        <v>0</v>
      </c>
      <c r="AB7" s="30">
        <f t="shared" si="2"/>
        <v>0</v>
      </c>
      <c r="AC7" s="30">
        <f t="shared" si="2"/>
        <v>0</v>
      </c>
    </row>
    <row r="8" spans="1:29" x14ac:dyDescent="0.2">
      <c r="A8" s="25"/>
      <c r="B8" s="25"/>
      <c r="C8" s="1431"/>
      <c r="D8" s="35">
        <f>D7/D11</f>
        <v>0.11832140005445123</v>
      </c>
      <c r="E8" s="35">
        <f t="shared" ref="E8:M8" si="3">E7/E11</f>
        <v>0.15247462438253351</v>
      </c>
      <c r="F8" s="35">
        <f t="shared" si="3"/>
        <v>0.1346466669115764</v>
      </c>
      <c r="G8" s="35">
        <f t="shared" si="3"/>
        <v>0.11441481469654863</v>
      </c>
      <c r="H8" s="35">
        <f t="shared" si="3"/>
        <v>0.10817435064522006</v>
      </c>
      <c r="I8" s="35">
        <f t="shared" si="3"/>
        <v>9.7769059262733229E-2</v>
      </c>
      <c r="J8" s="35">
        <f>J7/J11</f>
        <v>9.8357671489117837E-2</v>
      </c>
      <c r="K8" s="35">
        <f t="shared" si="3"/>
        <v>9.7903049059031147E-2</v>
      </c>
      <c r="L8" s="35">
        <f t="shared" si="3"/>
        <v>8.3292158206120917E-2</v>
      </c>
      <c r="M8" s="36">
        <f t="shared" si="3"/>
        <v>8.1036807816711603E-2</v>
      </c>
      <c r="N8" s="36">
        <f>N7/N11</f>
        <v>4.3758189751176735E-2</v>
      </c>
      <c r="O8" s="35">
        <f t="shared" ref="O8:AC8" si="4">O7/O11</f>
        <v>3.752027944171487E-2</v>
      </c>
      <c r="P8" s="35">
        <f t="shared" si="4"/>
        <v>2.3979362223749943E-2</v>
      </c>
      <c r="Q8" s="35">
        <f t="shared" si="4"/>
        <v>2.3014053706598536E-2</v>
      </c>
      <c r="R8" s="35">
        <f t="shared" si="4"/>
        <v>2.1623443589947909E-2</v>
      </c>
      <c r="S8" s="35">
        <f t="shared" si="4"/>
        <v>2.11161229774969E-2</v>
      </c>
      <c r="T8" s="35">
        <f t="shared" si="4"/>
        <v>2.0608802365045895E-2</v>
      </c>
      <c r="U8" s="35">
        <f t="shared" si="4"/>
        <v>1.6363208628941611E-2</v>
      </c>
      <c r="V8" s="35">
        <f t="shared" si="4"/>
        <v>1.3833806006664742E-2</v>
      </c>
      <c r="W8" s="35">
        <f t="shared" si="4"/>
        <v>1.3706805854394395E-2</v>
      </c>
      <c r="X8" s="36">
        <f t="shared" si="4"/>
        <v>7.6576266507960289E-3</v>
      </c>
      <c r="Y8" s="35">
        <f t="shared" si="4"/>
        <v>0</v>
      </c>
      <c r="Z8" s="35">
        <f t="shared" si="4"/>
        <v>0</v>
      </c>
      <c r="AA8" s="35">
        <f t="shared" si="4"/>
        <v>0</v>
      </c>
      <c r="AB8" s="35">
        <f t="shared" si="4"/>
        <v>0</v>
      </c>
      <c r="AC8" s="35">
        <f t="shared" si="4"/>
        <v>0</v>
      </c>
    </row>
    <row r="9" spans="1:29" x14ac:dyDescent="0.2">
      <c r="A9" s="25"/>
      <c r="B9" s="25"/>
      <c r="C9" s="1432" t="s">
        <v>39</v>
      </c>
      <c r="D9" s="30">
        <f t="shared" ref="D9:AC9" si="5">SUM(D13:D46)</f>
        <v>0</v>
      </c>
      <c r="E9" s="30">
        <f t="shared" si="5"/>
        <v>0</v>
      </c>
      <c r="F9" s="30">
        <f t="shared" si="5"/>
        <v>13500</v>
      </c>
      <c r="G9" s="30">
        <f t="shared" si="5"/>
        <v>603092.11800000002</v>
      </c>
      <c r="H9" s="30">
        <f t="shared" si="5"/>
        <v>2264500.3050000002</v>
      </c>
      <c r="I9" s="30">
        <f t="shared" si="5"/>
        <v>2678308.253</v>
      </c>
      <c r="J9" s="30">
        <f t="shared" si="5"/>
        <v>3510204.9</v>
      </c>
      <c r="K9" s="30">
        <f t="shared" si="5"/>
        <v>3441205.8600000003</v>
      </c>
      <c r="L9" s="30">
        <f t="shared" si="5"/>
        <v>3378009.8199999994</v>
      </c>
      <c r="M9" s="30">
        <f t="shared" si="5"/>
        <v>3431415.38</v>
      </c>
      <c r="N9" s="30">
        <f t="shared" si="5"/>
        <v>4431153.5209999997</v>
      </c>
      <c r="O9" s="30">
        <f t="shared" si="5"/>
        <v>4387407.0779999997</v>
      </c>
      <c r="P9" s="30">
        <f t="shared" si="5"/>
        <v>4039134.8510000003</v>
      </c>
      <c r="Q9" s="30">
        <f t="shared" si="5"/>
        <v>2261892.6239999998</v>
      </c>
      <c r="R9" s="30">
        <f t="shared" si="5"/>
        <v>1830343.9650000001</v>
      </c>
      <c r="S9" s="30">
        <f t="shared" si="5"/>
        <v>1626773.5819999999</v>
      </c>
      <c r="T9" s="30">
        <f t="shared" si="5"/>
        <v>1342016.2239999999</v>
      </c>
      <c r="U9" s="30">
        <f t="shared" si="5"/>
        <v>1312637.821</v>
      </c>
      <c r="V9" s="30">
        <f t="shared" si="5"/>
        <v>1283259.4180000001</v>
      </c>
      <c r="W9" s="30">
        <f t="shared" si="5"/>
        <v>1253881.0150000001</v>
      </c>
      <c r="X9" s="31">
        <f t="shared" si="5"/>
        <v>4097145</v>
      </c>
      <c r="Y9" s="30">
        <f t="shared" si="5"/>
        <v>1195124.209</v>
      </c>
      <c r="Z9" s="30">
        <f t="shared" si="5"/>
        <v>1165745.8059999999</v>
      </c>
      <c r="AA9" s="30">
        <f t="shared" si="5"/>
        <v>1136367.4029999999</v>
      </c>
      <c r="AB9" s="30">
        <f t="shared" si="5"/>
        <v>368900</v>
      </c>
      <c r="AC9" s="30">
        <f t="shared" si="5"/>
        <v>359450</v>
      </c>
    </row>
    <row r="10" spans="1:29" ht="12.75" customHeight="1" x14ac:dyDescent="0.2">
      <c r="A10" s="25"/>
      <c r="B10" s="25"/>
      <c r="C10" s="1432"/>
      <c r="D10" s="35">
        <f t="shared" ref="D10:I10" si="6">D9/D11</f>
        <v>0</v>
      </c>
      <c r="E10" s="35">
        <f t="shared" si="6"/>
        <v>0</v>
      </c>
      <c r="F10" s="35">
        <f t="shared" si="6"/>
        <v>2.5625152161204456E-4</v>
      </c>
      <c r="G10" s="35">
        <f t="shared" si="6"/>
        <v>1.1447649845165239E-2</v>
      </c>
      <c r="H10" s="35">
        <f t="shared" si="6"/>
        <v>4.2983825840532515E-2</v>
      </c>
      <c r="I10" s="35">
        <f t="shared" si="6"/>
        <v>5.0838560383507168E-2</v>
      </c>
      <c r="J10" s="35">
        <f>J9/J11</f>
        <v>6.6629284947781822E-2</v>
      </c>
      <c r="K10" s="35">
        <f>K9/K11</f>
        <v>6.5319573170761813E-2</v>
      </c>
      <c r="L10" s="35">
        <f>L9/L11</f>
        <v>6.4120011584846551E-2</v>
      </c>
      <c r="M10" s="36">
        <f>M9/M11</f>
        <v>6.5133734252442371E-2</v>
      </c>
      <c r="N10" s="36">
        <f>N9/N11</f>
        <v>8.4110357944653241E-2</v>
      </c>
      <c r="O10" s="35">
        <f t="shared" ref="O10:AC10" si="7">O9/O11</f>
        <v>8.3279980716218824E-2</v>
      </c>
      <c r="P10" s="35">
        <f t="shared" si="7"/>
        <v>7.666921863444362E-2</v>
      </c>
      <c r="Q10" s="35">
        <f t="shared" si="7"/>
        <v>4.293432789800445E-2</v>
      </c>
      <c r="R10" s="35">
        <f t="shared" si="7"/>
        <v>3.4742846378123915E-2</v>
      </c>
      <c r="S10" s="35">
        <f t="shared" si="7"/>
        <v>3.0878755978205635E-2</v>
      </c>
      <c r="T10" s="35">
        <f t="shared" si="7"/>
        <v>2.5473607365040771E-2</v>
      </c>
      <c r="U10" s="35">
        <f t="shared" si="7"/>
        <v>2.4915958441242114E-2</v>
      </c>
      <c r="V10" s="35">
        <f t="shared" si="7"/>
        <v>2.4358309517443461E-2</v>
      </c>
      <c r="W10" s="35">
        <f t="shared" si="7"/>
        <v>2.3800660593644805E-2</v>
      </c>
      <c r="X10" s="36">
        <f t="shared" si="7"/>
        <v>7.77703437418652E-2</v>
      </c>
      <c r="Y10" s="35">
        <f t="shared" si="7"/>
        <v>2.2685362746047492E-2</v>
      </c>
      <c r="Z10" s="35">
        <f t="shared" si="7"/>
        <v>2.2127713822248832E-2</v>
      </c>
      <c r="AA10" s="35">
        <f t="shared" si="7"/>
        <v>2.1570064898450179E-2</v>
      </c>
      <c r="AB10" s="35">
        <f t="shared" si="7"/>
        <v>7.0023100979765352E-3</v>
      </c>
      <c r="AC10" s="35">
        <f t="shared" si="7"/>
        <v>6.8229340328481046E-3</v>
      </c>
    </row>
    <row r="11" spans="1:29" ht="28.5" customHeight="1" thickBot="1" x14ac:dyDescent="0.25">
      <c r="A11" s="37"/>
      <c r="B11" s="37"/>
      <c r="C11" s="38" t="s">
        <v>40</v>
      </c>
      <c r="D11" s="39">
        <v>51567861</v>
      </c>
      <c r="E11" s="39">
        <v>52682614</v>
      </c>
      <c r="F11" s="39">
        <v>52682614</v>
      </c>
      <c r="G11" s="39">
        <v>52682614</v>
      </c>
      <c r="H11" s="39">
        <v>52682614</v>
      </c>
      <c r="I11" s="39">
        <v>52682614</v>
      </c>
      <c r="J11" s="39">
        <v>52682614</v>
      </c>
      <c r="K11" s="39">
        <v>52682614</v>
      </c>
      <c r="L11" s="39">
        <v>52682614</v>
      </c>
      <c r="M11" s="39">
        <v>52682614</v>
      </c>
      <c r="N11" s="39">
        <v>52682614</v>
      </c>
      <c r="O11" s="39">
        <v>52682614</v>
      </c>
      <c r="P11" s="39">
        <v>52682614</v>
      </c>
      <c r="Q11" s="39">
        <v>52682614</v>
      </c>
      <c r="R11" s="39">
        <v>52682614</v>
      </c>
      <c r="S11" s="39">
        <v>52682614</v>
      </c>
      <c r="T11" s="39">
        <v>52682614</v>
      </c>
      <c r="U11" s="39">
        <v>52682614</v>
      </c>
      <c r="V11" s="39">
        <v>52682614</v>
      </c>
      <c r="W11" s="39">
        <v>52682614</v>
      </c>
      <c r="X11" s="39">
        <v>52682614</v>
      </c>
      <c r="Y11" s="39">
        <v>52682614</v>
      </c>
      <c r="Z11" s="39">
        <v>52682614</v>
      </c>
      <c r="AA11" s="39">
        <v>52682614</v>
      </c>
      <c r="AB11" s="39">
        <v>52682614</v>
      </c>
      <c r="AC11" s="39">
        <v>52682614</v>
      </c>
    </row>
    <row r="12" spans="1:29" ht="26.25" customHeight="1" thickBot="1" x14ac:dyDescent="0.25">
      <c r="A12" s="40">
        <f>SUM(A17:A46)</f>
        <v>38253613</v>
      </c>
      <c r="B12" s="41"/>
      <c r="C12" s="42" t="s">
        <v>41</v>
      </c>
      <c r="D12" s="43"/>
      <c r="E12" s="43"/>
      <c r="F12" s="43"/>
      <c r="G12" s="43"/>
      <c r="H12" s="44"/>
      <c r="I12" s="44"/>
      <c r="J12" s="44"/>
      <c r="K12" s="45"/>
      <c r="L12" s="46"/>
      <c r="M12" s="45"/>
      <c r="N12" s="45"/>
      <c r="O12" s="47"/>
      <c r="P12" s="47"/>
      <c r="Q12" s="47"/>
      <c r="R12" s="47"/>
      <c r="S12" s="47"/>
      <c r="T12" s="47"/>
      <c r="U12" s="47"/>
      <c r="V12" s="47"/>
      <c r="W12" s="47"/>
      <c r="X12" s="48"/>
      <c r="Y12" s="49"/>
      <c r="Z12" s="49"/>
      <c r="AA12" s="49"/>
      <c r="AB12" s="49"/>
      <c r="AC12" s="49"/>
    </row>
    <row r="13" spans="1:29" ht="26.25" customHeight="1" x14ac:dyDescent="0.2">
      <c r="A13" s="50">
        <v>952942</v>
      </c>
      <c r="B13" s="51" t="s">
        <v>42</v>
      </c>
      <c r="C13" s="52" t="s">
        <v>43</v>
      </c>
      <c r="D13" s="53">
        <v>0</v>
      </c>
      <c r="E13" s="53">
        <v>0</v>
      </c>
      <c r="F13" s="54">
        <v>0</v>
      </c>
      <c r="G13" s="55">
        <v>0</v>
      </c>
      <c r="H13" s="55">
        <v>0</v>
      </c>
      <c r="I13" s="55">
        <v>0</v>
      </c>
      <c r="J13" s="54">
        <v>95295</v>
      </c>
      <c r="K13" s="53">
        <v>95295</v>
      </c>
      <c r="L13" s="53">
        <v>95295</v>
      </c>
      <c r="M13" s="53">
        <v>95295</v>
      </c>
      <c r="N13" s="53">
        <v>95295</v>
      </c>
      <c r="O13" s="53">
        <v>95295</v>
      </c>
      <c r="P13" s="53">
        <v>95295</v>
      </c>
      <c r="Q13" s="53">
        <v>95295</v>
      </c>
      <c r="R13" s="53">
        <v>95295</v>
      </c>
      <c r="S13" s="53">
        <v>95287</v>
      </c>
      <c r="T13" s="53"/>
      <c r="U13" s="56"/>
      <c r="V13" s="56"/>
      <c r="W13" s="56"/>
      <c r="X13" s="56"/>
      <c r="Y13" s="57"/>
      <c r="Z13" s="57"/>
      <c r="AA13" s="57"/>
      <c r="AB13" s="57"/>
      <c r="AC13" s="57"/>
    </row>
    <row r="14" spans="1:29" ht="20.25" customHeight="1" thickBot="1" x14ac:dyDescent="0.25">
      <c r="A14" s="58"/>
      <c r="B14" s="59"/>
      <c r="C14" s="60" t="s">
        <v>44</v>
      </c>
      <c r="D14" s="61">
        <v>0</v>
      </c>
      <c r="E14" s="61">
        <v>0</v>
      </c>
      <c r="F14" s="61">
        <v>0</v>
      </c>
      <c r="G14" s="62">
        <v>0</v>
      </c>
      <c r="H14" s="61">
        <v>0</v>
      </c>
      <c r="I14" s="61">
        <f>J14/12*8</f>
        <v>17152.956000000002</v>
      </c>
      <c r="J14" s="61">
        <f>A13*0.027</f>
        <v>25729.434000000001</v>
      </c>
      <c r="K14" s="61">
        <f>(A13-J13)*0.027</f>
        <v>23156.469000000001</v>
      </c>
      <c r="L14" s="61">
        <f>(A13-J13-K13)*0.027</f>
        <v>20583.504000000001</v>
      </c>
      <c r="M14" s="61">
        <f>(A13-J13-K13-L13)*0.027</f>
        <v>18010.539000000001</v>
      </c>
      <c r="N14" s="61">
        <f>(A13-J13-K13-L13-M13)*0.027</f>
        <v>15437.574000000001</v>
      </c>
      <c r="O14" s="62">
        <f>(A13-J13-K13-L13-M13-N13)*0.027</f>
        <v>12864.609</v>
      </c>
      <c r="P14" s="61">
        <f>(A13-J13-K13-L13-M13-N13-O13)*0.027</f>
        <v>10291.644</v>
      </c>
      <c r="Q14" s="62">
        <f>(A13-J13-K13-L13-M13-N13-O13-P13)*0.027</f>
        <v>7718.6790000000001</v>
      </c>
      <c r="R14" s="61">
        <f>(A13-J13-K13-L13-M13-N13-O13-P13-Q13)*0.027</f>
        <v>5145.7139999999999</v>
      </c>
      <c r="S14" s="62">
        <f>(A13-J13-K13-L13-M13-N13-O13-P13-Q13-R13)*0.027</f>
        <v>2572.7489999999998</v>
      </c>
      <c r="T14" s="61"/>
      <c r="U14" s="63"/>
      <c r="V14" s="64"/>
      <c r="W14" s="63"/>
      <c r="X14" s="65"/>
      <c r="Y14" s="66"/>
      <c r="Z14" s="66"/>
      <c r="AA14" s="66"/>
      <c r="AB14" s="66"/>
      <c r="AC14" s="66"/>
    </row>
    <row r="15" spans="1:29" ht="22.5" customHeight="1" x14ac:dyDescent="0.2">
      <c r="A15" s="50">
        <v>825258</v>
      </c>
      <c r="B15" s="51" t="s">
        <v>45</v>
      </c>
      <c r="C15" s="52" t="s">
        <v>46</v>
      </c>
      <c r="D15" s="53">
        <v>0</v>
      </c>
      <c r="E15" s="53">
        <v>0</v>
      </c>
      <c r="F15" s="53">
        <v>0</v>
      </c>
      <c r="G15" s="67">
        <v>0</v>
      </c>
      <c r="H15" s="68">
        <v>0</v>
      </c>
      <c r="I15" s="53">
        <v>82526</v>
      </c>
      <c r="J15" s="53">
        <v>82526</v>
      </c>
      <c r="K15" s="53">
        <v>82526</v>
      </c>
      <c r="L15" s="53">
        <v>82526</v>
      </c>
      <c r="M15" s="53">
        <v>82526</v>
      </c>
      <c r="N15" s="53">
        <v>82526</v>
      </c>
      <c r="O15" s="53">
        <v>82526</v>
      </c>
      <c r="P15" s="53">
        <v>82526</v>
      </c>
      <c r="Q15" s="53">
        <v>82526</v>
      </c>
      <c r="R15" s="53">
        <v>82524</v>
      </c>
      <c r="S15" s="54"/>
      <c r="T15" s="53"/>
      <c r="U15" s="69"/>
      <c r="V15" s="70"/>
      <c r="W15" s="69"/>
      <c r="X15" s="71"/>
      <c r="Y15" s="72"/>
      <c r="Z15" s="72"/>
      <c r="AA15" s="72"/>
      <c r="AB15" s="72"/>
      <c r="AC15" s="72"/>
    </row>
    <row r="16" spans="1:29" ht="18" customHeight="1" thickBot="1" x14ac:dyDescent="0.25">
      <c r="A16" s="58"/>
      <c r="B16" s="59"/>
      <c r="C16" s="60" t="s">
        <v>44</v>
      </c>
      <c r="D16" s="61">
        <v>0</v>
      </c>
      <c r="E16" s="61">
        <v>0</v>
      </c>
      <c r="F16" s="61">
        <v>0</v>
      </c>
      <c r="G16" s="62">
        <v>0</v>
      </c>
      <c r="H16" s="61">
        <f>I16/12*8</f>
        <v>14854.644</v>
      </c>
      <c r="I16" s="61">
        <f>A15*0.027</f>
        <v>22281.966</v>
      </c>
      <c r="J16" s="61">
        <f>(A15-I15)*0.027</f>
        <v>20053.763999999999</v>
      </c>
      <c r="K16" s="61">
        <f>(A15-I15-J15)*0.027</f>
        <v>17825.561999999998</v>
      </c>
      <c r="L16" s="61">
        <f>(A15-I15-J15-K15)*0.027</f>
        <v>15597.36</v>
      </c>
      <c r="M16" s="61">
        <f>(A15-I15-J15-K15-L15)*0.027</f>
        <v>13369.157999999999</v>
      </c>
      <c r="N16" s="61">
        <f>(A15-I15-J15-K15-L15-M15)*0.027</f>
        <v>11140.956</v>
      </c>
      <c r="O16" s="62">
        <f>(A15-I15-J15-K15-L15-M15-N15)*0.027</f>
        <v>8912.753999999999</v>
      </c>
      <c r="P16" s="61">
        <f>(A15-I15-J15-K15-L15-M15-N15-O15)*0.027</f>
        <v>6684.5519999999997</v>
      </c>
      <c r="Q16" s="62">
        <f>(A15-I15-J15-K15-L15-M15-N15-O15-P15)*0.027</f>
        <v>4456.3500000000004</v>
      </c>
      <c r="R16" s="61">
        <f>(A15-I15-J15-K15-L15-M15-N15-O15-P15-Q15)*0.027</f>
        <v>2228.1480000000001</v>
      </c>
      <c r="S16" s="62"/>
      <c r="T16" s="61"/>
      <c r="U16" s="63"/>
      <c r="V16" s="64"/>
      <c r="W16" s="63"/>
      <c r="X16" s="65"/>
      <c r="Y16" s="73"/>
      <c r="Z16" s="73"/>
      <c r="AA16" s="73"/>
      <c r="AB16" s="73"/>
      <c r="AC16" s="73"/>
    </row>
    <row r="17" spans="1:29" ht="51" x14ac:dyDescent="0.2">
      <c r="A17" s="74">
        <v>14761780</v>
      </c>
      <c r="B17" s="75" t="s">
        <v>47</v>
      </c>
      <c r="C17" s="52" t="s">
        <v>48</v>
      </c>
      <c r="D17" s="70">
        <v>0</v>
      </c>
      <c r="E17" s="70">
        <v>0</v>
      </c>
      <c r="F17" s="70"/>
      <c r="G17" s="70"/>
      <c r="H17" s="70">
        <v>738089</v>
      </c>
      <c r="I17" s="70">
        <v>738089</v>
      </c>
      <c r="J17" s="70">
        <v>738089</v>
      </c>
      <c r="K17" s="70">
        <v>738089</v>
      </c>
      <c r="L17" s="70">
        <v>738089</v>
      </c>
      <c r="M17" s="70">
        <v>738089</v>
      </c>
      <c r="N17" s="70">
        <v>738089</v>
      </c>
      <c r="O17" s="70">
        <v>738089</v>
      </c>
      <c r="P17" s="70">
        <v>738089</v>
      </c>
      <c r="Q17" s="70">
        <v>738089</v>
      </c>
      <c r="R17" s="70">
        <v>738089</v>
      </c>
      <c r="S17" s="70">
        <v>738089</v>
      </c>
      <c r="T17" s="70">
        <v>738089</v>
      </c>
      <c r="U17" s="70">
        <v>738089</v>
      </c>
      <c r="V17" s="70">
        <v>738089</v>
      </c>
      <c r="W17" s="70">
        <v>738089</v>
      </c>
      <c r="X17" s="70">
        <v>738089</v>
      </c>
      <c r="Y17" s="70">
        <v>738089</v>
      </c>
      <c r="Z17" s="70">
        <v>738089</v>
      </c>
      <c r="AA17" s="70">
        <v>738089</v>
      </c>
      <c r="AB17" s="69"/>
      <c r="AC17" s="69"/>
    </row>
    <row r="18" spans="1:29" ht="17.25" customHeight="1" thickBot="1" x14ac:dyDescent="0.25">
      <c r="A18" s="76"/>
      <c r="B18" s="77"/>
      <c r="C18" s="78" t="s">
        <v>44</v>
      </c>
      <c r="D18" s="79"/>
      <c r="E18" s="79">
        <v>0</v>
      </c>
      <c r="F18" s="79">
        <v>0</v>
      </c>
      <c r="G18" s="79">
        <f>(A17-F17)*0.027</f>
        <v>398568.06</v>
      </c>
      <c r="H18" s="79">
        <f>(A17-F17-G17)*0.027</f>
        <v>398568.06</v>
      </c>
      <c r="I18" s="79">
        <f>(A17-F17-G17-H17)*0.027</f>
        <v>378639.65700000001</v>
      </c>
      <c r="J18" s="79">
        <f>(A17-F17-G17-H17-I17)*0.027</f>
        <v>358711.25400000002</v>
      </c>
      <c r="K18" s="79">
        <f>(A17-F17-G17-H17-I17-J17)*0.027</f>
        <v>338782.85100000002</v>
      </c>
      <c r="L18" s="79">
        <f>(A17-F17-G17-H17-I17-J17-K17)*0.027</f>
        <v>318854.44799999997</v>
      </c>
      <c r="M18" s="79">
        <f>(A17-F17-G17-H17-I17-J17-K17-L17)*0.027</f>
        <v>298926.04499999998</v>
      </c>
      <c r="N18" s="79">
        <f>(A17-F17-G17-H17-I17-J17-K17-L17-M17)*0.027</f>
        <v>278997.64199999999</v>
      </c>
      <c r="O18" s="79">
        <f>(A17-F17-G17-H17-I17-J17-K17-L17-M17-N17)*0.027</f>
        <v>259069.239</v>
      </c>
      <c r="P18" s="79">
        <f>(A17-F17-G17-H17-I17-J17-K17-L17-M17-N17-O17)*0.027</f>
        <v>239140.83600000001</v>
      </c>
      <c r="Q18" s="79">
        <f>(A17-F17-G17-H17-I17-J17-K17-L17-M17-N17-O17-P17)*0.027</f>
        <v>219212.43299999999</v>
      </c>
      <c r="R18" s="79">
        <f>(A17-F17-G17-H17-I17-J17-K17-L17-M17-N17-O17-P17-Q17)*0.027</f>
        <v>199284.03</v>
      </c>
      <c r="S18" s="79">
        <f>(A17-F17-G17-H17-I17-J17-K17-L17-M17-N17-O17-P17-Q17-R17)*0.027</f>
        <v>179355.62700000001</v>
      </c>
      <c r="T18" s="79">
        <f>(A17-F17-G17-H17-I17-J17-K17-L17-M17-N17-O17-P17-Q17-R17-S17)*0.027</f>
        <v>159427.22399999999</v>
      </c>
      <c r="U18" s="79">
        <f>(A17-F17-G17-H17-I17-J17-K17-L17-M17-N17-O17-P17-Q17-R17-S17-T17)*0.027</f>
        <v>139498.821</v>
      </c>
      <c r="V18" s="79">
        <f>(A17-F17-G17-H17-I17-J17-K17-L17-M17-N17-O17-P17-Q17-R17-S17-T17-U17)*0.027</f>
        <v>119570.41800000001</v>
      </c>
      <c r="W18" s="79">
        <f>(A17-F17-G17-H17-I17-J17-K17-L17-M17-N17-O17-P17-Q17-R17-S17-T17-U17-V17)*0.027</f>
        <v>99642.014999999999</v>
      </c>
      <c r="X18" s="79">
        <f>(A17-F17-G17-H17-I17-J17-K17-L17-M17-N17-O17-P17-Q17-R17-S17-T17-U17-V17-W17)</f>
        <v>2952356</v>
      </c>
      <c r="Y18" s="79">
        <f>(A17-F17-G17-H17-I17-J17-K17-L17-M17-N17-O17-P17-Q17-R17-S17-T17-U17-V17-W17-X17)*0.027</f>
        <v>59785.209000000003</v>
      </c>
      <c r="Z18" s="79">
        <f>(A17-G17-H17-I17-J17-K17-L17-M17-N17-O17-P17-Q17-R17-S17-T17-U17-V17-W17-X17-Y17)*0.027</f>
        <v>39856.805999999997</v>
      </c>
      <c r="AA18" s="79">
        <f>(A17-H17-I17-J17-K17-L17-M17-N17-O17-P17-Q17-R17-S17-T17-U17-V17-W17-X17-Y17-Z17)*0.027</f>
        <v>19928.402999999998</v>
      </c>
      <c r="AB18" s="80"/>
      <c r="AC18" s="80"/>
    </row>
    <row r="19" spans="1:29" s="83" customFormat="1" ht="25.5" x14ac:dyDescent="0.2">
      <c r="A19" s="81">
        <v>750000</v>
      </c>
      <c r="B19" s="52">
        <v>2017</v>
      </c>
      <c r="C19" s="52" t="s">
        <v>49</v>
      </c>
      <c r="D19" s="69">
        <v>0</v>
      </c>
      <c r="E19" s="69">
        <v>0</v>
      </c>
      <c r="F19" s="82">
        <v>0</v>
      </c>
      <c r="G19" s="70">
        <v>75000</v>
      </c>
      <c r="H19" s="70">
        <v>75000</v>
      </c>
      <c r="I19" s="70">
        <v>75000</v>
      </c>
      <c r="J19" s="70">
        <v>75000</v>
      </c>
      <c r="K19" s="70">
        <v>75000</v>
      </c>
      <c r="L19" s="70">
        <v>75000</v>
      </c>
      <c r="M19" s="70">
        <v>75000</v>
      </c>
      <c r="N19" s="70">
        <v>75000</v>
      </c>
      <c r="O19" s="70">
        <v>75000</v>
      </c>
      <c r="P19" s="70">
        <v>75000</v>
      </c>
      <c r="Q19" s="70"/>
      <c r="R19" s="70"/>
      <c r="S19" s="70"/>
      <c r="T19" s="70"/>
      <c r="U19" s="70"/>
      <c r="V19" s="70"/>
      <c r="W19" s="70"/>
      <c r="X19" s="70"/>
      <c r="Y19" s="70"/>
      <c r="Z19" s="69"/>
      <c r="AA19" s="69"/>
      <c r="AB19" s="69"/>
      <c r="AC19" s="69"/>
    </row>
    <row r="20" spans="1:29" s="83" customFormat="1" ht="17.25" customHeight="1" thickBot="1" x14ac:dyDescent="0.25">
      <c r="A20" s="84"/>
      <c r="B20" s="85"/>
      <c r="C20" s="78" t="s">
        <v>44</v>
      </c>
      <c r="D20" s="80">
        <v>0</v>
      </c>
      <c r="E20" s="79"/>
      <c r="F20" s="79">
        <f>G20/12*8</f>
        <v>13500</v>
      </c>
      <c r="G20" s="79">
        <f>(A19)*0.027</f>
        <v>20250</v>
      </c>
      <c r="H20" s="79">
        <f>(A19-G19)*0.027</f>
        <v>18225</v>
      </c>
      <c r="I20" s="79">
        <f>(A19-G19-H19)*0.027</f>
        <v>16200</v>
      </c>
      <c r="J20" s="79">
        <f>(A19-G19-H19-I19)*0.027</f>
        <v>14175</v>
      </c>
      <c r="K20" s="79">
        <f>(A19-G19-H19-I19-J19)*0.027</f>
        <v>12150</v>
      </c>
      <c r="L20" s="79">
        <f>(A19-G19-H19-I19-J19-K19)*0.027</f>
        <v>10125</v>
      </c>
      <c r="M20" s="79">
        <f>(A19-G19-H19-I19-J19-K19-L19)*0.027</f>
        <v>8100</v>
      </c>
      <c r="N20" s="79">
        <f>(A19-G19-H19-I19-J19-K19-L19-M19)*0.027</f>
        <v>6075</v>
      </c>
      <c r="O20" s="79">
        <f>(A19-G19-H19-I19-J19-K19-L19-M19-N19)*0.027</f>
        <v>4050</v>
      </c>
      <c r="P20" s="79">
        <f>(A19-G19-H19-I19-J19-K19-L19-M19-N19-O19)*0.027</f>
        <v>2025</v>
      </c>
      <c r="Q20" s="80"/>
      <c r="R20" s="80"/>
      <c r="S20" s="80"/>
      <c r="T20" s="80"/>
      <c r="U20" s="80"/>
      <c r="V20" s="80"/>
      <c r="W20" s="80"/>
      <c r="X20" s="86"/>
      <c r="Y20" s="80"/>
      <c r="Z20" s="80"/>
      <c r="AA20" s="80"/>
      <c r="AB20" s="80"/>
      <c r="AC20" s="80"/>
    </row>
    <row r="21" spans="1:29" s="83" customFormat="1" ht="38.25" x14ac:dyDescent="0.2">
      <c r="A21" s="81">
        <v>400000</v>
      </c>
      <c r="B21" s="52" t="s">
        <v>42</v>
      </c>
      <c r="C21" s="52" t="s">
        <v>50</v>
      </c>
      <c r="D21" s="70"/>
      <c r="E21" s="70">
        <v>0</v>
      </c>
      <c r="F21" s="70">
        <v>0</v>
      </c>
      <c r="G21" s="70">
        <v>0</v>
      </c>
      <c r="H21" s="70">
        <v>0</v>
      </c>
      <c r="I21" s="70">
        <v>0</v>
      </c>
      <c r="J21" s="70">
        <v>80000</v>
      </c>
      <c r="K21" s="70">
        <v>80000</v>
      </c>
      <c r="L21" s="70">
        <v>80000</v>
      </c>
      <c r="M21" s="70">
        <v>80000</v>
      </c>
      <c r="N21" s="70">
        <v>80000</v>
      </c>
      <c r="O21" s="70"/>
      <c r="P21" s="70"/>
      <c r="Q21" s="69"/>
      <c r="R21" s="69"/>
      <c r="S21" s="69"/>
      <c r="T21" s="69"/>
      <c r="U21" s="69"/>
      <c r="V21" s="69"/>
      <c r="W21" s="69"/>
      <c r="X21" s="87"/>
      <c r="Y21" s="69"/>
      <c r="Z21" s="69"/>
      <c r="AA21" s="69"/>
      <c r="AB21" s="69"/>
      <c r="AC21" s="69"/>
    </row>
    <row r="22" spans="1:29" s="83" customFormat="1" ht="17.25" customHeight="1" thickBot="1" x14ac:dyDescent="0.25">
      <c r="A22" s="84"/>
      <c r="B22" s="85"/>
      <c r="C22" s="78" t="s">
        <v>44</v>
      </c>
      <c r="D22" s="79"/>
      <c r="E22" s="79">
        <v>0</v>
      </c>
      <c r="F22" s="79">
        <v>0</v>
      </c>
      <c r="G22" s="79">
        <v>0</v>
      </c>
      <c r="H22" s="79">
        <v>0</v>
      </c>
      <c r="I22" s="79">
        <f>J22/12*8</f>
        <v>7200</v>
      </c>
      <c r="J22" s="79">
        <f>A21*0.027</f>
        <v>10800</v>
      </c>
      <c r="K22" s="79">
        <f>(A21-J21)*0.027</f>
        <v>8640</v>
      </c>
      <c r="L22" s="79">
        <f>(A21-J21-K21)*0.027</f>
        <v>6480</v>
      </c>
      <c r="M22" s="79">
        <f>(A21-J21-K21-L21)*0.027</f>
        <v>4320</v>
      </c>
      <c r="N22" s="79">
        <f>(A21-J21-K21-L21-M21)*0.027</f>
        <v>2160</v>
      </c>
      <c r="O22" s="79"/>
      <c r="P22" s="79"/>
      <c r="Q22" s="80"/>
      <c r="R22" s="80"/>
      <c r="S22" s="80"/>
      <c r="T22" s="80"/>
      <c r="U22" s="80"/>
      <c r="V22" s="80"/>
      <c r="W22" s="80"/>
      <c r="X22" s="86"/>
      <c r="Y22" s="80"/>
      <c r="Z22" s="80"/>
      <c r="AA22" s="80"/>
      <c r="AB22" s="80"/>
      <c r="AC22" s="80"/>
    </row>
    <row r="23" spans="1:29" s="83" customFormat="1" ht="51" x14ac:dyDescent="0.2">
      <c r="A23" s="74">
        <v>570000</v>
      </c>
      <c r="B23" s="52" t="s">
        <v>42</v>
      </c>
      <c r="C23" s="52" t="s">
        <v>51</v>
      </c>
      <c r="D23" s="69"/>
      <c r="E23" s="69">
        <v>0</v>
      </c>
      <c r="F23" s="69">
        <v>0</v>
      </c>
      <c r="G23" s="69">
        <v>0</v>
      </c>
      <c r="H23" s="69">
        <v>0</v>
      </c>
      <c r="I23" s="69">
        <v>0</v>
      </c>
      <c r="J23" s="69">
        <v>114000</v>
      </c>
      <c r="K23" s="69">
        <v>114000</v>
      </c>
      <c r="L23" s="69">
        <v>114000</v>
      </c>
      <c r="M23" s="69">
        <v>114000</v>
      </c>
      <c r="N23" s="69">
        <v>114000</v>
      </c>
      <c r="O23" s="69"/>
      <c r="P23" s="69"/>
      <c r="Q23" s="69"/>
      <c r="R23" s="69"/>
      <c r="S23" s="69"/>
      <c r="T23" s="69"/>
      <c r="U23" s="69"/>
      <c r="V23" s="69"/>
      <c r="W23" s="69"/>
      <c r="X23" s="69"/>
      <c r="Y23" s="69"/>
      <c r="Z23" s="69"/>
      <c r="AA23" s="69"/>
      <c r="AB23" s="69"/>
      <c r="AC23" s="69"/>
    </row>
    <row r="24" spans="1:29" s="83" customFormat="1" ht="17.25" customHeight="1" thickBot="1" x14ac:dyDescent="0.25">
      <c r="A24" s="88"/>
      <c r="B24" s="85"/>
      <c r="C24" s="78" t="s">
        <v>44</v>
      </c>
      <c r="D24" s="80"/>
      <c r="E24" s="80">
        <v>0</v>
      </c>
      <c r="F24" s="80">
        <v>0</v>
      </c>
      <c r="G24" s="80">
        <v>0</v>
      </c>
      <c r="H24" s="80">
        <v>0</v>
      </c>
      <c r="I24" s="80">
        <f>J24/12*8</f>
        <v>10260</v>
      </c>
      <c r="J24" s="80">
        <f>A23*0.027</f>
        <v>15390</v>
      </c>
      <c r="K24" s="80">
        <f>(A23-J23)*0.027</f>
        <v>12312</v>
      </c>
      <c r="L24" s="80">
        <f>(A23-J23-K23)*0.027</f>
        <v>9234</v>
      </c>
      <c r="M24" s="80">
        <f>(A23-J23-K23-L23)*0.027</f>
        <v>6156</v>
      </c>
      <c r="N24" s="80">
        <f>(A23-J23-K23-L23-M23)*0.027</f>
        <v>3078</v>
      </c>
      <c r="O24" s="80"/>
      <c r="P24" s="80"/>
      <c r="Q24" s="80"/>
      <c r="R24" s="80"/>
      <c r="S24" s="80"/>
      <c r="T24" s="80"/>
      <c r="U24" s="80"/>
      <c r="V24" s="80"/>
      <c r="W24" s="80"/>
      <c r="X24" s="80"/>
      <c r="Y24" s="80"/>
      <c r="Z24" s="80"/>
      <c r="AA24" s="80"/>
      <c r="AB24" s="80"/>
      <c r="AC24" s="80"/>
    </row>
    <row r="25" spans="1:29" s="83" customFormat="1" ht="25.5" x14ac:dyDescent="0.2">
      <c r="A25" s="81">
        <v>695464</v>
      </c>
      <c r="B25" s="52">
        <v>2018</v>
      </c>
      <c r="C25" s="52" t="s">
        <v>52</v>
      </c>
      <c r="D25" s="70">
        <v>0</v>
      </c>
      <c r="E25" s="70">
        <v>0</v>
      </c>
      <c r="F25" s="70">
        <v>0</v>
      </c>
      <c r="G25" s="70">
        <v>0</v>
      </c>
      <c r="H25" s="70">
        <v>139093</v>
      </c>
      <c r="I25" s="70">
        <v>139093</v>
      </c>
      <c r="J25" s="70">
        <v>139092</v>
      </c>
      <c r="K25" s="70">
        <v>139092</v>
      </c>
      <c r="L25" s="70">
        <v>139092</v>
      </c>
      <c r="M25" s="70"/>
      <c r="N25" s="70"/>
      <c r="O25" s="70"/>
      <c r="P25" s="70"/>
      <c r="Q25" s="69"/>
      <c r="R25" s="69"/>
      <c r="S25" s="69"/>
      <c r="T25" s="69"/>
      <c r="U25" s="69"/>
      <c r="V25" s="69"/>
      <c r="W25" s="69"/>
      <c r="X25" s="69"/>
      <c r="Y25" s="69"/>
      <c r="Z25" s="69"/>
      <c r="AA25" s="69"/>
      <c r="AB25" s="69"/>
      <c r="AC25" s="69"/>
    </row>
    <row r="26" spans="1:29" s="83" customFormat="1" ht="17.25" customHeight="1" thickBot="1" x14ac:dyDescent="0.25">
      <c r="A26" s="84"/>
      <c r="B26" s="85"/>
      <c r="C26" s="78" t="s">
        <v>44</v>
      </c>
      <c r="D26" s="79">
        <v>0</v>
      </c>
      <c r="E26" s="79">
        <f>F26/12*8</f>
        <v>0</v>
      </c>
      <c r="F26" s="79">
        <v>0</v>
      </c>
      <c r="G26" s="79">
        <f>H26/12*8</f>
        <v>12518.351999999999</v>
      </c>
      <c r="H26" s="79">
        <f>A25*0.027</f>
        <v>18777.527999999998</v>
      </c>
      <c r="I26" s="79">
        <f>(A25-H25)*0.027</f>
        <v>15022.017</v>
      </c>
      <c r="J26" s="79">
        <f>(A25-H25-I25)*0.027</f>
        <v>11266.505999999999</v>
      </c>
      <c r="K26" s="79">
        <f>(A25-H25-I25-J25)*0.027</f>
        <v>7511.0219999999999</v>
      </c>
      <c r="L26" s="79">
        <f>(A25-H25-I25-J25-K25)*0.027</f>
        <v>3755.538</v>
      </c>
      <c r="M26" s="79"/>
      <c r="N26" s="79"/>
      <c r="O26" s="79"/>
      <c r="P26" s="79"/>
      <c r="Q26" s="80"/>
      <c r="R26" s="80"/>
      <c r="S26" s="80"/>
      <c r="T26" s="80"/>
      <c r="U26" s="80"/>
      <c r="V26" s="80"/>
      <c r="W26" s="80"/>
      <c r="X26" s="80"/>
      <c r="Y26" s="80"/>
      <c r="Z26" s="80"/>
      <c r="AA26" s="80"/>
      <c r="AB26" s="80"/>
      <c r="AC26" s="80"/>
    </row>
    <row r="27" spans="1:29" s="83" customFormat="1" ht="25.5" x14ac:dyDescent="0.2">
      <c r="A27" s="81">
        <v>1533782</v>
      </c>
      <c r="B27" s="52" t="s">
        <v>42</v>
      </c>
      <c r="C27" s="52" t="s">
        <v>29</v>
      </c>
      <c r="D27" s="69">
        <v>0</v>
      </c>
      <c r="E27" s="70">
        <v>0</v>
      </c>
      <c r="F27" s="70">
        <v>0</v>
      </c>
      <c r="G27" s="70">
        <v>0</v>
      </c>
      <c r="H27" s="70">
        <v>0</v>
      </c>
      <c r="I27" s="70">
        <v>0</v>
      </c>
      <c r="J27" s="70">
        <v>153379</v>
      </c>
      <c r="K27" s="70">
        <v>153379</v>
      </c>
      <c r="L27" s="70">
        <v>153378</v>
      </c>
      <c r="M27" s="70">
        <v>153378</v>
      </c>
      <c r="N27" s="70">
        <v>153378</v>
      </c>
      <c r="O27" s="70">
        <v>153378</v>
      </c>
      <c r="P27" s="70">
        <v>153378</v>
      </c>
      <c r="Q27" s="70">
        <v>153378</v>
      </c>
      <c r="R27" s="70">
        <v>153378</v>
      </c>
      <c r="S27" s="70">
        <v>153378</v>
      </c>
      <c r="T27" s="69"/>
      <c r="U27" s="69"/>
      <c r="V27" s="69"/>
      <c r="W27" s="69"/>
      <c r="X27" s="69"/>
      <c r="Y27" s="69"/>
      <c r="Z27" s="69"/>
      <c r="AA27" s="69"/>
      <c r="AB27" s="69"/>
      <c r="AC27" s="69"/>
    </row>
    <row r="28" spans="1:29" s="83" customFormat="1" ht="17.25" customHeight="1" thickBot="1" x14ac:dyDescent="0.25">
      <c r="A28" s="84"/>
      <c r="B28" s="85"/>
      <c r="C28" s="78" t="s">
        <v>44</v>
      </c>
      <c r="D28" s="80">
        <v>0</v>
      </c>
      <c r="E28" s="79">
        <v>0</v>
      </c>
      <c r="F28" s="79">
        <v>0</v>
      </c>
      <c r="G28" s="79">
        <v>0</v>
      </c>
      <c r="H28" s="79">
        <v>0</v>
      </c>
      <c r="I28" s="79">
        <f>J28/12*8</f>
        <v>27608.076000000001</v>
      </c>
      <c r="J28" s="79">
        <f>A27*0.027</f>
        <v>41412.114000000001</v>
      </c>
      <c r="K28" s="79">
        <f>(A27-J27)*0.027</f>
        <v>37270.881000000001</v>
      </c>
      <c r="L28" s="79">
        <f>(A27-J27-K27)*0.027</f>
        <v>33129.648000000001</v>
      </c>
      <c r="M28" s="79">
        <f>(A27-J27-K27-L27)*0.027</f>
        <v>28988.441999999999</v>
      </c>
      <c r="N28" s="79">
        <f>(A27-J27-K27-L27-M27)*0.027</f>
        <v>24847.236000000001</v>
      </c>
      <c r="O28" s="79">
        <f>(A27-J27-K27-L27-M27-N27)*0.027</f>
        <v>20706.03</v>
      </c>
      <c r="P28" s="79">
        <f>(A27-J27-K27-L27-M27-N27-O27)*0.027</f>
        <v>16564.824000000001</v>
      </c>
      <c r="Q28" s="80">
        <f>(A27-J27-K27-L27-M27-N27-O27-P27)*0.027</f>
        <v>12423.618</v>
      </c>
      <c r="R28" s="80">
        <f>(A27-J27-K27-L27-M27-N27-O27-P27-Q27)*0.027</f>
        <v>8282.4120000000003</v>
      </c>
      <c r="S28" s="80">
        <f>(A27-J27-K27-L27-M27-N27-O27-P27-R27-Q27)*0.027</f>
        <v>4141.2060000000001</v>
      </c>
      <c r="T28" s="80"/>
      <c r="U28" s="80"/>
      <c r="V28" s="80"/>
      <c r="W28" s="80"/>
      <c r="X28" s="80"/>
      <c r="Y28" s="80"/>
      <c r="Z28" s="80"/>
      <c r="AA28" s="80"/>
      <c r="AB28" s="80"/>
      <c r="AC28" s="80"/>
    </row>
    <row r="29" spans="1:29" s="83" customFormat="1" ht="25.5" x14ac:dyDescent="0.2">
      <c r="A29" s="81">
        <v>2207772</v>
      </c>
      <c r="B29" s="52">
        <v>2018</v>
      </c>
      <c r="C29" s="52" t="s">
        <v>53</v>
      </c>
      <c r="D29" s="69">
        <v>0</v>
      </c>
      <c r="E29" s="70">
        <v>0</v>
      </c>
      <c r="F29" s="70">
        <v>0</v>
      </c>
      <c r="G29" s="70">
        <v>0</v>
      </c>
      <c r="H29" s="70">
        <v>220778</v>
      </c>
      <c r="I29" s="70">
        <v>220778</v>
      </c>
      <c r="J29" s="70">
        <v>220778</v>
      </c>
      <c r="K29" s="70">
        <v>220778</v>
      </c>
      <c r="L29" s="70">
        <v>220778</v>
      </c>
      <c r="M29" s="70">
        <v>220778</v>
      </c>
      <c r="N29" s="70">
        <v>220778</v>
      </c>
      <c r="O29" s="70">
        <v>220770</v>
      </c>
      <c r="P29" s="70">
        <v>220770</v>
      </c>
      <c r="Q29" s="70">
        <v>220770</v>
      </c>
      <c r="R29" s="69"/>
      <c r="S29" s="69"/>
      <c r="T29" s="69"/>
      <c r="U29" s="69"/>
      <c r="V29" s="69"/>
      <c r="W29" s="69"/>
      <c r="X29" s="69"/>
      <c r="Y29" s="69"/>
      <c r="Z29" s="69"/>
      <c r="AA29" s="69"/>
      <c r="AB29" s="69"/>
      <c r="AC29" s="69"/>
    </row>
    <row r="30" spans="1:29" s="83" customFormat="1" ht="17.25" customHeight="1" thickBot="1" x14ac:dyDescent="0.25">
      <c r="A30" s="84"/>
      <c r="B30" s="85"/>
      <c r="C30" s="78" t="s">
        <v>44</v>
      </c>
      <c r="D30" s="80">
        <v>0</v>
      </c>
      <c r="E30" s="79">
        <v>0</v>
      </c>
      <c r="F30" s="79">
        <v>0</v>
      </c>
      <c r="G30" s="79">
        <f>H30/12*8</f>
        <v>39739.896000000001</v>
      </c>
      <c r="H30" s="79">
        <f>A29*0.027</f>
        <v>59609.843999999997</v>
      </c>
      <c r="I30" s="79">
        <f>(A29-H29)*0.027</f>
        <v>53648.837999999996</v>
      </c>
      <c r="J30" s="79">
        <f>(A29-H29-I29)*0.027</f>
        <v>47687.832000000002</v>
      </c>
      <c r="K30" s="79">
        <f>(A29-H29-I29-J29)*0.027</f>
        <v>41726.826000000001</v>
      </c>
      <c r="L30" s="79">
        <f>(A29-H29-I29-J29-K29)*0.027</f>
        <v>35765.82</v>
      </c>
      <c r="M30" s="79">
        <f>(A29-H29-I29-J29-K29-L29)*0.027</f>
        <v>29804.813999999998</v>
      </c>
      <c r="N30" s="79">
        <f>(A29-H29-I29-J29-K29-L29-M29)*0.027</f>
        <v>23843.808000000001</v>
      </c>
      <c r="O30" s="79">
        <f>(A29-H29-I29-J29-K29-L29-M29-N29)*0.027</f>
        <v>17882.802</v>
      </c>
      <c r="P30" s="79">
        <f>(A29-H29-I29-J29-K29-L29-M29-N29-O29)*0.027</f>
        <v>11922.012000000001</v>
      </c>
      <c r="Q30" s="80">
        <f>(A29-H29-I29-J29-K29-L29-M29-N29-O29-P29)*0.027</f>
        <v>5961.2219999999998</v>
      </c>
      <c r="R30" s="80"/>
      <c r="S30" s="80"/>
      <c r="T30" s="80"/>
      <c r="U30" s="80"/>
      <c r="V30" s="80"/>
      <c r="W30" s="80"/>
      <c r="X30" s="80"/>
      <c r="Y30" s="80"/>
      <c r="Z30" s="80"/>
      <c r="AA30" s="80"/>
      <c r="AB30" s="80"/>
      <c r="AC30" s="80"/>
    </row>
    <row r="31" spans="1:29" s="83" customFormat="1" ht="27" customHeight="1" x14ac:dyDescent="0.2">
      <c r="A31" s="81">
        <v>443040</v>
      </c>
      <c r="B31" s="52" t="s">
        <v>45</v>
      </c>
      <c r="C31" s="52" t="s">
        <v>54</v>
      </c>
      <c r="D31" s="70">
        <v>0</v>
      </c>
      <c r="E31" s="70">
        <v>0</v>
      </c>
      <c r="F31" s="70">
        <v>0</v>
      </c>
      <c r="G31" s="70">
        <v>0</v>
      </c>
      <c r="H31" s="70">
        <v>0</v>
      </c>
      <c r="I31" s="70">
        <v>88608</v>
      </c>
      <c r="J31" s="70">
        <v>88608</v>
      </c>
      <c r="K31" s="70">
        <v>88608</v>
      </c>
      <c r="L31" s="70">
        <v>88608</v>
      </c>
      <c r="M31" s="70">
        <v>88608</v>
      </c>
      <c r="N31" s="70"/>
      <c r="O31" s="70"/>
      <c r="P31" s="70"/>
      <c r="Q31" s="69"/>
      <c r="R31" s="69"/>
      <c r="S31" s="69"/>
      <c r="T31" s="69"/>
      <c r="U31" s="69"/>
      <c r="V31" s="69"/>
      <c r="W31" s="69"/>
      <c r="X31" s="69"/>
      <c r="Y31" s="69"/>
      <c r="Z31" s="69"/>
      <c r="AA31" s="69"/>
      <c r="AB31" s="69"/>
      <c r="AC31" s="69"/>
    </row>
    <row r="32" spans="1:29" s="83" customFormat="1" ht="17.25" customHeight="1" thickBot="1" x14ac:dyDescent="0.25">
      <c r="A32" s="84"/>
      <c r="B32" s="85"/>
      <c r="C32" s="78" t="s">
        <v>44</v>
      </c>
      <c r="D32" s="79">
        <v>0</v>
      </c>
      <c r="E32" s="79">
        <v>0</v>
      </c>
      <c r="F32" s="79">
        <v>0</v>
      </c>
      <c r="G32" s="79">
        <v>0</v>
      </c>
      <c r="H32" s="79">
        <f>I32/12*8</f>
        <v>7974.72</v>
      </c>
      <c r="I32" s="79">
        <f>A31*0.027</f>
        <v>11962.08</v>
      </c>
      <c r="J32" s="79">
        <f>(A31-I31)*0.027</f>
        <v>9569.6640000000007</v>
      </c>
      <c r="K32" s="79">
        <f>(A31-I31-J31)*0.027</f>
        <v>7177.2479999999996</v>
      </c>
      <c r="L32" s="79">
        <f>(A31-I31-J31-K31)*0.027</f>
        <v>4784.8320000000003</v>
      </c>
      <c r="M32" s="79">
        <f>(A31-I31-J31-K31-L31)*0.027</f>
        <v>2392.4160000000002</v>
      </c>
      <c r="N32" s="79"/>
      <c r="O32" s="79"/>
      <c r="P32" s="79"/>
      <c r="Q32" s="80"/>
      <c r="R32" s="80"/>
      <c r="S32" s="80"/>
      <c r="T32" s="80"/>
      <c r="U32" s="80"/>
      <c r="V32" s="80"/>
      <c r="W32" s="80"/>
      <c r="X32" s="80"/>
      <c r="Y32" s="80"/>
      <c r="Z32" s="80"/>
      <c r="AA32" s="80"/>
      <c r="AB32" s="80"/>
      <c r="AC32" s="80"/>
    </row>
    <row r="33" spans="1:29" s="83" customFormat="1" ht="50.25" customHeight="1" x14ac:dyDescent="0.2">
      <c r="A33" s="81">
        <v>632545</v>
      </c>
      <c r="B33" s="52">
        <v>2018</v>
      </c>
      <c r="C33" s="52" t="s">
        <v>55</v>
      </c>
      <c r="D33" s="69">
        <v>0</v>
      </c>
      <c r="E33" s="70">
        <v>0</v>
      </c>
      <c r="F33" s="69">
        <v>0</v>
      </c>
      <c r="G33" s="89">
        <v>0</v>
      </c>
      <c r="H33" s="69">
        <v>126509</v>
      </c>
      <c r="I33" s="70">
        <v>126209</v>
      </c>
      <c r="J33" s="70">
        <v>126209</v>
      </c>
      <c r="K33" s="70">
        <v>126209</v>
      </c>
      <c r="L33" s="70">
        <v>126209</v>
      </c>
      <c r="M33" s="70"/>
      <c r="N33" s="70"/>
      <c r="O33" s="70"/>
      <c r="P33" s="70"/>
      <c r="Q33" s="69"/>
      <c r="R33" s="69"/>
      <c r="S33" s="69"/>
      <c r="T33" s="69"/>
      <c r="U33" s="69"/>
      <c r="V33" s="69"/>
      <c r="W33" s="69"/>
      <c r="X33" s="69"/>
      <c r="Y33" s="69"/>
      <c r="Z33" s="69"/>
      <c r="AA33" s="69"/>
      <c r="AB33" s="69"/>
      <c r="AC33" s="69"/>
    </row>
    <row r="34" spans="1:29" s="83" customFormat="1" ht="17.25" customHeight="1" thickBot="1" x14ac:dyDescent="0.25">
      <c r="A34" s="84"/>
      <c r="B34" s="85"/>
      <c r="C34" s="78" t="s">
        <v>44</v>
      </c>
      <c r="D34" s="80">
        <v>0</v>
      </c>
      <c r="E34" s="79">
        <v>0</v>
      </c>
      <c r="F34" s="79">
        <v>0</v>
      </c>
      <c r="G34" s="79">
        <f>H34/12*8</f>
        <v>11385.81</v>
      </c>
      <c r="H34" s="79">
        <f>(A33)*0.027</f>
        <v>17078.715</v>
      </c>
      <c r="I34" s="79">
        <f>(A33-H33)*0.027</f>
        <v>13662.972</v>
      </c>
      <c r="J34" s="79">
        <f>(A33-H33-I33)*0.027</f>
        <v>10255.329</v>
      </c>
      <c r="K34" s="79">
        <f>(A33-H33-I33-J33)*0.027</f>
        <v>6847.6859999999997</v>
      </c>
      <c r="L34" s="79">
        <f>(A33-H33-I33-J33-K33)*0.027</f>
        <v>3440.0430000000001</v>
      </c>
      <c r="M34" s="79"/>
      <c r="N34" s="79"/>
      <c r="O34" s="79"/>
      <c r="P34" s="79"/>
      <c r="Q34" s="80"/>
      <c r="R34" s="80"/>
      <c r="S34" s="80"/>
      <c r="T34" s="80"/>
      <c r="U34" s="80"/>
      <c r="V34" s="80"/>
      <c r="W34" s="80"/>
      <c r="X34" s="80"/>
      <c r="Y34" s="80"/>
      <c r="Z34" s="80"/>
      <c r="AA34" s="80"/>
      <c r="AB34" s="80"/>
      <c r="AC34" s="80"/>
    </row>
    <row r="35" spans="1:29" s="83" customFormat="1" ht="25.5" x14ac:dyDescent="0.2">
      <c r="A35" s="74">
        <v>800000</v>
      </c>
      <c r="B35" s="52">
        <v>2018</v>
      </c>
      <c r="C35" s="52" t="s">
        <v>56</v>
      </c>
      <c r="D35" s="69"/>
      <c r="E35" s="69">
        <v>0</v>
      </c>
      <c r="F35" s="69">
        <v>0</v>
      </c>
      <c r="G35" s="69">
        <v>0</v>
      </c>
      <c r="H35" s="69">
        <v>80000</v>
      </c>
      <c r="I35" s="69">
        <v>80000</v>
      </c>
      <c r="J35" s="69">
        <v>80000</v>
      </c>
      <c r="K35" s="69">
        <v>80000</v>
      </c>
      <c r="L35" s="69">
        <v>80000</v>
      </c>
      <c r="M35" s="69">
        <v>80000</v>
      </c>
      <c r="N35" s="69">
        <v>80000</v>
      </c>
      <c r="O35" s="69">
        <v>80000</v>
      </c>
      <c r="P35" s="69">
        <v>80000</v>
      </c>
      <c r="Q35" s="69">
        <v>80000</v>
      </c>
      <c r="R35" s="69"/>
      <c r="S35" s="69"/>
      <c r="T35" s="69"/>
      <c r="U35" s="69"/>
      <c r="V35" s="69"/>
      <c r="W35" s="69"/>
      <c r="X35" s="69"/>
      <c r="Y35" s="69"/>
      <c r="Z35" s="69"/>
      <c r="AA35" s="69"/>
      <c r="AB35" s="69"/>
      <c r="AC35" s="69"/>
    </row>
    <row r="36" spans="1:29" s="83" customFormat="1" ht="17.25" customHeight="1" thickBot="1" x14ac:dyDescent="0.25">
      <c r="A36" s="88"/>
      <c r="B36" s="85"/>
      <c r="C36" s="85" t="s">
        <v>57</v>
      </c>
      <c r="D36" s="80"/>
      <c r="E36" s="80"/>
      <c r="F36" s="80"/>
      <c r="G36" s="80">
        <f>H36/12*8</f>
        <v>14400</v>
      </c>
      <c r="H36" s="80">
        <f>(A35)*0.027</f>
        <v>21600</v>
      </c>
      <c r="I36" s="80">
        <f>(A35-H35)*0.027</f>
        <v>19440</v>
      </c>
      <c r="J36" s="80">
        <f>(A35-H35-I35)*0.027</f>
        <v>17280</v>
      </c>
      <c r="K36" s="80">
        <f>(A35-H35-I35-J35)*0.027</f>
        <v>15120</v>
      </c>
      <c r="L36" s="80">
        <f>(A35-H35-I35-J35-K35)*0.027</f>
        <v>12960</v>
      </c>
      <c r="M36" s="80">
        <f>(A35-H35-I35-J35-K35-L35)*0.027</f>
        <v>10800</v>
      </c>
      <c r="N36" s="80">
        <f>(A35-H35-I35-J35-K35-L35-M35)*0.027</f>
        <v>8640</v>
      </c>
      <c r="O36" s="80">
        <f>(A35-H35-I35-J35-K35-L35-M35-N35)*0.027</f>
        <v>6480</v>
      </c>
      <c r="P36" s="80">
        <f>(A35-H35-I35-J35-K35-L35-M35-N35-O35)*0.027</f>
        <v>4320</v>
      </c>
      <c r="Q36" s="80">
        <f>(A35-H35-I35-J35-K35-L35-M35-N35-O35-P35)*0.027</f>
        <v>2160</v>
      </c>
      <c r="R36" s="80"/>
      <c r="S36" s="80"/>
      <c r="T36" s="80"/>
      <c r="U36" s="80"/>
      <c r="V36" s="80"/>
      <c r="W36" s="80"/>
      <c r="X36" s="80"/>
      <c r="Y36" s="80"/>
      <c r="Z36" s="80"/>
      <c r="AA36" s="80"/>
      <c r="AB36" s="80"/>
      <c r="AC36" s="80"/>
    </row>
    <row r="37" spans="1:29" s="83" customFormat="1" ht="25.5" x14ac:dyDescent="0.2">
      <c r="A37" s="74">
        <v>935000</v>
      </c>
      <c r="B37" s="52" t="s">
        <v>58</v>
      </c>
      <c r="C37" s="52" t="s">
        <v>59</v>
      </c>
      <c r="D37" s="69"/>
      <c r="E37" s="69">
        <v>0</v>
      </c>
      <c r="F37" s="69">
        <v>0</v>
      </c>
      <c r="G37" s="69">
        <v>0</v>
      </c>
      <c r="H37" s="69">
        <v>187000</v>
      </c>
      <c r="I37" s="69">
        <v>187000</v>
      </c>
      <c r="J37" s="69">
        <v>187000</v>
      </c>
      <c r="K37" s="69">
        <v>187000</v>
      </c>
      <c r="L37" s="69">
        <v>187000</v>
      </c>
      <c r="M37" s="69"/>
      <c r="N37" s="69"/>
      <c r="O37" s="69"/>
      <c r="P37" s="69"/>
      <c r="Q37" s="69"/>
      <c r="R37" s="69"/>
      <c r="S37" s="69"/>
      <c r="T37" s="69"/>
      <c r="U37" s="69"/>
      <c r="V37" s="69"/>
      <c r="W37" s="69"/>
      <c r="X37" s="69"/>
      <c r="Y37" s="69"/>
      <c r="Z37" s="69"/>
      <c r="AA37" s="69"/>
      <c r="AB37" s="69"/>
      <c r="AC37" s="69"/>
    </row>
    <row r="38" spans="1:29" s="83" customFormat="1" ht="17.25" customHeight="1" thickBot="1" x14ac:dyDescent="0.25">
      <c r="A38" s="88"/>
      <c r="B38" s="85"/>
      <c r="C38" s="78" t="s">
        <v>60</v>
      </c>
      <c r="D38" s="80"/>
      <c r="E38" s="80">
        <v>0</v>
      </c>
      <c r="F38" s="80">
        <v>0</v>
      </c>
      <c r="G38" s="80">
        <f>H38/12*8</f>
        <v>16830</v>
      </c>
      <c r="H38" s="80">
        <f>A37*0.027</f>
        <v>25245</v>
      </c>
      <c r="I38" s="80">
        <f>(A37-H37)*0.027</f>
        <v>20196</v>
      </c>
      <c r="J38" s="80">
        <f>(A35-H37-I37)*0.027</f>
        <v>11502</v>
      </c>
      <c r="K38" s="80">
        <f>(A37-H37-I37-J37)*0.027</f>
        <v>10098</v>
      </c>
      <c r="L38" s="80">
        <f>(A37-H37-I37-J37-K37)*0.027</f>
        <v>5049</v>
      </c>
      <c r="M38" s="80"/>
      <c r="N38" s="80"/>
      <c r="O38" s="80"/>
      <c r="P38" s="80"/>
      <c r="Q38" s="80"/>
      <c r="R38" s="80"/>
      <c r="S38" s="80"/>
      <c r="T38" s="80"/>
      <c r="U38" s="80"/>
      <c r="V38" s="80"/>
      <c r="W38" s="80"/>
      <c r="X38" s="80"/>
      <c r="Y38" s="80"/>
      <c r="Z38" s="80"/>
      <c r="AA38" s="80"/>
      <c r="AB38" s="80"/>
      <c r="AC38" s="80"/>
    </row>
    <row r="39" spans="1:29" s="83" customFormat="1" ht="25.5" x14ac:dyDescent="0.2">
      <c r="A39" s="74">
        <v>800000</v>
      </c>
      <c r="B39" s="52">
        <v>2019</v>
      </c>
      <c r="C39" s="52" t="s">
        <v>61</v>
      </c>
      <c r="D39" s="69"/>
      <c r="E39" s="69">
        <v>0</v>
      </c>
      <c r="F39" s="69">
        <v>0</v>
      </c>
      <c r="G39" s="69">
        <v>0</v>
      </c>
      <c r="H39" s="69">
        <v>80000</v>
      </c>
      <c r="I39" s="69">
        <v>80000</v>
      </c>
      <c r="J39" s="69">
        <v>80000</v>
      </c>
      <c r="K39" s="69">
        <v>80000</v>
      </c>
      <c r="L39" s="69">
        <v>80000</v>
      </c>
      <c r="M39" s="69">
        <v>80000</v>
      </c>
      <c r="N39" s="69">
        <v>80000</v>
      </c>
      <c r="O39" s="69">
        <v>80000</v>
      </c>
      <c r="P39" s="69">
        <v>80000</v>
      </c>
      <c r="Q39" s="69">
        <v>80000</v>
      </c>
      <c r="R39" s="69"/>
      <c r="S39" s="69"/>
      <c r="T39" s="69"/>
      <c r="U39" s="69"/>
      <c r="V39" s="69"/>
      <c r="W39" s="69"/>
      <c r="X39" s="69"/>
      <c r="Y39" s="69"/>
      <c r="Z39" s="69"/>
      <c r="AA39" s="69"/>
      <c r="AB39" s="69"/>
      <c r="AC39" s="69"/>
    </row>
    <row r="40" spans="1:29" s="83" customFormat="1" ht="17.25" customHeight="1" thickBot="1" x14ac:dyDescent="0.25">
      <c r="A40" s="88"/>
      <c r="B40" s="85"/>
      <c r="C40" s="78" t="s">
        <v>60</v>
      </c>
      <c r="D40" s="80"/>
      <c r="E40" s="80">
        <v>0</v>
      </c>
      <c r="F40" s="80">
        <v>0</v>
      </c>
      <c r="G40" s="80">
        <v>14400</v>
      </c>
      <c r="H40" s="80">
        <v>21600</v>
      </c>
      <c r="I40" s="80">
        <v>19440</v>
      </c>
      <c r="J40" s="80">
        <v>17280</v>
      </c>
      <c r="K40" s="80">
        <v>15120</v>
      </c>
      <c r="L40" s="80">
        <v>12960</v>
      </c>
      <c r="M40" s="80">
        <v>10800</v>
      </c>
      <c r="N40" s="80">
        <v>8640</v>
      </c>
      <c r="O40" s="80">
        <v>6480</v>
      </c>
      <c r="P40" s="80">
        <v>4320</v>
      </c>
      <c r="Q40" s="80">
        <v>2160</v>
      </c>
      <c r="R40" s="80"/>
      <c r="S40" s="80"/>
      <c r="T40" s="80"/>
      <c r="U40" s="80"/>
      <c r="V40" s="80"/>
      <c r="W40" s="80"/>
      <c r="X40" s="80"/>
      <c r="Y40" s="80"/>
      <c r="Z40" s="80"/>
      <c r="AA40" s="80"/>
      <c r="AB40" s="80"/>
      <c r="AC40" s="80"/>
    </row>
    <row r="41" spans="1:29" s="83" customFormat="1" ht="51" x14ac:dyDescent="0.2">
      <c r="A41" s="74">
        <v>805433</v>
      </c>
      <c r="B41" s="52" t="s">
        <v>45</v>
      </c>
      <c r="C41" s="52" t="s">
        <v>62</v>
      </c>
      <c r="D41" s="69"/>
      <c r="E41" s="70">
        <v>0</v>
      </c>
      <c r="F41" s="70">
        <v>0</v>
      </c>
      <c r="G41" s="70">
        <v>0</v>
      </c>
      <c r="H41" s="70">
        <v>0</v>
      </c>
      <c r="I41" s="70">
        <v>80544</v>
      </c>
      <c r="J41" s="70">
        <v>80544</v>
      </c>
      <c r="K41" s="70">
        <v>80544</v>
      </c>
      <c r="L41" s="70">
        <v>80543</v>
      </c>
      <c r="M41" s="70">
        <v>80543</v>
      </c>
      <c r="N41" s="70">
        <v>80543</v>
      </c>
      <c r="O41" s="70">
        <v>80543</v>
      </c>
      <c r="P41" s="70">
        <v>80543</v>
      </c>
      <c r="Q41" s="70">
        <v>80543</v>
      </c>
      <c r="R41" s="70">
        <v>80543</v>
      </c>
      <c r="S41" s="69"/>
      <c r="T41" s="69"/>
      <c r="U41" s="69"/>
      <c r="V41" s="69"/>
      <c r="W41" s="69"/>
      <c r="X41" s="69"/>
      <c r="Y41" s="69"/>
      <c r="Z41" s="69"/>
      <c r="AA41" s="69"/>
      <c r="AB41" s="69"/>
      <c r="AC41" s="69"/>
    </row>
    <row r="42" spans="1:29" s="83" customFormat="1" ht="17.25" customHeight="1" thickBot="1" x14ac:dyDescent="0.25">
      <c r="A42" s="88"/>
      <c r="B42" s="85"/>
      <c r="C42" s="78" t="s">
        <v>63</v>
      </c>
      <c r="D42" s="80"/>
      <c r="E42" s="79">
        <v>0</v>
      </c>
      <c r="F42" s="79">
        <v>0</v>
      </c>
      <c r="G42" s="79">
        <v>0</v>
      </c>
      <c r="H42" s="79">
        <f>I42/12*8</f>
        <v>14497.794</v>
      </c>
      <c r="I42" s="79">
        <f>A41*0.027</f>
        <v>21746.690999999999</v>
      </c>
      <c r="J42" s="79">
        <f>(A41-I41)*0.027</f>
        <v>19572.003000000001</v>
      </c>
      <c r="K42" s="79">
        <f>(A41-I41-J41)*0.027</f>
        <v>17397.314999999999</v>
      </c>
      <c r="L42" s="79">
        <f>(A41-I41-J41-K41)*0.027</f>
        <v>15222.627</v>
      </c>
      <c r="M42" s="79">
        <f>(A41-I41-J41-K41-L41)*0.027</f>
        <v>13047.966</v>
      </c>
      <c r="N42" s="79">
        <f>(A41-I41-J41-K41-L41-M41)*0.027</f>
        <v>10873.305</v>
      </c>
      <c r="O42" s="80">
        <f>(A41-I41-J41-K41-L41-M41-N41)*0.027</f>
        <v>8698.6440000000002</v>
      </c>
      <c r="P42" s="80">
        <f>(A41-I41-J41-K41-L41-M41-N41-O41)*0.027</f>
        <v>6523.9830000000002</v>
      </c>
      <c r="Q42" s="80">
        <f>(A41-I41-J41-K41-L41-M41-N41-O41-P41)*0.027</f>
        <v>4349.3220000000001</v>
      </c>
      <c r="R42" s="80">
        <f>(A41-I41-J41-K41-L41-M41-N41-O41-P41-Q41)*0.027</f>
        <v>2174.6610000000001</v>
      </c>
      <c r="S42" s="80"/>
      <c r="T42" s="80"/>
      <c r="U42" s="80"/>
      <c r="V42" s="80"/>
      <c r="W42" s="80"/>
      <c r="X42" s="80"/>
      <c r="Y42" s="80"/>
      <c r="Z42" s="80"/>
      <c r="AA42" s="80"/>
      <c r="AB42" s="80"/>
      <c r="AC42" s="80"/>
    </row>
    <row r="43" spans="1:29" s="83" customFormat="1" ht="38.25" x14ac:dyDescent="0.2">
      <c r="A43" s="74">
        <v>7000000</v>
      </c>
      <c r="B43" s="52" t="s">
        <v>64</v>
      </c>
      <c r="C43" s="52" t="s">
        <v>30</v>
      </c>
      <c r="D43" s="69"/>
      <c r="E43" s="69">
        <v>0</v>
      </c>
      <c r="F43" s="69">
        <v>0</v>
      </c>
      <c r="G43" s="69">
        <v>0</v>
      </c>
      <c r="H43" s="69">
        <v>0</v>
      </c>
      <c r="I43" s="69">
        <v>0</v>
      </c>
      <c r="J43" s="69">
        <v>350000</v>
      </c>
      <c r="K43" s="69">
        <v>350000</v>
      </c>
      <c r="L43" s="69">
        <v>350000</v>
      </c>
      <c r="M43" s="69">
        <v>350000</v>
      </c>
      <c r="N43" s="69">
        <v>350000</v>
      </c>
      <c r="O43" s="69">
        <v>350000</v>
      </c>
      <c r="P43" s="69">
        <v>350000</v>
      </c>
      <c r="Q43" s="69">
        <v>350000</v>
      </c>
      <c r="R43" s="69">
        <v>350000</v>
      </c>
      <c r="S43" s="69">
        <v>350000</v>
      </c>
      <c r="T43" s="69">
        <v>350000</v>
      </c>
      <c r="U43" s="69">
        <v>350000</v>
      </c>
      <c r="V43" s="69">
        <v>350000</v>
      </c>
      <c r="W43" s="69">
        <v>350000</v>
      </c>
      <c r="X43" s="69">
        <v>350000</v>
      </c>
      <c r="Y43" s="69">
        <v>350000</v>
      </c>
      <c r="Z43" s="69">
        <v>350000</v>
      </c>
      <c r="AA43" s="69">
        <v>350000</v>
      </c>
      <c r="AB43" s="69">
        <v>350000</v>
      </c>
      <c r="AC43" s="69">
        <v>350000</v>
      </c>
    </row>
    <row r="44" spans="1:29" s="83" customFormat="1" ht="17.25" customHeight="1" thickBot="1" x14ac:dyDescent="0.25">
      <c r="A44" s="88"/>
      <c r="B44" s="85"/>
      <c r="C44" s="78" t="s">
        <v>63</v>
      </c>
      <c r="D44" s="80"/>
      <c r="E44" s="80">
        <v>0</v>
      </c>
      <c r="F44" s="80">
        <v>0</v>
      </c>
      <c r="G44" s="80">
        <v>0</v>
      </c>
      <c r="H44" s="80">
        <v>0</v>
      </c>
      <c r="I44" s="80">
        <f>J44/12*8</f>
        <v>126000</v>
      </c>
      <c r="J44" s="80">
        <f>A43*0.027</f>
        <v>189000</v>
      </c>
      <c r="K44" s="80">
        <f>(A43-J43)*0.027</f>
        <v>179550</v>
      </c>
      <c r="L44" s="80">
        <f>(A43-L43)*0.027</f>
        <v>179550</v>
      </c>
      <c r="M44" s="80">
        <f>(A43-J43-K43-L43)*0.027</f>
        <v>160650</v>
      </c>
      <c r="N44" s="80">
        <f>(A43-J43-K43-L43-M43)*0.027</f>
        <v>151200</v>
      </c>
      <c r="O44" s="80">
        <f>(A43-J43-K43-L43-M43-N43)*0.027</f>
        <v>141750</v>
      </c>
      <c r="P44" s="80">
        <f>(A43-J43-K43-L43-M43-N43-O43)*0.027</f>
        <v>132300</v>
      </c>
      <c r="Q44" s="80">
        <f>(A43-J43-K43-L43-M43-N43-O43-P43)*0.027</f>
        <v>122850</v>
      </c>
      <c r="R44" s="80">
        <f>(A43-J43-K43-L43-M43-N43-O43-P43-Q43)*0.027</f>
        <v>113400</v>
      </c>
      <c r="S44" s="80">
        <f>(A43-J43-K43-L43-M43-N43-O43-P43-Q43-R43)*0.027</f>
        <v>103950</v>
      </c>
      <c r="T44" s="80">
        <f>(A43-J43-K43-L43-M43-N43-O43-P43-Q43-R43-S43)*0.027</f>
        <v>94500</v>
      </c>
      <c r="U44" s="80">
        <f>(A43-J43-K43-L43-M43-N43-O43-P43-Q43-R43-S43-T43)*0.027</f>
        <v>85050</v>
      </c>
      <c r="V44" s="80">
        <f>(A43-J43-K43-L43-M43-N43-O43-P43-Q43-R43-S43-T43-U43)*0.027</f>
        <v>75600</v>
      </c>
      <c r="W44" s="80">
        <f>(A43-J43-K43-L43-M43-N43-O43-P43-Q43-R43-S43-T43-U43-V43)*0.027</f>
        <v>66150</v>
      </c>
      <c r="X44" s="80">
        <f>(A43-J43-K43-L43-M43-N43-O43-P43-Q43-R43-S43-T43-U43-V43-W43)*0.027</f>
        <v>56700</v>
      </c>
      <c r="Y44" s="80">
        <f>(A43-J43-K43-L43-M43-N43-O43-P43-Q43-R43-S43-T43-U43-V43-W43-X43)*0.027</f>
        <v>47250</v>
      </c>
      <c r="Z44" s="80">
        <f>(A43-J43-K43-L43-M43-N43-O43-P43-Q43-R43-S43-T43-U43-V43-W43-X43-Y43)*0.027</f>
        <v>37800</v>
      </c>
      <c r="AA44" s="80">
        <f>(A43-J43-K43-L43-M43-N43-O43-P43-Q43-R43-S43-T43-U43-V43-W43-X43-Y43-Z43)*0.027</f>
        <v>28350</v>
      </c>
      <c r="AB44" s="80">
        <f>(A43-J43-K43-L43-M43-N43-O43-P43-Q43-R43-S43-T43-U43-V43-W43-X43-Y43-Z43-AA43)*0.027</f>
        <v>18900</v>
      </c>
      <c r="AC44" s="80">
        <f>(A43-J43-K43-L43-M43-N43-O43-P43-Q43-R43-S43-T43-U43-V43-W43-X43-Y43-Z43-AA43-AB43)*0.027</f>
        <v>9450</v>
      </c>
    </row>
    <row r="45" spans="1:29" s="83" customFormat="1" ht="21.75" x14ac:dyDescent="0.2">
      <c r="A45" s="90">
        <f>SUM(E45:AC46)</f>
        <v>5918797</v>
      </c>
      <c r="B45" s="91" t="s">
        <v>65</v>
      </c>
      <c r="C45" s="52" t="s">
        <v>66</v>
      </c>
      <c r="D45" s="92">
        <v>0</v>
      </c>
      <c r="E45" s="70">
        <v>0</v>
      </c>
      <c r="F45" s="70">
        <v>0</v>
      </c>
      <c r="G45" s="70">
        <v>0</v>
      </c>
      <c r="H45" s="70">
        <v>0</v>
      </c>
      <c r="I45" s="70">
        <v>0</v>
      </c>
      <c r="J45" s="70">
        <v>0</v>
      </c>
      <c r="K45" s="70">
        <v>0</v>
      </c>
      <c r="L45" s="70">
        <v>0</v>
      </c>
      <c r="M45" s="70">
        <v>421149</v>
      </c>
      <c r="N45" s="70">
        <v>1463000</v>
      </c>
      <c r="O45" s="70">
        <v>1675000</v>
      </c>
      <c r="P45" s="69">
        <v>1401723</v>
      </c>
      <c r="Q45" s="69"/>
      <c r="R45" s="69"/>
      <c r="S45" s="69"/>
      <c r="T45" s="69"/>
      <c r="U45" s="69"/>
      <c r="V45" s="69"/>
      <c r="W45" s="69"/>
      <c r="X45" s="69"/>
      <c r="Y45" s="69"/>
      <c r="Z45" s="69"/>
      <c r="AA45" s="69"/>
      <c r="AB45" s="69"/>
      <c r="AC45" s="69"/>
    </row>
    <row r="46" spans="1:29" s="83" customFormat="1" ht="18" customHeight="1" thickBot="1" x14ac:dyDescent="0.25">
      <c r="A46" s="76"/>
      <c r="B46" s="77"/>
      <c r="C46" s="77"/>
      <c r="D46" s="93">
        <v>0</v>
      </c>
      <c r="E46" s="79">
        <v>0</v>
      </c>
      <c r="F46" s="94">
        <v>0</v>
      </c>
      <c r="G46" s="94">
        <v>0</v>
      </c>
      <c r="H46" s="94">
        <v>0</v>
      </c>
      <c r="I46" s="94">
        <v>0</v>
      </c>
      <c r="J46" s="94">
        <v>0</v>
      </c>
      <c r="K46" s="79">
        <v>0</v>
      </c>
      <c r="L46" s="79">
        <v>0</v>
      </c>
      <c r="M46" s="79">
        <v>166684</v>
      </c>
      <c r="N46" s="79">
        <v>273611</v>
      </c>
      <c r="O46" s="79">
        <v>269912</v>
      </c>
      <c r="P46" s="80">
        <v>247718</v>
      </c>
      <c r="Q46" s="80"/>
      <c r="R46" s="80"/>
      <c r="S46" s="80"/>
      <c r="T46" s="80"/>
      <c r="U46" s="80"/>
      <c r="V46" s="80"/>
      <c r="W46" s="80"/>
      <c r="X46" s="80"/>
      <c r="Y46" s="80"/>
      <c r="Z46" s="80"/>
      <c r="AA46" s="80"/>
      <c r="AB46" s="80"/>
      <c r="AC46" s="80"/>
    </row>
    <row r="47" spans="1:29" ht="29.25" customHeight="1" thickBot="1" x14ac:dyDescent="0.25">
      <c r="A47" s="95"/>
      <c r="B47" s="96"/>
      <c r="C47" s="97" t="s">
        <v>67</v>
      </c>
      <c r="D47" s="98"/>
      <c r="E47" s="98"/>
      <c r="F47" s="99"/>
      <c r="G47" s="99"/>
      <c r="H47" s="99"/>
      <c r="I47" s="99"/>
      <c r="J47" s="47"/>
      <c r="K47" s="100"/>
      <c r="L47" s="101"/>
      <c r="M47" s="100"/>
      <c r="N47" s="99"/>
      <c r="O47" s="47"/>
      <c r="P47" s="47"/>
      <c r="Q47" s="47"/>
      <c r="R47" s="47"/>
      <c r="S47" s="47"/>
      <c r="T47" s="47"/>
      <c r="U47" s="47"/>
      <c r="V47" s="47"/>
      <c r="W47" s="47"/>
      <c r="X47" s="47"/>
      <c r="Y47" s="47"/>
      <c r="Z47" s="47"/>
      <c r="AA47" s="47"/>
      <c r="AB47" s="47"/>
      <c r="AC47" s="47"/>
    </row>
    <row r="48" spans="1:29" x14ac:dyDescent="0.2">
      <c r="A48" s="102">
        <v>3502329</v>
      </c>
      <c r="B48" s="103" t="s">
        <v>68</v>
      </c>
      <c r="C48" s="104" t="s">
        <v>69</v>
      </c>
      <c r="D48" s="105">
        <v>554920</v>
      </c>
      <c r="E48" s="105">
        <v>540691</v>
      </c>
      <c r="F48" s="106">
        <v>556986.01601584512</v>
      </c>
      <c r="G48" s="107"/>
      <c r="H48" s="106"/>
      <c r="I48" s="106"/>
      <c r="J48" s="106"/>
      <c r="K48" s="105"/>
      <c r="L48" s="108"/>
      <c r="M48" s="105"/>
      <c r="N48" s="105"/>
      <c r="O48" s="109"/>
      <c r="P48" s="109"/>
      <c r="Q48" s="109"/>
      <c r="R48" s="109"/>
      <c r="S48" s="109"/>
      <c r="T48" s="109"/>
      <c r="U48" s="109"/>
      <c r="V48" s="109"/>
      <c r="W48" s="109"/>
      <c r="X48" s="109"/>
      <c r="Y48" s="109"/>
      <c r="Z48" s="109"/>
      <c r="AA48" s="109"/>
      <c r="AB48" s="109"/>
      <c r="AC48" s="109"/>
    </row>
    <row r="49" spans="1:29" ht="13.5" thickBot="1" x14ac:dyDescent="0.25">
      <c r="A49" s="110"/>
      <c r="B49" s="111"/>
      <c r="C49" s="112" t="s">
        <v>70</v>
      </c>
      <c r="D49" s="113">
        <v>46231</v>
      </c>
      <c r="E49" s="113">
        <v>28827</v>
      </c>
      <c r="F49" s="113">
        <v>13320.925891144616</v>
      </c>
      <c r="G49" s="113"/>
      <c r="H49" s="114"/>
      <c r="I49" s="114"/>
      <c r="J49" s="114"/>
      <c r="K49" s="114"/>
      <c r="L49" s="115"/>
      <c r="M49" s="114"/>
      <c r="N49" s="114"/>
      <c r="O49" s="116"/>
      <c r="P49" s="116"/>
      <c r="Q49" s="116"/>
      <c r="R49" s="116"/>
      <c r="S49" s="116"/>
      <c r="T49" s="116"/>
      <c r="U49" s="116"/>
      <c r="V49" s="116"/>
      <c r="W49" s="116"/>
      <c r="X49" s="117"/>
      <c r="Y49" s="117"/>
      <c r="Z49" s="116"/>
      <c r="AA49" s="116"/>
      <c r="AB49" s="116"/>
      <c r="AC49" s="116"/>
    </row>
    <row r="50" spans="1:29" ht="26.25" hidden="1" thickBot="1" x14ac:dyDescent="0.25">
      <c r="A50" s="102">
        <v>812786</v>
      </c>
      <c r="B50" s="103" t="s">
        <v>68</v>
      </c>
      <c r="C50" s="104" t="s">
        <v>71</v>
      </c>
      <c r="D50" s="105">
        <v>95785</v>
      </c>
      <c r="E50" s="105">
        <v>95785</v>
      </c>
      <c r="F50" s="105"/>
      <c r="G50" s="105"/>
      <c r="H50" s="105"/>
      <c r="I50" s="105"/>
      <c r="J50" s="105"/>
      <c r="K50" s="105"/>
      <c r="L50" s="108"/>
      <c r="M50" s="105"/>
      <c r="N50" s="105"/>
      <c r="O50" s="109"/>
      <c r="P50" s="109"/>
      <c r="Q50" s="109"/>
      <c r="R50" s="109"/>
      <c r="S50" s="109"/>
      <c r="T50" s="109"/>
      <c r="U50" s="109"/>
      <c r="V50" s="109"/>
      <c r="W50" s="109"/>
      <c r="X50" s="118"/>
      <c r="Y50" s="109"/>
      <c r="Z50" s="109"/>
      <c r="AA50" s="109"/>
      <c r="AB50" s="109"/>
      <c r="AC50" s="109"/>
    </row>
    <row r="51" spans="1:29" ht="13.5" hidden="1" thickBot="1" x14ac:dyDescent="0.25">
      <c r="A51" s="110"/>
      <c r="B51" s="111"/>
      <c r="C51" s="112" t="s">
        <v>70</v>
      </c>
      <c r="D51" s="113">
        <v>4533</v>
      </c>
      <c r="E51" s="115">
        <v>2267</v>
      </c>
      <c r="F51" s="113"/>
      <c r="G51" s="113"/>
      <c r="H51" s="114"/>
      <c r="I51" s="114"/>
      <c r="J51" s="114"/>
      <c r="K51" s="114"/>
      <c r="L51" s="115"/>
      <c r="M51" s="114"/>
      <c r="N51" s="114"/>
      <c r="O51" s="117"/>
      <c r="P51" s="117"/>
      <c r="Q51" s="117"/>
      <c r="R51" s="117"/>
      <c r="S51" s="117"/>
      <c r="T51" s="117"/>
      <c r="U51" s="117"/>
      <c r="V51" s="117"/>
      <c r="W51" s="117"/>
      <c r="X51" s="119"/>
      <c r="Y51" s="117"/>
      <c r="Z51" s="117"/>
      <c r="AA51" s="117"/>
      <c r="AB51" s="117"/>
      <c r="AC51" s="117"/>
    </row>
    <row r="52" spans="1:29" ht="17.25" hidden="1" customHeight="1" x14ac:dyDescent="0.2">
      <c r="A52" s="102">
        <v>2992299</v>
      </c>
      <c r="B52" s="103">
        <v>2007</v>
      </c>
      <c r="C52" s="104" t="s">
        <v>72</v>
      </c>
      <c r="D52" s="105">
        <v>512234</v>
      </c>
      <c r="E52" s="105">
        <v>502274</v>
      </c>
      <c r="F52" s="105"/>
      <c r="G52" s="105"/>
      <c r="H52" s="105"/>
      <c r="I52" s="105"/>
      <c r="J52" s="105"/>
      <c r="K52" s="105"/>
      <c r="L52" s="108"/>
      <c r="M52" s="105"/>
      <c r="N52" s="105"/>
      <c r="O52" s="109"/>
      <c r="P52" s="109"/>
      <c r="Q52" s="109"/>
      <c r="R52" s="109"/>
      <c r="S52" s="109"/>
      <c r="T52" s="109"/>
      <c r="U52" s="109"/>
      <c r="V52" s="109"/>
      <c r="W52" s="109"/>
      <c r="X52" s="118"/>
      <c r="Y52" s="109"/>
      <c r="Z52" s="109"/>
      <c r="AA52" s="109"/>
      <c r="AB52" s="109"/>
      <c r="AC52" s="109"/>
    </row>
    <row r="53" spans="1:29" ht="19.5" hidden="1" customHeight="1" thickBot="1" x14ac:dyDescent="0.25">
      <c r="A53" s="110"/>
      <c r="B53" s="111"/>
      <c r="C53" s="112" t="s">
        <v>73</v>
      </c>
      <c r="D53" s="114">
        <v>27392</v>
      </c>
      <c r="E53" s="114">
        <v>11239</v>
      </c>
      <c r="F53" s="114"/>
      <c r="G53" s="114"/>
      <c r="H53" s="114"/>
      <c r="I53" s="114"/>
      <c r="J53" s="114"/>
      <c r="K53" s="114"/>
      <c r="L53" s="115"/>
      <c r="M53" s="114"/>
      <c r="N53" s="114"/>
      <c r="O53" s="117"/>
      <c r="P53" s="117"/>
      <c r="Q53" s="117"/>
      <c r="R53" s="117"/>
      <c r="S53" s="117"/>
      <c r="T53" s="117"/>
      <c r="U53" s="117"/>
      <c r="V53" s="117"/>
      <c r="W53" s="117"/>
      <c r="X53" s="119"/>
      <c r="Y53" s="117"/>
      <c r="Z53" s="117"/>
      <c r="AA53" s="117"/>
      <c r="AB53" s="117"/>
      <c r="AC53" s="117"/>
    </row>
    <row r="54" spans="1:29" ht="13.5" hidden="1" thickBot="1" x14ac:dyDescent="0.25">
      <c r="A54" s="102">
        <v>2401150</v>
      </c>
      <c r="B54" s="103">
        <v>2007</v>
      </c>
      <c r="C54" s="120" t="s">
        <v>74</v>
      </c>
      <c r="D54" s="105">
        <v>302368</v>
      </c>
      <c r="E54" s="105">
        <v>302372</v>
      </c>
      <c r="F54" s="105"/>
      <c r="G54" s="108"/>
      <c r="H54" s="105"/>
      <c r="I54" s="105"/>
      <c r="J54" s="105"/>
      <c r="K54" s="105"/>
      <c r="L54" s="108"/>
      <c r="M54" s="105"/>
      <c r="N54" s="105"/>
      <c r="O54" s="109"/>
      <c r="P54" s="109"/>
      <c r="Q54" s="109"/>
      <c r="R54" s="109"/>
      <c r="S54" s="109"/>
      <c r="T54" s="109"/>
      <c r="U54" s="109"/>
      <c r="V54" s="109"/>
      <c r="W54" s="109"/>
      <c r="X54" s="118"/>
      <c r="Y54" s="109"/>
      <c r="Z54" s="109"/>
      <c r="AA54" s="109"/>
      <c r="AB54" s="109"/>
      <c r="AC54" s="109"/>
    </row>
    <row r="55" spans="1:29" ht="12.75" hidden="1" customHeight="1" thickBot="1" x14ac:dyDescent="0.25">
      <c r="A55" s="110"/>
      <c r="B55" s="111"/>
      <c r="C55" s="112" t="s">
        <v>73</v>
      </c>
      <c r="D55" s="113">
        <v>19532</v>
      </c>
      <c r="E55" s="113">
        <v>8099</v>
      </c>
      <c r="F55" s="113"/>
      <c r="G55" s="113"/>
      <c r="H55" s="114"/>
      <c r="I55" s="114"/>
      <c r="J55" s="114"/>
      <c r="K55" s="114"/>
      <c r="L55" s="115"/>
      <c r="M55" s="114"/>
      <c r="N55" s="114"/>
      <c r="O55" s="116"/>
      <c r="P55" s="116"/>
      <c r="Q55" s="116"/>
      <c r="R55" s="116"/>
      <c r="S55" s="116"/>
      <c r="T55" s="116"/>
      <c r="U55" s="116"/>
      <c r="V55" s="116"/>
      <c r="W55" s="116"/>
      <c r="X55" s="121"/>
      <c r="Y55" s="116"/>
      <c r="Z55" s="116"/>
      <c r="AA55" s="116"/>
      <c r="AB55" s="116"/>
      <c r="AC55" s="116"/>
    </row>
    <row r="56" spans="1:29" s="83" customFormat="1" ht="38.25" x14ac:dyDescent="0.2">
      <c r="A56" s="102">
        <v>2722965</v>
      </c>
      <c r="B56" s="103">
        <v>2008</v>
      </c>
      <c r="C56" s="120" t="s">
        <v>75</v>
      </c>
      <c r="D56" s="105">
        <v>256117</v>
      </c>
      <c r="E56" s="105">
        <v>256117</v>
      </c>
      <c r="F56" s="105">
        <v>256116.92591391056</v>
      </c>
      <c r="G56" s="105">
        <v>52155.366218746625</v>
      </c>
      <c r="H56" s="105"/>
      <c r="I56" s="105"/>
      <c r="J56" s="105"/>
      <c r="K56" s="105"/>
      <c r="L56" s="108"/>
      <c r="M56" s="105"/>
      <c r="N56" s="105"/>
      <c r="O56" s="122"/>
      <c r="P56" s="122"/>
      <c r="Q56" s="122"/>
      <c r="R56" s="122"/>
      <c r="S56" s="122"/>
      <c r="T56" s="122"/>
      <c r="U56" s="122"/>
      <c r="V56" s="122"/>
      <c r="W56" s="122"/>
      <c r="X56" s="123"/>
      <c r="Y56" s="122"/>
      <c r="Z56" s="122"/>
      <c r="AA56" s="122"/>
      <c r="AB56" s="122"/>
      <c r="AC56" s="122"/>
    </row>
    <row r="57" spans="1:29" s="83" customFormat="1" ht="13.5" thickBot="1" x14ac:dyDescent="0.25">
      <c r="A57" s="110"/>
      <c r="B57" s="111"/>
      <c r="C57" s="112" t="s">
        <v>73</v>
      </c>
      <c r="D57" s="114">
        <v>22153</v>
      </c>
      <c r="E57" s="114">
        <v>14565</v>
      </c>
      <c r="F57" s="114">
        <v>8999.6642022526903</v>
      </c>
      <c r="G57" s="114">
        <v>1647.6855567128246</v>
      </c>
      <c r="H57" s="114"/>
      <c r="I57" s="114"/>
      <c r="J57" s="114"/>
      <c r="K57" s="114"/>
      <c r="L57" s="115"/>
      <c r="M57" s="114"/>
      <c r="N57" s="114"/>
      <c r="O57" s="124"/>
      <c r="P57" s="124"/>
      <c r="Q57" s="124"/>
      <c r="R57" s="124"/>
      <c r="S57" s="124"/>
      <c r="T57" s="124"/>
      <c r="U57" s="124"/>
      <c r="V57" s="124"/>
      <c r="W57" s="124"/>
      <c r="X57" s="125"/>
      <c r="Y57" s="124"/>
      <c r="Z57" s="124"/>
      <c r="AA57" s="124"/>
      <c r="AB57" s="124"/>
      <c r="AC57" s="124"/>
    </row>
    <row r="58" spans="1:29" s="83" customFormat="1" ht="49.5" customHeight="1" x14ac:dyDescent="0.2">
      <c r="A58" s="102">
        <v>2148174</v>
      </c>
      <c r="B58" s="126" t="s">
        <v>76</v>
      </c>
      <c r="C58" s="127" t="s">
        <v>77</v>
      </c>
      <c r="D58" s="105">
        <v>241889</v>
      </c>
      <c r="E58" s="105">
        <v>241889</v>
      </c>
      <c r="F58" s="105">
        <v>241889</v>
      </c>
      <c r="G58" s="105">
        <v>241889</v>
      </c>
      <c r="H58" s="105">
        <v>241889</v>
      </c>
      <c r="I58" s="105">
        <v>241889</v>
      </c>
      <c r="J58" s="108">
        <v>241889</v>
      </c>
      <c r="K58" s="105">
        <v>170378</v>
      </c>
      <c r="L58" s="108"/>
      <c r="M58" s="105"/>
      <c r="N58" s="105"/>
      <c r="O58" s="122"/>
      <c r="P58" s="122"/>
      <c r="Q58" s="122"/>
      <c r="R58" s="122"/>
      <c r="S58" s="122"/>
      <c r="T58" s="122"/>
      <c r="U58" s="122"/>
      <c r="V58" s="122"/>
      <c r="W58" s="122"/>
      <c r="X58" s="123"/>
      <c r="Y58" s="122"/>
      <c r="Z58" s="122"/>
      <c r="AA58" s="122"/>
      <c r="AB58" s="122"/>
      <c r="AC58" s="122"/>
    </row>
    <row r="59" spans="1:29" s="83" customFormat="1" ht="13.5" thickBot="1" x14ac:dyDescent="0.25">
      <c r="A59" s="110"/>
      <c r="B59" s="128"/>
      <c r="C59" s="129" t="s">
        <v>78</v>
      </c>
      <c r="D59" s="113">
        <v>50317</v>
      </c>
      <c r="E59" s="113">
        <v>29727</v>
      </c>
      <c r="F59" s="130">
        <v>25293</v>
      </c>
      <c r="G59" s="130">
        <v>20858</v>
      </c>
      <c r="H59" s="130">
        <v>16424</v>
      </c>
      <c r="I59" s="131">
        <v>11991</v>
      </c>
      <c r="J59" s="114">
        <v>7557</v>
      </c>
      <c r="K59" s="114">
        <v>3123</v>
      </c>
      <c r="L59" s="115"/>
      <c r="M59" s="114"/>
      <c r="N59" s="114"/>
      <c r="O59" s="124"/>
      <c r="P59" s="124"/>
      <c r="Q59" s="124"/>
      <c r="R59" s="124"/>
      <c r="S59" s="124"/>
      <c r="T59" s="124"/>
      <c r="U59" s="124"/>
      <c r="V59" s="124"/>
      <c r="W59" s="124"/>
      <c r="X59" s="125"/>
      <c r="Y59" s="124"/>
      <c r="Z59" s="124"/>
      <c r="AA59" s="124"/>
      <c r="AB59" s="124"/>
      <c r="AC59" s="124"/>
    </row>
    <row r="60" spans="1:29" s="83" customFormat="1" ht="42.75" customHeight="1" x14ac:dyDescent="0.2">
      <c r="A60" s="102">
        <v>957914</v>
      </c>
      <c r="B60" s="126">
        <v>2012</v>
      </c>
      <c r="C60" s="127" t="s">
        <v>79</v>
      </c>
      <c r="D60" s="105">
        <v>213431</v>
      </c>
      <c r="E60" s="105">
        <v>199203</v>
      </c>
      <c r="F60" s="105">
        <v>161107</v>
      </c>
      <c r="G60" s="105"/>
      <c r="H60" s="105"/>
      <c r="I60" s="105"/>
      <c r="J60" s="105"/>
      <c r="K60" s="105"/>
      <c r="L60" s="108"/>
      <c r="M60" s="105"/>
      <c r="N60" s="108"/>
      <c r="O60" s="122"/>
      <c r="P60" s="122"/>
      <c r="Q60" s="122"/>
      <c r="R60" s="122"/>
      <c r="S60" s="122"/>
      <c r="T60" s="122"/>
      <c r="U60" s="122"/>
      <c r="V60" s="122"/>
      <c r="W60" s="122"/>
      <c r="X60" s="123"/>
      <c r="Y60" s="122"/>
      <c r="Z60" s="122"/>
      <c r="AA60" s="122"/>
      <c r="AB60" s="122"/>
      <c r="AC60" s="122"/>
    </row>
    <row r="61" spans="1:29" s="83" customFormat="1" ht="13.5" thickBot="1" x14ac:dyDescent="0.25">
      <c r="A61" s="110"/>
      <c r="B61" s="132"/>
      <c r="C61" s="129" t="s">
        <v>80</v>
      </c>
      <c r="D61" s="113">
        <v>14593</v>
      </c>
      <c r="E61" s="113">
        <v>11385</v>
      </c>
      <c r="F61" s="113">
        <v>5090</v>
      </c>
      <c r="G61" s="113"/>
      <c r="H61" s="113"/>
      <c r="I61" s="113"/>
      <c r="J61" s="113"/>
      <c r="K61" s="114"/>
      <c r="L61" s="115"/>
      <c r="M61" s="114"/>
      <c r="N61" s="114"/>
      <c r="O61" s="124"/>
      <c r="P61" s="124"/>
      <c r="Q61" s="124"/>
      <c r="R61" s="124"/>
      <c r="S61" s="124"/>
      <c r="T61" s="124"/>
      <c r="U61" s="124"/>
      <c r="V61" s="124"/>
      <c r="W61" s="124"/>
      <c r="X61" s="125"/>
      <c r="Y61" s="124"/>
      <c r="Z61" s="124"/>
      <c r="AA61" s="124"/>
      <c r="AB61" s="124"/>
      <c r="AC61" s="124"/>
    </row>
    <row r="62" spans="1:29" s="83" customFormat="1" ht="51" x14ac:dyDescent="0.2">
      <c r="A62" s="102">
        <v>1244225</v>
      </c>
      <c r="B62" s="126" t="s">
        <v>81</v>
      </c>
      <c r="C62" s="127" t="s">
        <v>82</v>
      </c>
      <c r="D62" s="105">
        <v>192814</v>
      </c>
      <c r="E62" s="105">
        <v>224960</v>
      </c>
      <c r="F62" s="105">
        <v>224960</v>
      </c>
      <c r="G62" s="108">
        <v>184066</v>
      </c>
      <c r="H62" s="105">
        <v>217104</v>
      </c>
      <c r="I62" s="105">
        <v>100668</v>
      </c>
      <c r="J62" s="105">
        <v>82989</v>
      </c>
      <c r="K62" s="105">
        <v>16668</v>
      </c>
      <c r="L62" s="108"/>
      <c r="M62" s="105"/>
      <c r="N62" s="105"/>
      <c r="O62" s="122"/>
      <c r="P62" s="122"/>
      <c r="Q62" s="122"/>
      <c r="R62" s="122"/>
      <c r="S62" s="122"/>
      <c r="T62" s="122"/>
      <c r="U62" s="122"/>
      <c r="V62" s="122"/>
      <c r="W62" s="122"/>
      <c r="X62" s="123"/>
      <c r="Y62" s="122"/>
      <c r="Z62" s="122"/>
      <c r="AA62" s="122"/>
      <c r="AB62" s="122"/>
      <c r="AC62" s="122"/>
    </row>
    <row r="63" spans="1:29" s="83" customFormat="1" ht="13.5" thickBot="1" x14ac:dyDescent="0.25">
      <c r="A63" s="110"/>
      <c r="B63" s="128"/>
      <c r="C63" s="129" t="s">
        <v>83</v>
      </c>
      <c r="D63" s="113">
        <v>34004</v>
      </c>
      <c r="E63" s="113">
        <v>27090</v>
      </c>
      <c r="F63" s="113">
        <v>20559.074791833853</v>
      </c>
      <c r="G63" s="113">
        <v>14028.093181029135</v>
      </c>
      <c r="H63" s="114">
        <v>7497.1115702244151</v>
      </c>
      <c r="I63" s="114">
        <v>5409</v>
      </c>
      <c r="J63" s="114">
        <f>(A62-D62-E62-F62-G62-H62-I62)*0.027</f>
        <v>2690.6309999999999</v>
      </c>
      <c r="K63" s="114">
        <f>(A62-D62-E62-F62-G62-H62-I62-J62)*0.027</f>
        <v>449.928</v>
      </c>
      <c r="L63" s="115"/>
      <c r="M63" s="114"/>
      <c r="N63" s="114"/>
      <c r="O63" s="124"/>
      <c r="P63" s="124"/>
      <c r="Q63" s="124"/>
      <c r="R63" s="124"/>
      <c r="S63" s="124"/>
      <c r="T63" s="124"/>
      <c r="U63" s="124"/>
      <c r="V63" s="124"/>
      <c r="W63" s="124"/>
      <c r="X63" s="125"/>
      <c r="Y63" s="124"/>
      <c r="Z63" s="124"/>
      <c r="AA63" s="124"/>
      <c r="AB63" s="124"/>
      <c r="AC63" s="124"/>
    </row>
    <row r="64" spans="1:29" s="83" customFormat="1" ht="38.25" customHeight="1" x14ac:dyDescent="0.2">
      <c r="A64" s="133">
        <v>12083954</v>
      </c>
      <c r="B64" s="103" t="s">
        <v>84</v>
      </c>
      <c r="C64" s="104" t="s">
        <v>85</v>
      </c>
      <c r="D64" s="105">
        <v>29394</v>
      </c>
      <c r="E64" s="105">
        <f>679388</f>
        <v>679388</v>
      </c>
      <c r="F64" s="105">
        <f>651688</f>
        <v>651688</v>
      </c>
      <c r="G64" s="105">
        <f t="shared" ref="G64:H64" si="8">651688</f>
        <v>651688</v>
      </c>
      <c r="H64" s="105">
        <f t="shared" si="8"/>
        <v>651688</v>
      </c>
      <c r="I64" s="105">
        <v>669388</v>
      </c>
      <c r="J64" s="105">
        <v>669388</v>
      </c>
      <c r="K64" s="105">
        <v>669388</v>
      </c>
      <c r="L64" s="105">
        <v>669388</v>
      </c>
      <c r="M64" s="105">
        <v>669388</v>
      </c>
      <c r="N64" s="105">
        <v>669388</v>
      </c>
      <c r="O64" s="105">
        <v>669388</v>
      </c>
      <c r="P64" s="105">
        <v>669388</v>
      </c>
      <c r="Q64" s="105">
        <v>669388</v>
      </c>
      <c r="R64" s="105">
        <v>669388</v>
      </c>
      <c r="S64" s="105">
        <v>669388</v>
      </c>
      <c r="T64" s="105">
        <v>669388</v>
      </c>
      <c r="U64" s="105">
        <v>472446</v>
      </c>
      <c r="V64" s="122">
        <v>360600</v>
      </c>
      <c r="W64" s="122">
        <v>372299</v>
      </c>
      <c r="X64" s="123">
        <v>182118</v>
      </c>
      <c r="Y64" s="122"/>
      <c r="Z64" s="122"/>
      <c r="AA64" s="122"/>
      <c r="AB64" s="122"/>
      <c r="AC64" s="122"/>
    </row>
    <row r="65" spans="1:29" s="83" customFormat="1" ht="13.5" thickBot="1" x14ac:dyDescent="0.25">
      <c r="A65" s="134"/>
      <c r="B65" s="111">
        <v>2016</v>
      </c>
      <c r="C65" s="112" t="s">
        <v>86</v>
      </c>
      <c r="D65" s="113">
        <v>316737</v>
      </c>
      <c r="E65" s="124">
        <f>(12083954-D64)*0.027</f>
        <v>325473.12</v>
      </c>
      <c r="F65" s="125">
        <f>(12083954-D64-E64)*0.027</f>
        <v>307129.64399999997</v>
      </c>
      <c r="G65" s="125">
        <f>(12083954-D64-E64-F64)*0.027</f>
        <v>289534.06799999997</v>
      </c>
      <c r="H65" s="125">
        <f>(12083954-D64-E64-F64-G64)*0.027</f>
        <v>271938.49199999997</v>
      </c>
      <c r="I65" s="125">
        <f>(12083954-D64-E64-F64-G64-H64)*0.027</f>
        <v>254342.916</v>
      </c>
      <c r="J65" s="125">
        <f>(12083954-D64-E64-F64-G64-H64-I64)*0.027</f>
        <v>236269.44</v>
      </c>
      <c r="K65" s="125">
        <f>(12083954-D64-E64-F64-G64-H64-I64-J64)*0.027</f>
        <v>218195.96400000001</v>
      </c>
      <c r="L65" s="125">
        <f>(12083954-D64-E64-F64-G64-H64-I64-J64-K64)*0.027</f>
        <v>200122.48800000001</v>
      </c>
      <c r="M65" s="125">
        <f>(12083954-D64-E64-F64-G64-H64-I64-J64-K64-L64)*0.027</f>
        <v>182049.01199999999</v>
      </c>
      <c r="N65" s="125">
        <f>(12083954-D64-E64-F64-G64-H64-I64-J64-K64-L64-M64)*0.027</f>
        <v>163975.53599999999</v>
      </c>
      <c r="O65" s="125">
        <f>(12083954-D64-E64-F64-G64-H64-I64-J64-K64-L64-M64-N64)*0.027</f>
        <v>145902.06</v>
      </c>
      <c r="P65" s="125">
        <f>(12083954-D64-E64-F64-G64-H64-I64-J64-K64-L64-M64-N64-O64)*0.027</f>
        <v>127828.584</v>
      </c>
      <c r="Q65" s="125">
        <f>(12083954-D64-E64-F64-G64-H64-I64-J64-K64-L64-M64-N64-O64-P64)*0.027</f>
        <v>109755.10799999999</v>
      </c>
      <c r="R65" s="125">
        <f>(12083954-D64-E64-F64-G64-H64-I64-J64-K64-L64-M64-N64-O64-P64-Q64)*0.027</f>
        <v>91681.631999999998</v>
      </c>
      <c r="S65" s="125">
        <f>(12083954-D64-E64-F64-G64-H64-I64-J64-K64-L64-M64-N64-O64-P64-Q64-R64)*0.027</f>
        <v>73608.156000000003</v>
      </c>
      <c r="T65" s="125">
        <f>(12083954-D64-E64-F64-G64-H64-I64-J64-K64-L64-M64-N64-O64-P64-Q64-R64-S64)*0.027</f>
        <v>55534.68</v>
      </c>
      <c r="U65" s="125">
        <f>(12083954-D64-E64-F64-G64-H64-I64-J64-K64-L64-M64-N64-O64-P64-Q64-R64-S64-T64)*0.027</f>
        <v>37461.203999999998</v>
      </c>
      <c r="V65" s="125">
        <f>(12083954-D64-E64-F64-G64-H64-I64-J64-K64-L64-M64-N64-O64-P64-Q64-R64-S64-T64-U64)*0.027</f>
        <v>24705.162</v>
      </c>
      <c r="W65" s="125">
        <f>(12083954-D64-E64-F64-G64-H64-I64-J64-K64-L64-M64-N64-O64-P64-Q64-R64-S64-T64-U64-V64)*0.027</f>
        <v>14968.962</v>
      </c>
      <c r="X65" s="135">
        <f>(12083954-D64-E64-F64-G64-H64-I64-J64-K64-L64-M64-N64-O64-P64-Q64-R64-S64-T64-U64-V64-W64)*0.027</f>
        <v>4916.8890000000001</v>
      </c>
      <c r="Y65" s="136"/>
      <c r="Z65" s="136"/>
      <c r="AA65" s="136"/>
      <c r="AB65" s="136"/>
      <c r="AC65" s="136"/>
    </row>
    <row r="66" spans="1:29" s="83" customFormat="1" ht="24.75" customHeight="1" x14ac:dyDescent="0.2">
      <c r="A66" s="102">
        <v>2985430</v>
      </c>
      <c r="B66" s="126" t="s">
        <v>87</v>
      </c>
      <c r="C66" s="127" t="s">
        <v>88</v>
      </c>
      <c r="D66" s="105">
        <v>284577</v>
      </c>
      <c r="E66" s="105">
        <v>284577</v>
      </c>
      <c r="F66" s="105">
        <v>284577</v>
      </c>
      <c r="G66" s="105">
        <v>284577</v>
      </c>
      <c r="H66" s="105">
        <v>284577</v>
      </c>
      <c r="I66" s="105">
        <v>284577</v>
      </c>
      <c r="J66" s="105">
        <v>376289</v>
      </c>
      <c r="K66" s="123">
        <v>562083</v>
      </c>
      <c r="L66" s="122">
        <v>27516</v>
      </c>
      <c r="M66" s="123">
        <v>27509</v>
      </c>
      <c r="N66" s="123"/>
      <c r="O66" s="122"/>
      <c r="P66" s="122"/>
      <c r="Q66" s="122"/>
      <c r="R66" s="122"/>
      <c r="S66" s="122"/>
      <c r="T66" s="122"/>
      <c r="U66" s="122"/>
      <c r="V66" s="122"/>
      <c r="W66" s="122"/>
      <c r="X66" s="137"/>
      <c r="Y66" s="138"/>
      <c r="Z66" s="138"/>
      <c r="AA66" s="138"/>
      <c r="AB66" s="138"/>
      <c r="AC66" s="138"/>
    </row>
    <row r="67" spans="1:29" s="83" customFormat="1" ht="18" customHeight="1" thickBot="1" x14ac:dyDescent="0.25">
      <c r="A67" s="110"/>
      <c r="B67" s="132"/>
      <c r="C67" s="129" t="s">
        <v>89</v>
      </c>
      <c r="D67" s="113">
        <v>77205</v>
      </c>
      <c r="E67" s="113">
        <v>65240</v>
      </c>
      <c r="F67" s="113">
        <v>57556</v>
      </c>
      <c r="G67" s="113">
        <v>49872</v>
      </c>
      <c r="H67" s="114">
        <v>42189</v>
      </c>
      <c r="I67" s="114">
        <v>34505</v>
      </c>
      <c r="J67" s="114">
        <v>26822</v>
      </c>
      <c r="K67" s="125">
        <v>16662</v>
      </c>
      <c r="L67" s="124">
        <v>1486</v>
      </c>
      <c r="M67" s="125">
        <v>743</v>
      </c>
      <c r="N67" s="125"/>
      <c r="O67" s="124"/>
      <c r="P67" s="124"/>
      <c r="Q67" s="124"/>
      <c r="R67" s="124"/>
      <c r="S67" s="124"/>
      <c r="T67" s="124"/>
      <c r="U67" s="124"/>
      <c r="V67" s="124"/>
      <c r="W67" s="124"/>
      <c r="X67" s="139"/>
      <c r="Y67" s="140"/>
      <c r="Z67" s="140"/>
      <c r="AA67" s="140"/>
      <c r="AB67" s="140"/>
      <c r="AC67" s="140"/>
    </row>
    <row r="68" spans="1:29" s="83" customFormat="1" ht="38.25" x14ac:dyDescent="0.2">
      <c r="A68" s="102">
        <v>546714</v>
      </c>
      <c r="B68" s="126" t="s">
        <v>87</v>
      </c>
      <c r="C68" s="127" t="s">
        <v>90</v>
      </c>
      <c r="D68" s="105">
        <v>106716</v>
      </c>
      <c r="E68" s="105">
        <v>106716</v>
      </c>
      <c r="F68" s="105">
        <v>106716</v>
      </c>
      <c r="G68" s="105">
        <v>113754</v>
      </c>
      <c r="H68" s="105">
        <v>6096</v>
      </c>
      <c r="I68" s="105"/>
      <c r="J68" s="105"/>
      <c r="K68" s="105"/>
      <c r="L68" s="108"/>
      <c r="M68" s="105"/>
      <c r="N68" s="105"/>
      <c r="O68" s="122"/>
      <c r="P68" s="122"/>
      <c r="Q68" s="122"/>
      <c r="R68" s="122"/>
      <c r="S68" s="122"/>
      <c r="T68" s="122"/>
      <c r="U68" s="122"/>
      <c r="V68" s="122"/>
      <c r="W68" s="122"/>
      <c r="X68" s="137"/>
      <c r="Y68" s="138"/>
      <c r="Z68" s="138"/>
      <c r="AA68" s="138"/>
      <c r="AB68" s="138"/>
      <c r="AC68" s="138"/>
    </row>
    <row r="69" spans="1:29" s="83" customFormat="1" ht="13.5" thickBot="1" x14ac:dyDescent="0.25">
      <c r="A69" s="110"/>
      <c r="B69" s="132"/>
      <c r="C69" s="129" t="s">
        <v>91</v>
      </c>
      <c r="D69" s="113">
        <v>12008</v>
      </c>
      <c r="E69" s="113">
        <v>9125</v>
      </c>
      <c r="F69" s="113">
        <v>6244</v>
      </c>
      <c r="G69" s="113">
        <v>127</v>
      </c>
      <c r="H69" s="114">
        <v>38</v>
      </c>
      <c r="I69" s="114"/>
      <c r="J69" s="114"/>
      <c r="K69" s="114"/>
      <c r="L69" s="115"/>
      <c r="M69" s="114"/>
      <c r="N69" s="114"/>
      <c r="O69" s="63"/>
      <c r="P69" s="63"/>
      <c r="Q69" s="63"/>
      <c r="R69" s="63"/>
      <c r="S69" s="63"/>
      <c r="T69" s="63"/>
      <c r="U69" s="63"/>
      <c r="V69" s="63"/>
      <c r="W69" s="63"/>
      <c r="X69" s="141"/>
      <c r="Y69" s="142"/>
      <c r="Z69" s="142"/>
      <c r="AA69" s="142"/>
      <c r="AB69" s="142"/>
      <c r="AC69" s="142"/>
    </row>
    <row r="70" spans="1:29" s="83" customFormat="1" ht="63.75" x14ac:dyDescent="0.2">
      <c r="A70" s="133">
        <v>2178272</v>
      </c>
      <c r="B70" s="103" t="s">
        <v>92</v>
      </c>
      <c r="C70" s="104" t="s">
        <v>93</v>
      </c>
      <c r="D70" s="123">
        <f>45540+112000+5808+50000</f>
        <v>213348</v>
      </c>
      <c r="E70" s="123">
        <v>212540</v>
      </c>
      <c r="F70" s="123">
        <v>202540</v>
      </c>
      <c r="G70" s="123">
        <v>202540</v>
      </c>
      <c r="H70" s="123">
        <v>202540</v>
      </c>
      <c r="I70" s="123">
        <v>242540</v>
      </c>
      <c r="J70" s="123">
        <v>262540</v>
      </c>
      <c r="K70" s="123">
        <v>207540</v>
      </c>
      <c r="L70" s="122">
        <v>209457</v>
      </c>
      <c r="M70" s="123">
        <v>189171</v>
      </c>
      <c r="N70" s="123">
        <v>33517</v>
      </c>
      <c r="O70" s="122"/>
      <c r="P70" s="122"/>
      <c r="Q70" s="122"/>
      <c r="R70" s="122"/>
      <c r="S70" s="122"/>
      <c r="T70" s="122"/>
      <c r="U70" s="122"/>
      <c r="V70" s="122"/>
      <c r="W70" s="122"/>
      <c r="X70" s="137"/>
      <c r="Y70" s="138"/>
      <c r="Z70" s="138"/>
      <c r="AA70" s="138"/>
      <c r="AB70" s="138"/>
      <c r="AC70" s="138"/>
    </row>
    <row r="71" spans="1:29" s="83" customFormat="1" ht="13.5" thickBot="1" x14ac:dyDescent="0.25">
      <c r="A71" s="134"/>
      <c r="B71" s="111"/>
      <c r="C71" s="111" t="s">
        <v>44</v>
      </c>
      <c r="D71" s="143">
        <v>62137</v>
      </c>
      <c r="E71" s="143">
        <f>(A70-D70)*0.027</f>
        <v>53052.947999999997</v>
      </c>
      <c r="F71" s="143">
        <f>(A70-D70-E70)*0.027</f>
        <v>47314.368000000002</v>
      </c>
      <c r="G71" s="143">
        <f>(A70-D70-E70-F70)*0.027</f>
        <v>41845.788</v>
      </c>
      <c r="H71" s="125">
        <f>(A70-D70-E70-F70-G70)*0.027</f>
        <v>36377.207999999999</v>
      </c>
      <c r="I71" s="125">
        <f>(A70-D70-E70-F70-G70-H70)*0.027</f>
        <v>30908.628000000001</v>
      </c>
      <c r="J71" s="125">
        <f>(A70-D70-E70-F70-G70-H70-I70)*0.027</f>
        <v>24360.047999999999</v>
      </c>
      <c r="K71" s="125">
        <f>(A70-D70-E70-F70-G70-H70-I70-J70)*0.027</f>
        <v>17271.468000000001</v>
      </c>
      <c r="L71" s="124">
        <f>(A70-D70-E70-F70-G70-H70-I70-J70-K70)*0.027</f>
        <v>11667.887999999999</v>
      </c>
      <c r="M71" s="124">
        <f>(A70-D70-E70-F70-G70-H70-I70-J70-K70-L70)*0.027</f>
        <v>6012.549</v>
      </c>
      <c r="N71" s="124">
        <f>(A70-D70-E70-F70-G70-H70-I70-J70-K70-L70-M70)*0.027</f>
        <v>904.93200000000002</v>
      </c>
      <c r="O71" s="124"/>
      <c r="P71" s="124"/>
      <c r="Q71" s="124"/>
      <c r="R71" s="124"/>
      <c r="S71" s="124"/>
      <c r="T71" s="124"/>
      <c r="U71" s="124"/>
      <c r="V71" s="124"/>
      <c r="W71" s="124"/>
      <c r="X71" s="139"/>
      <c r="Y71" s="140"/>
      <c r="Z71" s="140"/>
      <c r="AA71" s="140"/>
      <c r="AB71" s="140"/>
      <c r="AC71" s="140"/>
    </row>
    <row r="72" spans="1:29" s="83" customFormat="1" ht="51" x14ac:dyDescent="0.2">
      <c r="A72" s="133">
        <v>5182887</v>
      </c>
      <c r="B72" s="103" t="s">
        <v>94</v>
      </c>
      <c r="C72" s="104" t="s">
        <v>95</v>
      </c>
      <c r="D72" s="123">
        <v>400000</v>
      </c>
      <c r="E72" s="123">
        <v>400000</v>
      </c>
      <c r="F72" s="123">
        <v>450500</v>
      </c>
      <c r="G72" s="123">
        <v>450500</v>
      </c>
      <c r="H72" s="123">
        <v>500500</v>
      </c>
      <c r="I72" s="123">
        <v>500500</v>
      </c>
      <c r="J72" s="123">
        <v>550500</v>
      </c>
      <c r="K72" s="123">
        <v>650500</v>
      </c>
      <c r="L72" s="122">
        <v>650500</v>
      </c>
      <c r="M72" s="123">
        <v>629386</v>
      </c>
      <c r="N72" s="123"/>
      <c r="O72" s="122"/>
      <c r="P72" s="122"/>
      <c r="Q72" s="122"/>
      <c r="R72" s="122"/>
      <c r="S72" s="122"/>
      <c r="T72" s="122"/>
      <c r="U72" s="122"/>
      <c r="V72" s="122"/>
      <c r="W72" s="122"/>
      <c r="X72" s="137"/>
      <c r="Y72" s="138"/>
      <c r="Z72" s="138"/>
      <c r="AA72" s="138"/>
      <c r="AB72" s="138"/>
      <c r="AC72" s="138"/>
    </row>
    <row r="73" spans="1:29" s="83" customFormat="1" ht="13.5" thickBot="1" x14ac:dyDescent="0.25">
      <c r="A73" s="134"/>
      <c r="B73" s="111">
        <v>2016</v>
      </c>
      <c r="C73" s="111" t="s">
        <v>44</v>
      </c>
      <c r="D73" s="125">
        <f>A72*0.027</f>
        <v>139937.94899999999</v>
      </c>
      <c r="E73" s="124">
        <f>(A72-D72)*0.027</f>
        <v>129137.94899999999</v>
      </c>
      <c r="F73" s="125">
        <f>(A72-D72-E72)*0.027</f>
        <v>118337.94899999999</v>
      </c>
      <c r="G73" s="125">
        <f>(A72-D72-E72-F72)*0.027</f>
        <v>106174.44899999999</v>
      </c>
      <c r="H73" s="125">
        <f>(A72-D72-E72-F72-G72)*0.027</f>
        <v>94010.948999999993</v>
      </c>
      <c r="I73" s="125">
        <f>(A72-D72-E72-F72-G72-H72)*0.027</f>
        <v>80497.448999999993</v>
      </c>
      <c r="J73" s="125">
        <f>(A72-D72-E72-F72-G72-H72-I72)*0.027</f>
        <v>66983.948999999993</v>
      </c>
      <c r="K73" s="125">
        <f>(A72-D72-E72-F72-G72-H72-I72-J72)*0.027+1</f>
        <v>52121.449000000001</v>
      </c>
      <c r="L73" s="125">
        <f>(A72-D72-E72-F72-G72-H72-I72-J72-K72)*0.027+1+1</f>
        <v>34558.949000000001</v>
      </c>
      <c r="M73" s="125">
        <f>(A72-D72-E72-F72-G72-H72-I72-J72-K72-L72)*0.027+1</f>
        <v>16994.449000000001</v>
      </c>
      <c r="N73" s="125"/>
      <c r="O73" s="124"/>
      <c r="P73" s="124"/>
      <c r="Q73" s="124"/>
      <c r="R73" s="124"/>
      <c r="S73" s="124"/>
      <c r="T73" s="124"/>
      <c r="U73" s="124"/>
      <c r="V73" s="124"/>
      <c r="W73" s="124"/>
      <c r="X73" s="139"/>
      <c r="Y73" s="140"/>
      <c r="Z73" s="140"/>
      <c r="AA73" s="140"/>
      <c r="AB73" s="140"/>
      <c r="AC73" s="140"/>
    </row>
    <row r="74" spans="1:29" s="83" customFormat="1" ht="21.75" customHeight="1" x14ac:dyDescent="0.2">
      <c r="A74" s="133">
        <v>1082988</v>
      </c>
      <c r="B74" s="103">
        <v>2014</v>
      </c>
      <c r="C74" s="144" t="s">
        <v>96</v>
      </c>
      <c r="D74" s="123">
        <f>239469+1</f>
        <v>239470</v>
      </c>
      <c r="E74" s="123">
        <v>220545</v>
      </c>
      <c r="F74" s="123">
        <v>220545.13064808966</v>
      </c>
      <c r="G74" s="123">
        <v>220545.13064808966</v>
      </c>
      <c r="H74" s="123">
        <v>181883</v>
      </c>
      <c r="I74" s="123"/>
      <c r="J74" s="123"/>
      <c r="K74" s="123"/>
      <c r="L74" s="122"/>
      <c r="M74" s="123"/>
      <c r="N74" s="123"/>
      <c r="O74" s="122"/>
      <c r="P74" s="122"/>
      <c r="Q74" s="122"/>
      <c r="R74" s="122"/>
      <c r="S74" s="122"/>
      <c r="T74" s="122"/>
      <c r="U74" s="122"/>
      <c r="V74" s="122"/>
      <c r="W74" s="122"/>
      <c r="X74" s="137"/>
      <c r="Y74" s="138"/>
      <c r="Z74" s="138"/>
      <c r="AA74" s="138"/>
      <c r="AB74" s="138"/>
      <c r="AC74" s="138"/>
    </row>
    <row r="75" spans="1:29" s="83" customFormat="1" ht="13.5" customHeight="1" thickBot="1" x14ac:dyDescent="0.25">
      <c r="A75" s="134"/>
      <c r="B75" s="145"/>
      <c r="C75" s="111" t="s">
        <v>44</v>
      </c>
      <c r="D75" s="64">
        <f>25633-1</f>
        <v>25632</v>
      </c>
      <c r="E75" s="64">
        <v>20745</v>
      </c>
      <c r="F75" s="64">
        <v>15559.103249270067</v>
      </c>
      <c r="G75" s="64">
        <v>10372.735499513377</v>
      </c>
      <c r="H75" s="64">
        <v>5186.3677497566887</v>
      </c>
      <c r="I75" s="64"/>
      <c r="J75" s="64"/>
      <c r="K75" s="64"/>
      <c r="L75" s="63"/>
      <c r="M75" s="64"/>
      <c r="N75" s="64"/>
      <c r="O75" s="63"/>
      <c r="P75" s="63"/>
      <c r="Q75" s="63"/>
      <c r="R75" s="63"/>
      <c r="S75" s="63"/>
      <c r="T75" s="63"/>
      <c r="U75" s="63"/>
      <c r="V75" s="63"/>
      <c r="W75" s="63"/>
      <c r="X75" s="141"/>
      <c r="Y75" s="142"/>
      <c r="Z75" s="142"/>
      <c r="AA75" s="142"/>
      <c r="AB75" s="142"/>
      <c r="AC75" s="142"/>
    </row>
    <row r="76" spans="1:29" s="83" customFormat="1" ht="27" customHeight="1" x14ac:dyDescent="0.2">
      <c r="A76" s="133">
        <v>5369974</v>
      </c>
      <c r="B76" s="126" t="s">
        <v>94</v>
      </c>
      <c r="C76" s="127" t="s">
        <v>97</v>
      </c>
      <c r="D76" s="105">
        <v>0</v>
      </c>
      <c r="E76" s="105">
        <v>300000</v>
      </c>
      <c r="F76" s="105">
        <v>400000</v>
      </c>
      <c r="G76" s="105">
        <v>600000</v>
      </c>
      <c r="H76" s="105">
        <v>650000</v>
      </c>
      <c r="I76" s="105">
        <v>650000</v>
      </c>
      <c r="J76" s="105">
        <v>650000</v>
      </c>
      <c r="K76" s="105">
        <v>650000</v>
      </c>
      <c r="L76" s="105">
        <v>700000</v>
      </c>
      <c r="M76" s="108">
        <v>769974</v>
      </c>
      <c r="N76" s="105"/>
      <c r="O76" s="122"/>
      <c r="P76" s="122"/>
      <c r="Q76" s="122"/>
      <c r="R76" s="122"/>
      <c r="S76" s="122"/>
      <c r="T76" s="122"/>
      <c r="U76" s="122"/>
      <c r="V76" s="122"/>
      <c r="W76" s="122"/>
      <c r="X76" s="137"/>
      <c r="Y76" s="138"/>
      <c r="Z76" s="138"/>
      <c r="AA76" s="138"/>
      <c r="AB76" s="138"/>
      <c r="AC76" s="138"/>
    </row>
    <row r="77" spans="1:29" s="83" customFormat="1" ht="16.5" customHeight="1" thickBot="1" x14ac:dyDescent="0.25">
      <c r="A77" s="134"/>
      <c r="B77" s="132"/>
      <c r="C77" s="146" t="s">
        <v>98</v>
      </c>
      <c r="D77" s="113">
        <v>144989</v>
      </c>
      <c r="E77" s="113">
        <v>144989</v>
      </c>
      <c r="F77" s="113">
        <v>136889</v>
      </c>
      <c r="G77" s="114">
        <v>126089</v>
      </c>
      <c r="H77" s="114">
        <v>109889</v>
      </c>
      <c r="I77" s="114">
        <v>92339</v>
      </c>
      <c r="J77" s="114">
        <v>74789</v>
      </c>
      <c r="K77" s="114">
        <v>57239</v>
      </c>
      <c r="L77" s="115">
        <v>39689</v>
      </c>
      <c r="M77" s="114">
        <v>20789</v>
      </c>
      <c r="N77" s="114"/>
      <c r="O77" s="124"/>
      <c r="P77" s="124"/>
      <c r="Q77" s="124"/>
      <c r="R77" s="124"/>
      <c r="S77" s="124"/>
      <c r="T77" s="124"/>
      <c r="U77" s="124"/>
      <c r="V77" s="124"/>
      <c r="W77" s="124"/>
      <c r="X77" s="139"/>
      <c r="Y77" s="140"/>
      <c r="Z77" s="140"/>
      <c r="AA77" s="140"/>
      <c r="AB77" s="140"/>
      <c r="AC77" s="140"/>
    </row>
    <row r="78" spans="1:29" s="147" customFormat="1" ht="51" x14ac:dyDescent="0.2">
      <c r="A78" s="133">
        <v>662019</v>
      </c>
      <c r="B78" s="126" t="s">
        <v>94</v>
      </c>
      <c r="C78" s="127" t="s">
        <v>99</v>
      </c>
      <c r="D78" s="105">
        <v>208261</v>
      </c>
      <c r="E78" s="105">
        <v>122000</v>
      </c>
      <c r="F78" s="105">
        <v>122000</v>
      </c>
      <c r="G78" s="105">
        <v>122000</v>
      </c>
      <c r="H78" s="105">
        <f>A78-D78-E78-F78-G78</f>
        <v>87758</v>
      </c>
      <c r="I78" s="105"/>
      <c r="J78" s="105"/>
      <c r="K78" s="105"/>
      <c r="L78" s="105"/>
      <c r="M78" s="105"/>
      <c r="N78" s="105"/>
      <c r="O78" s="108"/>
      <c r="P78" s="108"/>
      <c r="Q78" s="108"/>
      <c r="R78" s="108"/>
      <c r="S78" s="108"/>
      <c r="T78" s="108"/>
      <c r="U78" s="108"/>
      <c r="V78" s="108"/>
      <c r="W78" s="108"/>
      <c r="X78" s="105"/>
      <c r="Y78" s="108"/>
      <c r="Z78" s="108"/>
      <c r="AA78" s="108"/>
      <c r="AB78" s="108"/>
      <c r="AC78" s="108"/>
    </row>
    <row r="79" spans="1:29" s="147" customFormat="1" ht="13.5" thickBot="1" x14ac:dyDescent="0.25">
      <c r="A79" s="134"/>
      <c r="B79" s="132"/>
      <c r="C79" s="146" t="s">
        <v>44</v>
      </c>
      <c r="D79" s="114">
        <f>A78*0.027</f>
        <v>17874.512999999999</v>
      </c>
      <c r="E79" s="114">
        <f>(A78-D78)*0.027</f>
        <v>12251.466</v>
      </c>
      <c r="F79" s="114">
        <f>(A78-D78-E78)*0.027</f>
        <v>8957.4660000000003</v>
      </c>
      <c r="G79" s="114">
        <f>(A78-D78-E78-F78)*0.027</f>
        <v>5663.4660000000003</v>
      </c>
      <c r="H79" s="114">
        <f>SUM(A78-D78-E78-F78-G78)*0.027</f>
        <v>2369.4659999999999</v>
      </c>
      <c r="I79" s="114"/>
      <c r="J79" s="114"/>
      <c r="K79" s="114"/>
      <c r="L79" s="114"/>
      <c r="M79" s="114"/>
      <c r="N79" s="114"/>
      <c r="O79" s="115"/>
      <c r="P79" s="115"/>
      <c r="Q79" s="115"/>
      <c r="R79" s="115"/>
      <c r="S79" s="115"/>
      <c r="T79" s="115"/>
      <c r="U79" s="115"/>
      <c r="V79" s="115"/>
      <c r="W79" s="115"/>
      <c r="X79" s="114"/>
      <c r="Y79" s="115"/>
      <c r="Z79" s="115"/>
      <c r="AA79" s="115"/>
      <c r="AB79" s="115"/>
      <c r="AC79" s="115"/>
    </row>
    <row r="80" spans="1:29" s="147" customFormat="1" ht="38.25" x14ac:dyDescent="0.2">
      <c r="A80" s="133">
        <f>3549134-88557+189120</f>
        <v>3649697</v>
      </c>
      <c r="B80" s="103" t="s">
        <v>94</v>
      </c>
      <c r="C80" s="104" t="s">
        <v>100</v>
      </c>
      <c r="D80" s="123">
        <v>320000</v>
      </c>
      <c r="E80" s="123">
        <v>933102</v>
      </c>
      <c r="F80" s="123">
        <f t="shared" ref="F80:K80" si="9">300000</f>
        <v>300000</v>
      </c>
      <c r="G80" s="123">
        <f t="shared" si="9"/>
        <v>300000</v>
      </c>
      <c r="H80" s="123">
        <f t="shared" si="9"/>
        <v>300000</v>
      </c>
      <c r="I80" s="123">
        <f t="shared" si="9"/>
        <v>300000</v>
      </c>
      <c r="J80" s="123">
        <f t="shared" si="9"/>
        <v>300000</v>
      </c>
      <c r="K80" s="123">
        <f t="shared" si="9"/>
        <v>300000</v>
      </c>
      <c r="L80" s="122">
        <v>320000</v>
      </c>
      <c r="M80" s="123">
        <v>276595</v>
      </c>
      <c r="N80" s="105"/>
      <c r="O80" s="108"/>
      <c r="P80" s="108"/>
      <c r="Q80" s="108"/>
      <c r="R80" s="108"/>
      <c r="S80" s="108"/>
      <c r="T80" s="108"/>
      <c r="U80" s="108"/>
      <c r="V80" s="108"/>
      <c r="W80" s="108"/>
      <c r="X80" s="105"/>
      <c r="Y80" s="108"/>
      <c r="Z80" s="108"/>
      <c r="AA80" s="108"/>
      <c r="AB80" s="108"/>
      <c r="AC80" s="108"/>
    </row>
    <row r="81" spans="1:29" s="147" customFormat="1" ht="13.5" thickBot="1" x14ac:dyDescent="0.25">
      <c r="A81" s="134"/>
      <c r="B81" s="111"/>
      <c r="C81" s="111" t="s">
        <v>44</v>
      </c>
      <c r="D81" s="136">
        <f>71864+21929</f>
        <v>93793</v>
      </c>
      <c r="E81" s="125">
        <f>(A80-D80)*0.027</f>
        <v>89901.819000000003</v>
      </c>
      <c r="F81" s="125">
        <f>(F80+G80+H80+I80+J80+K80+L80+M80)*0.027</f>
        <v>64708.065000000002</v>
      </c>
      <c r="G81" s="125">
        <f>(G80+H80+I80+J80+K80+L80+M80)*0.027</f>
        <v>56608.065000000002</v>
      </c>
      <c r="H81" s="125">
        <f>(H80+I80+J80+K80+L80+M80)*0.027</f>
        <v>48508.065000000002</v>
      </c>
      <c r="I81" s="125">
        <f>(I80+J80+K80+L80+M80)*0.027</f>
        <v>40408.065000000002</v>
      </c>
      <c r="J81" s="125">
        <f>(J80+K80+L80+M80)*0.027</f>
        <v>32308.064999999999</v>
      </c>
      <c r="K81" s="125">
        <f>(K80+L80+M80)*0.027</f>
        <v>24208.064999999999</v>
      </c>
      <c r="L81" s="124">
        <f>(L80+M80)*0.027</f>
        <v>16108.065000000001</v>
      </c>
      <c r="M81" s="125">
        <f>M80*0.027</f>
        <v>7468.0649999999996</v>
      </c>
      <c r="N81" s="125"/>
      <c r="O81" s="115"/>
      <c r="P81" s="115"/>
      <c r="Q81" s="115"/>
      <c r="R81" s="115"/>
      <c r="S81" s="115"/>
      <c r="T81" s="115"/>
      <c r="U81" s="115"/>
      <c r="V81" s="115"/>
      <c r="W81" s="115"/>
      <c r="X81" s="114"/>
      <c r="Y81" s="115"/>
      <c r="Z81" s="115"/>
      <c r="AA81" s="115"/>
      <c r="AB81" s="115"/>
      <c r="AC81" s="115"/>
    </row>
    <row r="82" spans="1:29" s="147" customFormat="1" ht="25.5" x14ac:dyDescent="0.2">
      <c r="A82" s="148">
        <v>2404762</v>
      </c>
      <c r="B82" s="149">
        <v>2015</v>
      </c>
      <c r="C82" s="104" t="s">
        <v>101</v>
      </c>
      <c r="D82" s="122">
        <v>0</v>
      </c>
      <c r="E82" s="150">
        <v>243000</v>
      </c>
      <c r="F82" s="150">
        <v>235000</v>
      </c>
      <c r="G82" s="150">
        <v>235000</v>
      </c>
      <c r="H82" s="150">
        <v>235000</v>
      </c>
      <c r="I82" s="150">
        <v>243000</v>
      </c>
      <c r="J82" s="150">
        <v>243000</v>
      </c>
      <c r="K82" s="150">
        <v>243000</v>
      </c>
      <c r="L82" s="150">
        <v>243000</v>
      </c>
      <c r="M82" s="150">
        <v>243000</v>
      </c>
      <c r="N82" s="150">
        <v>241762</v>
      </c>
      <c r="O82" s="151"/>
      <c r="P82" s="151"/>
      <c r="Q82" s="151"/>
      <c r="R82" s="151"/>
      <c r="S82" s="151"/>
      <c r="T82" s="151"/>
      <c r="U82" s="151"/>
      <c r="V82" s="151"/>
      <c r="W82" s="151"/>
      <c r="X82" s="152"/>
      <c r="Y82" s="151"/>
      <c r="Z82" s="151"/>
      <c r="AA82" s="151"/>
      <c r="AB82" s="151"/>
      <c r="AC82" s="151"/>
    </row>
    <row r="83" spans="1:29" s="147" customFormat="1" ht="13.5" thickBot="1" x14ac:dyDescent="0.25">
      <c r="A83" s="153"/>
      <c r="B83" s="154"/>
      <c r="C83" s="111" t="s">
        <v>98</v>
      </c>
      <c r="D83" s="125">
        <f>8*E83/12</f>
        <v>43285.716</v>
      </c>
      <c r="E83" s="135">
        <f>A82*0.027</f>
        <v>64928.574000000001</v>
      </c>
      <c r="F83" s="135">
        <f>(A82-E82)*0.027</f>
        <v>58367.574000000001</v>
      </c>
      <c r="G83" s="135">
        <f>(A82-E82-F82)*0.027</f>
        <v>52022.574000000001</v>
      </c>
      <c r="H83" s="135">
        <f>(A82-E82-F82-G82)*0.027</f>
        <v>45677.574000000001</v>
      </c>
      <c r="I83" s="135">
        <f>(A82-E82-F82-G82-H82)*0.027</f>
        <v>39332.574000000001</v>
      </c>
      <c r="J83" s="135">
        <f>(A82-E82-F82-G82-H82-I82)*0.027</f>
        <v>32771.574000000001</v>
      </c>
      <c r="K83" s="135">
        <f>(A82-D82-E82-F82-G82-H82-I82-J82)*0.027</f>
        <v>26210.574000000001</v>
      </c>
      <c r="L83" s="136">
        <f>(A82-D82-E82-F82-G82-H82-I82-J82-K82)*0.027</f>
        <v>19649.574000000001</v>
      </c>
      <c r="M83" s="135">
        <f>(A82-D82-E82-F82-G82-H82-I82-J82-K82-L82)*0.027</f>
        <v>13088.574000000001</v>
      </c>
      <c r="N83" s="135">
        <f>(A82-E82-F82-G82-H82-I82-J82-K82-L82-M82)*0.027</f>
        <v>6527.5739999999996</v>
      </c>
      <c r="O83" s="131"/>
      <c r="P83" s="131"/>
      <c r="Q83" s="131"/>
      <c r="R83" s="131"/>
      <c r="S83" s="131"/>
      <c r="T83" s="131"/>
      <c r="U83" s="131"/>
      <c r="V83" s="131"/>
      <c r="W83" s="131"/>
      <c r="X83" s="130"/>
      <c r="Y83" s="131"/>
      <c r="Z83" s="131"/>
      <c r="AA83" s="131"/>
      <c r="AB83" s="131"/>
      <c r="AC83" s="131"/>
    </row>
    <row r="84" spans="1:29" s="147" customFormat="1" ht="38.25" x14ac:dyDescent="0.2">
      <c r="A84" s="155">
        <v>5460411</v>
      </c>
      <c r="B84" s="91" t="s">
        <v>102</v>
      </c>
      <c r="C84" s="156" t="s">
        <v>103</v>
      </c>
      <c r="D84" s="157"/>
      <c r="E84" s="69">
        <v>0</v>
      </c>
      <c r="F84" s="69">
        <v>546042</v>
      </c>
      <c r="G84" s="69">
        <v>546041</v>
      </c>
      <c r="H84" s="69">
        <v>546041</v>
      </c>
      <c r="I84" s="69">
        <v>546041</v>
      </c>
      <c r="J84" s="69">
        <v>546041</v>
      </c>
      <c r="K84" s="69">
        <v>546041</v>
      </c>
      <c r="L84" s="69">
        <v>546041</v>
      </c>
      <c r="M84" s="69">
        <v>546041</v>
      </c>
      <c r="N84" s="69">
        <v>546041</v>
      </c>
      <c r="O84" s="69">
        <v>546041</v>
      </c>
      <c r="P84" s="105"/>
      <c r="Q84" s="108"/>
      <c r="R84" s="105"/>
      <c r="S84" s="108"/>
      <c r="T84" s="105"/>
      <c r="U84" s="108"/>
      <c r="V84" s="105"/>
      <c r="W84" s="108"/>
      <c r="X84" s="105"/>
      <c r="Y84" s="108"/>
      <c r="Z84" s="108"/>
      <c r="AA84" s="108"/>
      <c r="AB84" s="108"/>
      <c r="AC84" s="108"/>
    </row>
    <row r="85" spans="1:29" s="147" customFormat="1" ht="13.5" thickBot="1" x14ac:dyDescent="0.25">
      <c r="A85" s="158"/>
      <c r="B85" s="77"/>
      <c r="C85" s="159" t="s">
        <v>44</v>
      </c>
      <c r="D85" s="160">
        <v>0</v>
      </c>
      <c r="E85" s="80">
        <f>8*F85/12</f>
        <v>98287.398000000001</v>
      </c>
      <c r="F85" s="80">
        <f>A84*0.027</f>
        <v>147431.09700000001</v>
      </c>
      <c r="G85" s="80">
        <f>(A84-F84)*0.027</f>
        <v>132687.96299999999</v>
      </c>
      <c r="H85" s="80">
        <f>(A84-F84-G84)*0.027</f>
        <v>117944.856</v>
      </c>
      <c r="I85" s="80">
        <f>(A84-F84-G84-H84)*0.027</f>
        <v>103201.749</v>
      </c>
      <c r="J85" s="80">
        <f>(A84-F84-G84-H84-I84)*0.027</f>
        <v>88458.641999999993</v>
      </c>
      <c r="K85" s="80">
        <f>(A84-F84-G84-H84-I84-J84)*0.027</f>
        <v>73715.535000000003</v>
      </c>
      <c r="L85" s="80">
        <f>(A84-E84-F84-G84-H84-I84-J84-K84)*0.027</f>
        <v>58972.428</v>
      </c>
      <c r="M85" s="80">
        <f>(A84-E84-F84-G84-H84-I84-J84-K84-L84)*0.027</f>
        <v>44229.320999999996</v>
      </c>
      <c r="N85" s="80">
        <f>(A84-E84-F84-G84-H84-I84-J84-K84-L84-M84)*0.027</f>
        <v>29486.214</v>
      </c>
      <c r="O85" s="80">
        <f>(A84-F84-G84-H84-I84-J84-K84-L84-M84-N84)*0.027</f>
        <v>14743.107</v>
      </c>
      <c r="P85" s="130"/>
      <c r="Q85" s="131"/>
      <c r="R85" s="130"/>
      <c r="S85" s="131"/>
      <c r="T85" s="130"/>
      <c r="U85" s="131"/>
      <c r="V85" s="130"/>
      <c r="W85" s="131"/>
      <c r="X85" s="130"/>
      <c r="Y85" s="131"/>
      <c r="Z85" s="131"/>
      <c r="AA85" s="131"/>
      <c r="AB85" s="131"/>
      <c r="AC85" s="131"/>
    </row>
    <row r="86" spans="1:29" s="147" customFormat="1" ht="25.5" x14ac:dyDescent="0.2">
      <c r="A86" s="81">
        <v>1212160</v>
      </c>
      <c r="B86" s="52">
        <v>2016</v>
      </c>
      <c r="C86" s="52" t="s">
        <v>104</v>
      </c>
      <c r="D86" s="69">
        <v>0</v>
      </c>
      <c r="E86" s="70">
        <v>0</v>
      </c>
      <c r="F86" s="70">
        <v>121216</v>
      </c>
      <c r="G86" s="70">
        <v>121216</v>
      </c>
      <c r="H86" s="70">
        <v>121216</v>
      </c>
      <c r="I86" s="70">
        <v>121216</v>
      </c>
      <c r="J86" s="70">
        <v>121216</v>
      </c>
      <c r="K86" s="70">
        <v>121216</v>
      </c>
      <c r="L86" s="70">
        <v>121216</v>
      </c>
      <c r="M86" s="70">
        <v>121216</v>
      </c>
      <c r="N86" s="70">
        <v>121216</v>
      </c>
      <c r="O86" s="70">
        <v>121216</v>
      </c>
      <c r="P86" s="105"/>
      <c r="Q86" s="108"/>
      <c r="R86" s="105"/>
      <c r="S86" s="108"/>
      <c r="T86" s="105"/>
      <c r="U86" s="108"/>
      <c r="V86" s="105"/>
      <c r="W86" s="108"/>
      <c r="X86" s="105"/>
      <c r="Y86" s="108"/>
      <c r="Z86" s="108"/>
      <c r="AA86" s="108"/>
      <c r="AB86" s="108"/>
      <c r="AC86" s="108"/>
    </row>
    <row r="87" spans="1:29" s="147" customFormat="1" ht="13.5" thickBot="1" x14ac:dyDescent="0.25">
      <c r="A87" s="84"/>
      <c r="B87" s="85"/>
      <c r="C87" s="85" t="s">
        <v>44</v>
      </c>
      <c r="D87" s="80">
        <v>0</v>
      </c>
      <c r="E87" s="79">
        <f>F87/12*8</f>
        <v>21818.880000000001</v>
      </c>
      <c r="F87" s="79">
        <f>A86*0.027</f>
        <v>32728.32</v>
      </c>
      <c r="G87" s="79">
        <f>(A86-F86)*0.027</f>
        <v>29455.488000000001</v>
      </c>
      <c r="H87" s="79">
        <f>(A86-F86-G86)*0.027</f>
        <v>26182.655999999999</v>
      </c>
      <c r="I87" s="79">
        <f>(A86-F86-G86-H86)*0.027</f>
        <v>22909.824000000001</v>
      </c>
      <c r="J87" s="79">
        <f>(A86-F86-G86-H86-I86)*0.027</f>
        <v>19636.991999999998</v>
      </c>
      <c r="K87" s="79">
        <f>(A86-F86-G86-H86-I86-J86)*0.027</f>
        <v>16364.16</v>
      </c>
      <c r="L87" s="79">
        <f>(A86-F86-G86-H86-I86-J86-K86)*0.027</f>
        <v>13091.328</v>
      </c>
      <c r="M87" s="79">
        <f>(A86-F86-G86-H86-I86-J86-K86-L86)*0.027</f>
        <v>9818.4959999999992</v>
      </c>
      <c r="N87" s="79">
        <f>(A86-F86-G86-H86-I86-J86-K86-L86-M86)*0.027</f>
        <v>6545.6639999999998</v>
      </c>
      <c r="O87" s="79">
        <f>(A86-F86-G86-H86-I86-J86-K86-L86-M86-N86)*0.027</f>
        <v>3272.8319999999999</v>
      </c>
      <c r="P87" s="130"/>
      <c r="Q87" s="131"/>
      <c r="R87" s="130"/>
      <c r="S87" s="131"/>
      <c r="T87" s="130"/>
      <c r="U87" s="131"/>
      <c r="V87" s="130"/>
      <c r="W87" s="131"/>
      <c r="X87" s="130"/>
      <c r="Y87" s="131"/>
      <c r="Z87" s="131"/>
      <c r="AA87" s="131"/>
      <c r="AB87" s="131"/>
      <c r="AC87" s="131"/>
    </row>
    <row r="88" spans="1:29" s="147" customFormat="1" ht="25.5" x14ac:dyDescent="0.2">
      <c r="A88" s="148">
        <v>6300200</v>
      </c>
      <c r="B88" s="161">
        <v>2015</v>
      </c>
      <c r="C88" s="162" t="s">
        <v>105</v>
      </c>
      <c r="D88" s="163">
        <v>0</v>
      </c>
      <c r="E88" s="163">
        <v>320500</v>
      </c>
      <c r="F88" s="163">
        <v>320500</v>
      </c>
      <c r="G88" s="164">
        <v>320500</v>
      </c>
      <c r="H88" s="163">
        <v>320500</v>
      </c>
      <c r="I88" s="164">
        <v>320500</v>
      </c>
      <c r="J88" s="163">
        <v>320500</v>
      </c>
      <c r="K88" s="164">
        <v>320500</v>
      </c>
      <c r="L88" s="163">
        <v>320500</v>
      </c>
      <c r="M88" s="164">
        <v>320500</v>
      </c>
      <c r="N88" s="163">
        <v>320500</v>
      </c>
      <c r="O88" s="164">
        <v>320500</v>
      </c>
      <c r="P88" s="163">
        <v>320500</v>
      </c>
      <c r="Q88" s="164">
        <v>320500</v>
      </c>
      <c r="R88" s="163">
        <v>320500</v>
      </c>
      <c r="S88" s="164">
        <v>320500</v>
      </c>
      <c r="T88" s="163">
        <v>320500</v>
      </c>
      <c r="U88" s="164">
        <v>320500</v>
      </c>
      <c r="V88" s="163">
        <v>320500</v>
      </c>
      <c r="W88" s="165">
        <v>320500</v>
      </c>
      <c r="X88" s="166">
        <v>210700</v>
      </c>
      <c r="Y88" s="165"/>
      <c r="Z88" s="165"/>
      <c r="AA88" s="165"/>
      <c r="AB88" s="165"/>
      <c r="AC88" s="165"/>
    </row>
    <row r="89" spans="1:29" s="147" customFormat="1" ht="13.5" thickBot="1" x14ac:dyDescent="0.25">
      <c r="A89" s="167"/>
      <c r="B89" s="168"/>
      <c r="C89" s="168" t="s">
        <v>98</v>
      </c>
      <c r="D89" s="130">
        <f>8*170105/12</f>
        <v>113403.33333333333</v>
      </c>
      <c r="E89" s="130">
        <f>6300200*0.027</f>
        <v>170105.4</v>
      </c>
      <c r="F89" s="130">
        <f>(A88-E88)*0.027</f>
        <v>161451.9</v>
      </c>
      <c r="G89" s="130">
        <f>(A88-E88-F88)*0.027</f>
        <v>152798.39999999999</v>
      </c>
      <c r="H89" s="130">
        <f>(A88-E88-F88-G88)*0.027</f>
        <v>144144.9</v>
      </c>
      <c r="I89" s="130">
        <f>(A88-E88-F88-G88-H88)*0.027</f>
        <v>135491.4</v>
      </c>
      <c r="J89" s="130">
        <f>(A88-E88-F88-G88-H88-I88)*0.027</f>
        <v>126837.9</v>
      </c>
      <c r="K89" s="130">
        <f>(A88-D88-E88-F88-G88-H88-I88-J88)*0.027</f>
        <v>118184.4</v>
      </c>
      <c r="L89" s="131">
        <f>(A88-D88-E88-F88-G88-H88-I88-J88-K88)*0.027</f>
        <v>109530.9</v>
      </c>
      <c r="M89" s="130">
        <f>(A88-D88-E88-F88-G88-H88-I88-J88-K88-L88)*0.027</f>
        <v>100877.4</v>
      </c>
      <c r="N89" s="130">
        <f>(A88-E88-F88-G88-H88-I88-J88-K88-L88-M88)*0.027</f>
        <v>92223.9</v>
      </c>
      <c r="O89" s="169">
        <f>(A88-E88-F88-G88-H88-I88-J88-K88-L88-M88-N88)*0.027</f>
        <v>83570.399999999994</v>
      </c>
      <c r="P89" s="169">
        <f>(A88-E88-F88-G88-H88-I88-J88-K88-L88-M88-N88-O88)*0.027</f>
        <v>74916.899999999994</v>
      </c>
      <c r="Q89" s="169">
        <f>(A88-E88-F88-G88-H88-I88-J88-K88-L88-M88-N88-O88-P88)*0.027</f>
        <v>66263.399999999994</v>
      </c>
      <c r="R89" s="169">
        <f>(A88-E88-F88-G88-H88-I88-J88-K88-L88-M88-N88-O88-P88-Q88)*0.027</f>
        <v>57609.9</v>
      </c>
      <c r="S89" s="136">
        <f>(A88-D88-E88-F88-G88-H88-I88-J88-K88-L88-M88-N88-O88-P88-Q88-R88)*0.027</f>
        <v>48956.4</v>
      </c>
      <c r="T89" s="131">
        <f>(A88-E88-F88-G88-H88-I88-J88-K88-L88-M88-N88-O88-P88-Q88-R88-S88)*0.027</f>
        <v>40302.9</v>
      </c>
      <c r="U89" s="131">
        <f>(A88-E88-F88-G88-H88-I88-J88-K88-L88-M88-N88-O88-P88-Q88-R88-S88-T88)*0.027</f>
        <v>31649.4</v>
      </c>
      <c r="V89" s="131">
        <f>(A88-E88-F88-G88-H88-I88-J88-K88-L88-M88-N88-O88-P88-Q88-R88-S88-T88-U88)*0.027</f>
        <v>22995.9</v>
      </c>
      <c r="W89" s="131">
        <f>(A88-E88-F88-G88-H88-I88-J88-K88-L88-M88-N88-O88-P88-Q88-R88-S88-T88-U88-V88)*0.027</f>
        <v>14342.4</v>
      </c>
      <c r="X89" s="130">
        <f>(A88-E88-F88-G88-H88-I88-J88-K88-L88-M88-N88-O88-P88-Q88-R88-S88-T88-U88-V88-W88)*0.027</f>
        <v>5688.9</v>
      </c>
      <c r="Y89" s="131"/>
      <c r="Z89" s="131"/>
      <c r="AA89" s="131"/>
      <c r="AB89" s="131"/>
      <c r="AC89" s="131"/>
    </row>
    <row r="90" spans="1:29" s="83" customFormat="1" ht="20.25" customHeight="1" thickBot="1" x14ac:dyDescent="0.25">
      <c r="A90" s="95"/>
      <c r="B90" s="170"/>
      <c r="C90" s="171" t="s">
        <v>106</v>
      </c>
      <c r="D90" s="172"/>
      <c r="E90" s="172"/>
      <c r="F90" s="172"/>
      <c r="G90" s="172"/>
      <c r="H90" s="99"/>
      <c r="I90" s="99"/>
      <c r="J90" s="47"/>
      <c r="K90" s="99"/>
      <c r="L90" s="47"/>
      <c r="M90" s="99"/>
      <c r="N90" s="99"/>
      <c r="O90" s="47"/>
      <c r="P90" s="47"/>
      <c r="Q90" s="47"/>
      <c r="R90" s="47"/>
      <c r="S90" s="47"/>
      <c r="T90" s="47"/>
      <c r="U90" s="47"/>
      <c r="V90" s="47"/>
      <c r="W90" s="47"/>
      <c r="X90" s="173"/>
      <c r="Y90" s="174"/>
      <c r="Z90" s="174"/>
      <c r="AA90" s="174"/>
      <c r="AB90" s="174"/>
      <c r="AC90" s="174"/>
    </row>
    <row r="91" spans="1:29" s="83" customFormat="1" ht="11.25" customHeight="1" x14ac:dyDescent="0.2">
      <c r="A91" s="102">
        <v>2110000</v>
      </c>
      <c r="B91" s="175">
        <v>2003</v>
      </c>
      <c r="C91" s="176" t="s">
        <v>107</v>
      </c>
      <c r="D91" s="105">
        <v>175833</v>
      </c>
      <c r="E91" s="105">
        <v>200951</v>
      </c>
      <c r="F91" s="105">
        <v>200952</v>
      </c>
      <c r="G91" s="105">
        <v>200951</v>
      </c>
      <c r="H91" s="105">
        <v>100476</v>
      </c>
      <c r="I91" s="105"/>
      <c r="J91" s="105"/>
      <c r="K91" s="105"/>
      <c r="L91" s="108"/>
      <c r="M91" s="105"/>
      <c r="N91" s="105"/>
      <c r="O91" s="122"/>
      <c r="P91" s="122"/>
      <c r="Q91" s="122"/>
      <c r="R91" s="122"/>
      <c r="S91" s="122"/>
      <c r="T91" s="122"/>
      <c r="U91" s="122"/>
      <c r="V91" s="122"/>
      <c r="W91" s="122"/>
      <c r="X91" s="137"/>
      <c r="Y91" s="138"/>
      <c r="Z91" s="138"/>
      <c r="AA91" s="138"/>
      <c r="AB91" s="138"/>
      <c r="AC91" s="138"/>
    </row>
    <row r="92" spans="1:29" s="83" customFormat="1" ht="13.5" thickBot="1" x14ac:dyDescent="0.25">
      <c r="A92" s="110"/>
      <c r="B92" s="128"/>
      <c r="C92" s="177" t="s">
        <v>108</v>
      </c>
      <c r="D92" s="113">
        <v>33058</v>
      </c>
      <c r="E92" s="113">
        <v>21100</v>
      </c>
      <c r="F92" s="113">
        <v>15071</v>
      </c>
      <c r="G92" s="113">
        <v>9043</v>
      </c>
      <c r="H92" s="114">
        <v>3014</v>
      </c>
      <c r="I92" s="114"/>
      <c r="J92" s="114"/>
      <c r="K92" s="114"/>
      <c r="L92" s="115"/>
      <c r="M92" s="114"/>
      <c r="N92" s="114"/>
      <c r="O92" s="63"/>
      <c r="P92" s="63"/>
      <c r="Q92" s="63"/>
      <c r="R92" s="63"/>
      <c r="S92" s="63"/>
      <c r="T92" s="63"/>
      <c r="U92" s="63"/>
      <c r="V92" s="63"/>
      <c r="W92" s="63"/>
      <c r="X92" s="141"/>
      <c r="Y92" s="142"/>
      <c r="Z92" s="142"/>
      <c r="AA92" s="142"/>
      <c r="AB92" s="142"/>
      <c r="AC92" s="142"/>
    </row>
    <row r="93" spans="1:29" s="83" customFormat="1" x14ac:dyDescent="0.2">
      <c r="A93" s="102">
        <v>1643145</v>
      </c>
      <c r="B93" s="175">
        <v>2006</v>
      </c>
      <c r="C93" s="176" t="s">
        <v>109</v>
      </c>
      <c r="D93" s="105">
        <v>182572</v>
      </c>
      <c r="E93" s="105">
        <v>45644</v>
      </c>
      <c r="F93" s="105"/>
      <c r="G93" s="108"/>
      <c r="H93" s="105"/>
      <c r="I93" s="105"/>
      <c r="J93" s="105"/>
      <c r="K93" s="105"/>
      <c r="L93" s="108"/>
      <c r="M93" s="105"/>
      <c r="N93" s="105"/>
      <c r="O93" s="122"/>
      <c r="P93" s="122"/>
      <c r="Q93" s="122"/>
      <c r="R93" s="122"/>
      <c r="S93" s="122"/>
      <c r="T93" s="122"/>
      <c r="U93" s="122"/>
      <c r="V93" s="122"/>
      <c r="W93" s="122"/>
      <c r="X93" s="137"/>
      <c r="Y93" s="138"/>
      <c r="Z93" s="138"/>
      <c r="AA93" s="138"/>
      <c r="AB93" s="138"/>
      <c r="AC93" s="138"/>
    </row>
    <row r="94" spans="1:29" s="83" customFormat="1" ht="13.5" thickBot="1" x14ac:dyDescent="0.25">
      <c r="A94" s="110"/>
      <c r="B94" s="128"/>
      <c r="C94" s="177" t="s">
        <v>110</v>
      </c>
      <c r="D94" s="113">
        <v>4503</v>
      </c>
      <c r="E94" s="113">
        <v>901</v>
      </c>
      <c r="F94" s="113"/>
      <c r="G94" s="113"/>
      <c r="H94" s="114"/>
      <c r="I94" s="114"/>
      <c r="J94" s="114"/>
      <c r="K94" s="114"/>
      <c r="L94" s="115"/>
      <c r="M94" s="114"/>
      <c r="N94" s="114"/>
      <c r="O94" s="124"/>
      <c r="P94" s="124"/>
      <c r="Q94" s="124"/>
      <c r="R94" s="124"/>
      <c r="S94" s="124"/>
      <c r="T94" s="124"/>
      <c r="U94" s="124"/>
      <c r="V94" s="124"/>
      <c r="W94" s="124"/>
      <c r="X94" s="139"/>
      <c r="Y94" s="140"/>
      <c r="Z94" s="140"/>
      <c r="AA94" s="140"/>
      <c r="AB94" s="140"/>
      <c r="AC94" s="140"/>
    </row>
    <row r="95" spans="1:29" s="83" customFormat="1" ht="25.5" x14ac:dyDescent="0.2">
      <c r="A95" s="102">
        <v>1422872</v>
      </c>
      <c r="B95" s="175">
        <v>2007</v>
      </c>
      <c r="C95" s="176" t="s">
        <v>111</v>
      </c>
      <c r="D95" s="105">
        <v>156641</v>
      </c>
      <c r="E95" s="105">
        <v>156641</v>
      </c>
      <c r="F95" s="105">
        <v>156641</v>
      </c>
      <c r="G95" s="105"/>
      <c r="H95" s="105"/>
      <c r="I95" s="105"/>
      <c r="J95" s="105"/>
      <c r="K95" s="105"/>
      <c r="L95" s="108"/>
      <c r="M95" s="105"/>
      <c r="N95" s="105"/>
      <c r="O95" s="122"/>
      <c r="P95" s="122"/>
      <c r="Q95" s="122"/>
      <c r="R95" s="122"/>
      <c r="S95" s="122"/>
      <c r="T95" s="122"/>
      <c r="U95" s="122"/>
      <c r="V95" s="122"/>
      <c r="W95" s="122"/>
      <c r="X95" s="137"/>
      <c r="Y95" s="138"/>
      <c r="Z95" s="138"/>
      <c r="AA95" s="138"/>
      <c r="AB95" s="138"/>
      <c r="AC95" s="138"/>
    </row>
    <row r="96" spans="1:29" s="83" customFormat="1" ht="13.5" thickBot="1" x14ac:dyDescent="0.25">
      <c r="A96" s="178"/>
      <c r="B96" s="179"/>
      <c r="C96" s="180" t="s">
        <v>112</v>
      </c>
      <c r="D96" s="152">
        <v>27393</v>
      </c>
      <c r="E96" s="152">
        <f>(E95+F95)*0.077%</f>
        <v>241.22713999999999</v>
      </c>
      <c r="F96" s="152">
        <v>121</v>
      </c>
      <c r="G96" s="152"/>
      <c r="H96" s="152"/>
      <c r="I96" s="152"/>
      <c r="J96" s="152"/>
      <c r="K96" s="152"/>
      <c r="L96" s="151"/>
      <c r="M96" s="152"/>
      <c r="N96" s="152"/>
      <c r="O96" s="63"/>
      <c r="P96" s="63"/>
      <c r="Q96" s="63"/>
      <c r="R96" s="63"/>
      <c r="S96" s="63"/>
      <c r="T96" s="63"/>
      <c r="U96" s="63"/>
      <c r="V96" s="63"/>
      <c r="W96" s="63"/>
      <c r="X96" s="141"/>
      <c r="Y96" s="142"/>
      <c r="Z96" s="142"/>
      <c r="AA96" s="142"/>
      <c r="AB96" s="142"/>
      <c r="AC96" s="142"/>
    </row>
    <row r="97" spans="1:29" s="83" customFormat="1" ht="13.5" thickBot="1" x14ac:dyDescent="0.25">
      <c r="A97" s="181">
        <v>1280192</v>
      </c>
      <c r="B97" s="182" t="s">
        <v>68</v>
      </c>
      <c r="C97" s="183" t="s">
        <v>113</v>
      </c>
      <c r="D97" s="184">
        <v>84496</v>
      </c>
      <c r="E97" s="184">
        <v>83330</v>
      </c>
      <c r="F97" s="184">
        <v>82165.15557680378</v>
      </c>
      <c r="G97" s="184">
        <v>81001.246435706111</v>
      </c>
      <c r="H97" s="184">
        <v>79835.914422797825</v>
      </c>
      <c r="I97" s="184">
        <v>78672.005281700156</v>
      </c>
      <c r="J97" s="184">
        <v>77508</v>
      </c>
      <c r="K97" s="184">
        <v>76343</v>
      </c>
      <c r="L97" s="185">
        <v>75178</v>
      </c>
      <c r="M97" s="184">
        <v>74013</v>
      </c>
      <c r="N97" s="184">
        <v>72848</v>
      </c>
      <c r="O97" s="186">
        <v>71683</v>
      </c>
      <c r="P97" s="186">
        <v>70518</v>
      </c>
      <c r="Q97" s="186">
        <v>46534</v>
      </c>
      <c r="R97" s="186"/>
      <c r="S97" s="186"/>
      <c r="T97" s="186"/>
      <c r="U97" s="186"/>
      <c r="V97" s="186"/>
      <c r="W97" s="186"/>
      <c r="X97" s="187"/>
      <c r="Y97" s="188"/>
      <c r="Z97" s="188"/>
      <c r="AA97" s="188"/>
      <c r="AB97" s="188"/>
      <c r="AC97" s="188"/>
    </row>
    <row r="98" spans="1:29" s="83" customFormat="1" ht="25.5" x14ac:dyDescent="0.2">
      <c r="A98" s="102">
        <v>1708</v>
      </c>
      <c r="B98" s="126">
        <v>2015</v>
      </c>
      <c r="C98" s="127" t="s">
        <v>114</v>
      </c>
      <c r="D98" s="108"/>
      <c r="E98" s="108">
        <v>0</v>
      </c>
      <c r="F98" s="108">
        <v>100</v>
      </c>
      <c r="G98" s="108">
        <v>171</v>
      </c>
      <c r="H98" s="108">
        <v>171</v>
      </c>
      <c r="I98" s="108">
        <v>171</v>
      </c>
      <c r="J98" s="108">
        <v>171</v>
      </c>
      <c r="K98" s="108">
        <v>171</v>
      </c>
      <c r="L98" s="108">
        <v>171</v>
      </c>
      <c r="M98" s="108">
        <v>171</v>
      </c>
      <c r="N98" s="108">
        <v>171</v>
      </c>
      <c r="O98" s="108">
        <v>171</v>
      </c>
      <c r="P98" s="122">
        <v>71</v>
      </c>
      <c r="Q98" s="122"/>
      <c r="R98" s="122"/>
      <c r="S98" s="122"/>
      <c r="T98" s="122"/>
      <c r="U98" s="122"/>
      <c r="V98" s="122"/>
      <c r="W98" s="122"/>
      <c r="X98" s="138"/>
      <c r="Y98" s="138"/>
      <c r="Z98" s="138"/>
      <c r="AA98" s="138"/>
      <c r="AB98" s="138"/>
      <c r="AC98" s="138"/>
    </row>
    <row r="99" spans="1:29" s="83" customFormat="1" ht="13.5" thickBot="1" x14ac:dyDescent="0.25">
      <c r="A99" s="167"/>
      <c r="B99" s="168"/>
      <c r="C99" s="189" t="s">
        <v>115</v>
      </c>
      <c r="D99" s="131"/>
      <c r="E99" s="131">
        <v>0</v>
      </c>
      <c r="F99" s="131">
        <v>25</v>
      </c>
      <c r="G99" s="136">
        <v>39</v>
      </c>
      <c r="H99" s="131">
        <v>35</v>
      </c>
      <c r="I99" s="131">
        <v>30</v>
      </c>
      <c r="J99" s="131">
        <v>26</v>
      </c>
      <c r="K99" s="131">
        <v>22</v>
      </c>
      <c r="L99" s="131">
        <v>17</v>
      </c>
      <c r="M99" s="131">
        <v>13</v>
      </c>
      <c r="N99" s="131">
        <v>9</v>
      </c>
      <c r="O99" s="136">
        <v>4</v>
      </c>
      <c r="P99" s="136">
        <v>1</v>
      </c>
      <c r="Q99" s="136"/>
      <c r="R99" s="136"/>
      <c r="S99" s="136"/>
      <c r="T99" s="136"/>
      <c r="U99" s="136"/>
      <c r="V99" s="136"/>
      <c r="W99" s="136"/>
      <c r="X99" s="190"/>
      <c r="Y99" s="190"/>
      <c r="Z99" s="190"/>
      <c r="AA99" s="190"/>
      <c r="AB99" s="190"/>
      <c r="AC99" s="190"/>
    </row>
    <row r="100" spans="1:29" s="83" customFormat="1" ht="25.5" x14ac:dyDescent="0.2">
      <c r="A100" s="191">
        <v>1707</v>
      </c>
      <c r="B100" s="192">
        <v>2015</v>
      </c>
      <c r="C100" s="193" t="s">
        <v>116</v>
      </c>
      <c r="D100" s="194"/>
      <c r="E100" s="194">
        <v>0</v>
      </c>
      <c r="F100" s="195">
        <v>100</v>
      </c>
      <c r="G100" s="195">
        <v>171</v>
      </c>
      <c r="H100" s="195">
        <v>171</v>
      </c>
      <c r="I100" s="195">
        <v>171</v>
      </c>
      <c r="J100" s="195">
        <v>171</v>
      </c>
      <c r="K100" s="195">
        <v>171</v>
      </c>
      <c r="L100" s="195">
        <v>171</v>
      </c>
      <c r="M100" s="195">
        <v>171</v>
      </c>
      <c r="N100" s="195">
        <v>171</v>
      </c>
      <c r="O100" s="195">
        <v>171</v>
      </c>
      <c r="P100" s="195">
        <v>71</v>
      </c>
      <c r="Q100" s="194"/>
      <c r="R100" s="194"/>
      <c r="S100" s="194"/>
      <c r="T100" s="194"/>
      <c r="U100" s="194"/>
      <c r="V100" s="194"/>
      <c r="W100" s="194"/>
      <c r="X100" s="194"/>
      <c r="Y100" s="194"/>
      <c r="Z100" s="194"/>
      <c r="AA100" s="194"/>
      <c r="AB100" s="194"/>
      <c r="AC100" s="194"/>
    </row>
    <row r="101" spans="1:29" ht="17.25" customHeight="1" thickBot="1" x14ac:dyDescent="0.25">
      <c r="A101" s="196"/>
      <c r="B101" s="197"/>
      <c r="C101" s="189" t="s">
        <v>117</v>
      </c>
      <c r="D101" s="131">
        <v>4</v>
      </c>
      <c r="E101" s="131">
        <v>39</v>
      </c>
      <c r="F101" s="131">
        <v>43</v>
      </c>
      <c r="G101" s="131">
        <v>39</v>
      </c>
      <c r="H101" s="131">
        <v>35</v>
      </c>
      <c r="I101" s="131">
        <v>30</v>
      </c>
      <c r="J101" s="131">
        <v>26</v>
      </c>
      <c r="K101" s="131">
        <v>22</v>
      </c>
      <c r="L101" s="131">
        <v>17</v>
      </c>
      <c r="M101" s="131">
        <v>13</v>
      </c>
      <c r="N101" s="131">
        <v>9</v>
      </c>
      <c r="O101" s="136">
        <v>4</v>
      </c>
      <c r="P101" s="136">
        <v>1</v>
      </c>
      <c r="Q101" s="136"/>
      <c r="R101" s="136"/>
      <c r="S101" s="136"/>
      <c r="T101" s="136"/>
      <c r="U101" s="136"/>
      <c r="V101" s="136"/>
      <c r="W101" s="136"/>
      <c r="X101" s="190"/>
      <c r="Y101" s="190"/>
      <c r="Z101" s="190"/>
      <c r="AA101" s="190"/>
      <c r="AB101" s="190"/>
      <c r="AC101" s="190"/>
    </row>
    <row r="102" spans="1:29" ht="18" customHeight="1" thickBot="1" x14ac:dyDescent="0.25">
      <c r="A102" s="110">
        <v>292094</v>
      </c>
      <c r="B102" s="132" t="s">
        <v>118</v>
      </c>
      <c r="C102" s="198" t="s">
        <v>119</v>
      </c>
      <c r="D102" s="114"/>
      <c r="E102" s="114"/>
      <c r="F102" s="114"/>
      <c r="G102" s="114"/>
      <c r="H102" s="184"/>
      <c r="I102" s="184"/>
      <c r="J102" s="114"/>
      <c r="K102" s="114"/>
      <c r="L102" s="115"/>
      <c r="M102" s="114"/>
      <c r="N102" s="114"/>
      <c r="O102" s="186"/>
      <c r="P102" s="186"/>
      <c r="Q102" s="186"/>
      <c r="R102" s="186"/>
      <c r="S102" s="186"/>
      <c r="T102" s="186"/>
      <c r="U102" s="186"/>
      <c r="V102" s="186"/>
      <c r="W102" s="186"/>
      <c r="X102" s="187"/>
      <c r="Y102" s="188"/>
      <c r="Z102" s="188"/>
      <c r="AA102" s="188"/>
      <c r="AB102" s="188"/>
      <c r="AC102" s="188"/>
    </row>
    <row r="103" spans="1:29" ht="13.5" thickBot="1" x14ac:dyDescent="0.25">
      <c r="A103" s="199"/>
      <c r="B103" s="199"/>
      <c r="C103" s="200" t="s">
        <v>120</v>
      </c>
      <c r="D103" s="124">
        <f t="shared" ref="D103:AC103" si="10">SUM(D17:D102)</f>
        <v>6101581.5113333333</v>
      </c>
      <c r="E103" s="124">
        <f t="shared" si="10"/>
        <v>8032761.7811400006</v>
      </c>
      <c r="F103" s="124">
        <f t="shared" si="10"/>
        <v>7107038.3792891512</v>
      </c>
      <c r="G103" s="124">
        <f t="shared" si="10"/>
        <v>6630763.6365397992</v>
      </c>
      <c r="H103" s="124">
        <f t="shared" si="10"/>
        <v>7948553.2207427807</v>
      </c>
      <c r="I103" s="124">
        <f t="shared" si="10"/>
        <v>7707076.9412817005</v>
      </c>
      <c r="J103" s="124">
        <f t="shared" si="10"/>
        <v>8468339.9430000018</v>
      </c>
      <c r="K103" s="125">
        <f t="shared" si="10"/>
        <v>8380191.3720000014</v>
      </c>
      <c r="L103" s="125">
        <f t="shared" si="10"/>
        <v>7552056.5760000013</v>
      </c>
      <c r="M103" s="125">
        <f t="shared" si="10"/>
        <v>7491445.5490000015</v>
      </c>
      <c r="N103" s="125">
        <f t="shared" si="10"/>
        <v>6532049.8110000007</v>
      </c>
      <c r="O103" s="125">
        <f t="shared" si="10"/>
        <v>6164475.1140000001</v>
      </c>
      <c r="P103" s="125">
        <f t="shared" si="10"/>
        <v>5107633.1390000004</v>
      </c>
      <c r="Q103" s="125">
        <f t="shared" si="10"/>
        <v>3284337.1029999997</v>
      </c>
      <c r="R103" s="125">
        <f t="shared" si="10"/>
        <v>2784330.6350000002</v>
      </c>
      <c r="S103" s="125">
        <f t="shared" si="10"/>
        <v>2641366.3889999995</v>
      </c>
      <c r="T103" s="125">
        <f t="shared" si="10"/>
        <v>2427741.804</v>
      </c>
      <c r="U103" s="125">
        <f t="shared" si="10"/>
        <v>2174694.4249999998</v>
      </c>
      <c r="V103" s="125">
        <f t="shared" si="10"/>
        <v>2012060.48</v>
      </c>
      <c r="W103" s="125">
        <f t="shared" si="10"/>
        <v>1975991.3770000001</v>
      </c>
      <c r="X103" s="201">
        <f t="shared" si="10"/>
        <v>4500568.7890000008</v>
      </c>
      <c r="Y103" s="186">
        <f t="shared" si="10"/>
        <v>1195124.209</v>
      </c>
      <c r="Z103" s="186">
        <f t="shared" si="10"/>
        <v>1165745.8059999999</v>
      </c>
      <c r="AA103" s="186">
        <f t="shared" si="10"/>
        <v>1136367.4029999999</v>
      </c>
      <c r="AB103" s="186">
        <f t="shared" si="10"/>
        <v>368900</v>
      </c>
      <c r="AC103" s="186">
        <f t="shared" si="10"/>
        <v>359450</v>
      </c>
    </row>
    <row r="104" spans="1:29" x14ac:dyDescent="0.2">
      <c r="A104" s="82"/>
      <c r="B104" s="82"/>
      <c r="C104" s="82"/>
      <c r="D104" s="202"/>
      <c r="E104" s="202"/>
      <c r="F104" s="202"/>
      <c r="G104" s="202"/>
      <c r="H104" s="202"/>
      <c r="I104" s="202"/>
      <c r="J104" s="202"/>
      <c r="K104" s="202"/>
      <c r="L104" s="203"/>
    </row>
    <row r="105" spans="1:29" ht="13.5" x14ac:dyDescent="0.25">
      <c r="A105" s="82"/>
      <c r="B105" s="82"/>
      <c r="C105" s="82" t="s">
        <v>121</v>
      </c>
      <c r="D105" s="204" t="e">
        <f t="shared" ref="D105:AC105" si="11">SUM(D106:D107)</f>
        <v>#REF!</v>
      </c>
      <c r="E105" s="204">
        <f t="shared" si="11"/>
        <v>6185659</v>
      </c>
      <c r="F105" s="204">
        <f t="shared" si="11"/>
        <v>5402383.0725778453</v>
      </c>
      <c r="G105" s="204">
        <f t="shared" si="11"/>
        <v>4721471.4968668362</v>
      </c>
      <c r="H105" s="204">
        <f t="shared" si="11"/>
        <v>6193261</v>
      </c>
      <c r="I105" s="204">
        <f t="shared" si="11"/>
        <v>6118166</v>
      </c>
      <c r="J105" s="204">
        <f t="shared" si="11"/>
        <v>7054872</v>
      </c>
      <c r="K105" s="204">
        <f t="shared" si="11"/>
        <v>7147834</v>
      </c>
      <c r="L105" s="204">
        <f t="shared" si="11"/>
        <v>6498136</v>
      </c>
      <c r="M105" s="204">
        <f t="shared" si="11"/>
        <v>6452146</v>
      </c>
      <c r="N105" s="204">
        <f t="shared" si="11"/>
        <v>5545033</v>
      </c>
      <c r="O105" s="204">
        <f t="shared" si="11"/>
        <v>5287746</v>
      </c>
      <c r="P105" s="204">
        <f t="shared" si="11"/>
        <v>4347212</v>
      </c>
      <c r="Q105" s="204">
        <f t="shared" si="11"/>
        <v>2870489</v>
      </c>
      <c r="R105" s="204">
        <f t="shared" si="11"/>
        <v>2489717</v>
      </c>
      <c r="S105" s="204">
        <f t="shared" si="11"/>
        <v>2326642</v>
      </c>
      <c r="T105" s="204">
        <f t="shared" si="11"/>
        <v>2077977</v>
      </c>
      <c r="U105" s="204">
        <f t="shared" si="11"/>
        <v>1881035</v>
      </c>
      <c r="V105" s="204">
        <f t="shared" si="11"/>
        <v>1769189</v>
      </c>
      <c r="W105" s="204">
        <f t="shared" si="11"/>
        <v>1780888</v>
      </c>
      <c r="X105" s="204">
        <f t="shared" si="11"/>
        <v>1480907</v>
      </c>
      <c r="Y105" s="204">
        <f t="shared" si="11"/>
        <v>1088089</v>
      </c>
      <c r="Z105" s="204">
        <f t="shared" si="11"/>
        <v>1088089</v>
      </c>
      <c r="AA105" s="204">
        <f t="shared" si="11"/>
        <v>1088089</v>
      </c>
      <c r="AB105" s="204">
        <f t="shared" si="11"/>
        <v>350000</v>
      </c>
      <c r="AC105" s="204">
        <f t="shared" si="11"/>
        <v>350000</v>
      </c>
    </row>
    <row r="106" spans="1:29" x14ac:dyDescent="0.2">
      <c r="A106" s="82"/>
      <c r="B106" s="82"/>
      <c r="C106" s="205" t="s">
        <v>122</v>
      </c>
      <c r="D106" s="206" t="e">
        <f>D13+D15+D17+#REF!+D19+D25+#REF!+D27+D29+D31+D33+#REF!+D45</f>
        <v>#REF!</v>
      </c>
      <c r="E106" s="206">
        <f>E13+E15+E17+E19+E25+E27+E29+E31+E33+E21+E23+E45+E35+E37+E39+E41+E43</f>
        <v>0</v>
      </c>
      <c r="F106" s="206">
        <f t="shared" ref="F106:AC106" si="12">F13+F15+F17+F19+F25+F27+F29+F31+F33+F21+F23+F45+F35+F37+F39+F41+F43</f>
        <v>0</v>
      </c>
      <c r="G106" s="206">
        <f t="shared" si="12"/>
        <v>75000</v>
      </c>
      <c r="H106" s="206">
        <f t="shared" si="12"/>
        <v>1646469</v>
      </c>
      <c r="I106" s="206">
        <f t="shared" si="12"/>
        <v>1897847</v>
      </c>
      <c r="J106" s="206">
        <f t="shared" si="12"/>
        <v>2690520</v>
      </c>
      <c r="K106" s="206">
        <f t="shared" si="12"/>
        <v>2690520</v>
      </c>
      <c r="L106" s="206">
        <f t="shared" si="12"/>
        <v>2690518</v>
      </c>
      <c r="M106" s="206">
        <f t="shared" si="12"/>
        <v>2659366</v>
      </c>
      <c r="N106" s="206">
        <f t="shared" si="12"/>
        <v>3612609</v>
      </c>
      <c r="O106" s="206">
        <f t="shared" si="12"/>
        <v>3630601</v>
      </c>
      <c r="P106" s="206">
        <f t="shared" si="12"/>
        <v>3357324</v>
      </c>
      <c r="Q106" s="206">
        <f t="shared" si="12"/>
        <v>1880601</v>
      </c>
      <c r="R106" s="206">
        <f t="shared" si="12"/>
        <v>1499829</v>
      </c>
      <c r="S106" s="206">
        <f t="shared" si="12"/>
        <v>1336754</v>
      </c>
      <c r="T106" s="206">
        <f t="shared" si="12"/>
        <v>1088089</v>
      </c>
      <c r="U106" s="206">
        <f t="shared" si="12"/>
        <v>1088089</v>
      </c>
      <c r="V106" s="206">
        <f t="shared" si="12"/>
        <v>1088089</v>
      </c>
      <c r="W106" s="206">
        <f t="shared" si="12"/>
        <v>1088089</v>
      </c>
      <c r="X106" s="206">
        <f t="shared" si="12"/>
        <v>1088089</v>
      </c>
      <c r="Y106" s="206">
        <f t="shared" si="12"/>
        <v>1088089</v>
      </c>
      <c r="Z106" s="206">
        <f t="shared" si="12"/>
        <v>1088089</v>
      </c>
      <c r="AA106" s="206">
        <f t="shared" si="12"/>
        <v>1088089</v>
      </c>
      <c r="AB106" s="206">
        <f t="shared" si="12"/>
        <v>350000</v>
      </c>
      <c r="AC106" s="206">
        <f t="shared" si="12"/>
        <v>350000</v>
      </c>
    </row>
    <row r="107" spans="1:29" s="207" customFormat="1" x14ac:dyDescent="0.2">
      <c r="A107" s="82"/>
      <c r="B107" s="82"/>
      <c r="C107" s="205" t="s">
        <v>123</v>
      </c>
      <c r="D107" s="206">
        <f>SUM(D48,D50,D52,D54,D56,D58,D60,D62,D64,D66,D68,D70,D72,D74,D76,D78,D80,D82,D88)</f>
        <v>4171324</v>
      </c>
      <c r="E107" s="206">
        <f>SUM(E48,E50,,E52,E54,E56,E58,E60,E62,E64,E66,E68,E70,E72,E74,E76,E78,E80,E82,E88,E84,E86)</f>
        <v>6185659</v>
      </c>
      <c r="F107" s="206">
        <f t="shared" ref="F107:AC107" si="13">SUM(F48,F50,,F52,F54,F56,F58,F60,F62,F64,F66,F68,F70,F72,F74,F76,F78,F80,F82,F88,F84,F86)</f>
        <v>5402383.0725778453</v>
      </c>
      <c r="G107" s="206">
        <f t="shared" si="13"/>
        <v>4646471.4968668362</v>
      </c>
      <c r="H107" s="206">
        <f t="shared" si="13"/>
        <v>4546792</v>
      </c>
      <c r="I107" s="206">
        <f t="shared" si="13"/>
        <v>4220319</v>
      </c>
      <c r="J107" s="206">
        <f t="shared" si="13"/>
        <v>4364352</v>
      </c>
      <c r="K107" s="206">
        <f t="shared" si="13"/>
        <v>4457314</v>
      </c>
      <c r="L107" s="206">
        <f t="shared" si="13"/>
        <v>3807618</v>
      </c>
      <c r="M107" s="206">
        <f t="shared" si="13"/>
        <v>3792780</v>
      </c>
      <c r="N107" s="206">
        <f t="shared" si="13"/>
        <v>1932424</v>
      </c>
      <c r="O107" s="206">
        <f t="shared" si="13"/>
        <v>1657145</v>
      </c>
      <c r="P107" s="206">
        <f t="shared" si="13"/>
        <v>989888</v>
      </c>
      <c r="Q107" s="206">
        <f t="shared" si="13"/>
        <v>989888</v>
      </c>
      <c r="R107" s="206">
        <f t="shared" si="13"/>
        <v>989888</v>
      </c>
      <c r="S107" s="206">
        <f t="shared" si="13"/>
        <v>989888</v>
      </c>
      <c r="T107" s="206">
        <f t="shared" si="13"/>
        <v>989888</v>
      </c>
      <c r="U107" s="206">
        <f t="shared" si="13"/>
        <v>792946</v>
      </c>
      <c r="V107" s="206">
        <f t="shared" si="13"/>
        <v>681100</v>
      </c>
      <c r="W107" s="206">
        <f t="shared" si="13"/>
        <v>692799</v>
      </c>
      <c r="X107" s="206">
        <f t="shared" si="13"/>
        <v>392818</v>
      </c>
      <c r="Y107" s="206">
        <f t="shared" si="13"/>
        <v>0</v>
      </c>
      <c r="Z107" s="206">
        <f t="shared" si="13"/>
        <v>0</v>
      </c>
      <c r="AA107" s="206">
        <f t="shared" si="13"/>
        <v>0</v>
      </c>
      <c r="AB107" s="206">
        <f t="shared" si="13"/>
        <v>0</v>
      </c>
      <c r="AC107" s="206">
        <f t="shared" si="13"/>
        <v>0</v>
      </c>
    </row>
    <row r="108" spans="1:29" ht="13.5" x14ac:dyDescent="0.25">
      <c r="A108" s="83"/>
      <c r="B108" s="83"/>
      <c r="C108" s="82" t="s">
        <v>124</v>
      </c>
      <c r="D108" s="204" t="e">
        <f t="shared" ref="D108:Y108" si="14">SUM(D109:D110)</f>
        <v>#REF!</v>
      </c>
      <c r="E108" s="204">
        <f t="shared" si="14"/>
        <v>1338255.5539999998</v>
      </c>
      <c r="F108" s="204">
        <f t="shared" si="14"/>
        <v>1249437.1511345014</v>
      </c>
      <c r="G108" s="204">
        <f t="shared" si="14"/>
        <v>1617876.8932372553</v>
      </c>
      <c r="H108" s="204">
        <f t="shared" si="14"/>
        <v>1586408.950319981</v>
      </c>
      <c r="I108" s="204">
        <f t="shared" si="14"/>
        <v>1631797.858</v>
      </c>
      <c r="J108" s="204">
        <f t="shared" si="14"/>
        <v>1559170.1410000001</v>
      </c>
      <c r="K108" s="204">
        <f t="shared" si="14"/>
        <v>1374431.4029999999</v>
      </c>
      <c r="L108" s="204">
        <f t="shared" si="14"/>
        <v>1192368.44</v>
      </c>
      <c r="M108" s="204">
        <f t="shared" si="14"/>
        <v>1174119.2459999998</v>
      </c>
      <c r="N108" s="204">
        <f t="shared" si="14"/>
        <v>1118208.341</v>
      </c>
      <c r="O108" s="204">
        <f t="shared" si="14"/>
        <v>1004294.477</v>
      </c>
      <c r="P108" s="204">
        <f t="shared" si="14"/>
        <v>884556.33499999996</v>
      </c>
      <c r="Q108" s="204">
        <f t="shared" si="14"/>
        <v>557310.13199999998</v>
      </c>
      <c r="R108" s="204">
        <f t="shared" si="14"/>
        <v>479806.49699999997</v>
      </c>
      <c r="S108" s="204">
        <f t="shared" si="14"/>
        <v>412584.13800000004</v>
      </c>
      <c r="T108" s="204">
        <f t="shared" si="14"/>
        <v>349764.804</v>
      </c>
      <c r="U108" s="204">
        <f t="shared" si="14"/>
        <v>293659.42499999999</v>
      </c>
      <c r="V108" s="204">
        <f t="shared" si="14"/>
        <v>242871.48</v>
      </c>
      <c r="W108" s="204">
        <f t="shared" si="14"/>
        <v>195103.37700000001</v>
      </c>
      <c r="X108" s="204">
        <f t="shared" si="14"/>
        <v>3019661.7889999999</v>
      </c>
      <c r="Y108" s="204">
        <f t="shared" si="14"/>
        <v>107035.209</v>
      </c>
      <c r="Z108" s="204">
        <f t="shared" ref="Z108:AC108" si="15">SUM(Z109:Z110)</f>
        <v>77656.805999999997</v>
      </c>
      <c r="AA108" s="204">
        <f t="shared" si="15"/>
        <v>48278.402999999998</v>
      </c>
      <c r="AB108" s="204">
        <f t="shared" si="15"/>
        <v>18900</v>
      </c>
      <c r="AC108" s="204">
        <f t="shared" si="15"/>
        <v>9450</v>
      </c>
    </row>
    <row r="109" spans="1:29" x14ac:dyDescent="0.2">
      <c r="C109" s="205" t="s">
        <v>125</v>
      </c>
      <c r="D109" s="203" t="e">
        <f>SUM(E14,E16,E18,#REF!,E20,E26,#REF!,E28,E30,E32,E34,#REF!,E46)</f>
        <v>#REF!</v>
      </c>
      <c r="E109" s="203">
        <f>E14+E16+E18+E20+E26+E28+E30+E32+E34+E22+E24+E46+E36+E38+E40+E42+E44</f>
        <v>0</v>
      </c>
      <c r="F109" s="203">
        <f t="shared" ref="F109:AC109" si="16">F14+F16+F18+F20+F26+F28+F30+F32+F34+F22+F24+F46+F36+F38+F40+F42+F44</f>
        <v>13500</v>
      </c>
      <c r="G109" s="203">
        <f t="shared" si="16"/>
        <v>528092.11800000002</v>
      </c>
      <c r="H109" s="203">
        <f t="shared" si="16"/>
        <v>618031.30499999993</v>
      </c>
      <c r="I109" s="203">
        <f t="shared" si="16"/>
        <v>780461.25299999991</v>
      </c>
      <c r="J109" s="203">
        <f t="shared" si="16"/>
        <v>819684.90000000014</v>
      </c>
      <c r="K109" s="203">
        <f t="shared" si="16"/>
        <v>750685.86</v>
      </c>
      <c r="L109" s="203">
        <f t="shared" si="16"/>
        <v>687491.82</v>
      </c>
      <c r="M109" s="203">
        <f t="shared" si="16"/>
        <v>772049.38</v>
      </c>
      <c r="N109" s="203">
        <f t="shared" si="16"/>
        <v>818544.52100000007</v>
      </c>
      <c r="O109" s="203">
        <f t="shared" si="16"/>
        <v>756806.07799999998</v>
      </c>
      <c r="P109" s="203">
        <f t="shared" si="16"/>
        <v>681810.85100000002</v>
      </c>
      <c r="Q109" s="203">
        <f t="shared" si="16"/>
        <v>381291.62400000001</v>
      </c>
      <c r="R109" s="203">
        <f t="shared" si="16"/>
        <v>330514.96499999997</v>
      </c>
      <c r="S109" s="203">
        <f t="shared" si="16"/>
        <v>290019.58200000005</v>
      </c>
      <c r="T109" s="203">
        <f t="shared" si="16"/>
        <v>253927.22399999999</v>
      </c>
      <c r="U109" s="203">
        <f t="shared" si="16"/>
        <v>224548.821</v>
      </c>
      <c r="V109" s="203">
        <f t="shared" si="16"/>
        <v>195170.41800000001</v>
      </c>
      <c r="W109" s="203">
        <f t="shared" si="16"/>
        <v>165792.01500000001</v>
      </c>
      <c r="X109" s="203">
        <f t="shared" si="16"/>
        <v>3009056</v>
      </c>
      <c r="Y109" s="203">
        <f t="shared" si="16"/>
        <v>107035.209</v>
      </c>
      <c r="Z109" s="203">
        <f t="shared" si="16"/>
        <v>77656.805999999997</v>
      </c>
      <c r="AA109" s="203">
        <f t="shared" si="16"/>
        <v>48278.402999999998</v>
      </c>
      <c r="AB109" s="203">
        <f t="shared" si="16"/>
        <v>18900</v>
      </c>
      <c r="AC109" s="203">
        <f t="shared" si="16"/>
        <v>9450</v>
      </c>
    </row>
    <row r="110" spans="1:29" x14ac:dyDescent="0.2">
      <c r="C110" s="205" t="s">
        <v>126</v>
      </c>
      <c r="D110" s="203">
        <f>SUM(D49,D51,D53,D55,D57,D59,D61,D63,D65,D67,D69,D71,D73,D75,D77,D79,D81,D83,D89)</f>
        <v>1265757.5113333333</v>
      </c>
      <c r="E110" s="203">
        <f>SUM(E49,E51,E53,E55,E57,E59,E61,E63,E65,E67,E69,E71,E73,E75,E77,E79,E81,E83,E6,E85,E87,E89)</f>
        <v>1338255.5539999998</v>
      </c>
      <c r="F110" s="203">
        <f>SUM(F49,F51,F53,F55,F57,F59,F61,F63,F65,F67,F69,F71,F73,F75,F77,F79,F81,F83,F6,F85,F87,F89)</f>
        <v>1235937.1511345014</v>
      </c>
      <c r="G110" s="203">
        <f t="shared" ref="G110:AC110" si="17">SUM(G49,G51,G53,G55,G57,G59,G61,G63,G65,G67,G69,G71,G73,G75,G77,G79,G81,G83,G6,G85,G87,G89)</f>
        <v>1089784.7752372553</v>
      </c>
      <c r="H110" s="203">
        <f t="shared" si="17"/>
        <v>968377.64531998103</v>
      </c>
      <c r="I110" s="203">
        <f t="shared" si="17"/>
        <v>851336.60499999998</v>
      </c>
      <c r="J110" s="203">
        <f t="shared" si="17"/>
        <v>739485.24099999992</v>
      </c>
      <c r="K110" s="203">
        <f t="shared" si="17"/>
        <v>623745.54299999995</v>
      </c>
      <c r="L110" s="203">
        <f t="shared" si="17"/>
        <v>504876.62</v>
      </c>
      <c r="M110" s="203">
        <f t="shared" si="17"/>
        <v>402069.86599999992</v>
      </c>
      <c r="N110" s="203">
        <f t="shared" si="17"/>
        <v>299663.81999999995</v>
      </c>
      <c r="O110" s="203">
        <f t="shared" si="17"/>
        <v>247488.39899999998</v>
      </c>
      <c r="P110" s="203">
        <f t="shared" si="17"/>
        <v>202745.484</v>
      </c>
      <c r="Q110" s="203">
        <f t="shared" si="17"/>
        <v>176018.50799999997</v>
      </c>
      <c r="R110" s="203">
        <f t="shared" si="17"/>
        <v>149291.53200000001</v>
      </c>
      <c r="S110" s="203">
        <f t="shared" si="17"/>
        <v>122564.55600000001</v>
      </c>
      <c r="T110" s="203">
        <f t="shared" si="17"/>
        <v>95837.58</v>
      </c>
      <c r="U110" s="203">
        <f t="shared" si="17"/>
        <v>69110.603999999992</v>
      </c>
      <c r="V110" s="203">
        <f t="shared" si="17"/>
        <v>47701.062000000005</v>
      </c>
      <c r="W110" s="203">
        <f t="shared" si="17"/>
        <v>29311.362000000001</v>
      </c>
      <c r="X110" s="203">
        <f t="shared" si="17"/>
        <v>10605.789000000001</v>
      </c>
      <c r="Y110" s="203">
        <f t="shared" si="17"/>
        <v>0</v>
      </c>
      <c r="Z110" s="203">
        <f t="shared" si="17"/>
        <v>0</v>
      </c>
      <c r="AA110" s="203">
        <f t="shared" si="17"/>
        <v>0</v>
      </c>
      <c r="AB110" s="203">
        <f t="shared" si="17"/>
        <v>0</v>
      </c>
      <c r="AC110" s="203">
        <f t="shared" si="17"/>
        <v>0</v>
      </c>
    </row>
  </sheetData>
  <sheetProtection algorithmName="SHA-512" hashValue="N5+elrDzwutoc8ba4lKLHu4Z+JaoTOmzdGnZd4MDiQecaSebrE/RGOs+ScW41eM3AVeqn5H5B9+dHsOJIDMFlA==" saltValue="177x5mgVh9jZA38bVS4KTw==" spinCount="100000" sheet="1" objects="1" scenarios="1" selectLockedCells="1" selectUnlockedCells="1"/>
  <mergeCells count="3">
    <mergeCell ref="A1:AC1"/>
    <mergeCell ref="C7:C8"/>
    <mergeCell ref="C9:C10"/>
  </mergeCells>
  <printOptions gridLines="1"/>
  <pageMargins left="0.19685039370078741" right="0.11811023622047245" top="0.98425196850393704" bottom="0.39370078740157483" header="0.31496062992125984" footer="0.23622047244094491"/>
  <pageSetup paperSize="9" scale="46" fitToWidth="24" orientation="landscape" r:id="rId1"/>
  <headerFooter differentFirst="1">
    <oddHeader xml:space="preserve">&amp;C&amp;"Times New Roman Baltic,Bold"&amp;12
</oddHeader>
    <oddFooter>&amp;L&amp;D&amp;T&amp;R&amp;P</oddFooter>
    <firstHeader xml:space="preserve">&amp;R&amp;"Times New Roman,Regular"&amp;9
 32.pielikums Jūrmalas pilsētas domes
2016.gada 16.decembra saistošajiem noteikumiem Nr.47
(protokols Nr.19, 19.punkts) </first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3"/>
  <sheetViews>
    <sheetView view="pageLayout" zoomScaleNormal="100" workbookViewId="0">
      <selection activeCell="I12" sqref="I12"/>
    </sheetView>
  </sheetViews>
  <sheetFormatPr defaultColWidth="8.85546875" defaultRowHeight="12" x14ac:dyDescent="0.2"/>
  <cols>
    <col min="1" max="1" width="6.140625" style="1" customWidth="1"/>
    <col min="2" max="2" width="31.7109375" style="1" customWidth="1"/>
    <col min="3" max="3" width="9.5703125" style="1" hidden="1" customWidth="1"/>
    <col min="4" max="4" width="8.7109375" style="1" hidden="1" customWidth="1"/>
    <col min="5" max="5" width="10.28515625" style="1" hidden="1" customWidth="1"/>
    <col min="6" max="7" width="10.42578125" style="1" customWidth="1"/>
    <col min="8" max="8" width="17.85546875" style="274" customWidth="1"/>
    <col min="9" max="16384" width="8.85546875" style="1"/>
  </cols>
  <sheetData>
    <row r="1" spans="1:8" x14ac:dyDescent="0.2">
      <c r="A1" s="1016" t="s">
        <v>8</v>
      </c>
      <c r="B1" s="1016"/>
      <c r="D1" s="400"/>
      <c r="E1" s="400"/>
      <c r="F1" s="400" t="s">
        <v>15</v>
      </c>
      <c r="G1" s="400"/>
      <c r="H1" s="400"/>
    </row>
    <row r="2" spans="1:8" x14ac:dyDescent="0.2">
      <c r="A2" s="1016" t="s">
        <v>7</v>
      </c>
      <c r="B2" s="1016"/>
      <c r="D2" s="400"/>
      <c r="E2" s="400"/>
      <c r="F2" s="401" t="s">
        <v>374</v>
      </c>
      <c r="G2" s="400"/>
      <c r="H2" s="400"/>
    </row>
    <row r="3" spans="1:8" ht="15.75" x14ac:dyDescent="0.25">
      <c r="A3" s="1018" t="s">
        <v>9</v>
      </c>
      <c r="B3" s="1018"/>
      <c r="C3" s="1018"/>
      <c r="D3" s="1018"/>
      <c r="E3" s="1018"/>
      <c r="F3" s="1018"/>
      <c r="G3" s="1018"/>
      <c r="H3" s="1018"/>
    </row>
    <row r="4" spans="1:8" ht="15.75" x14ac:dyDescent="0.25">
      <c r="A4" s="275"/>
      <c r="B4" s="275"/>
      <c r="C4" s="275"/>
      <c r="D4" s="275"/>
      <c r="E4" s="275"/>
      <c r="F4" s="275"/>
      <c r="G4" s="275"/>
      <c r="H4" s="402"/>
    </row>
    <row r="5" spans="1:8" ht="15.75" x14ac:dyDescent="0.25">
      <c r="A5" s="1016" t="s">
        <v>375</v>
      </c>
      <c r="B5" s="1016"/>
      <c r="D5" s="403"/>
      <c r="E5" s="403"/>
      <c r="F5" s="403" t="s">
        <v>376</v>
      </c>
      <c r="G5" s="403"/>
      <c r="H5" s="403"/>
    </row>
    <row r="6" spans="1:8" x14ac:dyDescent="0.2">
      <c r="A6" s="1016" t="s">
        <v>377</v>
      </c>
      <c r="B6" s="1016"/>
      <c r="C6" s="1016" t="s">
        <v>378</v>
      </c>
      <c r="D6" s="1016"/>
      <c r="E6" s="1016"/>
      <c r="F6" s="1016"/>
      <c r="G6" s="1016"/>
      <c r="H6" s="1016"/>
    </row>
    <row r="7" spans="1:8" x14ac:dyDescent="0.2">
      <c r="A7" s="1016" t="s">
        <v>5</v>
      </c>
      <c r="B7" s="1016"/>
      <c r="C7" s="1019" t="s">
        <v>379</v>
      </c>
      <c r="D7" s="1019"/>
      <c r="E7" s="1019"/>
      <c r="F7" s="1019"/>
      <c r="G7" s="1019"/>
      <c r="H7" s="1019"/>
    </row>
    <row r="8" spans="1:8" ht="48" customHeight="1" x14ac:dyDescent="0.2">
      <c r="A8" s="6" t="s">
        <v>4</v>
      </c>
      <c r="B8" s="276" t="s">
        <v>3</v>
      </c>
      <c r="C8" s="6" t="s">
        <v>11</v>
      </c>
      <c r="D8" s="6" t="s">
        <v>12</v>
      </c>
      <c r="E8" s="6" t="s">
        <v>13</v>
      </c>
      <c r="F8" s="6" t="s">
        <v>2</v>
      </c>
      <c r="G8" s="6" t="s">
        <v>180</v>
      </c>
      <c r="H8" s="216" t="s">
        <v>1</v>
      </c>
    </row>
    <row r="9" spans="1:8" x14ac:dyDescent="0.2">
      <c r="A9" s="1040" t="s">
        <v>380</v>
      </c>
      <c r="B9" s="1040"/>
      <c r="C9" s="376">
        <f>SUM(C10:C23)</f>
        <v>229712</v>
      </c>
      <c r="D9" s="376">
        <f>SUM(D10:D23)</f>
        <v>227648</v>
      </c>
      <c r="E9" s="376">
        <f>SUM(E10:E23)</f>
        <v>231000</v>
      </c>
      <c r="F9" s="376"/>
      <c r="G9" s="7">
        <f>SUM(G10:G23)</f>
        <v>188500</v>
      </c>
      <c r="H9" s="404"/>
    </row>
    <row r="10" spans="1:8" ht="34.5" customHeight="1" x14ac:dyDescent="0.2">
      <c r="A10" s="3">
        <v>1</v>
      </c>
      <c r="B10" s="8" t="s">
        <v>381</v>
      </c>
      <c r="C10" s="288">
        <v>70000</v>
      </c>
      <c r="D10" s="288">
        <v>70000</v>
      </c>
      <c r="E10" s="288">
        <v>70000</v>
      </c>
      <c r="F10" s="405">
        <v>2239</v>
      </c>
      <c r="G10" s="4">
        <v>62000</v>
      </c>
      <c r="H10" s="406" t="s">
        <v>382</v>
      </c>
    </row>
    <row r="11" spans="1:8" ht="24" x14ac:dyDescent="0.2">
      <c r="A11" s="3">
        <v>2</v>
      </c>
      <c r="B11" s="407" t="s">
        <v>383</v>
      </c>
      <c r="C11" s="288">
        <v>25000</v>
      </c>
      <c r="D11" s="408">
        <v>25000</v>
      </c>
      <c r="E11" s="288">
        <v>25000</v>
      </c>
      <c r="F11" s="405">
        <v>2219</v>
      </c>
      <c r="G11" s="4">
        <v>22000</v>
      </c>
      <c r="H11" s="406" t="s">
        <v>382</v>
      </c>
    </row>
    <row r="12" spans="1:8" ht="36" x14ac:dyDescent="0.2">
      <c r="A12" s="3">
        <v>3</v>
      </c>
      <c r="B12" s="8" t="s">
        <v>384</v>
      </c>
      <c r="C12" s="409">
        <v>20380</v>
      </c>
      <c r="D12" s="409">
        <v>20380</v>
      </c>
      <c r="E12" s="409">
        <v>22000</v>
      </c>
      <c r="F12" s="405">
        <v>2212</v>
      </c>
      <c r="G12" s="4">
        <v>22000</v>
      </c>
      <c r="H12" s="406" t="s">
        <v>385</v>
      </c>
    </row>
    <row r="13" spans="1:8" ht="24" x14ac:dyDescent="0.2">
      <c r="A13" s="3">
        <v>4</v>
      </c>
      <c r="B13" s="8" t="s">
        <v>386</v>
      </c>
      <c r="C13" s="288">
        <v>3000</v>
      </c>
      <c r="D13" s="288">
        <v>1556</v>
      </c>
      <c r="E13" s="293">
        <v>1500</v>
      </c>
      <c r="F13" s="405">
        <v>2239</v>
      </c>
      <c r="G13" s="4">
        <v>1500</v>
      </c>
      <c r="H13" s="406" t="s">
        <v>385</v>
      </c>
    </row>
    <row r="14" spans="1:8" ht="36" x14ac:dyDescent="0.2">
      <c r="A14" s="3">
        <v>5</v>
      </c>
      <c r="B14" s="8" t="s">
        <v>387</v>
      </c>
      <c r="C14" s="288">
        <v>7000</v>
      </c>
      <c r="D14" s="288">
        <v>7000</v>
      </c>
      <c r="E14" s="288">
        <v>7000</v>
      </c>
      <c r="F14" s="405">
        <v>2239</v>
      </c>
      <c r="G14" s="4">
        <v>2500</v>
      </c>
      <c r="H14" s="410" t="s">
        <v>388</v>
      </c>
    </row>
    <row r="15" spans="1:8" ht="60" x14ac:dyDescent="0.2">
      <c r="A15" s="3">
        <v>7</v>
      </c>
      <c r="B15" s="8" t="s">
        <v>389</v>
      </c>
      <c r="C15" s="288">
        <v>6212</v>
      </c>
      <c r="D15" s="288">
        <v>6212</v>
      </c>
      <c r="E15" s="288">
        <v>3000</v>
      </c>
      <c r="F15" s="405">
        <v>2279</v>
      </c>
      <c r="G15" s="4">
        <v>3000</v>
      </c>
      <c r="H15" s="406" t="s">
        <v>390</v>
      </c>
    </row>
    <row r="16" spans="1:8" ht="32.25" customHeight="1" x14ac:dyDescent="0.2">
      <c r="A16" s="1041">
        <v>8</v>
      </c>
      <c r="B16" s="1042" t="s">
        <v>391</v>
      </c>
      <c r="C16" s="408">
        <v>30620</v>
      </c>
      <c r="D16" s="408">
        <v>30000</v>
      </c>
      <c r="E16" s="288">
        <v>25000</v>
      </c>
      <c r="F16" s="405">
        <v>2231</v>
      </c>
      <c r="G16" s="4">
        <v>15500</v>
      </c>
      <c r="H16" s="1043" t="s">
        <v>390</v>
      </c>
    </row>
    <row r="17" spans="1:8" ht="15" customHeight="1" x14ac:dyDescent="0.2">
      <c r="A17" s="1041"/>
      <c r="B17" s="1042"/>
      <c r="C17" s="408">
        <v>3000</v>
      </c>
      <c r="D17" s="408">
        <v>3000</v>
      </c>
      <c r="E17" s="288">
        <v>3000</v>
      </c>
      <c r="F17" s="405">
        <v>2279</v>
      </c>
      <c r="G17" s="4">
        <v>3000</v>
      </c>
      <c r="H17" s="1043"/>
    </row>
    <row r="18" spans="1:8" ht="15" customHeight="1" x14ac:dyDescent="0.2">
      <c r="A18" s="1041"/>
      <c r="B18" s="1042"/>
      <c r="C18" s="408">
        <v>2000</v>
      </c>
      <c r="D18" s="408">
        <v>2000</v>
      </c>
      <c r="E18" s="288">
        <v>5000</v>
      </c>
      <c r="F18" s="405">
        <v>2314</v>
      </c>
      <c r="G18" s="4">
        <v>5000</v>
      </c>
      <c r="H18" s="1043"/>
    </row>
    <row r="19" spans="1:8" ht="12" customHeight="1" x14ac:dyDescent="0.2">
      <c r="A19" s="1030">
        <v>9</v>
      </c>
      <c r="B19" s="1036" t="s">
        <v>392</v>
      </c>
      <c r="C19" s="288">
        <v>26230</v>
      </c>
      <c r="D19" s="288">
        <v>26230</v>
      </c>
      <c r="E19" s="288">
        <v>20000</v>
      </c>
      <c r="F19" s="405">
        <v>1150</v>
      </c>
      <c r="G19" s="4">
        <v>14500</v>
      </c>
      <c r="H19" s="1038" t="s">
        <v>393</v>
      </c>
    </row>
    <row r="20" spans="1:8" ht="39.75" customHeight="1" x14ac:dyDescent="0.2">
      <c r="A20" s="1031"/>
      <c r="B20" s="1037"/>
      <c r="C20" s="288">
        <v>1770</v>
      </c>
      <c r="D20" s="288">
        <v>1770</v>
      </c>
      <c r="E20" s="288">
        <v>2500</v>
      </c>
      <c r="F20" s="405">
        <v>1210</v>
      </c>
      <c r="G20" s="4">
        <v>1500</v>
      </c>
      <c r="H20" s="1039"/>
    </row>
    <row r="21" spans="1:8" ht="39" customHeight="1" x14ac:dyDescent="0.2">
      <c r="A21" s="3">
        <v>10</v>
      </c>
      <c r="B21" s="8" t="s">
        <v>394</v>
      </c>
      <c r="C21" s="288">
        <v>28500</v>
      </c>
      <c r="D21" s="288">
        <v>28500</v>
      </c>
      <c r="E21" s="288">
        <v>25000</v>
      </c>
      <c r="F21" s="405">
        <v>2232</v>
      </c>
      <c r="G21" s="4">
        <v>22000</v>
      </c>
      <c r="H21" s="406" t="s">
        <v>395</v>
      </c>
    </row>
    <row r="22" spans="1:8" x14ac:dyDescent="0.2">
      <c r="A22" s="3">
        <v>11</v>
      </c>
      <c r="B22" s="8" t="s">
        <v>396</v>
      </c>
      <c r="C22" s="288">
        <v>6000</v>
      </c>
      <c r="D22" s="288">
        <v>6000</v>
      </c>
      <c r="E22" s="288">
        <v>6000</v>
      </c>
      <c r="F22" s="405">
        <v>2239</v>
      </c>
      <c r="G22" s="4">
        <v>6000</v>
      </c>
      <c r="H22" s="406" t="s">
        <v>382</v>
      </c>
    </row>
    <row r="23" spans="1:8" ht="54" customHeight="1" x14ac:dyDescent="0.2">
      <c r="A23" s="3">
        <v>13</v>
      </c>
      <c r="B23" s="8" t="s">
        <v>397</v>
      </c>
      <c r="C23" s="288">
        <v>0</v>
      </c>
      <c r="D23" s="288">
        <v>0</v>
      </c>
      <c r="E23" s="288">
        <v>16000</v>
      </c>
      <c r="F23" s="405">
        <v>2239</v>
      </c>
      <c r="G23" s="283">
        <v>8000</v>
      </c>
      <c r="H23" s="410" t="s">
        <v>398</v>
      </c>
    </row>
    <row r="24" spans="1:8" x14ac:dyDescent="0.2">
      <c r="A24" s="1" t="s">
        <v>399</v>
      </c>
    </row>
    <row r="25" spans="1:8" x14ac:dyDescent="0.2">
      <c r="A25" s="411" t="s">
        <v>400</v>
      </c>
    </row>
    <row r="26" spans="1:8" x14ac:dyDescent="0.2">
      <c r="A26" s="411"/>
      <c r="B26" s="1" t="s">
        <v>401</v>
      </c>
    </row>
    <row r="27" spans="1:8" x14ac:dyDescent="0.2">
      <c r="A27" s="411"/>
      <c r="B27" s="274" t="s">
        <v>402</v>
      </c>
    </row>
    <row r="28" spans="1:8" x14ac:dyDescent="0.2">
      <c r="A28" s="411"/>
      <c r="B28" s="1" t="s">
        <v>403</v>
      </c>
    </row>
    <row r="29" spans="1:8" x14ac:dyDescent="0.2">
      <c r="A29" s="411"/>
      <c r="B29" s="274" t="s">
        <v>404</v>
      </c>
    </row>
    <row r="30" spans="1:8" x14ac:dyDescent="0.2">
      <c r="A30" s="411"/>
      <c r="B30" s="1" t="s">
        <v>405</v>
      </c>
    </row>
    <row r="31" spans="1:8" x14ac:dyDescent="0.2">
      <c r="A31" s="411"/>
      <c r="B31" s="274" t="s">
        <v>406</v>
      </c>
    </row>
    <row r="32" spans="1:8" x14ac:dyDescent="0.2">
      <c r="A32" s="411"/>
      <c r="B32" s="1" t="s">
        <v>186</v>
      </c>
    </row>
    <row r="33" spans="1:8" x14ac:dyDescent="0.2">
      <c r="A33" s="411"/>
      <c r="B33" s="274" t="s">
        <v>407</v>
      </c>
    </row>
    <row r="34" spans="1:8" x14ac:dyDescent="0.2">
      <c r="B34" s="1" t="s">
        <v>408</v>
      </c>
    </row>
    <row r="35" spans="1:8" x14ac:dyDescent="0.2">
      <c r="B35" s="274" t="s">
        <v>409</v>
      </c>
    </row>
    <row r="36" spans="1:8" x14ac:dyDescent="0.2">
      <c r="B36" s="274" t="s">
        <v>410</v>
      </c>
    </row>
    <row r="37" spans="1:8" x14ac:dyDescent="0.2">
      <c r="B37" s="1" t="s">
        <v>411</v>
      </c>
    </row>
    <row r="38" spans="1:8" x14ac:dyDescent="0.2">
      <c r="B38" s="274" t="s">
        <v>412</v>
      </c>
    </row>
    <row r="39" spans="1:8" x14ac:dyDescent="0.2">
      <c r="B39" s="274" t="s">
        <v>413</v>
      </c>
    </row>
    <row r="41" spans="1:8" x14ac:dyDescent="0.2">
      <c r="A41" s="2"/>
      <c r="B41" s="2"/>
      <c r="C41" s="2"/>
      <c r="D41" s="2"/>
      <c r="E41" s="2"/>
      <c r="F41" s="2"/>
      <c r="G41" s="2"/>
      <c r="H41" s="412"/>
    </row>
    <row r="42" spans="1:8" x14ac:dyDescent="0.2">
      <c r="A42" s="2"/>
      <c r="B42" s="2"/>
      <c r="C42" s="2"/>
      <c r="D42" s="2"/>
      <c r="E42" s="2"/>
      <c r="F42" s="2"/>
      <c r="G42" s="2"/>
      <c r="H42" s="412"/>
    </row>
    <row r="43" spans="1:8" x14ac:dyDescent="0.2">
      <c r="A43" s="2"/>
      <c r="B43" s="2"/>
      <c r="C43" s="2"/>
      <c r="D43" s="2"/>
      <c r="E43" s="2"/>
      <c r="F43" s="2"/>
      <c r="G43" s="2"/>
      <c r="H43" s="412"/>
    </row>
  </sheetData>
  <sheetProtection algorithmName="SHA-512" hashValue="96/8vpLKg+9p85vAp3tohFzxcmR+r0ikdvuuhEnaIxYPdrw7ltLZwfQG0czPsI+vGUDEFiQOJGdB2PFBeXNKZg==" saltValue="Rfc6/lkIUtd4D9aZIcA3DQ==" spinCount="100000" sheet="1" objects="1" scenarios="1" selectLockedCells="1" selectUnlockedCells="1"/>
  <mergeCells count="15">
    <mergeCell ref="A1:B1"/>
    <mergeCell ref="A2:B2"/>
    <mergeCell ref="A3:H3"/>
    <mergeCell ref="A5:B5"/>
    <mergeCell ref="A6:B6"/>
    <mergeCell ref="C6:H6"/>
    <mergeCell ref="A19:A20"/>
    <mergeCell ref="B19:B20"/>
    <mergeCell ref="H19:H20"/>
    <mergeCell ref="A7:B7"/>
    <mergeCell ref="C7:H7"/>
    <mergeCell ref="A9:B9"/>
    <mergeCell ref="A16:A18"/>
    <mergeCell ref="B16:B18"/>
    <mergeCell ref="H16:H18"/>
  </mergeCells>
  <pageMargins left="0.98425196850393704" right="0.39370078740157483" top="0.59055118110236227" bottom="0.39370078740157483" header="0.23622047244094491" footer="0.23622047244094491"/>
  <pageSetup paperSize="9" scale="70" fitToHeight="0" orientation="portrait" r:id="rId1"/>
  <headerFooter differentFirst="1">
    <oddHeader xml:space="preserve">&amp;R&amp;"Times New Roman,Regular"&amp;8
</oddHeader>
    <oddFooter>&amp;L&amp;"Times New Roman,Regular"&amp;8&amp;D;&amp;T&amp;R&amp;"Times New Roman,Regular"&amp;8&amp;P(&amp;N)</oddFooter>
    <firstHeader>&amp;R&amp;"Times New Roman,Regular"&amp;8
6.pielikums Jūrmalas pilsētas domes
2016.gada 16.decembra saistošajiem noteikumiem Nr.47
(protokols Nr.19, 19.punkts)</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3"/>
  <sheetViews>
    <sheetView view="pageLayout" zoomScaleNormal="100" workbookViewId="0">
      <selection activeCell="J14" sqref="J14"/>
    </sheetView>
  </sheetViews>
  <sheetFormatPr defaultRowHeight="12" x14ac:dyDescent="0.2"/>
  <cols>
    <col min="1" max="1" width="4.85546875" style="1" customWidth="1"/>
    <col min="2" max="2" width="17.28515625" style="1" customWidth="1"/>
    <col min="3" max="3" width="27.7109375" style="1" customWidth="1"/>
    <col min="4" max="4" width="11.85546875" style="1" hidden="1" customWidth="1"/>
    <col min="5" max="5" width="11.140625" style="1" hidden="1" customWidth="1"/>
    <col min="6" max="6" width="10.28515625" style="1" hidden="1" customWidth="1"/>
    <col min="7" max="7" width="10.5703125" style="1" customWidth="1"/>
    <col min="8" max="8" width="9.7109375" style="1" customWidth="1"/>
    <col min="9" max="9" width="18.5703125" style="1" customWidth="1"/>
    <col min="10" max="16384" width="9.140625" style="1"/>
  </cols>
  <sheetData>
    <row r="1" spans="1:9" x14ac:dyDescent="0.2">
      <c r="A1" s="1016" t="s">
        <v>8</v>
      </c>
      <c r="B1" s="1016"/>
      <c r="C1" s="1016" t="s">
        <v>15</v>
      </c>
      <c r="D1" s="1016"/>
      <c r="E1" s="1016"/>
      <c r="F1" s="1016"/>
      <c r="G1" s="1016"/>
      <c r="H1" s="1016"/>
      <c r="I1" s="1016"/>
    </row>
    <row r="2" spans="1:9" x14ac:dyDescent="0.2">
      <c r="A2" s="1016" t="s">
        <v>7</v>
      </c>
      <c r="B2" s="1016"/>
      <c r="C2" s="1016">
        <v>90000056357</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403" t="s">
        <v>414</v>
      </c>
      <c r="D5" s="403"/>
      <c r="E5" s="403"/>
      <c r="F5" s="403"/>
      <c r="G5" s="403"/>
      <c r="H5" s="403"/>
      <c r="I5" s="403"/>
    </row>
    <row r="6" spans="1:9" x14ac:dyDescent="0.2">
      <c r="A6" s="1016" t="s">
        <v>6</v>
      </c>
      <c r="B6" s="1016"/>
      <c r="C6" s="400" t="s">
        <v>415</v>
      </c>
      <c r="D6" s="400"/>
      <c r="E6" s="400"/>
      <c r="F6" s="400"/>
      <c r="G6" s="400"/>
      <c r="H6" s="400"/>
      <c r="I6" s="400"/>
    </row>
    <row r="7" spans="1:9" x14ac:dyDescent="0.2">
      <c r="A7" s="1016" t="s">
        <v>5</v>
      </c>
      <c r="B7" s="1016"/>
      <c r="C7" s="1019" t="s">
        <v>416</v>
      </c>
      <c r="D7" s="1019"/>
      <c r="E7" s="1019"/>
      <c r="F7" s="1019"/>
      <c r="G7" s="1019"/>
      <c r="H7" s="1019"/>
      <c r="I7" s="1019"/>
    </row>
    <row r="8" spans="1:9" ht="48" customHeight="1" x14ac:dyDescent="0.2">
      <c r="A8" s="6" t="s">
        <v>4</v>
      </c>
      <c r="B8" s="1020" t="s">
        <v>3</v>
      </c>
      <c r="C8" s="1021"/>
      <c r="D8" s="6" t="s">
        <v>11</v>
      </c>
      <c r="E8" s="6" t="s">
        <v>12</v>
      </c>
      <c r="F8" s="6" t="s">
        <v>13</v>
      </c>
      <c r="G8" s="6" t="s">
        <v>2</v>
      </c>
      <c r="H8" s="6" t="s">
        <v>180</v>
      </c>
      <c r="I8" s="216" t="s">
        <v>1</v>
      </c>
    </row>
    <row r="9" spans="1:9" ht="12.75" customHeight="1" x14ac:dyDescent="0.2">
      <c r="A9" s="1022" t="s">
        <v>14</v>
      </c>
      <c r="B9" s="1023"/>
      <c r="C9" s="1024"/>
      <c r="D9" s="7">
        <f>SUM(D10:D18)</f>
        <v>85275</v>
      </c>
      <c r="E9" s="7">
        <f>SUM(E10:E18)</f>
        <v>82775</v>
      </c>
      <c r="F9" s="7">
        <f>SUM(F10:F18)</f>
        <v>76275</v>
      </c>
      <c r="G9" s="7"/>
      <c r="H9" s="7">
        <f>SUM(H10:H18)</f>
        <v>55275</v>
      </c>
      <c r="I9" s="7"/>
    </row>
    <row r="10" spans="1:9" ht="41.25" customHeight="1" x14ac:dyDescent="0.2">
      <c r="A10" s="3">
        <v>1</v>
      </c>
      <c r="B10" s="1025" t="s">
        <v>417</v>
      </c>
      <c r="C10" s="1026"/>
      <c r="D10" s="4">
        <v>26000</v>
      </c>
      <c r="E10" s="4">
        <v>26000</v>
      </c>
      <c r="F10" s="4">
        <v>22000</v>
      </c>
      <c r="G10" s="286">
        <v>2231</v>
      </c>
      <c r="H10" s="4">
        <v>20000</v>
      </c>
      <c r="I10" s="4" t="s">
        <v>418</v>
      </c>
    </row>
    <row r="11" spans="1:9" ht="39.75" customHeight="1" x14ac:dyDescent="0.2">
      <c r="A11" s="3">
        <v>2</v>
      </c>
      <c r="B11" s="1025" t="s">
        <v>419</v>
      </c>
      <c r="C11" s="1026"/>
      <c r="D11" s="4">
        <v>20000</v>
      </c>
      <c r="E11" s="4">
        <v>20000</v>
      </c>
      <c r="F11" s="4">
        <v>18000</v>
      </c>
      <c r="G11" s="286">
        <v>2122</v>
      </c>
      <c r="H11" s="4">
        <v>6000</v>
      </c>
      <c r="I11" s="4" t="s">
        <v>418</v>
      </c>
    </row>
    <row r="12" spans="1:9" ht="38.25" customHeight="1" x14ac:dyDescent="0.2">
      <c r="A12" s="3">
        <v>3</v>
      </c>
      <c r="B12" s="1025" t="s">
        <v>420</v>
      </c>
      <c r="C12" s="1026"/>
      <c r="D12" s="4">
        <v>5000</v>
      </c>
      <c r="E12" s="4">
        <v>3000</v>
      </c>
      <c r="F12" s="4">
        <v>3000</v>
      </c>
      <c r="G12" s="286">
        <v>2121</v>
      </c>
      <c r="H12" s="4">
        <v>1000</v>
      </c>
      <c r="I12" s="4" t="s">
        <v>418</v>
      </c>
    </row>
    <row r="13" spans="1:9" ht="38.25" customHeight="1" x14ac:dyDescent="0.2">
      <c r="A13" s="3">
        <v>4</v>
      </c>
      <c r="B13" s="1025" t="s">
        <v>421</v>
      </c>
      <c r="C13" s="1026"/>
      <c r="D13" s="4">
        <v>19000</v>
      </c>
      <c r="E13" s="4">
        <v>19000</v>
      </c>
      <c r="F13" s="4">
        <v>25000</v>
      </c>
      <c r="G13" s="286">
        <v>2231</v>
      </c>
      <c r="H13" s="283">
        <v>20500</v>
      </c>
      <c r="I13" s="4" t="s">
        <v>422</v>
      </c>
    </row>
    <row r="14" spans="1:9" ht="25.5" customHeight="1" x14ac:dyDescent="0.2">
      <c r="A14" s="3">
        <v>5</v>
      </c>
      <c r="B14" s="1025" t="s">
        <v>423</v>
      </c>
      <c r="C14" s="1026"/>
      <c r="D14" s="4">
        <v>7000</v>
      </c>
      <c r="E14" s="4">
        <v>6500</v>
      </c>
      <c r="F14" s="4">
        <v>2000</v>
      </c>
      <c r="G14" s="286">
        <v>2314</v>
      </c>
      <c r="H14" s="4">
        <v>2000</v>
      </c>
      <c r="I14" s="4" t="s">
        <v>424</v>
      </c>
    </row>
    <row r="15" spans="1:9" ht="39" customHeight="1" x14ac:dyDescent="0.2">
      <c r="A15" s="3">
        <v>6</v>
      </c>
      <c r="B15" s="1025" t="s">
        <v>425</v>
      </c>
      <c r="C15" s="1026"/>
      <c r="D15" s="4">
        <v>3000</v>
      </c>
      <c r="E15" s="4">
        <v>3000</v>
      </c>
      <c r="F15" s="4">
        <v>1000</v>
      </c>
      <c r="G15" s="286">
        <v>2232</v>
      </c>
      <c r="H15" s="4">
        <v>500</v>
      </c>
      <c r="I15" s="4" t="s">
        <v>418</v>
      </c>
    </row>
    <row r="16" spans="1:9" x14ac:dyDescent="0.2">
      <c r="A16" s="3">
        <v>7</v>
      </c>
      <c r="B16" s="1025" t="s">
        <v>426</v>
      </c>
      <c r="C16" s="1026"/>
      <c r="D16" s="4">
        <v>2275</v>
      </c>
      <c r="E16" s="4">
        <v>2275</v>
      </c>
      <c r="F16" s="4">
        <v>2275</v>
      </c>
      <c r="G16" s="286">
        <v>2279</v>
      </c>
      <c r="H16" s="4">
        <v>2275</v>
      </c>
      <c r="I16" s="283" t="s">
        <v>427</v>
      </c>
    </row>
    <row r="17" spans="1:10" ht="51.75" customHeight="1" x14ac:dyDescent="0.2">
      <c r="A17" s="329">
        <v>8</v>
      </c>
      <c r="B17" s="1025" t="s">
        <v>428</v>
      </c>
      <c r="C17" s="1026"/>
      <c r="D17" s="397">
        <v>3000</v>
      </c>
      <c r="E17" s="397">
        <v>3000</v>
      </c>
      <c r="F17" s="397">
        <v>2000</v>
      </c>
      <c r="G17" s="413">
        <v>2262</v>
      </c>
      <c r="H17" s="4">
        <v>2000</v>
      </c>
      <c r="I17" s="4" t="s">
        <v>429</v>
      </c>
    </row>
    <row r="18" spans="1:10" ht="50.25" customHeight="1" x14ac:dyDescent="0.2">
      <c r="A18" s="329">
        <v>9</v>
      </c>
      <c r="B18" s="1025" t="s">
        <v>430</v>
      </c>
      <c r="C18" s="1026"/>
      <c r="D18" s="397">
        <v>0</v>
      </c>
      <c r="E18" s="397">
        <v>0</v>
      </c>
      <c r="F18" s="397">
        <v>1000</v>
      </c>
      <c r="G18" s="413">
        <v>1150</v>
      </c>
      <c r="H18" s="4">
        <v>1000</v>
      </c>
      <c r="I18" s="4" t="s">
        <v>429</v>
      </c>
    </row>
    <row r="19" spans="1:10" x14ac:dyDescent="0.2">
      <c r="A19" s="411" t="s">
        <v>399</v>
      </c>
      <c r="B19" s="411"/>
    </row>
    <row r="20" spans="1:10" x14ac:dyDescent="0.2">
      <c r="A20" s="411" t="s">
        <v>431</v>
      </c>
      <c r="H20" s="274"/>
    </row>
    <row r="21" spans="1:10" x14ac:dyDescent="0.2">
      <c r="A21" s="411"/>
      <c r="B21" s="1" t="s">
        <v>208</v>
      </c>
      <c r="H21" s="274"/>
    </row>
    <row r="22" spans="1:10" x14ac:dyDescent="0.2">
      <c r="A22" s="411"/>
      <c r="B22" s="274" t="s">
        <v>432</v>
      </c>
      <c r="H22" s="274"/>
    </row>
    <row r="23" spans="1:10" x14ac:dyDescent="0.2">
      <c r="A23" s="411"/>
      <c r="B23" s="1" t="s">
        <v>403</v>
      </c>
      <c r="H23" s="274"/>
    </row>
    <row r="24" spans="1:10" x14ac:dyDescent="0.2">
      <c r="A24" s="411"/>
      <c r="B24" s="274" t="s">
        <v>433</v>
      </c>
      <c r="H24" s="274"/>
    </row>
    <row r="25" spans="1:10" x14ac:dyDescent="0.2">
      <c r="A25" s="411"/>
      <c r="B25" s="1" t="s">
        <v>434</v>
      </c>
      <c r="H25" s="274"/>
    </row>
    <row r="26" spans="1:10" x14ac:dyDescent="0.2">
      <c r="A26" s="411"/>
      <c r="B26" s="274" t="s">
        <v>435</v>
      </c>
      <c r="H26" s="274"/>
    </row>
    <row r="27" spans="1:10" x14ac:dyDescent="0.2">
      <c r="A27" s="411"/>
      <c r="B27" s="1" t="s">
        <v>436</v>
      </c>
      <c r="H27" s="274"/>
    </row>
    <row r="28" spans="1:10" x14ac:dyDescent="0.2">
      <c r="A28" s="411"/>
      <c r="B28" s="274" t="s">
        <v>437</v>
      </c>
      <c r="H28" s="274"/>
    </row>
    <row r="29" spans="1:10" x14ac:dyDescent="0.2">
      <c r="A29" s="411"/>
      <c r="B29" s="1" t="s">
        <v>438</v>
      </c>
    </row>
    <row r="30" spans="1:10" x14ac:dyDescent="0.2">
      <c r="A30" s="411"/>
      <c r="B30" s="274" t="s">
        <v>439</v>
      </c>
    </row>
    <row r="31" spans="1:10" x14ac:dyDescent="0.2">
      <c r="A31" s="411"/>
      <c r="B31" s="411"/>
    </row>
    <row r="32" spans="1:10" x14ac:dyDescent="0.2">
      <c r="A32" s="2"/>
      <c r="B32" s="2"/>
      <c r="C32" s="2"/>
      <c r="D32" s="2"/>
      <c r="E32" s="2"/>
      <c r="F32" s="2"/>
      <c r="G32" s="2"/>
      <c r="H32" s="2"/>
      <c r="I32" s="2"/>
      <c r="J32" s="2"/>
    </row>
    <row r="33" spans="1:10" x14ac:dyDescent="0.2">
      <c r="A33" s="2"/>
      <c r="B33" s="2"/>
      <c r="C33" s="2"/>
      <c r="D33" s="2"/>
      <c r="E33" s="2"/>
      <c r="F33" s="2"/>
      <c r="G33" s="2"/>
      <c r="H33" s="2"/>
      <c r="I33" s="2"/>
      <c r="J33" s="2"/>
    </row>
  </sheetData>
  <sheetProtection algorithmName="SHA-512" hashValue="yeuaa5o1vmHID1zta2ZK/ElE2akDSYRjwk+Wd2QCRilwgi/P3U4CHpLiitwIBpOXTLQ5p8OQlhYFt/rJc9Ry1A==" saltValue="V/3jiIfxHuV/tVHSV6Hq7Q==" spinCount="100000" sheet="1" objects="1" scenarios="1" selectLockedCells="1" selectUnlockedCells="1"/>
  <mergeCells count="20">
    <mergeCell ref="B10:C10"/>
    <mergeCell ref="A1:B1"/>
    <mergeCell ref="C1:I1"/>
    <mergeCell ref="A2:B2"/>
    <mergeCell ref="C2:I2"/>
    <mergeCell ref="A3:I3"/>
    <mergeCell ref="A5:B5"/>
    <mergeCell ref="A6:B6"/>
    <mergeCell ref="A7:B7"/>
    <mergeCell ref="C7:I7"/>
    <mergeCell ref="B8:C8"/>
    <mergeCell ref="A9:C9"/>
    <mergeCell ref="B17:C17"/>
    <mergeCell ref="B18:C18"/>
    <mergeCell ref="B11:C11"/>
    <mergeCell ref="B12:C12"/>
    <mergeCell ref="B13:C13"/>
    <mergeCell ref="B14:C14"/>
    <mergeCell ref="B15:C15"/>
    <mergeCell ref="B16:C16"/>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 xml:space="preserve">&amp;R&amp;"Times New Roman,Regular"&amp;8
7.pielikums Jūrmalas pilsētas domes
2016.gada 16.decembra saistošajiem noteikumiem Nr.47
(protokols Nr.19, 19.punkts)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view="pageLayout" zoomScaleNormal="100" workbookViewId="0">
      <selection activeCell="J14" sqref="J14"/>
    </sheetView>
  </sheetViews>
  <sheetFormatPr defaultRowHeight="12" x14ac:dyDescent="0.2"/>
  <cols>
    <col min="1" max="1" width="4.42578125" style="1" customWidth="1"/>
    <col min="2" max="2" width="32.5703125" style="1" customWidth="1"/>
    <col min="3" max="3" width="10.5703125" style="1" hidden="1" customWidth="1"/>
    <col min="4" max="4" width="9.5703125" style="1" hidden="1" customWidth="1"/>
    <col min="5" max="5" width="10.42578125" style="1" hidden="1" customWidth="1"/>
    <col min="6" max="6" width="9.5703125" style="1" hidden="1" customWidth="1"/>
    <col min="7" max="7" width="10.5703125" style="1" hidden="1" customWidth="1"/>
    <col min="8" max="8" width="9.5703125" style="1" hidden="1" customWidth="1"/>
    <col min="9" max="9" width="10" style="1" customWidth="1"/>
    <col min="10" max="10" width="10.42578125" style="1" customWidth="1"/>
    <col min="11" max="11" width="9.42578125" style="1" customWidth="1"/>
    <col min="12" max="12" width="21" style="1" customWidth="1"/>
    <col min="13" max="16384" width="9.140625" style="1"/>
  </cols>
  <sheetData>
    <row r="1" spans="1:14" ht="12.75" customHeight="1" x14ac:dyDescent="0.2">
      <c r="A1" s="319" t="s">
        <v>8</v>
      </c>
      <c r="B1" s="414"/>
      <c r="D1" s="415"/>
      <c r="E1" s="415"/>
      <c r="F1" s="415"/>
      <c r="G1" s="415"/>
      <c r="H1" s="415"/>
      <c r="I1" s="415" t="s">
        <v>15</v>
      </c>
      <c r="J1" s="415"/>
      <c r="K1" s="415"/>
      <c r="L1" s="416"/>
    </row>
    <row r="2" spans="1:14" ht="12.75" customHeight="1" x14ac:dyDescent="0.2">
      <c r="A2" s="319" t="s">
        <v>7</v>
      </c>
      <c r="B2" s="414"/>
      <c r="D2" s="324"/>
      <c r="E2" s="324"/>
      <c r="F2" s="324"/>
      <c r="G2" s="324"/>
      <c r="H2" s="324"/>
      <c r="I2" s="417" t="s">
        <v>374</v>
      </c>
      <c r="J2" s="324"/>
      <c r="K2" s="324"/>
      <c r="L2" s="418"/>
    </row>
    <row r="3" spans="1:14" ht="12.75" customHeight="1" x14ac:dyDescent="0.2">
      <c r="A3" s="319"/>
      <c r="B3" s="414"/>
      <c r="C3" s="336"/>
      <c r="D3" s="336"/>
      <c r="E3" s="336"/>
      <c r="F3" s="336"/>
      <c r="G3" s="336"/>
      <c r="H3" s="336"/>
      <c r="I3" s="336"/>
      <c r="J3" s="336"/>
      <c r="K3" s="336"/>
      <c r="L3" s="418"/>
    </row>
    <row r="4" spans="1:14" ht="15.75" x14ac:dyDescent="0.25">
      <c r="A4" s="1055" t="s">
        <v>440</v>
      </c>
      <c r="B4" s="1055"/>
      <c r="C4" s="1055"/>
      <c r="D4" s="1055"/>
      <c r="E4" s="1055"/>
      <c r="F4" s="1055"/>
      <c r="G4" s="1055"/>
      <c r="H4" s="1055"/>
      <c r="I4" s="1055"/>
      <c r="J4" s="1055"/>
      <c r="K4" s="1055"/>
      <c r="L4" s="1055"/>
      <c r="M4" s="419"/>
      <c r="N4" s="419"/>
    </row>
    <row r="5" spans="1:14" ht="15.75" x14ac:dyDescent="0.25">
      <c r="A5" s="420"/>
      <c r="B5" s="420"/>
      <c r="C5" s="420"/>
      <c r="D5" s="420"/>
      <c r="E5" s="420"/>
      <c r="F5" s="420"/>
      <c r="G5" s="420"/>
      <c r="H5" s="420"/>
      <c r="I5" s="420"/>
      <c r="J5" s="420"/>
      <c r="K5" s="420"/>
      <c r="L5" s="420"/>
      <c r="M5" s="419"/>
      <c r="N5" s="419"/>
    </row>
    <row r="6" spans="1:14" ht="12.75" customHeight="1" x14ac:dyDescent="0.25">
      <c r="A6" s="1056" t="s">
        <v>441</v>
      </c>
      <c r="B6" s="1056"/>
      <c r="D6" s="421"/>
      <c r="E6" s="421"/>
      <c r="F6" s="421"/>
      <c r="G6" s="421"/>
      <c r="H6" s="421"/>
      <c r="I6" s="421" t="s">
        <v>442</v>
      </c>
      <c r="J6" s="421"/>
      <c r="K6" s="421"/>
      <c r="L6" s="416"/>
    </row>
    <row r="7" spans="1:14" ht="12.75" customHeight="1" x14ac:dyDescent="0.2">
      <c r="A7" s="319" t="s">
        <v>6</v>
      </c>
      <c r="B7" s="319"/>
      <c r="D7" s="415"/>
      <c r="E7" s="415"/>
      <c r="F7" s="415"/>
      <c r="G7" s="415"/>
      <c r="H7" s="415"/>
      <c r="I7" s="415" t="s">
        <v>443</v>
      </c>
      <c r="J7" s="415"/>
      <c r="K7" s="415"/>
      <c r="L7" s="416"/>
    </row>
    <row r="8" spans="1:14" ht="12.75" customHeight="1" x14ac:dyDescent="0.2">
      <c r="A8" s="319" t="s">
        <v>5</v>
      </c>
      <c r="B8" s="319"/>
      <c r="D8" s="422"/>
      <c r="E8" s="422"/>
      <c r="F8" s="422"/>
      <c r="G8" s="422"/>
      <c r="H8" s="422"/>
      <c r="I8" s="422" t="s">
        <v>444</v>
      </c>
      <c r="J8" s="422"/>
      <c r="K8" s="422"/>
      <c r="L8" s="423"/>
    </row>
    <row r="9" spans="1:14" ht="16.5" customHeight="1" x14ac:dyDescent="0.2">
      <c r="A9" s="989" t="s">
        <v>4</v>
      </c>
      <c r="B9" s="989" t="s">
        <v>3</v>
      </c>
      <c r="C9" s="989" t="s">
        <v>445</v>
      </c>
      <c r="D9" s="989"/>
      <c r="E9" s="989" t="s">
        <v>446</v>
      </c>
      <c r="F9" s="989"/>
      <c r="G9" s="989" t="s">
        <v>447</v>
      </c>
      <c r="H9" s="989"/>
      <c r="I9" s="989" t="s">
        <v>2</v>
      </c>
      <c r="J9" s="989" t="s">
        <v>180</v>
      </c>
      <c r="K9" s="989"/>
      <c r="L9" s="989" t="s">
        <v>1</v>
      </c>
    </row>
    <row r="10" spans="1:14" ht="31.5" customHeight="1" x14ac:dyDescent="0.2">
      <c r="A10" s="989"/>
      <c r="B10" s="989"/>
      <c r="C10" s="6" t="s">
        <v>448</v>
      </c>
      <c r="D10" s="6" t="s">
        <v>449</v>
      </c>
      <c r="E10" s="6" t="s">
        <v>448</v>
      </c>
      <c r="F10" s="6" t="s">
        <v>449</v>
      </c>
      <c r="G10" s="6" t="s">
        <v>448</v>
      </c>
      <c r="H10" s="6" t="s">
        <v>449</v>
      </c>
      <c r="I10" s="989"/>
      <c r="J10" s="6" t="s">
        <v>448</v>
      </c>
      <c r="K10" s="6" t="s">
        <v>449</v>
      </c>
      <c r="L10" s="989"/>
    </row>
    <row r="11" spans="1:14" x14ac:dyDescent="0.2">
      <c r="A11" s="1040" t="s">
        <v>380</v>
      </c>
      <c r="B11" s="1040"/>
      <c r="C11" s="7">
        <f t="shared" ref="C11:H11" si="0">SUM(C12:C43)</f>
        <v>93313</v>
      </c>
      <c r="D11" s="7">
        <f t="shared" si="0"/>
        <v>5238</v>
      </c>
      <c r="E11" s="7">
        <f t="shared" si="0"/>
        <v>93201</v>
      </c>
      <c r="F11" s="7">
        <f t="shared" si="0"/>
        <v>4811</v>
      </c>
      <c r="G11" s="7">
        <f t="shared" si="0"/>
        <v>144248</v>
      </c>
      <c r="H11" s="7">
        <f t="shared" si="0"/>
        <v>1900</v>
      </c>
      <c r="I11" s="7"/>
      <c r="J11" s="7">
        <f>SUM(J12:J43)</f>
        <v>353328</v>
      </c>
      <c r="K11" s="425">
        <f>SUM(K12:K43)</f>
        <v>1900</v>
      </c>
      <c r="L11" s="7"/>
    </row>
    <row r="12" spans="1:14" s="432" customFormat="1" x14ac:dyDescent="0.2">
      <c r="A12" s="426">
        <v>1</v>
      </c>
      <c r="B12" s="427" t="s">
        <v>450</v>
      </c>
      <c r="C12" s="428"/>
      <c r="D12" s="429"/>
      <c r="E12" s="430"/>
      <c r="F12" s="431"/>
      <c r="G12" s="428"/>
      <c r="H12" s="428"/>
      <c r="I12" s="427"/>
      <c r="J12" s="428"/>
      <c r="K12" s="428"/>
      <c r="L12" s="1044" t="s">
        <v>451</v>
      </c>
    </row>
    <row r="13" spans="1:14" s="432" customFormat="1" x14ac:dyDescent="0.2">
      <c r="A13" s="216" t="s">
        <v>452</v>
      </c>
      <c r="B13" s="428" t="s">
        <v>453</v>
      </c>
      <c r="C13" s="428">
        <v>854</v>
      </c>
      <c r="D13" s="429">
        <v>0</v>
      </c>
      <c r="E13" s="430">
        <v>854</v>
      </c>
      <c r="F13" s="431"/>
      <c r="G13" s="428">
        <v>854</v>
      </c>
      <c r="H13" s="428"/>
      <c r="I13" s="426">
        <v>2279</v>
      </c>
      <c r="J13" s="428">
        <v>854</v>
      </c>
      <c r="K13" s="428"/>
      <c r="L13" s="1045"/>
    </row>
    <row r="14" spans="1:14" s="432" customFormat="1" x14ac:dyDescent="0.2">
      <c r="A14" s="216" t="s">
        <v>454</v>
      </c>
      <c r="B14" s="428" t="s">
        <v>455</v>
      </c>
      <c r="C14" s="428">
        <v>400</v>
      </c>
      <c r="D14" s="429">
        <v>0</v>
      </c>
      <c r="E14" s="430">
        <v>400</v>
      </c>
      <c r="F14" s="431"/>
      <c r="G14" s="428">
        <v>800</v>
      </c>
      <c r="H14" s="428"/>
      <c r="I14" s="426">
        <v>2279</v>
      </c>
      <c r="J14" s="428">
        <v>800</v>
      </c>
      <c r="K14" s="428"/>
      <c r="L14" s="1045"/>
    </row>
    <row r="15" spans="1:14" s="432" customFormat="1" ht="24" x14ac:dyDescent="0.2">
      <c r="A15" s="216" t="s">
        <v>456</v>
      </c>
      <c r="B15" s="428" t="s">
        <v>457</v>
      </c>
      <c r="C15" s="428">
        <v>3000</v>
      </c>
      <c r="D15" s="429">
        <v>0</v>
      </c>
      <c r="E15" s="430">
        <v>3000</v>
      </c>
      <c r="F15" s="431"/>
      <c r="G15" s="428">
        <v>3000</v>
      </c>
      <c r="H15" s="428"/>
      <c r="I15" s="426">
        <v>2279</v>
      </c>
      <c r="J15" s="428">
        <v>3000</v>
      </c>
      <c r="K15" s="428"/>
      <c r="L15" s="1046"/>
    </row>
    <row r="16" spans="1:14" s="411" customFormat="1" ht="60.75" customHeight="1" x14ac:dyDescent="0.2">
      <c r="A16" s="426">
        <v>2</v>
      </c>
      <c r="B16" s="427" t="s">
        <v>458</v>
      </c>
      <c r="C16" s="429"/>
      <c r="D16" s="429"/>
      <c r="E16" s="430"/>
      <c r="F16" s="429"/>
      <c r="G16" s="429"/>
      <c r="H16" s="429"/>
      <c r="I16" s="433"/>
      <c r="J16" s="429"/>
      <c r="K16" s="429"/>
      <c r="L16" s="1044" t="s">
        <v>459</v>
      </c>
    </row>
    <row r="17" spans="1:12" s="411" customFormat="1" x14ac:dyDescent="0.2">
      <c r="A17" s="434" t="s">
        <v>460</v>
      </c>
      <c r="B17" s="428" t="s">
        <v>461</v>
      </c>
      <c r="C17" s="429">
        <v>934</v>
      </c>
      <c r="D17" s="429">
        <v>1550</v>
      </c>
      <c r="E17" s="430">
        <v>934</v>
      </c>
      <c r="F17" s="429">
        <v>1550</v>
      </c>
      <c r="G17" s="429">
        <v>2100</v>
      </c>
      <c r="H17" s="429">
        <v>0</v>
      </c>
      <c r="I17" s="299">
        <v>2279</v>
      </c>
      <c r="J17" s="429">
        <v>2100</v>
      </c>
      <c r="K17" s="429"/>
      <c r="L17" s="1046"/>
    </row>
    <row r="18" spans="1:12" s="411" customFormat="1" ht="14.25" customHeight="1" x14ac:dyDescent="0.2">
      <c r="A18" s="426">
        <v>3</v>
      </c>
      <c r="B18" s="427" t="s">
        <v>462</v>
      </c>
      <c r="C18" s="429"/>
      <c r="D18" s="429"/>
      <c r="E18" s="430"/>
      <c r="F18" s="429"/>
      <c r="G18" s="429"/>
      <c r="H18" s="429"/>
      <c r="I18" s="299"/>
      <c r="J18" s="429"/>
      <c r="K18" s="429"/>
      <c r="L18" s="1044" t="s">
        <v>463</v>
      </c>
    </row>
    <row r="19" spans="1:12" s="411" customFormat="1" ht="12" customHeight="1" x14ac:dyDescent="0.2">
      <c r="A19" s="1048" t="s">
        <v>464</v>
      </c>
      <c r="B19" s="1049" t="s">
        <v>465</v>
      </c>
      <c r="C19" s="429">
        <v>605</v>
      </c>
      <c r="D19" s="429">
        <v>0</v>
      </c>
      <c r="E19" s="430">
        <v>605</v>
      </c>
      <c r="F19" s="431"/>
      <c r="G19" s="429">
        <v>1000</v>
      </c>
      <c r="H19" s="429"/>
      <c r="I19" s="299">
        <v>2121</v>
      </c>
      <c r="J19" s="429">
        <v>605</v>
      </c>
      <c r="K19" s="429"/>
      <c r="L19" s="1045"/>
    </row>
    <row r="20" spans="1:12" s="411" customFormat="1" ht="15" customHeight="1" x14ac:dyDescent="0.2">
      <c r="A20" s="1048"/>
      <c r="B20" s="1049"/>
      <c r="C20" s="345">
        <v>30</v>
      </c>
      <c r="D20" s="429">
        <v>0</v>
      </c>
      <c r="E20" s="430">
        <v>25</v>
      </c>
      <c r="F20" s="431"/>
      <c r="G20" s="429">
        <v>50</v>
      </c>
      <c r="H20" s="429"/>
      <c r="I20" s="299">
        <v>2390</v>
      </c>
      <c r="J20" s="429">
        <v>25</v>
      </c>
      <c r="K20" s="429"/>
      <c r="L20" s="1045"/>
    </row>
    <row r="21" spans="1:12" s="411" customFormat="1" ht="21.75" customHeight="1" x14ac:dyDescent="0.2">
      <c r="A21" s="1048"/>
      <c r="B21" s="1049"/>
      <c r="C21" s="345">
        <v>4500</v>
      </c>
      <c r="D21" s="429">
        <v>0</v>
      </c>
      <c r="E21" s="430">
        <v>4500</v>
      </c>
      <c r="F21" s="431"/>
      <c r="G21" s="429">
        <v>6000</v>
      </c>
      <c r="H21" s="429"/>
      <c r="I21" s="299">
        <v>2122</v>
      </c>
      <c r="J21" s="429">
        <v>4500</v>
      </c>
      <c r="K21" s="429"/>
      <c r="L21" s="1046"/>
    </row>
    <row r="22" spans="1:12" s="411" customFormat="1" ht="81" customHeight="1" x14ac:dyDescent="0.2">
      <c r="A22" s="426">
        <v>4</v>
      </c>
      <c r="B22" s="427" t="s">
        <v>466</v>
      </c>
      <c r="C22" s="435"/>
      <c r="D22" s="429"/>
      <c r="E22" s="430"/>
      <c r="F22" s="431"/>
      <c r="G22" s="429"/>
      <c r="H22" s="429"/>
      <c r="I22" s="299"/>
      <c r="J22" s="429"/>
      <c r="K22" s="429"/>
      <c r="L22" s="1044" t="s">
        <v>467</v>
      </c>
    </row>
    <row r="23" spans="1:12" s="432" customFormat="1" ht="18" customHeight="1" x14ac:dyDescent="0.2">
      <c r="A23" s="216" t="s">
        <v>468</v>
      </c>
      <c r="B23" s="428" t="s">
        <v>469</v>
      </c>
      <c r="C23" s="428">
        <v>0</v>
      </c>
      <c r="D23" s="429">
        <v>0</v>
      </c>
      <c r="E23" s="430">
        <v>0</v>
      </c>
      <c r="F23" s="431">
        <v>0</v>
      </c>
      <c r="G23" s="428">
        <v>37900</v>
      </c>
      <c r="H23" s="428"/>
      <c r="I23" s="426">
        <v>2314</v>
      </c>
      <c r="J23" s="428">
        <v>37900</v>
      </c>
      <c r="K23" s="428"/>
      <c r="L23" s="1046"/>
    </row>
    <row r="24" spans="1:12" s="432" customFormat="1" x14ac:dyDescent="0.2">
      <c r="A24" s="426">
        <v>5</v>
      </c>
      <c r="B24" s="427" t="s">
        <v>470</v>
      </c>
      <c r="C24" s="428"/>
      <c r="D24" s="429"/>
      <c r="E24" s="430"/>
      <c r="F24" s="431"/>
      <c r="G24" s="428"/>
      <c r="H24" s="428"/>
      <c r="I24" s="426"/>
      <c r="J24" s="428"/>
      <c r="K24" s="428"/>
      <c r="L24" s="428"/>
    </row>
    <row r="25" spans="1:12" s="432" customFormat="1" ht="84" x14ac:dyDescent="0.2">
      <c r="A25" s="216" t="s">
        <v>471</v>
      </c>
      <c r="B25" s="428" t="s">
        <v>472</v>
      </c>
      <c r="C25" s="428">
        <v>53039</v>
      </c>
      <c r="D25" s="429">
        <v>0</v>
      </c>
      <c r="E25" s="430">
        <v>53039</v>
      </c>
      <c r="F25" s="431"/>
      <c r="G25" s="428">
        <v>49930</v>
      </c>
      <c r="H25" s="429">
        <v>0</v>
      </c>
      <c r="I25" s="426">
        <v>2239</v>
      </c>
      <c r="J25" s="428">
        <v>49930</v>
      </c>
      <c r="K25" s="428"/>
      <c r="L25" s="433" t="s">
        <v>473</v>
      </c>
    </row>
    <row r="26" spans="1:12" s="432" customFormat="1" ht="48" x14ac:dyDescent="0.2">
      <c r="A26" s="216" t="s">
        <v>474</v>
      </c>
      <c r="B26" s="428" t="s">
        <v>475</v>
      </c>
      <c r="C26" s="428">
        <v>17296</v>
      </c>
      <c r="D26" s="429">
        <v>0</v>
      </c>
      <c r="E26" s="430">
        <v>17296</v>
      </c>
      <c r="F26" s="431">
        <f>C26-E26</f>
        <v>0</v>
      </c>
      <c r="G26" s="428">
        <v>7000</v>
      </c>
      <c r="H26" s="428">
        <v>0</v>
      </c>
      <c r="I26" s="426">
        <v>2232</v>
      </c>
      <c r="J26" s="428">
        <v>7000</v>
      </c>
      <c r="K26" s="428"/>
      <c r="L26" s="433" t="s">
        <v>476</v>
      </c>
    </row>
    <row r="27" spans="1:12" s="432" customFormat="1" ht="28.5" customHeight="1" x14ac:dyDescent="0.2">
      <c r="A27" s="216" t="s">
        <v>477</v>
      </c>
      <c r="B27" s="428" t="s">
        <v>478</v>
      </c>
      <c r="C27" s="428">
        <v>1300</v>
      </c>
      <c r="D27" s="429">
        <v>0</v>
      </c>
      <c r="E27" s="430">
        <v>1300</v>
      </c>
      <c r="F27" s="431">
        <v>0</v>
      </c>
      <c r="G27" s="428">
        <v>2500</v>
      </c>
      <c r="H27" s="428">
        <v>0</v>
      </c>
      <c r="I27" s="426">
        <v>2231</v>
      </c>
      <c r="J27" s="428">
        <v>2500</v>
      </c>
      <c r="K27" s="428"/>
      <c r="L27" s="433" t="s">
        <v>479</v>
      </c>
    </row>
    <row r="28" spans="1:12" s="432" customFormat="1" x14ac:dyDescent="0.2">
      <c r="A28" s="1048" t="s">
        <v>480</v>
      </c>
      <c r="B28" s="1049" t="s">
        <v>481</v>
      </c>
      <c r="C28" s="428">
        <v>1413</v>
      </c>
      <c r="D28" s="429">
        <v>1587</v>
      </c>
      <c r="E28" s="430">
        <v>1312</v>
      </c>
      <c r="F28" s="431">
        <v>1587</v>
      </c>
      <c r="G28" s="428">
        <v>1413</v>
      </c>
      <c r="H28" s="428">
        <v>0</v>
      </c>
      <c r="I28" s="426">
        <v>2312</v>
      </c>
      <c r="J28" s="428">
        <v>1413</v>
      </c>
      <c r="K28" s="428"/>
      <c r="L28" s="1050" t="s">
        <v>482</v>
      </c>
    </row>
    <row r="29" spans="1:12" s="432" customFormat="1" ht="15" customHeight="1" x14ac:dyDescent="0.2">
      <c r="A29" s="1048"/>
      <c r="B29" s="1049"/>
      <c r="C29" s="428">
        <v>110</v>
      </c>
      <c r="D29" s="429">
        <v>0</v>
      </c>
      <c r="E29" s="430">
        <v>110</v>
      </c>
      <c r="F29" s="431"/>
      <c r="G29" s="428">
        <v>110</v>
      </c>
      <c r="H29" s="428">
        <v>0</v>
      </c>
      <c r="I29" s="426">
        <v>2243</v>
      </c>
      <c r="J29" s="428">
        <v>110</v>
      </c>
      <c r="K29" s="428"/>
      <c r="L29" s="1051"/>
    </row>
    <row r="30" spans="1:12" s="411" customFormat="1" ht="12.75" customHeight="1" x14ac:dyDescent="0.2">
      <c r="A30" s="1048"/>
      <c r="B30" s="1049"/>
      <c r="C30" s="428">
        <v>520</v>
      </c>
      <c r="D30" s="429"/>
      <c r="E30" s="430">
        <v>520</v>
      </c>
      <c r="F30" s="431"/>
      <c r="G30" s="428">
        <v>520</v>
      </c>
      <c r="H30" s="428">
        <v>0</v>
      </c>
      <c r="I30" s="426">
        <v>2312</v>
      </c>
      <c r="J30" s="428">
        <v>520</v>
      </c>
      <c r="K30" s="428"/>
      <c r="L30" s="1052"/>
    </row>
    <row r="31" spans="1:12" s="411" customFormat="1" ht="24" x14ac:dyDescent="0.2">
      <c r="A31" s="216" t="s">
        <v>483</v>
      </c>
      <c r="B31" s="428" t="s">
        <v>484</v>
      </c>
      <c r="C31" s="428">
        <v>7500</v>
      </c>
      <c r="D31" s="429">
        <v>0</v>
      </c>
      <c r="E31" s="430">
        <v>7494</v>
      </c>
      <c r="F31" s="431"/>
      <c r="G31" s="428">
        <v>9259</v>
      </c>
      <c r="H31" s="428"/>
      <c r="I31" s="426">
        <v>2231</v>
      </c>
      <c r="J31" s="429">
        <v>9259</v>
      </c>
      <c r="K31" s="429"/>
      <c r="L31" s="433" t="s">
        <v>485</v>
      </c>
    </row>
    <row r="32" spans="1:12" s="411" customFormat="1" x14ac:dyDescent="0.2">
      <c r="A32" s="216" t="s">
        <v>486</v>
      </c>
      <c r="B32" s="428" t="s">
        <v>487</v>
      </c>
      <c r="C32" s="428">
        <v>104</v>
      </c>
      <c r="D32" s="301">
        <v>0</v>
      </c>
      <c r="E32" s="430">
        <v>104</v>
      </c>
      <c r="F32" s="431"/>
      <c r="G32" s="428">
        <v>104</v>
      </c>
      <c r="H32" s="428">
        <v>0</v>
      </c>
      <c r="I32" s="426">
        <v>2279</v>
      </c>
      <c r="J32" s="428">
        <v>104</v>
      </c>
      <c r="K32" s="428"/>
      <c r="L32" s="1044" t="s">
        <v>488</v>
      </c>
    </row>
    <row r="33" spans="1:13" s="411" customFormat="1" x14ac:dyDescent="0.2">
      <c r="A33" s="1050" t="s">
        <v>489</v>
      </c>
      <c r="B33" s="1053" t="s">
        <v>490</v>
      </c>
      <c r="C33" s="428"/>
      <c r="D33" s="301"/>
      <c r="E33" s="430"/>
      <c r="F33" s="429"/>
      <c r="G33" s="428"/>
      <c r="H33" s="428"/>
      <c r="I33" s="426">
        <v>2243</v>
      </c>
      <c r="J33" s="428">
        <v>2122</v>
      </c>
      <c r="K33" s="428"/>
      <c r="L33" s="1045"/>
    </row>
    <row r="34" spans="1:13" s="411" customFormat="1" x14ac:dyDescent="0.2">
      <c r="A34" s="1052"/>
      <c r="B34" s="1054"/>
      <c r="C34" s="428"/>
      <c r="D34" s="301"/>
      <c r="E34" s="430"/>
      <c r="F34" s="429"/>
      <c r="G34" s="428"/>
      <c r="H34" s="428"/>
      <c r="I34" s="426">
        <v>2279</v>
      </c>
      <c r="J34" s="428">
        <v>8878</v>
      </c>
      <c r="K34" s="428"/>
      <c r="L34" s="1045"/>
    </row>
    <row r="35" spans="1:13" s="411" customFormat="1" ht="17.25" customHeight="1" x14ac:dyDescent="0.2">
      <c r="A35" s="216" t="s">
        <v>491</v>
      </c>
      <c r="B35" s="428" t="s">
        <v>492</v>
      </c>
      <c r="C35" s="428">
        <v>0</v>
      </c>
      <c r="D35" s="429">
        <v>0</v>
      </c>
      <c r="E35" s="430">
        <v>0</v>
      </c>
      <c r="F35" s="431"/>
      <c r="G35" s="428">
        <v>17000</v>
      </c>
      <c r="H35" s="428">
        <v>0</v>
      </c>
      <c r="I35" s="426">
        <v>5140</v>
      </c>
      <c r="J35" s="429">
        <v>17000</v>
      </c>
      <c r="K35" s="429"/>
      <c r="L35" s="1045"/>
    </row>
    <row r="36" spans="1:13" s="411" customFormat="1" ht="24" x14ac:dyDescent="0.2">
      <c r="A36" s="216" t="s">
        <v>493</v>
      </c>
      <c r="B36" s="428" t="s">
        <v>494</v>
      </c>
      <c r="C36" s="428">
        <v>0</v>
      </c>
      <c r="D36" s="429">
        <v>0</v>
      </c>
      <c r="E36" s="430">
        <v>0</v>
      </c>
      <c r="F36" s="429">
        <v>0</v>
      </c>
      <c r="G36" s="428">
        <v>0</v>
      </c>
      <c r="H36" s="428"/>
      <c r="I36" s="426">
        <v>2279</v>
      </c>
      <c r="J36" s="429">
        <v>200000</v>
      </c>
      <c r="K36" s="429"/>
      <c r="L36" s="1045"/>
    </row>
    <row r="37" spans="1:13" s="411" customFormat="1" ht="36.75" customHeight="1" x14ac:dyDescent="0.2">
      <c r="A37" s="216" t="s">
        <v>495</v>
      </c>
      <c r="B37" s="428" t="s">
        <v>496</v>
      </c>
      <c r="C37" s="428">
        <v>0</v>
      </c>
      <c r="D37" s="429">
        <v>0</v>
      </c>
      <c r="E37" s="430">
        <v>0</v>
      </c>
      <c r="F37" s="431"/>
      <c r="G37" s="428">
        <v>1500</v>
      </c>
      <c r="H37" s="428">
        <v>0</v>
      </c>
      <c r="I37" s="426">
        <v>2239</v>
      </c>
      <c r="J37" s="429">
        <v>1500</v>
      </c>
      <c r="K37" s="429"/>
      <c r="L37" s="1045"/>
    </row>
    <row r="38" spans="1:13" s="411" customFormat="1" ht="24" x14ac:dyDescent="0.2">
      <c r="A38" s="216" t="s">
        <v>497</v>
      </c>
      <c r="B38" s="428" t="s">
        <v>498</v>
      </c>
      <c r="C38" s="428">
        <v>0</v>
      </c>
      <c r="D38" s="429">
        <v>0</v>
      </c>
      <c r="E38" s="430">
        <v>0</v>
      </c>
      <c r="F38" s="431"/>
      <c r="G38" s="428">
        <v>1500</v>
      </c>
      <c r="H38" s="428">
        <v>0</v>
      </c>
      <c r="I38" s="426">
        <v>2314</v>
      </c>
      <c r="J38" s="429">
        <v>1500</v>
      </c>
      <c r="K38" s="429"/>
      <c r="L38" s="1046"/>
    </row>
    <row r="39" spans="1:13" s="411" customFormat="1" ht="48.75" customHeight="1" x14ac:dyDescent="0.2">
      <c r="A39" s="426" t="s">
        <v>499</v>
      </c>
      <c r="B39" s="427" t="s">
        <v>500</v>
      </c>
      <c r="C39" s="428"/>
      <c r="D39" s="428"/>
      <c r="E39" s="430"/>
      <c r="F39" s="428"/>
      <c r="G39" s="428"/>
      <c r="H39" s="428"/>
      <c r="I39" s="426"/>
      <c r="J39" s="429"/>
      <c r="K39" s="429"/>
      <c r="L39" s="1044" t="s">
        <v>501</v>
      </c>
    </row>
    <row r="40" spans="1:13" s="411" customFormat="1" ht="36" x14ac:dyDescent="0.2">
      <c r="A40" s="216" t="s">
        <v>502</v>
      </c>
      <c r="B40" s="428" t="s">
        <v>503</v>
      </c>
      <c r="C40" s="428">
        <v>854</v>
      </c>
      <c r="D40" s="428">
        <v>0</v>
      </c>
      <c r="E40" s="430">
        <v>854</v>
      </c>
      <c r="F40" s="428">
        <v>0</v>
      </c>
      <c r="G40" s="428">
        <v>854</v>
      </c>
      <c r="H40" s="428">
        <v>0</v>
      </c>
      <c r="I40" s="426">
        <v>2239</v>
      </c>
      <c r="J40" s="429">
        <v>854</v>
      </c>
      <c r="K40" s="429"/>
      <c r="L40" s="1045"/>
    </row>
    <row r="41" spans="1:13" s="411" customFormat="1" x14ac:dyDescent="0.2">
      <c r="A41" s="436" t="s">
        <v>504</v>
      </c>
      <c r="B41" s="428" t="s">
        <v>505</v>
      </c>
      <c r="C41" s="437">
        <v>854</v>
      </c>
      <c r="D41" s="428">
        <v>0</v>
      </c>
      <c r="E41" s="438">
        <v>854</v>
      </c>
      <c r="F41" s="437">
        <v>0</v>
      </c>
      <c r="G41" s="437">
        <v>854</v>
      </c>
      <c r="H41" s="437">
        <v>0</v>
      </c>
      <c r="I41" s="439">
        <v>2239</v>
      </c>
      <c r="J41" s="429">
        <v>854</v>
      </c>
      <c r="K41" s="429"/>
      <c r="L41" s="1046"/>
    </row>
    <row r="42" spans="1:13" s="411" customFormat="1" x14ac:dyDescent="0.2">
      <c r="A42" s="426">
        <v>7</v>
      </c>
      <c r="B42" s="427" t="s">
        <v>506</v>
      </c>
      <c r="C42" s="428">
        <v>0</v>
      </c>
      <c r="D42" s="428">
        <v>1074</v>
      </c>
      <c r="E42" s="430">
        <v>0</v>
      </c>
      <c r="F42" s="428">
        <v>1074</v>
      </c>
      <c r="G42" s="428">
        <v>0</v>
      </c>
      <c r="H42" s="428">
        <v>1200</v>
      </c>
      <c r="I42" s="426">
        <v>2512</v>
      </c>
      <c r="J42" s="429"/>
      <c r="K42" s="429">
        <v>1200</v>
      </c>
      <c r="L42" s="433" t="s">
        <v>183</v>
      </c>
    </row>
    <row r="43" spans="1:13" s="411" customFormat="1" x14ac:dyDescent="0.2">
      <c r="A43" s="426">
        <v>8</v>
      </c>
      <c r="B43" s="427" t="s">
        <v>507</v>
      </c>
      <c r="C43" s="428">
        <v>0</v>
      </c>
      <c r="D43" s="428">
        <v>1027</v>
      </c>
      <c r="E43" s="430">
        <v>0</v>
      </c>
      <c r="F43" s="428">
        <v>600</v>
      </c>
      <c r="G43" s="428">
        <v>0</v>
      </c>
      <c r="H43" s="428">
        <v>700</v>
      </c>
      <c r="I43" s="426">
        <v>2390</v>
      </c>
      <c r="J43" s="429"/>
      <c r="K43" s="429">
        <v>700</v>
      </c>
      <c r="L43" s="433" t="s">
        <v>183</v>
      </c>
    </row>
    <row r="44" spans="1:13" x14ac:dyDescent="0.2">
      <c r="A44" s="411" t="s">
        <v>399</v>
      </c>
      <c r="B44" s="10"/>
      <c r="C44" s="440"/>
      <c r="D44" s="10"/>
      <c r="E44" s="441"/>
      <c r="F44" s="440"/>
      <c r="G44" s="442"/>
      <c r="H44" s="442"/>
      <c r="I44" s="443"/>
      <c r="J44" s="444"/>
      <c r="K44" s="444"/>
      <c r="L44" s="444"/>
      <c r="M44" s="319"/>
    </row>
    <row r="45" spans="1:13" x14ac:dyDescent="0.2">
      <c r="A45" s="445" t="s">
        <v>508</v>
      </c>
      <c r="B45" s="446"/>
      <c r="J45" s="444"/>
      <c r="K45" s="444"/>
      <c r="L45" s="444"/>
      <c r="M45" s="319"/>
    </row>
    <row r="46" spans="1:13" x14ac:dyDescent="0.2">
      <c r="A46" s="447"/>
      <c r="B46" s="446" t="s">
        <v>509</v>
      </c>
      <c r="J46" s="444"/>
      <c r="K46" s="444"/>
      <c r="L46" s="444"/>
      <c r="M46" s="319"/>
    </row>
    <row r="47" spans="1:13" x14ac:dyDescent="0.2">
      <c r="A47" s="447"/>
      <c r="B47" s="446" t="s">
        <v>510</v>
      </c>
      <c r="J47" s="444"/>
      <c r="K47" s="444"/>
      <c r="L47" s="444"/>
      <c r="M47" s="319"/>
    </row>
    <row r="48" spans="1:13" x14ac:dyDescent="0.2">
      <c r="A48" s="447"/>
      <c r="B48" s="446" t="s">
        <v>511</v>
      </c>
      <c r="J48" s="444"/>
      <c r="K48" s="444"/>
      <c r="L48" s="444"/>
      <c r="M48" s="319"/>
    </row>
    <row r="49" spans="1:13" x14ac:dyDescent="0.2">
      <c r="A49" s="447"/>
      <c r="B49" s="446" t="s">
        <v>512</v>
      </c>
      <c r="J49" s="444"/>
      <c r="K49" s="444"/>
      <c r="L49" s="444"/>
      <c r="M49" s="319"/>
    </row>
    <row r="50" spans="1:13" x14ac:dyDescent="0.2">
      <c r="B50" s="448"/>
      <c r="J50" s="444"/>
      <c r="K50" s="444"/>
      <c r="L50" s="444"/>
      <c r="M50" s="319"/>
    </row>
    <row r="51" spans="1:13" x14ac:dyDescent="0.2">
      <c r="A51" s="445" t="s">
        <v>513</v>
      </c>
      <c r="B51" s="446"/>
      <c r="J51" s="444"/>
      <c r="K51" s="444"/>
      <c r="L51" s="444"/>
      <c r="M51" s="319"/>
    </row>
    <row r="52" spans="1:13" x14ac:dyDescent="0.2">
      <c r="A52" s="447"/>
      <c r="B52" s="446" t="s">
        <v>509</v>
      </c>
      <c r="J52" s="444"/>
      <c r="K52" s="444"/>
      <c r="L52" s="444"/>
      <c r="M52" s="319"/>
    </row>
    <row r="53" spans="1:13" x14ac:dyDescent="0.2">
      <c r="A53" s="447"/>
      <c r="B53" s="446" t="s">
        <v>514</v>
      </c>
      <c r="J53" s="444"/>
      <c r="K53" s="444"/>
      <c r="L53" s="444"/>
      <c r="M53" s="319"/>
    </row>
    <row r="54" spans="1:13" x14ac:dyDescent="0.2">
      <c r="J54" s="444"/>
      <c r="K54" s="444"/>
      <c r="L54" s="444"/>
      <c r="M54" s="319"/>
    </row>
    <row r="55" spans="1:13" x14ac:dyDescent="0.2">
      <c r="A55" s="411" t="s">
        <v>400</v>
      </c>
      <c r="B55" s="10"/>
      <c r="C55" s="440"/>
      <c r="D55" s="10"/>
      <c r="E55" s="441"/>
      <c r="F55" s="440"/>
      <c r="G55" s="442"/>
      <c r="H55" s="442"/>
      <c r="I55" s="443"/>
      <c r="J55" s="444"/>
      <c r="K55" s="444"/>
      <c r="L55" s="444"/>
      <c r="M55" s="319"/>
    </row>
    <row r="56" spans="1:13" x14ac:dyDescent="0.2">
      <c r="A56" s="411"/>
      <c r="B56" s="449" t="s">
        <v>515</v>
      </c>
      <c r="C56" s="440"/>
      <c r="D56" s="10"/>
      <c r="E56" s="441"/>
      <c r="F56" s="440"/>
      <c r="G56" s="442"/>
      <c r="H56" s="442"/>
      <c r="I56" s="443"/>
      <c r="J56" s="444"/>
      <c r="K56" s="444"/>
      <c r="L56" s="444"/>
      <c r="M56" s="319"/>
    </row>
    <row r="57" spans="1:13" x14ac:dyDescent="0.2">
      <c r="A57" s="411"/>
      <c r="B57" s="446" t="s">
        <v>516</v>
      </c>
      <c r="C57" s="440"/>
      <c r="D57" s="10"/>
      <c r="E57" s="441"/>
      <c r="F57" s="440"/>
      <c r="G57" s="442"/>
      <c r="H57" s="442"/>
      <c r="I57" s="443"/>
      <c r="J57" s="444"/>
      <c r="K57" s="444"/>
      <c r="L57" s="444"/>
      <c r="M57" s="319"/>
    </row>
    <row r="58" spans="1:13" x14ac:dyDescent="0.2">
      <c r="A58" s="411"/>
      <c r="B58" s="446" t="s">
        <v>517</v>
      </c>
      <c r="C58" s="440"/>
      <c r="D58" s="10"/>
      <c r="E58" s="441"/>
      <c r="F58" s="440"/>
      <c r="G58" s="442"/>
      <c r="H58" s="442"/>
      <c r="I58" s="443"/>
      <c r="J58" s="444"/>
      <c r="K58" s="444"/>
      <c r="L58" s="444"/>
      <c r="M58" s="319"/>
    </row>
    <row r="59" spans="1:13" x14ac:dyDescent="0.2">
      <c r="A59" s="411"/>
      <c r="B59" s="449" t="s">
        <v>401</v>
      </c>
      <c r="C59" s="440"/>
      <c r="D59" s="10"/>
      <c r="E59" s="441"/>
      <c r="F59" s="440"/>
      <c r="G59" s="442"/>
      <c r="H59" s="442"/>
      <c r="I59" s="443"/>
      <c r="J59" s="444"/>
      <c r="K59" s="444"/>
      <c r="L59" s="444"/>
      <c r="M59" s="319"/>
    </row>
    <row r="60" spans="1:13" x14ac:dyDescent="0.2">
      <c r="A60" s="411"/>
      <c r="B60" s="446" t="s">
        <v>402</v>
      </c>
      <c r="C60" s="440"/>
      <c r="D60" s="10"/>
      <c r="E60" s="441"/>
      <c r="F60" s="440"/>
      <c r="G60" s="442"/>
      <c r="H60" s="442"/>
      <c r="I60" s="443"/>
      <c r="J60" s="444"/>
      <c r="K60" s="444"/>
      <c r="L60" s="444"/>
      <c r="M60" s="319"/>
    </row>
    <row r="61" spans="1:13" x14ac:dyDescent="0.2">
      <c r="A61" s="411"/>
      <c r="B61" s="449" t="s">
        <v>518</v>
      </c>
      <c r="C61" s="440"/>
      <c r="D61" s="10"/>
      <c r="E61" s="441"/>
      <c r="F61" s="440"/>
      <c r="G61" s="442"/>
      <c r="H61" s="442"/>
      <c r="I61" s="443"/>
      <c r="J61" s="444"/>
      <c r="K61" s="444"/>
      <c r="L61" s="444"/>
      <c r="M61" s="319"/>
    </row>
    <row r="62" spans="1:13" x14ac:dyDescent="0.2">
      <c r="A62" s="411"/>
      <c r="B62" s="446" t="s">
        <v>519</v>
      </c>
      <c r="C62" s="440"/>
      <c r="D62" s="10"/>
      <c r="E62" s="441"/>
      <c r="F62" s="440"/>
      <c r="G62" s="442"/>
      <c r="H62" s="442"/>
      <c r="I62" s="443"/>
      <c r="J62" s="444"/>
      <c r="K62" s="444"/>
      <c r="L62" s="444"/>
      <c r="M62" s="319"/>
    </row>
    <row r="63" spans="1:13" x14ac:dyDescent="0.2">
      <c r="A63" s="411"/>
      <c r="B63" s="449" t="s">
        <v>520</v>
      </c>
      <c r="C63" s="440"/>
      <c r="D63" s="10"/>
      <c r="E63" s="441"/>
      <c r="F63" s="440"/>
      <c r="G63" s="442"/>
      <c r="H63" s="442"/>
      <c r="I63" s="443"/>
      <c r="J63" s="444"/>
      <c r="K63" s="444"/>
      <c r="L63" s="444"/>
      <c r="M63" s="319"/>
    </row>
    <row r="64" spans="1:13" x14ac:dyDescent="0.2">
      <c r="A64" s="411"/>
      <c r="B64" s="446" t="s">
        <v>521</v>
      </c>
      <c r="C64" s="440"/>
      <c r="D64" s="10"/>
      <c r="E64" s="441"/>
      <c r="F64" s="440"/>
      <c r="G64" s="442"/>
      <c r="H64" s="442"/>
      <c r="I64" s="443"/>
      <c r="J64" s="444"/>
      <c r="K64" s="444"/>
      <c r="L64" s="444"/>
      <c r="M64" s="319"/>
    </row>
    <row r="65" spans="1:13" x14ac:dyDescent="0.2">
      <c r="A65" s="411"/>
      <c r="B65" s="449" t="s">
        <v>208</v>
      </c>
      <c r="C65" s="440"/>
      <c r="D65" s="10"/>
      <c r="E65" s="441"/>
      <c r="F65" s="440"/>
      <c r="G65" s="442"/>
      <c r="H65" s="442"/>
      <c r="I65" s="443"/>
      <c r="J65" s="444"/>
      <c r="K65" s="444"/>
      <c r="L65" s="444"/>
      <c r="M65" s="319"/>
    </row>
    <row r="66" spans="1:13" x14ac:dyDescent="0.2">
      <c r="A66" s="411"/>
      <c r="B66" s="446" t="s">
        <v>522</v>
      </c>
      <c r="C66" s="440"/>
      <c r="D66" s="10"/>
      <c r="E66" s="441"/>
      <c r="F66" s="440"/>
      <c r="G66" s="442"/>
      <c r="H66" s="442"/>
      <c r="I66" s="443"/>
      <c r="J66" s="444"/>
      <c r="K66" s="444"/>
      <c r="L66" s="444"/>
      <c r="M66" s="319"/>
    </row>
    <row r="67" spans="1:13" x14ac:dyDescent="0.2">
      <c r="A67" s="411"/>
      <c r="B67" s="446" t="s">
        <v>523</v>
      </c>
      <c r="C67" s="440"/>
      <c r="D67" s="10"/>
      <c r="E67" s="441"/>
      <c r="F67" s="440"/>
      <c r="G67" s="442"/>
      <c r="H67" s="442"/>
      <c r="I67" s="443"/>
      <c r="J67" s="444"/>
      <c r="K67" s="444"/>
      <c r="L67" s="444"/>
      <c r="M67" s="319"/>
    </row>
    <row r="68" spans="1:13" x14ac:dyDescent="0.2">
      <c r="A68" s="411"/>
      <c r="B68" s="449" t="s">
        <v>524</v>
      </c>
      <c r="C68" s="440"/>
      <c r="D68" s="10"/>
      <c r="E68" s="441"/>
      <c r="F68" s="440"/>
      <c r="G68" s="442"/>
      <c r="H68" s="442"/>
      <c r="I68" s="443"/>
      <c r="J68" s="444"/>
      <c r="K68" s="444"/>
      <c r="L68" s="444"/>
      <c r="M68" s="319"/>
    </row>
    <row r="69" spans="1:13" x14ac:dyDescent="0.2">
      <c r="A69" s="411"/>
      <c r="B69" s="446" t="s">
        <v>525</v>
      </c>
      <c r="C69" s="440"/>
      <c r="D69" s="10"/>
      <c r="E69" s="441"/>
      <c r="F69" s="440"/>
      <c r="G69" s="442"/>
      <c r="H69" s="442"/>
      <c r="I69" s="443"/>
      <c r="J69" s="444"/>
      <c r="K69" s="444"/>
      <c r="L69" s="444"/>
      <c r="M69" s="319"/>
    </row>
    <row r="70" spans="1:13" x14ac:dyDescent="0.2">
      <c r="A70" s="411"/>
      <c r="B70" s="449" t="s">
        <v>526</v>
      </c>
      <c r="C70" s="440"/>
      <c r="D70" s="10"/>
      <c r="E70" s="441"/>
      <c r="F70" s="440"/>
      <c r="G70" s="442"/>
      <c r="H70" s="442"/>
      <c r="I70" s="443"/>
      <c r="J70" s="444"/>
      <c r="K70" s="444"/>
      <c r="L70" s="444"/>
      <c r="M70" s="319"/>
    </row>
    <row r="71" spans="1:13" x14ac:dyDescent="0.2">
      <c r="A71" s="411"/>
      <c r="B71" s="446" t="s">
        <v>527</v>
      </c>
      <c r="C71" s="440"/>
      <c r="D71" s="10"/>
      <c r="E71" s="441"/>
      <c r="F71" s="440"/>
      <c r="G71" s="442"/>
      <c r="H71" s="442"/>
      <c r="I71" s="443"/>
      <c r="J71" s="444"/>
      <c r="K71" s="444"/>
      <c r="L71" s="444"/>
      <c r="M71" s="319"/>
    </row>
    <row r="72" spans="1:13" x14ac:dyDescent="0.2">
      <c r="A72" s="411"/>
      <c r="B72" s="446" t="s">
        <v>528</v>
      </c>
      <c r="C72" s="440"/>
      <c r="D72" s="10"/>
      <c r="E72" s="441"/>
      <c r="F72" s="440"/>
      <c r="G72" s="442"/>
      <c r="H72" s="442"/>
      <c r="I72" s="443"/>
      <c r="J72" s="444"/>
      <c r="K72" s="444"/>
      <c r="L72" s="444"/>
      <c r="M72" s="319"/>
    </row>
    <row r="73" spans="1:13" x14ac:dyDescent="0.2">
      <c r="A73" s="411"/>
      <c r="B73" s="449" t="s">
        <v>403</v>
      </c>
      <c r="C73" s="440"/>
      <c r="D73" s="10"/>
      <c r="E73" s="441"/>
      <c r="F73" s="440"/>
      <c r="G73" s="442"/>
      <c r="H73" s="442"/>
      <c r="I73" s="443"/>
      <c r="J73" s="444"/>
      <c r="K73" s="444"/>
      <c r="L73" s="444"/>
      <c r="M73" s="319"/>
    </row>
    <row r="74" spans="1:13" x14ac:dyDescent="0.2">
      <c r="A74" s="411"/>
      <c r="B74" s="446" t="s">
        <v>433</v>
      </c>
      <c r="C74" s="440"/>
      <c r="D74" s="10"/>
      <c r="E74" s="441"/>
      <c r="F74" s="440"/>
      <c r="G74" s="442"/>
      <c r="H74" s="442"/>
      <c r="I74" s="443"/>
      <c r="J74" s="444"/>
      <c r="K74" s="444"/>
      <c r="L74" s="444"/>
      <c r="M74" s="319"/>
    </row>
    <row r="75" spans="1:13" x14ac:dyDescent="0.2">
      <c r="A75" s="411"/>
      <c r="B75" s="446" t="s">
        <v>529</v>
      </c>
      <c r="C75" s="440"/>
      <c r="D75" s="10"/>
      <c r="E75" s="441"/>
      <c r="F75" s="440"/>
      <c r="G75" s="442"/>
      <c r="H75" s="442"/>
      <c r="I75" s="443"/>
      <c r="J75" s="444"/>
      <c r="K75" s="444"/>
      <c r="L75" s="444"/>
      <c r="M75" s="319"/>
    </row>
    <row r="76" spans="1:13" x14ac:dyDescent="0.2">
      <c r="A76" s="411"/>
      <c r="B76" s="446" t="s">
        <v>530</v>
      </c>
      <c r="C76" s="440"/>
      <c r="D76" s="10"/>
      <c r="E76" s="441"/>
      <c r="F76" s="440"/>
      <c r="G76" s="442"/>
      <c r="H76" s="442"/>
      <c r="I76" s="443"/>
      <c r="J76" s="444"/>
      <c r="K76" s="444"/>
      <c r="L76" s="444"/>
      <c r="M76" s="319"/>
    </row>
    <row r="77" spans="1:13" x14ac:dyDescent="0.2">
      <c r="A77" s="447"/>
      <c r="B77" s="449" t="s">
        <v>438</v>
      </c>
      <c r="C77" s="440"/>
      <c r="D77" s="10"/>
      <c r="E77" s="441"/>
      <c r="F77" s="440"/>
      <c r="G77" s="442"/>
      <c r="H77" s="442"/>
      <c r="I77" s="443"/>
      <c r="J77" s="444"/>
      <c r="K77" s="444"/>
      <c r="L77" s="444"/>
      <c r="M77" s="319"/>
    </row>
    <row r="78" spans="1:13" x14ac:dyDescent="0.2">
      <c r="A78" s="447"/>
      <c r="B78" s="446" t="s">
        <v>439</v>
      </c>
      <c r="C78" s="440"/>
      <c r="D78" s="10"/>
      <c r="E78" s="441"/>
      <c r="F78" s="440"/>
      <c r="G78" s="442"/>
      <c r="H78" s="442"/>
      <c r="I78" s="443"/>
      <c r="J78" s="444"/>
      <c r="K78" s="444"/>
      <c r="L78" s="444"/>
      <c r="M78" s="319"/>
    </row>
    <row r="79" spans="1:13" x14ac:dyDescent="0.2">
      <c r="A79" s="447"/>
      <c r="B79" s="449" t="s">
        <v>186</v>
      </c>
      <c r="C79" s="440"/>
      <c r="D79" s="10"/>
      <c r="E79" s="441"/>
      <c r="F79" s="440"/>
      <c r="G79" s="442"/>
      <c r="H79" s="442"/>
      <c r="I79" s="443"/>
      <c r="J79" s="444"/>
      <c r="K79" s="444"/>
      <c r="L79" s="444"/>
      <c r="M79" s="319"/>
    </row>
    <row r="80" spans="1:13" x14ac:dyDescent="0.2">
      <c r="A80" s="447"/>
      <c r="B80" s="446" t="s">
        <v>407</v>
      </c>
      <c r="C80" s="440"/>
      <c r="D80" s="10"/>
      <c r="E80" s="441"/>
      <c r="F80" s="440"/>
      <c r="G80" s="442"/>
      <c r="H80" s="442"/>
      <c r="I80" s="443"/>
      <c r="J80" s="444"/>
      <c r="K80" s="444"/>
      <c r="L80" s="444"/>
      <c r="M80" s="319"/>
    </row>
    <row r="81" spans="1:13" x14ac:dyDescent="0.2">
      <c r="A81" s="447"/>
      <c r="B81" s="446"/>
      <c r="C81" s="440"/>
      <c r="D81" s="10"/>
      <c r="E81" s="441"/>
      <c r="F81" s="440"/>
      <c r="G81" s="442"/>
      <c r="H81" s="442"/>
      <c r="I81" s="443"/>
      <c r="J81" s="444"/>
      <c r="K81" s="444"/>
      <c r="L81" s="444"/>
      <c r="M81" s="319"/>
    </row>
    <row r="82" spans="1:13" x14ac:dyDescent="0.2">
      <c r="C82" s="440"/>
      <c r="D82" s="10"/>
      <c r="E82" s="441"/>
      <c r="F82" s="440"/>
      <c r="G82" s="442"/>
      <c r="H82" s="442"/>
      <c r="I82" s="443"/>
      <c r="J82" s="444"/>
      <c r="K82" s="444"/>
      <c r="L82" s="444"/>
      <c r="M82" s="319"/>
    </row>
    <row r="83" spans="1:13" x14ac:dyDescent="0.2">
      <c r="C83" s="440"/>
      <c r="D83" s="10"/>
      <c r="E83" s="441"/>
      <c r="F83" s="440"/>
      <c r="G83" s="442"/>
      <c r="H83" s="442"/>
      <c r="I83" s="443"/>
      <c r="J83" s="444"/>
      <c r="K83" s="444"/>
      <c r="L83" s="444"/>
      <c r="M83" s="319"/>
    </row>
    <row r="84" spans="1:13" x14ac:dyDescent="0.2">
      <c r="C84" s="440"/>
      <c r="D84" s="10"/>
      <c r="E84" s="441"/>
      <c r="F84" s="440"/>
      <c r="G84" s="442"/>
      <c r="H84" s="442"/>
      <c r="I84" s="443"/>
      <c r="J84" s="444"/>
      <c r="K84" s="444"/>
      <c r="L84" s="444"/>
      <c r="M84" s="319"/>
    </row>
    <row r="85" spans="1:13" x14ac:dyDescent="0.2">
      <c r="C85" s="440"/>
      <c r="D85" s="10"/>
      <c r="E85" s="441"/>
      <c r="F85" s="440"/>
      <c r="G85" s="442"/>
      <c r="H85" s="442"/>
      <c r="I85" s="443"/>
      <c r="J85" s="444"/>
      <c r="K85" s="444"/>
      <c r="L85" s="444"/>
      <c r="M85" s="319"/>
    </row>
    <row r="86" spans="1:13" x14ac:dyDescent="0.2">
      <c r="C86" s="440"/>
      <c r="D86" s="10"/>
      <c r="E86" s="441"/>
      <c r="F86" s="440"/>
      <c r="G86" s="442"/>
      <c r="H86" s="442"/>
      <c r="I86" s="443"/>
      <c r="J86" s="444"/>
      <c r="K86" s="444"/>
      <c r="L86" s="444"/>
      <c r="M86" s="319"/>
    </row>
    <row r="87" spans="1:13" x14ac:dyDescent="0.2">
      <c r="D87" s="1047"/>
      <c r="E87" s="1047"/>
      <c r="F87" s="1047"/>
      <c r="G87" s="1047"/>
    </row>
  </sheetData>
  <sheetProtection algorithmName="SHA-512" hashValue="VJKlqpykO318jTf5tu8+575gmnlxszoe2i9bdqzWxd1uMMdCvZMe5yE6JA2H4EewtHDmcCUVTSUT5OndZ9WprA==" saltValue="UHacTMtA86ry06S24Kavcg==" spinCount="100000" sheet="1" objects="1" scenarios="1" selectLockedCells="1" selectUnlockedCells="1"/>
  <mergeCells count="25">
    <mergeCell ref="A4:L4"/>
    <mergeCell ref="A6:B6"/>
    <mergeCell ref="A9:A10"/>
    <mergeCell ref="B9:B10"/>
    <mergeCell ref="C9:D9"/>
    <mergeCell ref="E9:F9"/>
    <mergeCell ref="G9:H9"/>
    <mergeCell ref="I9:I10"/>
    <mergeCell ref="J9:K9"/>
    <mergeCell ref="L9:L10"/>
    <mergeCell ref="A11:B11"/>
    <mergeCell ref="L12:L15"/>
    <mergeCell ref="L16:L17"/>
    <mergeCell ref="L18:L21"/>
    <mergeCell ref="A19:A21"/>
    <mergeCell ref="B19:B21"/>
    <mergeCell ref="L39:L41"/>
    <mergeCell ref="D87:G87"/>
    <mergeCell ref="L22:L23"/>
    <mergeCell ref="A28:A30"/>
    <mergeCell ref="B28:B30"/>
    <mergeCell ref="L28:L30"/>
    <mergeCell ref="L32:L38"/>
    <mergeCell ref="A33:A34"/>
    <mergeCell ref="B33:B34"/>
  </mergeCells>
  <printOptions horizontalCentered="1"/>
  <pageMargins left="0.98425196850393704" right="0.39370078740157483" top="0.59055118110236227" bottom="0.39370078740157483" header="0.23622047244094491" footer="0.23622047244094491"/>
  <pageSetup paperSize="9" scale="70" fitToHeight="0" orientation="portrait" r:id="rId1"/>
  <headerFooter differentFirst="1">
    <oddHeader xml:space="preserve">&amp;R&amp;"Times New Roman,Regular"&amp;8
</oddHeader>
    <oddFooter>&amp;L&amp;"Times New Roman,Regular"&amp;8&amp;D;&amp;T&amp;R&amp;"Times New Roman,Regular"&amp;8&amp;P(&amp;N)</oddFooter>
    <firstHeader>&amp;R&amp;"Times New Roman,Regular"&amp;8
8.pielikums Jūrmalas pilsētas domes
2016.gada 16.decembra saistošajiem noteikumiem Nr.47
(protokols Nr.19, 19.punkts)</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4"/>
  <sheetViews>
    <sheetView view="pageLayout" zoomScaleNormal="100" workbookViewId="0">
      <selection activeCell="J14" sqref="J14"/>
    </sheetView>
  </sheetViews>
  <sheetFormatPr defaultRowHeight="12" x14ac:dyDescent="0.2"/>
  <cols>
    <col min="1" max="1" width="6.140625" style="1" customWidth="1"/>
    <col min="2" max="2" width="17.28515625" style="1" customWidth="1"/>
    <col min="3" max="3" width="19.28515625" style="1" customWidth="1"/>
    <col min="4" max="4" width="11.85546875" style="1" hidden="1" customWidth="1"/>
    <col min="5" max="5" width="11.140625" style="1" hidden="1" customWidth="1"/>
    <col min="6" max="6" width="10.28515625" style="1" hidden="1" customWidth="1"/>
    <col min="7" max="7" width="10.5703125" style="1" customWidth="1"/>
    <col min="8" max="8" width="9.7109375" style="1" customWidth="1"/>
    <col min="9" max="9" width="20.42578125" style="1" customWidth="1"/>
    <col min="10" max="16384" width="9.140625" style="1"/>
  </cols>
  <sheetData>
    <row r="1" spans="1:12" x14ac:dyDescent="0.2">
      <c r="A1" s="1016" t="s">
        <v>8</v>
      </c>
      <c r="B1" s="1016"/>
      <c r="C1" s="1016" t="s">
        <v>15</v>
      </c>
      <c r="D1" s="1016"/>
      <c r="E1" s="1016"/>
      <c r="F1" s="1016"/>
      <c r="G1" s="1016"/>
      <c r="H1" s="1016"/>
      <c r="I1" s="1016"/>
    </row>
    <row r="2" spans="1:12" x14ac:dyDescent="0.2">
      <c r="A2" s="1016" t="s">
        <v>7</v>
      </c>
      <c r="B2" s="1016"/>
      <c r="C2" s="1016">
        <v>90000056357</v>
      </c>
      <c r="D2" s="1016"/>
      <c r="E2" s="1016"/>
      <c r="F2" s="1016"/>
      <c r="G2" s="1016"/>
      <c r="H2" s="1016"/>
      <c r="I2" s="1016"/>
    </row>
    <row r="3" spans="1:12" ht="15.75" x14ac:dyDescent="0.25">
      <c r="A3" s="1018" t="s">
        <v>9</v>
      </c>
      <c r="B3" s="1018"/>
      <c r="C3" s="1018"/>
      <c r="D3" s="1018"/>
      <c r="E3" s="1018"/>
      <c r="F3" s="1018"/>
      <c r="G3" s="1018"/>
      <c r="H3" s="1018"/>
      <c r="I3" s="1018"/>
    </row>
    <row r="4" spans="1:12" ht="15.75" x14ac:dyDescent="0.25">
      <c r="A4" s="275"/>
      <c r="B4" s="275"/>
      <c r="C4" s="275"/>
      <c r="D4" s="275"/>
      <c r="E4" s="275"/>
      <c r="F4" s="275"/>
      <c r="G4" s="275"/>
      <c r="H4" s="275"/>
      <c r="I4" s="275"/>
    </row>
    <row r="5" spans="1:12" ht="15.75" x14ac:dyDescent="0.25">
      <c r="A5" s="1016" t="s">
        <v>10</v>
      </c>
      <c r="B5" s="1016"/>
      <c r="C5" s="403" t="s">
        <v>531</v>
      </c>
      <c r="D5" s="403"/>
      <c r="E5" s="403"/>
      <c r="F5" s="403"/>
      <c r="G5" s="403"/>
      <c r="H5" s="403"/>
      <c r="I5" s="403"/>
    </row>
    <row r="6" spans="1:12" x14ac:dyDescent="0.2">
      <c r="A6" s="1016" t="s">
        <v>6</v>
      </c>
      <c r="B6" s="1016"/>
      <c r="C6" s="1016" t="s">
        <v>532</v>
      </c>
      <c r="D6" s="1016"/>
      <c r="E6" s="1016"/>
      <c r="F6" s="1016"/>
      <c r="G6" s="1016"/>
      <c r="H6" s="1016"/>
      <c r="I6" s="1016"/>
    </row>
    <row r="7" spans="1:12" x14ac:dyDescent="0.2">
      <c r="A7" s="1016" t="s">
        <v>5</v>
      </c>
      <c r="B7" s="1016"/>
      <c r="C7" s="1019" t="s">
        <v>416</v>
      </c>
      <c r="D7" s="1019"/>
      <c r="E7" s="1019"/>
      <c r="F7" s="1019"/>
      <c r="G7" s="1019"/>
      <c r="H7" s="1019"/>
      <c r="I7" s="1019"/>
    </row>
    <row r="8" spans="1:12" ht="47.25" customHeight="1" x14ac:dyDescent="0.2">
      <c r="A8" s="6" t="s">
        <v>4</v>
      </c>
      <c r="B8" s="1020" t="s">
        <v>3</v>
      </c>
      <c r="C8" s="1021"/>
      <c r="D8" s="6" t="s">
        <v>11</v>
      </c>
      <c r="E8" s="6" t="s">
        <v>12</v>
      </c>
      <c r="F8" s="6" t="s">
        <v>13</v>
      </c>
      <c r="G8" s="6" t="s">
        <v>2</v>
      </c>
      <c r="H8" s="6" t="s">
        <v>533</v>
      </c>
      <c r="I8" s="216" t="s">
        <v>1</v>
      </c>
    </row>
    <row r="9" spans="1:12" ht="12.75" customHeight="1" x14ac:dyDescent="0.2">
      <c r="A9" s="1022" t="s">
        <v>14</v>
      </c>
      <c r="B9" s="1023"/>
      <c r="C9" s="1024"/>
      <c r="D9" s="7">
        <f>SUM(D10:D14)</f>
        <v>608420</v>
      </c>
      <c r="E9" s="7">
        <f>SUM(E10:E14)</f>
        <v>608420</v>
      </c>
      <c r="F9" s="7">
        <f>SUM(F10:F14)</f>
        <v>655900</v>
      </c>
      <c r="G9" s="7"/>
      <c r="H9" s="7">
        <f>SUM(H10:H14)</f>
        <v>450209</v>
      </c>
      <c r="I9" s="425"/>
      <c r="L9" s="450"/>
    </row>
    <row r="10" spans="1:12" ht="51" customHeight="1" x14ac:dyDescent="0.2">
      <c r="A10" s="3">
        <v>1</v>
      </c>
      <c r="B10" s="1025" t="s">
        <v>534</v>
      </c>
      <c r="C10" s="1026"/>
      <c r="D10" s="4">
        <v>407246</v>
      </c>
      <c r="E10" s="4">
        <v>407246</v>
      </c>
      <c r="F10" s="4">
        <v>367300</v>
      </c>
      <c r="G10" s="286">
        <v>2239</v>
      </c>
      <c r="H10" s="4">
        <v>267309</v>
      </c>
      <c r="I10" s="451" t="s">
        <v>535</v>
      </c>
    </row>
    <row r="11" spans="1:12" ht="39.75" customHeight="1" x14ac:dyDescent="0.2">
      <c r="A11" s="277">
        <v>2</v>
      </c>
      <c r="B11" s="1032" t="s">
        <v>536</v>
      </c>
      <c r="C11" s="1033"/>
      <c r="D11" s="4">
        <v>57000</v>
      </c>
      <c r="E11" s="4">
        <v>57000</v>
      </c>
      <c r="F11" s="4">
        <v>53400</v>
      </c>
      <c r="G11" s="286">
        <v>2314</v>
      </c>
      <c r="H11" s="4">
        <v>33400</v>
      </c>
      <c r="I11" s="452" t="s">
        <v>537</v>
      </c>
    </row>
    <row r="12" spans="1:12" x14ac:dyDescent="0.2">
      <c r="A12" s="3">
        <v>3</v>
      </c>
      <c r="B12" s="1025" t="s">
        <v>538</v>
      </c>
      <c r="C12" s="1026"/>
      <c r="D12" s="4">
        <v>6500</v>
      </c>
      <c r="E12" s="4">
        <v>6500</v>
      </c>
      <c r="F12" s="4">
        <v>10000</v>
      </c>
      <c r="G12" s="286">
        <v>2231</v>
      </c>
      <c r="H12" s="4">
        <v>4500</v>
      </c>
      <c r="I12" s="451" t="s">
        <v>535</v>
      </c>
    </row>
    <row r="13" spans="1:12" ht="61.5" customHeight="1" x14ac:dyDescent="0.2">
      <c r="A13" s="3">
        <v>4</v>
      </c>
      <c r="B13" s="1025" t="s">
        <v>539</v>
      </c>
      <c r="C13" s="1026"/>
      <c r="D13" s="4">
        <v>116674</v>
      </c>
      <c r="E13" s="4">
        <v>116674</v>
      </c>
      <c r="F13" s="4">
        <v>200200</v>
      </c>
      <c r="G13" s="286">
        <v>2279</v>
      </c>
      <c r="H13" s="4">
        <v>130000</v>
      </c>
      <c r="I13" s="451" t="s">
        <v>535</v>
      </c>
    </row>
    <row r="14" spans="1:12" x14ac:dyDescent="0.2">
      <c r="A14" s="3">
        <v>5</v>
      </c>
      <c r="B14" s="1025" t="s">
        <v>540</v>
      </c>
      <c r="C14" s="1026"/>
      <c r="D14" s="4">
        <v>21000</v>
      </c>
      <c r="E14" s="4">
        <v>21000</v>
      </c>
      <c r="F14" s="4">
        <v>25000</v>
      </c>
      <c r="G14" s="286">
        <v>1150</v>
      </c>
      <c r="H14" s="4">
        <v>15000</v>
      </c>
      <c r="I14" s="451" t="s">
        <v>535</v>
      </c>
    </row>
    <row r="15" spans="1:12" x14ac:dyDescent="0.2">
      <c r="A15" s="411" t="s">
        <v>399</v>
      </c>
      <c r="B15" s="303"/>
      <c r="C15" s="303"/>
      <c r="D15" s="303"/>
      <c r="E15" s="303"/>
      <c r="F15" s="303"/>
      <c r="G15" s="303"/>
      <c r="H15" s="303"/>
      <c r="I15" s="303"/>
    </row>
    <row r="16" spans="1:12" hidden="1" x14ac:dyDescent="0.2">
      <c r="A16" s="1056"/>
      <c r="B16" s="1056"/>
      <c r="C16" s="1056"/>
      <c r="D16" s="1056"/>
      <c r="E16" s="1056"/>
      <c r="F16" s="1056"/>
      <c r="G16" s="1056"/>
      <c r="H16" s="1056"/>
      <c r="I16" s="1056"/>
    </row>
    <row r="17" spans="1:9" hidden="1" x14ac:dyDescent="0.2">
      <c r="A17" s="319"/>
      <c r="B17" s="319"/>
      <c r="C17" s="319"/>
      <c r="D17" s="1056"/>
      <c r="E17" s="1056"/>
      <c r="F17" s="453"/>
      <c r="G17" s="453"/>
      <c r="H17" s="453"/>
      <c r="I17" s="453"/>
    </row>
    <row r="18" spans="1:9" ht="91.5" hidden="1" customHeight="1" x14ac:dyDescent="0.2">
      <c r="A18" s="454"/>
      <c r="B18" s="1047"/>
      <c r="C18" s="1047"/>
      <c r="D18" s="454"/>
      <c r="E18" s="454"/>
      <c r="F18" s="454"/>
      <c r="G18" s="454"/>
      <c r="H18" s="454"/>
      <c r="I18" s="454"/>
    </row>
    <row r="19" spans="1:9" hidden="1" x14ac:dyDescent="0.2">
      <c r="A19" s="1059"/>
      <c r="B19" s="1059"/>
      <c r="C19" s="1059"/>
      <c r="D19" s="455"/>
      <c r="E19" s="455"/>
      <c r="F19" s="455"/>
      <c r="G19" s="455"/>
      <c r="H19" s="455"/>
      <c r="I19" s="455"/>
    </row>
    <row r="20" spans="1:9" hidden="1" x14ac:dyDescent="0.2">
      <c r="A20" s="324"/>
      <c r="B20" s="1057"/>
      <c r="C20" s="1057"/>
      <c r="D20" s="326"/>
      <c r="E20" s="326"/>
      <c r="F20" s="326"/>
      <c r="G20" s="326"/>
      <c r="H20" s="326"/>
      <c r="I20" s="326"/>
    </row>
    <row r="21" spans="1:9" hidden="1" x14ac:dyDescent="0.2">
      <c r="A21" s="324"/>
      <c r="B21" s="1057"/>
      <c r="C21" s="1057"/>
      <c r="D21" s="326"/>
      <c r="E21" s="326"/>
      <c r="F21" s="326"/>
      <c r="G21" s="326"/>
      <c r="H21" s="326"/>
      <c r="I21" s="326"/>
    </row>
    <row r="22" spans="1:9" hidden="1" x14ac:dyDescent="0.2">
      <c r="A22" s="324"/>
      <c r="B22" s="1057"/>
      <c r="C22" s="1057"/>
      <c r="D22" s="326"/>
      <c r="E22" s="326"/>
      <c r="F22" s="326"/>
      <c r="G22" s="326"/>
      <c r="H22" s="326"/>
      <c r="I22" s="326"/>
    </row>
    <row r="23" spans="1:9" hidden="1" x14ac:dyDescent="0.2">
      <c r="A23" s="324"/>
      <c r="B23" s="1057"/>
      <c r="C23" s="1057"/>
      <c r="D23" s="326"/>
      <c r="E23" s="326"/>
      <c r="F23" s="326"/>
      <c r="G23" s="326"/>
      <c r="H23" s="326"/>
      <c r="I23" s="326"/>
    </row>
    <row r="24" spans="1:9" hidden="1" x14ac:dyDescent="0.2">
      <c r="A24" s="324"/>
      <c r="B24" s="1057"/>
      <c r="C24" s="1057"/>
      <c r="D24" s="326"/>
      <c r="E24" s="326"/>
      <c r="F24" s="326"/>
      <c r="G24" s="326"/>
      <c r="H24" s="326"/>
      <c r="I24" s="326"/>
    </row>
    <row r="25" spans="1:9" hidden="1" x14ac:dyDescent="0.2">
      <c r="A25" s="324"/>
      <c r="B25" s="1057"/>
      <c r="C25" s="1057"/>
      <c r="D25" s="326"/>
      <c r="E25" s="326"/>
      <c r="F25" s="326"/>
      <c r="G25" s="326"/>
      <c r="H25" s="326"/>
      <c r="I25" s="326"/>
    </row>
    <row r="26" spans="1:9" hidden="1" x14ac:dyDescent="0.2">
      <c r="A26" s="324"/>
      <c r="B26" s="1057"/>
      <c r="C26" s="1057"/>
      <c r="D26" s="326"/>
      <c r="E26" s="326"/>
      <c r="F26" s="326"/>
      <c r="G26" s="326"/>
      <c r="H26" s="326"/>
      <c r="I26" s="326"/>
    </row>
    <row r="27" spans="1:9" hidden="1" x14ac:dyDescent="0.2">
      <c r="A27" s="456"/>
      <c r="B27" s="1057"/>
      <c r="C27" s="1057"/>
      <c r="D27" s="457"/>
      <c r="E27" s="457"/>
      <c r="F27" s="457"/>
      <c r="G27" s="457"/>
      <c r="H27" s="326"/>
      <c r="I27" s="326"/>
    </row>
    <row r="28" spans="1:9" hidden="1" x14ac:dyDescent="0.2">
      <c r="A28" s="456"/>
      <c r="B28" s="1057"/>
      <c r="C28" s="1057"/>
      <c r="D28" s="457"/>
      <c r="E28" s="457"/>
      <c r="F28" s="457"/>
      <c r="G28" s="457"/>
      <c r="H28" s="326"/>
      <c r="I28" s="326"/>
    </row>
    <row r="29" spans="1:9" hidden="1" x14ac:dyDescent="0.2">
      <c r="A29" s="335"/>
      <c r="B29" s="1057"/>
      <c r="C29" s="1057"/>
      <c r="D29" s="337"/>
      <c r="E29" s="337"/>
      <c r="F29" s="337"/>
      <c r="G29" s="337"/>
      <c r="H29" s="326"/>
      <c r="I29" s="326"/>
    </row>
    <row r="30" spans="1:9" hidden="1" x14ac:dyDescent="0.2">
      <c r="A30" s="324"/>
      <c r="B30" s="1057"/>
      <c r="C30" s="1057"/>
      <c r="D30" s="326"/>
      <c r="E30" s="326"/>
      <c r="F30" s="326"/>
      <c r="G30" s="326"/>
      <c r="H30" s="326"/>
      <c r="I30" s="326"/>
    </row>
    <row r="31" spans="1:9" hidden="1" x14ac:dyDescent="0.2">
      <c r="A31" s="303"/>
      <c r="B31" s="303"/>
      <c r="C31" s="303"/>
      <c r="D31" s="303"/>
      <c r="E31" s="303"/>
      <c r="F31" s="303"/>
      <c r="G31" s="303"/>
      <c r="H31" s="310"/>
      <c r="I31" s="310"/>
    </row>
    <row r="32" spans="1:9" hidden="1" x14ac:dyDescent="0.2">
      <c r="A32" s="1056"/>
      <c r="B32" s="1056"/>
      <c r="C32" s="1056"/>
      <c r="D32" s="1056"/>
      <c r="E32" s="1056"/>
      <c r="F32" s="1056"/>
      <c r="G32" s="1056"/>
      <c r="H32" s="1056"/>
      <c r="I32" s="1056"/>
    </row>
    <row r="33" spans="1:9" hidden="1" x14ac:dyDescent="0.2">
      <c r="A33" s="1056"/>
      <c r="B33" s="1056"/>
      <c r="C33" s="1056"/>
      <c r="D33" s="1056"/>
      <c r="E33" s="1056"/>
      <c r="F33" s="1056"/>
      <c r="G33" s="1056"/>
      <c r="H33" s="1056"/>
      <c r="I33" s="1056"/>
    </row>
    <row r="34" spans="1:9" hidden="1" x14ac:dyDescent="0.2">
      <c r="A34" s="319"/>
      <c r="B34" s="319"/>
      <c r="C34" s="319"/>
      <c r="D34" s="1056"/>
      <c r="E34" s="1056"/>
      <c r="F34" s="453"/>
      <c r="G34" s="453"/>
      <c r="H34" s="453"/>
      <c r="I34" s="453"/>
    </row>
    <row r="35" spans="1:9" ht="89.25" hidden="1" customHeight="1" x14ac:dyDescent="0.2">
      <c r="A35" s="454"/>
      <c r="B35" s="1047"/>
      <c r="C35" s="1047"/>
      <c r="D35" s="454"/>
      <c r="E35" s="454"/>
      <c r="F35" s="454"/>
      <c r="G35" s="454"/>
      <c r="H35" s="454"/>
      <c r="I35" s="454"/>
    </row>
    <row r="36" spans="1:9" hidden="1" x14ac:dyDescent="0.2">
      <c r="A36" s="1059"/>
      <c r="B36" s="1059"/>
      <c r="C36" s="1059"/>
      <c r="D36" s="455"/>
      <c r="E36" s="455"/>
      <c r="F36" s="455"/>
      <c r="G36" s="455"/>
      <c r="H36" s="455"/>
      <c r="I36" s="455"/>
    </row>
    <row r="37" spans="1:9" hidden="1" x14ac:dyDescent="0.2">
      <c r="A37" s="324"/>
      <c r="B37" s="1057"/>
      <c r="C37" s="1057"/>
      <c r="D37" s="326"/>
      <c r="E37" s="326"/>
      <c r="F37" s="326"/>
      <c r="G37" s="326"/>
      <c r="H37" s="326"/>
      <c r="I37" s="326"/>
    </row>
    <row r="38" spans="1:9" hidden="1" x14ac:dyDescent="0.2">
      <c r="A38" s="324"/>
      <c r="B38" s="1057"/>
      <c r="C38" s="1057"/>
      <c r="D38" s="326"/>
      <c r="E38" s="326"/>
      <c r="F38" s="326"/>
      <c r="G38" s="326"/>
      <c r="H38" s="326"/>
      <c r="I38" s="326"/>
    </row>
    <row r="39" spans="1:9" hidden="1" x14ac:dyDescent="0.2">
      <c r="A39" s="324"/>
      <c r="B39" s="1057"/>
      <c r="C39" s="1057"/>
      <c r="D39" s="326"/>
      <c r="E39" s="326"/>
      <c r="F39" s="326"/>
      <c r="G39" s="326"/>
      <c r="H39" s="326"/>
      <c r="I39" s="326"/>
    </row>
    <row r="40" spans="1:9" hidden="1" x14ac:dyDescent="0.2">
      <c r="A40" s="324"/>
      <c r="B40" s="1057"/>
      <c r="C40" s="1057"/>
      <c r="D40" s="326"/>
      <c r="E40" s="326"/>
      <c r="F40" s="326"/>
      <c r="G40" s="326"/>
      <c r="H40" s="326"/>
      <c r="I40" s="326"/>
    </row>
    <row r="41" spans="1:9" hidden="1" x14ac:dyDescent="0.2">
      <c r="A41" s="324"/>
      <c r="B41" s="1057"/>
      <c r="C41" s="1057"/>
      <c r="D41" s="326"/>
      <c r="E41" s="326"/>
      <c r="F41" s="326"/>
      <c r="G41" s="326"/>
      <c r="H41" s="326"/>
      <c r="I41" s="326"/>
    </row>
    <row r="42" spans="1:9" hidden="1" x14ac:dyDescent="0.2">
      <c r="A42" s="324"/>
      <c r="B42" s="1057"/>
      <c r="C42" s="1057"/>
      <c r="D42" s="326"/>
      <c r="E42" s="326"/>
      <c r="F42" s="326"/>
      <c r="G42" s="326"/>
      <c r="H42" s="326"/>
      <c r="I42" s="326"/>
    </row>
    <row r="43" spans="1:9" hidden="1" x14ac:dyDescent="0.2">
      <c r="A43" s="324"/>
      <c r="B43" s="1057"/>
      <c r="C43" s="1057"/>
      <c r="D43" s="326"/>
      <c r="E43" s="326"/>
      <c r="F43" s="326"/>
      <c r="G43" s="326"/>
      <c r="H43" s="326"/>
      <c r="I43" s="326"/>
    </row>
    <row r="44" spans="1:9" hidden="1" x14ac:dyDescent="0.2">
      <c r="A44" s="456"/>
      <c r="B44" s="1057"/>
      <c r="C44" s="1057"/>
      <c r="D44" s="457"/>
      <c r="E44" s="457"/>
      <c r="F44" s="457"/>
      <c r="G44" s="457"/>
      <c r="H44" s="326"/>
      <c r="I44" s="326"/>
    </row>
    <row r="45" spans="1:9" hidden="1" x14ac:dyDescent="0.2">
      <c r="A45" s="456"/>
      <c r="B45" s="1057"/>
      <c r="C45" s="1057"/>
      <c r="D45" s="457"/>
      <c r="E45" s="457"/>
      <c r="F45" s="457"/>
      <c r="G45" s="457"/>
      <c r="H45" s="326"/>
      <c r="I45" s="326"/>
    </row>
    <row r="46" spans="1:9" hidden="1" x14ac:dyDescent="0.2">
      <c r="A46" s="335"/>
      <c r="B46" s="1057"/>
      <c r="C46" s="1057"/>
      <c r="D46" s="337"/>
      <c r="E46" s="337"/>
      <c r="F46" s="337"/>
      <c r="G46" s="337"/>
      <c r="H46" s="326"/>
      <c r="I46" s="326"/>
    </row>
    <row r="47" spans="1:9" hidden="1" x14ac:dyDescent="0.2">
      <c r="A47" s="324"/>
      <c r="B47" s="1057"/>
      <c r="C47" s="1057"/>
      <c r="D47" s="326"/>
      <c r="E47" s="326"/>
      <c r="F47" s="326"/>
      <c r="G47" s="326"/>
      <c r="H47" s="326"/>
      <c r="I47" s="326"/>
    </row>
    <row r="48" spans="1:9" hidden="1" x14ac:dyDescent="0.2">
      <c r="A48" s="319"/>
      <c r="B48" s="319"/>
      <c r="C48" s="319"/>
      <c r="D48" s="458"/>
      <c r="E48" s="458"/>
      <c r="F48" s="458"/>
      <c r="G48" s="319"/>
      <c r="H48" s="458"/>
      <c r="I48" s="458"/>
    </row>
    <row r="49" spans="1:9" hidden="1" x14ac:dyDescent="0.2">
      <c r="A49" s="1058"/>
      <c r="B49" s="1058"/>
      <c r="C49" s="1058"/>
      <c r="D49" s="459"/>
      <c r="E49" s="459"/>
      <c r="F49" s="459"/>
      <c r="G49" s="460"/>
      <c r="H49" s="459"/>
      <c r="I49" s="459"/>
    </row>
    <row r="50" spans="1:9" x14ac:dyDescent="0.2">
      <c r="A50" s="411" t="s">
        <v>400</v>
      </c>
    </row>
    <row r="51" spans="1:9" x14ac:dyDescent="0.2">
      <c r="B51" s="1" t="s">
        <v>403</v>
      </c>
    </row>
    <row r="52" spans="1:9" x14ac:dyDescent="0.2">
      <c r="B52" s="274" t="s">
        <v>541</v>
      </c>
    </row>
    <row r="53" spans="1:9" x14ac:dyDescent="0.2">
      <c r="B53" s="1" t="s">
        <v>542</v>
      </c>
    </row>
    <row r="54" spans="1:9" x14ac:dyDescent="0.2">
      <c r="B54" s="274" t="s">
        <v>543</v>
      </c>
    </row>
  </sheetData>
  <sheetProtection algorithmName="SHA-512" hashValue="LKnFZsZVoXzTsRYyX64dgAsPhYUVQB5O/2giD27NoNqTaJLuq7C8pOWhFfhJ1lilKPWMr9Aj9nuO6wGvyukMJw==" saltValue="WYq3cUWzbg+vMGH76F6GNA==" spinCount="100000" sheet="1" objects="1" scenarios="1" selectLockedCells="1" selectUnlockedCells="1"/>
  <mergeCells count="52">
    <mergeCell ref="A5:B5"/>
    <mergeCell ref="A1:B1"/>
    <mergeCell ref="C1:I1"/>
    <mergeCell ref="A2:B2"/>
    <mergeCell ref="C2:I2"/>
    <mergeCell ref="A3:I3"/>
    <mergeCell ref="A16:B16"/>
    <mergeCell ref="C16:I16"/>
    <mergeCell ref="A6:B6"/>
    <mergeCell ref="C6:I6"/>
    <mergeCell ref="A7:B7"/>
    <mergeCell ref="C7:I7"/>
    <mergeCell ref="B8:C8"/>
    <mergeCell ref="A9:C9"/>
    <mergeCell ref="B10:C10"/>
    <mergeCell ref="B11:C11"/>
    <mergeCell ref="B12:C12"/>
    <mergeCell ref="B13:C13"/>
    <mergeCell ref="B14:C14"/>
    <mergeCell ref="B28:C28"/>
    <mergeCell ref="D17:E17"/>
    <mergeCell ref="B18:C18"/>
    <mergeCell ref="A19:C19"/>
    <mergeCell ref="B20:C20"/>
    <mergeCell ref="B21:C21"/>
    <mergeCell ref="B22:C22"/>
    <mergeCell ref="B23:C23"/>
    <mergeCell ref="B24:C24"/>
    <mergeCell ref="B25:C25"/>
    <mergeCell ref="B26:C26"/>
    <mergeCell ref="B27:C27"/>
    <mergeCell ref="B39:C39"/>
    <mergeCell ref="B29:C29"/>
    <mergeCell ref="B30:C30"/>
    <mergeCell ref="A32:B32"/>
    <mergeCell ref="C32:I32"/>
    <mergeCell ref="A33:B33"/>
    <mergeCell ref="C33:I33"/>
    <mergeCell ref="D34:E34"/>
    <mergeCell ref="B35:C35"/>
    <mergeCell ref="A36:C36"/>
    <mergeCell ref="B37:C37"/>
    <mergeCell ref="B38:C38"/>
    <mergeCell ref="B46:C46"/>
    <mergeCell ref="B47:C47"/>
    <mergeCell ref="A49:C49"/>
    <mergeCell ref="B40:C40"/>
    <mergeCell ref="B41:C41"/>
    <mergeCell ref="B42:C42"/>
    <mergeCell ref="B43:C43"/>
    <mergeCell ref="B44:C44"/>
    <mergeCell ref="B45:C45"/>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9.pielikums Jūrmalas pilsētas domes
2016.gada 16.decembra saistošajiem noteikumiem Nr.47
(protokols Nr.19, 19.punkts)</first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P681"/>
  <sheetViews>
    <sheetView view="pageLayout" zoomScaleNormal="100" workbookViewId="0">
      <selection activeCell="Q43" sqref="Q43"/>
    </sheetView>
  </sheetViews>
  <sheetFormatPr defaultColWidth="9.140625" defaultRowHeight="12" x14ac:dyDescent="0.25"/>
  <cols>
    <col min="1" max="1" width="4.7109375" style="471" customWidth="1"/>
    <col min="2" max="2" width="17.28515625" style="281" customWidth="1"/>
    <col min="3" max="3" width="30.85546875" style="281" customWidth="1"/>
    <col min="4" max="4" width="9.85546875" style="281" hidden="1" customWidth="1"/>
    <col min="5" max="5" width="8.85546875" style="281" hidden="1" customWidth="1"/>
    <col min="6" max="6" width="10.28515625" style="285" hidden="1" customWidth="1"/>
    <col min="7" max="7" width="10.28515625" style="281" customWidth="1"/>
    <col min="8" max="8" width="8.7109375" style="281" customWidth="1"/>
    <col min="9" max="9" width="20" style="285" customWidth="1"/>
    <col min="10" max="10" width="10" style="281" hidden="1" customWidth="1"/>
    <col min="11" max="15" width="9.140625" style="281" hidden="1" customWidth="1"/>
    <col min="16" max="16" width="4.85546875" style="281" hidden="1" customWidth="1"/>
    <col min="17" max="16384" width="9.140625" style="281"/>
  </cols>
  <sheetData>
    <row r="1" spans="1:9" x14ac:dyDescent="0.25">
      <c r="A1" s="1079" t="s">
        <v>8</v>
      </c>
      <c r="B1" s="1079"/>
      <c r="C1" s="1079" t="s">
        <v>15</v>
      </c>
      <c r="D1" s="1079"/>
      <c r="E1" s="1079"/>
      <c r="F1" s="1079"/>
      <c r="G1" s="1079"/>
      <c r="H1" s="1079"/>
      <c r="I1" s="1079"/>
    </row>
    <row r="2" spans="1:9" x14ac:dyDescent="0.25">
      <c r="A2" s="1079" t="s">
        <v>7</v>
      </c>
      <c r="B2" s="1079"/>
      <c r="C2" s="1079">
        <v>90000056357</v>
      </c>
      <c r="D2" s="1079"/>
      <c r="E2" s="1079"/>
      <c r="F2" s="1079"/>
      <c r="G2" s="1079"/>
      <c r="H2" s="1079"/>
      <c r="I2" s="1079"/>
    </row>
    <row r="3" spans="1:9" ht="15.75" x14ac:dyDescent="0.25">
      <c r="A3" s="1097" t="s">
        <v>9</v>
      </c>
      <c r="B3" s="1097"/>
      <c r="C3" s="1097"/>
      <c r="D3" s="1097"/>
      <c r="E3" s="1097"/>
      <c r="F3" s="1097"/>
      <c r="G3" s="1097"/>
      <c r="H3" s="1097"/>
      <c r="I3" s="1097"/>
    </row>
    <row r="4" spans="1:9" ht="15.75" x14ac:dyDescent="0.25">
      <c r="A4" s="282"/>
      <c r="B4" s="282"/>
      <c r="C4" s="282"/>
      <c r="D4" s="282"/>
      <c r="E4" s="282"/>
      <c r="F4" s="747"/>
      <c r="G4" s="282"/>
      <c r="H4" s="282"/>
      <c r="I4" s="747"/>
    </row>
    <row r="5" spans="1:9" ht="15.75" x14ac:dyDescent="0.25">
      <c r="A5" s="1079" t="s">
        <v>10</v>
      </c>
      <c r="B5" s="1079"/>
      <c r="C5" s="1098" t="s">
        <v>979</v>
      </c>
      <c r="D5" s="1098"/>
      <c r="E5" s="1098"/>
      <c r="F5" s="1098"/>
      <c r="G5" s="1098"/>
      <c r="H5" s="1098"/>
      <c r="I5" s="1098"/>
    </row>
    <row r="6" spans="1:9" x14ac:dyDescent="0.25">
      <c r="B6" s="748"/>
      <c r="C6" s="749"/>
      <c r="D6" s="749"/>
      <c r="E6" s="749"/>
      <c r="F6" s="750"/>
      <c r="G6" s="749"/>
      <c r="H6" s="749"/>
      <c r="I6" s="750"/>
    </row>
    <row r="7" spans="1:9" x14ac:dyDescent="0.25">
      <c r="A7" s="1079" t="s">
        <v>6</v>
      </c>
      <c r="B7" s="1079"/>
      <c r="C7" s="1079" t="s">
        <v>980</v>
      </c>
      <c r="D7" s="1079"/>
      <c r="E7" s="1079"/>
      <c r="F7" s="1079"/>
      <c r="G7" s="1079"/>
      <c r="H7" s="1079"/>
      <c r="I7" s="1079"/>
    </row>
    <row r="8" spans="1:9" x14ac:dyDescent="0.25">
      <c r="A8" s="1079" t="s">
        <v>5</v>
      </c>
      <c r="B8" s="1079"/>
      <c r="C8" s="1096" t="s">
        <v>981</v>
      </c>
      <c r="D8" s="1096"/>
      <c r="E8" s="1096"/>
      <c r="F8" s="1096"/>
      <c r="G8" s="1096"/>
      <c r="H8" s="1096"/>
      <c r="I8" s="1096"/>
    </row>
    <row r="9" spans="1:9" ht="49.5" customHeight="1" x14ac:dyDescent="0.25">
      <c r="A9" s="6" t="s">
        <v>4</v>
      </c>
      <c r="B9" s="989" t="s">
        <v>3</v>
      </c>
      <c r="C9" s="989"/>
      <c r="D9" s="6" t="s">
        <v>11</v>
      </c>
      <c r="E9" s="6" t="s">
        <v>12</v>
      </c>
      <c r="F9" s="216" t="s">
        <v>13</v>
      </c>
      <c r="G9" s="6" t="s">
        <v>2</v>
      </c>
      <c r="H9" s="6" t="s">
        <v>180</v>
      </c>
      <c r="I9" s="216" t="s">
        <v>1</v>
      </c>
    </row>
    <row r="10" spans="1:9" x14ac:dyDescent="0.25">
      <c r="A10" s="1040" t="s">
        <v>14</v>
      </c>
      <c r="B10" s="1040"/>
      <c r="C10" s="1040"/>
      <c r="D10" s="7">
        <f>SUM(D39,D38,D37,D30, D11)</f>
        <v>126087</v>
      </c>
      <c r="E10" s="7">
        <f>SUM(E39,E38,E37,E30, E11)</f>
        <v>114058</v>
      </c>
      <c r="F10" s="425">
        <f>SUM(F39,F38,F37,F30, F11)</f>
        <v>354167</v>
      </c>
      <c r="G10" s="7"/>
      <c r="H10" s="7">
        <f>SUM(H39,H38,H37,H30, H11)</f>
        <v>241782</v>
      </c>
      <c r="I10" s="436"/>
    </row>
    <row r="11" spans="1:9" ht="12" customHeight="1" x14ac:dyDescent="0.25">
      <c r="A11" s="1099">
        <v>1</v>
      </c>
      <c r="B11" s="1042" t="s">
        <v>982</v>
      </c>
      <c r="C11" s="1042"/>
      <c r="D11" s="283">
        <v>100033</v>
      </c>
      <c r="E11" s="283">
        <v>100033</v>
      </c>
      <c r="F11" s="283">
        <f>SUM(F12:F29)+0.89</f>
        <v>329276</v>
      </c>
      <c r="G11" s="752">
        <v>5250</v>
      </c>
      <c r="H11" s="283">
        <f>SUM(H12:H29)</f>
        <v>224791</v>
      </c>
      <c r="I11" s="1068" t="s">
        <v>983</v>
      </c>
    </row>
    <row r="12" spans="1:9" ht="29.25" hidden="1" customHeight="1" x14ac:dyDescent="0.25">
      <c r="A12" s="1099"/>
      <c r="B12" s="1042"/>
      <c r="C12" s="1042"/>
      <c r="D12" s="283"/>
      <c r="E12" s="283"/>
      <c r="F12" s="753">
        <v>750.2</v>
      </c>
      <c r="G12" s="754"/>
      <c r="H12" s="755">
        <v>751</v>
      </c>
      <c r="I12" s="1069"/>
    </row>
    <row r="13" spans="1:9" ht="25.5" hidden="1" customHeight="1" x14ac:dyDescent="0.25">
      <c r="A13" s="1099"/>
      <c r="B13" s="1042"/>
      <c r="C13" s="1042"/>
      <c r="D13" s="283"/>
      <c r="E13" s="283"/>
      <c r="F13" s="756">
        <v>193600</v>
      </c>
      <c r="G13" s="754"/>
      <c r="H13" s="755">
        <v>193600</v>
      </c>
      <c r="I13" s="1069"/>
    </row>
    <row r="14" spans="1:9" ht="25.5" hidden="1" customHeight="1" x14ac:dyDescent="0.25">
      <c r="A14" s="1099"/>
      <c r="B14" s="1042"/>
      <c r="C14" s="1042"/>
      <c r="D14" s="283"/>
      <c r="E14" s="283"/>
      <c r="F14" s="756">
        <v>4840</v>
      </c>
      <c r="G14" s="754"/>
      <c r="H14" s="755">
        <v>4840</v>
      </c>
      <c r="I14" s="1069"/>
    </row>
    <row r="15" spans="1:9" ht="15" hidden="1" customHeight="1" x14ac:dyDescent="0.25">
      <c r="A15" s="1099"/>
      <c r="B15" s="1042"/>
      <c r="C15" s="1042"/>
      <c r="D15" s="283"/>
      <c r="E15" s="283"/>
      <c r="F15" s="756">
        <v>500</v>
      </c>
      <c r="G15" s="754"/>
      <c r="H15" s="755">
        <v>500</v>
      </c>
      <c r="I15" s="1069"/>
    </row>
    <row r="16" spans="1:9" ht="22.5" hidden="1" customHeight="1" x14ac:dyDescent="0.25">
      <c r="A16" s="1099"/>
      <c r="B16" s="1042"/>
      <c r="C16" s="1042"/>
      <c r="D16" s="283"/>
      <c r="E16" s="283"/>
      <c r="F16" s="756"/>
      <c r="G16" s="754"/>
      <c r="H16" s="755"/>
      <c r="I16" s="1069"/>
    </row>
    <row r="17" spans="1:9" ht="27" hidden="1" customHeight="1" x14ac:dyDescent="0.25">
      <c r="A17" s="1099"/>
      <c r="B17" s="1042"/>
      <c r="C17" s="1042"/>
      <c r="D17" s="283"/>
      <c r="E17" s="283"/>
      <c r="F17" s="756"/>
      <c r="G17" s="754"/>
      <c r="H17" s="755"/>
      <c r="I17" s="1069"/>
    </row>
    <row r="18" spans="1:9" ht="25.5" hidden="1" customHeight="1" x14ac:dyDescent="0.25">
      <c r="A18" s="1099"/>
      <c r="B18" s="1042"/>
      <c r="C18" s="1042"/>
      <c r="D18" s="283"/>
      <c r="E18" s="283"/>
      <c r="F18" s="756"/>
      <c r="G18" s="754"/>
      <c r="H18" s="755"/>
      <c r="I18" s="1069"/>
    </row>
    <row r="19" spans="1:9" ht="15" hidden="1" customHeight="1" x14ac:dyDescent="0.25">
      <c r="A19" s="1099"/>
      <c r="B19" s="1042"/>
      <c r="C19" s="1042"/>
      <c r="D19" s="283"/>
      <c r="E19" s="283"/>
      <c r="F19" s="756"/>
      <c r="G19" s="754"/>
      <c r="H19" s="755"/>
      <c r="I19" s="1069"/>
    </row>
    <row r="20" spans="1:9" ht="24" hidden="1" customHeight="1" x14ac:dyDescent="0.25">
      <c r="A20" s="1099"/>
      <c r="B20" s="1042"/>
      <c r="C20" s="1042"/>
      <c r="D20" s="283"/>
      <c r="E20" s="283"/>
      <c r="F20" s="756"/>
      <c r="G20" s="754"/>
      <c r="H20" s="755"/>
      <c r="I20" s="1069"/>
    </row>
    <row r="21" spans="1:9" ht="15" hidden="1" customHeight="1" x14ac:dyDescent="0.25">
      <c r="A21" s="1099"/>
      <c r="B21" s="1042"/>
      <c r="C21" s="1042"/>
      <c r="D21" s="283"/>
      <c r="E21" s="283"/>
      <c r="F21" s="756"/>
      <c r="G21" s="754"/>
      <c r="H21" s="755"/>
      <c r="I21" s="1069"/>
    </row>
    <row r="22" spans="1:9" ht="26.25" hidden="1" customHeight="1" x14ac:dyDescent="0.25">
      <c r="A22" s="1099"/>
      <c r="B22" s="1042"/>
      <c r="C22" s="1042"/>
      <c r="D22" s="283"/>
      <c r="E22" s="283"/>
      <c r="F22" s="756">
        <f>12136.29+2548.62</f>
        <v>14684.91</v>
      </c>
      <c r="G22" s="754"/>
      <c r="H22" s="755"/>
      <c r="I22" s="1069"/>
    </row>
    <row r="23" spans="1:9" ht="12" hidden="1" customHeight="1" x14ac:dyDescent="0.25">
      <c r="A23" s="1099"/>
      <c r="B23" s="1042"/>
      <c r="C23" s="1042"/>
      <c r="D23" s="283"/>
      <c r="E23" s="283"/>
      <c r="F23" s="756">
        <v>16900</v>
      </c>
      <c r="G23" s="754"/>
      <c r="H23" s="755"/>
      <c r="I23" s="1069"/>
    </row>
    <row r="24" spans="1:9" ht="15" hidden="1" customHeight="1" x14ac:dyDescent="0.25">
      <c r="A24" s="1099"/>
      <c r="B24" s="1042"/>
      <c r="C24" s="1042"/>
      <c r="D24" s="283"/>
      <c r="E24" s="283"/>
      <c r="F24" s="756">
        <v>40000</v>
      </c>
      <c r="G24" s="754"/>
      <c r="H24" s="755"/>
      <c r="I24" s="1069"/>
    </row>
    <row r="25" spans="1:9" ht="15" hidden="1" customHeight="1" x14ac:dyDescent="0.25">
      <c r="A25" s="1099"/>
      <c r="B25" s="1042"/>
      <c r="C25" s="1042"/>
      <c r="D25" s="283"/>
      <c r="E25" s="283"/>
      <c r="F25" s="756"/>
      <c r="G25" s="754"/>
      <c r="H25" s="755"/>
      <c r="I25" s="1069"/>
    </row>
    <row r="26" spans="1:9" ht="25.5" hidden="1" customHeight="1" x14ac:dyDescent="0.25">
      <c r="A26" s="1099"/>
      <c r="B26" s="1042"/>
      <c r="C26" s="1042"/>
      <c r="D26" s="283"/>
      <c r="E26" s="283"/>
      <c r="F26" s="756">
        <v>5500</v>
      </c>
      <c r="G26" s="754"/>
      <c r="H26" s="755">
        <v>5500</v>
      </c>
      <c r="I26" s="1069"/>
    </row>
    <row r="27" spans="1:9" ht="15" hidden="1" customHeight="1" x14ac:dyDescent="0.25">
      <c r="A27" s="1099"/>
      <c r="B27" s="1042"/>
      <c r="C27" s="1042"/>
      <c r="D27" s="283"/>
      <c r="E27" s="283"/>
      <c r="F27" s="756">
        <v>9600</v>
      </c>
      <c r="G27" s="754"/>
      <c r="H27" s="755">
        <v>9600</v>
      </c>
      <c r="I27" s="1069"/>
    </row>
    <row r="28" spans="1:9" ht="25.5" hidden="1" customHeight="1" x14ac:dyDescent="0.25">
      <c r="A28" s="1099"/>
      <c r="B28" s="1042"/>
      <c r="C28" s="1042"/>
      <c r="D28" s="283"/>
      <c r="E28" s="283"/>
      <c r="F28" s="756">
        <v>30000</v>
      </c>
      <c r="G28" s="754"/>
      <c r="H28" s="755"/>
      <c r="I28" s="1069"/>
    </row>
    <row r="29" spans="1:9" ht="15" hidden="1" customHeight="1" x14ac:dyDescent="0.25">
      <c r="A29" s="1099"/>
      <c r="B29" s="1042"/>
      <c r="C29" s="1042"/>
      <c r="D29" s="283"/>
      <c r="E29" s="283"/>
      <c r="F29" s="756">
        <v>12900</v>
      </c>
      <c r="G29" s="754"/>
      <c r="H29" s="755">
        <v>10000</v>
      </c>
      <c r="I29" s="1069"/>
    </row>
    <row r="30" spans="1:9" x14ac:dyDescent="0.25">
      <c r="A30" s="1099"/>
      <c r="B30" s="1042"/>
      <c r="C30" s="1042"/>
      <c r="D30" s="283"/>
      <c r="E30" s="283"/>
      <c r="F30" s="757">
        <v>5991</v>
      </c>
      <c r="G30" s="752">
        <v>2241</v>
      </c>
      <c r="H30" s="283">
        <v>5991</v>
      </c>
      <c r="I30" s="1069"/>
    </row>
    <row r="31" spans="1:9" ht="15" hidden="1" customHeight="1" x14ac:dyDescent="0.25">
      <c r="A31" s="1099"/>
      <c r="B31" s="1042"/>
      <c r="C31" s="1042"/>
      <c r="D31" s="283"/>
      <c r="E31" s="283"/>
      <c r="F31" s="756">
        <v>240</v>
      </c>
      <c r="G31" s="754"/>
      <c r="H31" s="755"/>
      <c r="I31" s="1069"/>
    </row>
    <row r="32" spans="1:9" ht="15" hidden="1" customHeight="1" x14ac:dyDescent="0.25">
      <c r="A32" s="1099"/>
      <c r="B32" s="1042"/>
      <c r="C32" s="1042"/>
      <c r="D32" s="283"/>
      <c r="E32" s="283"/>
      <c r="F32" s="756">
        <v>576</v>
      </c>
      <c r="G32" s="754"/>
      <c r="H32" s="755"/>
      <c r="I32" s="1069"/>
    </row>
    <row r="33" spans="1:9" ht="15" hidden="1" customHeight="1" x14ac:dyDescent="0.25">
      <c r="A33" s="1099"/>
      <c r="B33" s="1042"/>
      <c r="C33" s="1042"/>
      <c r="D33" s="283"/>
      <c r="E33" s="283"/>
      <c r="F33" s="756">
        <v>759</v>
      </c>
      <c r="G33" s="754"/>
      <c r="H33" s="755"/>
      <c r="I33" s="1069"/>
    </row>
    <row r="34" spans="1:9" ht="27.75" hidden="1" customHeight="1" x14ac:dyDescent="0.25">
      <c r="A34" s="1099"/>
      <c r="B34" s="1042"/>
      <c r="C34" s="1042"/>
      <c r="D34" s="283"/>
      <c r="E34" s="283"/>
      <c r="F34" s="756">
        <v>912</v>
      </c>
      <c r="G34" s="754"/>
      <c r="H34" s="755"/>
      <c r="I34" s="1069"/>
    </row>
    <row r="35" spans="1:9" ht="36.75" hidden="1" customHeight="1" x14ac:dyDescent="0.25">
      <c r="A35" s="1099"/>
      <c r="B35" s="1042"/>
      <c r="C35" s="1042"/>
      <c r="D35" s="283"/>
      <c r="E35" s="283"/>
      <c r="F35" s="756">
        <v>1152</v>
      </c>
      <c r="G35" s="754"/>
      <c r="H35" s="755"/>
      <c r="I35" s="1069"/>
    </row>
    <row r="36" spans="1:9" ht="28.5" hidden="1" customHeight="1" x14ac:dyDescent="0.25">
      <c r="A36" s="1099"/>
      <c r="B36" s="1042"/>
      <c r="C36" s="1042"/>
      <c r="D36" s="283"/>
      <c r="E36" s="283"/>
      <c r="F36" s="756">
        <v>2352</v>
      </c>
      <c r="G36" s="754"/>
      <c r="H36" s="755"/>
      <c r="I36" s="1069"/>
    </row>
    <row r="37" spans="1:9" ht="15" hidden="1" customHeight="1" x14ac:dyDescent="0.25">
      <c r="A37" s="1099"/>
      <c r="B37" s="1042"/>
      <c r="C37" s="1042"/>
      <c r="D37" s="283">
        <f>12000</f>
        <v>12000</v>
      </c>
      <c r="E37" s="283">
        <v>0</v>
      </c>
      <c r="F37" s="283">
        <v>0</v>
      </c>
      <c r="G37" s="752">
        <v>5232</v>
      </c>
      <c r="H37" s="283"/>
      <c r="I37" s="1069"/>
    </row>
    <row r="38" spans="1:9" ht="12" customHeight="1" x14ac:dyDescent="0.25">
      <c r="A38" s="1099"/>
      <c r="B38" s="1042"/>
      <c r="C38" s="1042"/>
      <c r="D38" s="283">
        <v>2000</v>
      </c>
      <c r="E38" s="283">
        <v>2000</v>
      </c>
      <c r="F38" s="283">
        <v>2000</v>
      </c>
      <c r="G38" s="752">
        <v>2239</v>
      </c>
      <c r="H38" s="283">
        <v>1000</v>
      </c>
      <c r="I38" s="1069"/>
    </row>
    <row r="39" spans="1:9" ht="12" customHeight="1" x14ac:dyDescent="0.25">
      <c r="A39" s="1099"/>
      <c r="B39" s="1042"/>
      <c r="C39" s="1042"/>
      <c r="D39" s="283">
        <f>12054</f>
        <v>12054</v>
      </c>
      <c r="E39" s="295">
        <v>12025</v>
      </c>
      <c r="F39" s="283">
        <v>16900</v>
      </c>
      <c r="G39" s="752">
        <v>2241</v>
      </c>
      <c r="H39" s="283">
        <v>10000</v>
      </c>
      <c r="I39" s="1073"/>
    </row>
    <row r="40" spans="1:9" ht="9.75" customHeight="1" x14ac:dyDescent="0.25">
      <c r="A40" s="335"/>
      <c r="B40" s="758"/>
      <c r="C40" s="758"/>
      <c r="D40" s="10"/>
      <c r="E40" s="10"/>
      <c r="F40" s="759"/>
      <c r="G40" s="10"/>
      <c r="H40" s="10"/>
      <c r="I40" s="759"/>
    </row>
    <row r="41" spans="1:9" x14ac:dyDescent="0.25">
      <c r="A41" s="1079" t="s">
        <v>6</v>
      </c>
      <c r="B41" s="1079"/>
      <c r="C41" s="748" t="s">
        <v>984</v>
      </c>
      <c r="D41" s="748"/>
      <c r="E41" s="748"/>
      <c r="F41" s="760"/>
      <c r="G41" s="748"/>
      <c r="H41" s="748"/>
      <c r="I41" s="760"/>
    </row>
    <row r="42" spans="1:9" x14ac:dyDescent="0.25">
      <c r="A42" s="1079" t="s">
        <v>5</v>
      </c>
      <c r="B42" s="1079"/>
      <c r="C42" s="749" t="s">
        <v>985</v>
      </c>
      <c r="D42" s="749"/>
      <c r="E42" s="749"/>
      <c r="F42" s="750"/>
      <c r="G42" s="749"/>
      <c r="H42" s="749"/>
      <c r="I42" s="750"/>
    </row>
    <row r="43" spans="1:9" ht="50.25" customHeight="1" x14ac:dyDescent="0.25">
      <c r="A43" s="6" t="s">
        <v>4</v>
      </c>
      <c r="B43" s="989" t="s">
        <v>3</v>
      </c>
      <c r="C43" s="989"/>
      <c r="D43" s="6" t="s">
        <v>11</v>
      </c>
      <c r="E43" s="6" t="s">
        <v>12</v>
      </c>
      <c r="F43" s="216" t="s">
        <v>13</v>
      </c>
      <c r="G43" s="6" t="s">
        <v>2</v>
      </c>
      <c r="H43" s="6" t="s">
        <v>180</v>
      </c>
      <c r="I43" s="216" t="s">
        <v>1</v>
      </c>
    </row>
    <row r="44" spans="1:9" x14ac:dyDescent="0.25">
      <c r="A44" s="1040" t="s">
        <v>14</v>
      </c>
      <c r="B44" s="1040"/>
      <c r="C44" s="1040"/>
      <c r="D44" s="7">
        <f>SUM(D45:D55)</f>
        <v>13045</v>
      </c>
      <c r="E44" s="7">
        <f>SUM(E45:E55)</f>
        <v>5045</v>
      </c>
      <c r="F44" s="425">
        <f>F45+F46+F47+F52+F53</f>
        <v>82000</v>
      </c>
      <c r="G44" s="7"/>
      <c r="H44" s="7">
        <f>SUM(H45:H47,H52,H53)</f>
        <v>26500</v>
      </c>
      <c r="I44" s="1068" t="s">
        <v>986</v>
      </c>
    </row>
    <row r="45" spans="1:9" ht="15" hidden="1" customHeight="1" x14ac:dyDescent="0.25">
      <c r="A45" s="3">
        <v>1</v>
      </c>
      <c r="B45" s="1042" t="s">
        <v>987</v>
      </c>
      <c r="C45" s="1042"/>
      <c r="D45" s="283">
        <v>5045</v>
      </c>
      <c r="E45" s="283">
        <v>5045</v>
      </c>
      <c r="F45" s="283">
        <v>0</v>
      </c>
      <c r="G45" s="761">
        <v>5250</v>
      </c>
      <c r="H45" s="283"/>
      <c r="I45" s="1069"/>
    </row>
    <row r="46" spans="1:9" ht="12" hidden="1" customHeight="1" x14ac:dyDescent="0.25">
      <c r="A46" s="3">
        <v>2</v>
      </c>
      <c r="B46" s="1042" t="s">
        <v>988</v>
      </c>
      <c r="C46" s="1042"/>
      <c r="D46" s="283">
        <f>8000</f>
        <v>8000</v>
      </c>
      <c r="E46" s="283">
        <v>0</v>
      </c>
      <c r="F46" s="283">
        <v>0</v>
      </c>
      <c r="G46" s="761">
        <v>5240</v>
      </c>
      <c r="H46" s="283"/>
      <c r="I46" s="1069"/>
    </row>
    <row r="47" spans="1:9" ht="15" customHeight="1" x14ac:dyDescent="0.25">
      <c r="A47" s="1041">
        <v>2</v>
      </c>
      <c r="B47" s="1042" t="s">
        <v>989</v>
      </c>
      <c r="C47" s="1042"/>
      <c r="D47" s="283">
        <v>0</v>
      </c>
      <c r="E47" s="283"/>
      <c r="F47" s="283">
        <f>SUM(F48:F51)</f>
        <v>30500</v>
      </c>
      <c r="G47" s="752">
        <v>5240</v>
      </c>
      <c r="H47" s="283">
        <f>SUM(H48:H51)</f>
        <v>10000</v>
      </c>
      <c r="I47" s="1069"/>
    </row>
    <row r="48" spans="1:9" ht="15" hidden="1" customHeight="1" x14ac:dyDescent="0.25">
      <c r="A48" s="1041"/>
      <c r="B48" s="1042"/>
      <c r="C48" s="1042"/>
      <c r="D48" s="283"/>
      <c r="E48" s="283"/>
      <c r="F48" s="756">
        <v>10000</v>
      </c>
      <c r="G48" s="762"/>
      <c r="H48" s="283">
        <v>10000</v>
      </c>
      <c r="I48" s="1069"/>
    </row>
    <row r="49" spans="1:9" ht="15" hidden="1" customHeight="1" x14ac:dyDescent="0.25">
      <c r="A49" s="1041"/>
      <c r="B49" s="1042"/>
      <c r="C49" s="1042"/>
      <c r="D49" s="283"/>
      <c r="E49" s="283"/>
      <c r="F49" s="756">
        <v>15000</v>
      </c>
      <c r="G49" s="762"/>
      <c r="H49" s="283"/>
      <c r="I49" s="1069"/>
    </row>
    <row r="50" spans="1:9" ht="15" hidden="1" customHeight="1" x14ac:dyDescent="0.25">
      <c r="A50" s="1041"/>
      <c r="B50" s="1042"/>
      <c r="C50" s="1042"/>
      <c r="D50" s="283"/>
      <c r="E50" s="283"/>
      <c r="F50" s="756">
        <v>5000</v>
      </c>
      <c r="G50" s="762"/>
      <c r="H50" s="283"/>
      <c r="I50" s="1069"/>
    </row>
    <row r="51" spans="1:9" ht="15" hidden="1" customHeight="1" x14ac:dyDescent="0.25">
      <c r="A51" s="1041"/>
      <c r="B51" s="1042"/>
      <c r="C51" s="1042"/>
      <c r="D51" s="283"/>
      <c r="E51" s="283"/>
      <c r="F51" s="756">
        <v>500</v>
      </c>
      <c r="G51" s="762"/>
      <c r="H51" s="283"/>
      <c r="I51" s="1073"/>
    </row>
    <row r="52" spans="1:9" ht="25.5" customHeight="1" x14ac:dyDescent="0.25">
      <c r="A52" s="3">
        <v>3</v>
      </c>
      <c r="B52" s="1025" t="s">
        <v>990</v>
      </c>
      <c r="C52" s="1026"/>
      <c r="D52" s="283"/>
      <c r="E52" s="283"/>
      <c r="F52" s="756">
        <v>16500</v>
      </c>
      <c r="G52" s="752">
        <v>5250</v>
      </c>
      <c r="H52" s="283">
        <v>16500</v>
      </c>
      <c r="I52" s="451" t="s">
        <v>986</v>
      </c>
    </row>
    <row r="53" spans="1:9" ht="25.5" hidden="1" customHeight="1" x14ac:dyDescent="0.25">
      <c r="A53" s="1070">
        <v>5</v>
      </c>
      <c r="B53" s="1071" t="s">
        <v>991</v>
      </c>
      <c r="C53" s="1071"/>
      <c r="D53" s="662">
        <v>0</v>
      </c>
      <c r="E53" s="763">
        <v>0</v>
      </c>
      <c r="F53" s="662">
        <f>SUM(F54:F55)</f>
        <v>35000</v>
      </c>
      <c r="G53" s="764">
        <v>5250</v>
      </c>
      <c r="H53" s="763"/>
      <c r="I53" s="1072" t="s">
        <v>992</v>
      </c>
    </row>
    <row r="54" spans="1:9" ht="17.25" hidden="1" customHeight="1" x14ac:dyDescent="0.25">
      <c r="A54" s="1070"/>
      <c r="B54" s="1071"/>
      <c r="C54" s="1071"/>
      <c r="D54" s="662"/>
      <c r="E54" s="763"/>
      <c r="F54" s="765">
        <v>28000</v>
      </c>
      <c r="G54" s="764"/>
      <c r="H54" s="763"/>
      <c r="I54" s="1072"/>
    </row>
    <row r="55" spans="1:9" ht="12" hidden="1" customHeight="1" x14ac:dyDescent="0.25">
      <c r="A55" s="1070"/>
      <c r="B55" s="1071"/>
      <c r="C55" s="1071"/>
      <c r="D55" s="662"/>
      <c r="E55" s="763"/>
      <c r="F55" s="765">
        <v>7000</v>
      </c>
      <c r="G55" s="764"/>
      <c r="H55" s="763"/>
      <c r="I55" s="1072"/>
    </row>
    <row r="56" spans="1:9" ht="9.75" customHeight="1" x14ac:dyDescent="0.25">
      <c r="A56" s="335"/>
      <c r="B56" s="758"/>
      <c r="C56" s="758"/>
      <c r="D56" s="307"/>
      <c r="E56" s="766"/>
      <c r="F56" s="766"/>
      <c r="G56" s="767"/>
      <c r="H56" s="307"/>
      <c r="I56" s="612"/>
    </row>
    <row r="57" spans="1:9" x14ac:dyDescent="0.25">
      <c r="A57" s="1079" t="s">
        <v>6</v>
      </c>
      <c r="B57" s="1079"/>
      <c r="C57" s="748" t="s">
        <v>993</v>
      </c>
      <c r="D57" s="748"/>
      <c r="E57" s="748"/>
      <c r="F57" s="760"/>
      <c r="G57" s="748"/>
      <c r="H57" s="748"/>
      <c r="I57" s="760"/>
    </row>
    <row r="58" spans="1:9" x14ac:dyDescent="0.25">
      <c r="A58" s="1079" t="s">
        <v>5</v>
      </c>
      <c r="B58" s="1079"/>
      <c r="C58" s="749" t="s">
        <v>994</v>
      </c>
      <c r="D58" s="749"/>
      <c r="E58" s="749"/>
      <c r="F58" s="750"/>
      <c r="G58" s="749"/>
      <c r="H58" s="749"/>
      <c r="I58" s="750"/>
    </row>
    <row r="59" spans="1:9" ht="49.5" customHeight="1" x14ac:dyDescent="0.25">
      <c r="A59" s="6" t="s">
        <v>4</v>
      </c>
      <c r="B59" s="989" t="s">
        <v>3</v>
      </c>
      <c r="C59" s="989"/>
      <c r="D59" s="6" t="s">
        <v>11</v>
      </c>
      <c r="E59" s="6" t="s">
        <v>12</v>
      </c>
      <c r="F59" s="216" t="s">
        <v>13</v>
      </c>
      <c r="G59" s="6" t="s">
        <v>2</v>
      </c>
      <c r="H59" s="6" t="s">
        <v>180</v>
      </c>
      <c r="I59" s="216" t="s">
        <v>1</v>
      </c>
    </row>
    <row r="60" spans="1:9" ht="14.25" customHeight="1" x14ac:dyDescent="0.25">
      <c r="A60" s="1040" t="s">
        <v>14</v>
      </c>
      <c r="B60" s="1040"/>
      <c r="C60" s="1040"/>
      <c r="D60" s="7">
        <f>SUM(D61:D64)</f>
        <v>28000</v>
      </c>
      <c r="E60" s="7">
        <f>SUM(E62:E64)</f>
        <v>6579</v>
      </c>
      <c r="F60" s="425">
        <f>F61+F62</f>
        <v>34313</v>
      </c>
      <c r="G60" s="7"/>
      <c r="H60" s="7">
        <f>H61+H62</f>
        <v>34313</v>
      </c>
      <c r="I60" s="1068" t="s">
        <v>995</v>
      </c>
    </row>
    <row r="61" spans="1:9" ht="25.5" hidden="1" customHeight="1" x14ac:dyDescent="0.25">
      <c r="A61" s="3">
        <v>1</v>
      </c>
      <c r="B61" s="1078" t="s">
        <v>996</v>
      </c>
      <c r="C61" s="1078"/>
      <c r="D61" s="283">
        <f>21421</f>
        <v>21421</v>
      </c>
      <c r="E61" s="295">
        <v>0</v>
      </c>
      <c r="F61" s="283">
        <v>0</v>
      </c>
      <c r="G61" s="768">
        <v>2244</v>
      </c>
      <c r="H61" s="4"/>
      <c r="I61" s="1069"/>
    </row>
    <row r="62" spans="1:9" ht="12" customHeight="1" x14ac:dyDescent="0.25">
      <c r="A62" s="1041">
        <v>1</v>
      </c>
      <c r="B62" s="1071" t="s">
        <v>997</v>
      </c>
      <c r="C62" s="1071"/>
      <c r="D62" s="283">
        <v>6579</v>
      </c>
      <c r="E62" s="283">
        <v>6579</v>
      </c>
      <c r="F62" s="283">
        <f>SUM(F63:F64)+0.82</f>
        <v>34313</v>
      </c>
      <c r="G62" s="769">
        <v>5250</v>
      </c>
      <c r="H62" s="4">
        <f>SUM(H63:H64)</f>
        <v>34313</v>
      </c>
      <c r="I62" s="1069"/>
    </row>
    <row r="63" spans="1:9" ht="26.25" hidden="1" customHeight="1" x14ac:dyDescent="0.25">
      <c r="A63" s="1041"/>
      <c r="B63" s="1071"/>
      <c r="C63" s="1071"/>
      <c r="D63" s="4"/>
      <c r="E63" s="4"/>
      <c r="F63" s="765">
        <v>26312.18</v>
      </c>
      <c r="G63" s="768"/>
      <c r="H63" s="4">
        <v>26313</v>
      </c>
      <c r="I63" s="1069"/>
    </row>
    <row r="64" spans="1:9" ht="15" hidden="1" customHeight="1" x14ac:dyDescent="0.25">
      <c r="A64" s="1041"/>
      <c r="B64" s="1071"/>
      <c r="C64" s="1071"/>
      <c r="D64" s="4"/>
      <c r="E64" s="4"/>
      <c r="F64" s="765">
        <v>8000</v>
      </c>
      <c r="G64" s="768"/>
      <c r="H64" s="4">
        <v>8000</v>
      </c>
      <c r="I64" s="1073"/>
    </row>
    <row r="65" spans="1:9" ht="9.75" customHeight="1" x14ac:dyDescent="0.25">
      <c r="A65" s="350"/>
      <c r="B65" s="770"/>
      <c r="C65" s="770"/>
      <c r="D65" s="304"/>
      <c r="E65" s="304"/>
      <c r="F65" s="771"/>
      <c r="G65" s="304"/>
      <c r="H65" s="304"/>
      <c r="I65" s="771"/>
    </row>
    <row r="66" spans="1:9" x14ac:dyDescent="0.25">
      <c r="A66" s="1079" t="s">
        <v>6</v>
      </c>
      <c r="B66" s="1079"/>
      <c r="C66" s="748" t="s">
        <v>998</v>
      </c>
      <c r="D66" s="748"/>
      <c r="E66" s="748"/>
      <c r="F66" s="760"/>
      <c r="G66" s="748"/>
      <c r="H66" s="748"/>
      <c r="I66" s="760"/>
    </row>
    <row r="67" spans="1:9" x14ac:dyDescent="0.25">
      <c r="A67" s="1079" t="s">
        <v>5</v>
      </c>
      <c r="B67" s="1079"/>
      <c r="C67" s="749" t="s">
        <v>999</v>
      </c>
      <c r="D67" s="749"/>
      <c r="E67" s="749"/>
      <c r="F67" s="750"/>
      <c r="G67" s="749"/>
      <c r="H67" s="749"/>
      <c r="I67" s="750"/>
    </row>
    <row r="68" spans="1:9" ht="48.75" customHeight="1" x14ac:dyDescent="0.25">
      <c r="A68" s="6" t="s">
        <v>4</v>
      </c>
      <c r="B68" s="989" t="s">
        <v>3</v>
      </c>
      <c r="C68" s="989"/>
      <c r="D68" s="6" t="s">
        <v>11</v>
      </c>
      <c r="E68" s="6" t="s">
        <v>12</v>
      </c>
      <c r="F68" s="216" t="s">
        <v>13</v>
      </c>
      <c r="G68" s="6" t="s">
        <v>2</v>
      </c>
      <c r="H68" s="6" t="s">
        <v>180</v>
      </c>
      <c r="I68" s="216" t="s">
        <v>1</v>
      </c>
    </row>
    <row r="69" spans="1:9" x14ac:dyDescent="0.25">
      <c r="A69" s="1040" t="s">
        <v>14</v>
      </c>
      <c r="B69" s="1040"/>
      <c r="C69" s="1040"/>
      <c r="D69" s="7">
        <f>SUM(D70:D162)</f>
        <v>5403388</v>
      </c>
      <c r="E69" s="7">
        <f>SUM(E70:E162)</f>
        <v>2367047</v>
      </c>
      <c r="F69" s="425">
        <f>F70+F76+F77+F93+F102+F103+F104+F111+F112+F113+F114+F115+F116+F119+F126+F137+F138+F146+F147+F148+F149+F150+F151+F156+F139</f>
        <v>8611783</v>
      </c>
      <c r="G69" s="7"/>
      <c r="H69" s="7">
        <f>SUM(H70,H76:H77,H93,H102:H104,H111,H112:H112,H113:H116,H119,H126,H137:H151,H156,H162)</f>
        <v>7241253</v>
      </c>
      <c r="I69" s="436"/>
    </row>
    <row r="70" spans="1:9" ht="14.25" customHeight="1" x14ac:dyDescent="0.25">
      <c r="A70" s="1041">
        <v>1</v>
      </c>
      <c r="B70" s="1042" t="s">
        <v>1000</v>
      </c>
      <c r="C70" s="1042"/>
      <c r="D70" s="283">
        <f>245427-60747</f>
        <v>184680</v>
      </c>
      <c r="E70" s="283">
        <v>130711</v>
      </c>
      <c r="F70" s="283">
        <f>SUM(F71:F75)+0.62</f>
        <v>216190</v>
      </c>
      <c r="G70" s="752">
        <v>5240</v>
      </c>
      <c r="H70" s="283">
        <f>SUM(H71:H75)</f>
        <v>50000</v>
      </c>
      <c r="I70" s="1076" t="s">
        <v>1001</v>
      </c>
    </row>
    <row r="71" spans="1:9" ht="28.5" hidden="1" customHeight="1" x14ac:dyDescent="0.25">
      <c r="A71" s="1041"/>
      <c r="B71" s="1042"/>
      <c r="C71" s="1042"/>
      <c r="D71" s="283"/>
      <c r="E71" s="283"/>
      <c r="F71" s="756">
        <v>6473.48</v>
      </c>
      <c r="G71" s="752"/>
      <c r="H71" s="283">
        <v>6474</v>
      </c>
      <c r="I71" s="1076"/>
    </row>
    <row r="72" spans="1:9" ht="12" hidden="1" customHeight="1" x14ac:dyDescent="0.25">
      <c r="A72" s="1041"/>
      <c r="B72" s="1042"/>
      <c r="C72" s="1042"/>
      <c r="D72" s="283"/>
      <c r="E72" s="283"/>
      <c r="F72" s="756">
        <v>955.9</v>
      </c>
      <c r="G72" s="752"/>
      <c r="H72" s="283">
        <v>956</v>
      </c>
      <c r="I72" s="1076"/>
    </row>
    <row r="73" spans="1:9" ht="12" hidden="1" customHeight="1" x14ac:dyDescent="0.25">
      <c r="A73" s="1041"/>
      <c r="B73" s="1042"/>
      <c r="C73" s="1042"/>
      <c r="D73" s="283"/>
      <c r="E73" s="283"/>
      <c r="F73" s="756">
        <v>7000</v>
      </c>
      <c r="G73" s="752"/>
      <c r="H73" s="1093">
        <v>42570</v>
      </c>
      <c r="I73" s="1076"/>
    </row>
    <row r="74" spans="1:9" ht="15" hidden="1" customHeight="1" x14ac:dyDescent="0.25">
      <c r="A74" s="1041"/>
      <c r="B74" s="1042"/>
      <c r="C74" s="1042"/>
      <c r="D74" s="283"/>
      <c r="E74" s="283"/>
      <c r="F74" s="756">
        <v>200860</v>
      </c>
      <c r="G74" s="439"/>
      <c r="H74" s="1094"/>
      <c r="I74" s="1076"/>
    </row>
    <row r="75" spans="1:9" ht="12" hidden="1" customHeight="1" x14ac:dyDescent="0.25">
      <c r="A75" s="1041"/>
      <c r="B75" s="1042"/>
      <c r="C75" s="1042"/>
      <c r="D75" s="283"/>
      <c r="E75" s="283"/>
      <c r="F75" s="756">
        <v>900</v>
      </c>
      <c r="G75" s="752"/>
      <c r="H75" s="1095"/>
      <c r="I75" s="1076"/>
    </row>
    <row r="76" spans="1:9" ht="12" hidden="1" customHeight="1" x14ac:dyDescent="0.25">
      <c r="A76" s="1041">
        <v>2</v>
      </c>
      <c r="B76" s="1042" t="s">
        <v>1002</v>
      </c>
      <c r="C76" s="1042"/>
      <c r="D76" s="283">
        <v>900</v>
      </c>
      <c r="E76" s="283">
        <v>900</v>
      </c>
      <c r="F76" s="772">
        <v>0</v>
      </c>
      <c r="G76" s="752">
        <v>2241</v>
      </c>
      <c r="H76" s="283"/>
      <c r="I76" s="1076" t="s">
        <v>1003</v>
      </c>
    </row>
    <row r="77" spans="1:9" ht="12" hidden="1" customHeight="1" x14ac:dyDescent="0.25">
      <c r="A77" s="1041"/>
      <c r="B77" s="1042"/>
      <c r="C77" s="1042"/>
      <c r="D77" s="283">
        <v>0</v>
      </c>
      <c r="E77" s="283">
        <v>0</v>
      </c>
      <c r="F77" s="772">
        <f>F78+F82+F86+F90</f>
        <v>321990</v>
      </c>
      <c r="G77" s="752">
        <v>5250</v>
      </c>
      <c r="H77" s="283"/>
      <c r="I77" s="1076"/>
    </row>
    <row r="78" spans="1:9" ht="12" hidden="1" customHeight="1" x14ac:dyDescent="0.25">
      <c r="A78" s="1041"/>
      <c r="B78" s="1042"/>
      <c r="C78" s="1042"/>
      <c r="D78" s="283"/>
      <c r="E78" s="283"/>
      <c r="F78" s="755">
        <f>SUM(F79:F81)</f>
        <v>24940</v>
      </c>
      <c r="G78" s="752"/>
      <c r="H78" s="283"/>
      <c r="I78" s="1076"/>
    </row>
    <row r="79" spans="1:9" ht="12" hidden="1" customHeight="1" x14ac:dyDescent="0.25">
      <c r="A79" s="1041"/>
      <c r="B79" s="1042"/>
      <c r="C79" s="1042"/>
      <c r="D79" s="283"/>
      <c r="E79" s="283"/>
      <c r="F79" s="756">
        <v>3200</v>
      </c>
      <c r="G79" s="752"/>
      <c r="H79" s="283"/>
      <c r="I79" s="1076"/>
    </row>
    <row r="80" spans="1:9" ht="12" hidden="1" customHeight="1" x14ac:dyDescent="0.25">
      <c r="A80" s="1041"/>
      <c r="B80" s="1042"/>
      <c r="C80" s="1042"/>
      <c r="D80" s="283"/>
      <c r="E80" s="283"/>
      <c r="F80" s="756">
        <v>4840</v>
      </c>
      <c r="G80" s="752"/>
      <c r="H80" s="283"/>
      <c r="I80" s="1076"/>
    </row>
    <row r="81" spans="1:14" ht="12" hidden="1" customHeight="1" x14ac:dyDescent="0.25">
      <c r="A81" s="1041"/>
      <c r="B81" s="1042"/>
      <c r="C81" s="1042"/>
      <c r="D81" s="283"/>
      <c r="E81" s="283"/>
      <c r="F81" s="756">
        <v>16900</v>
      </c>
      <c r="G81" s="752"/>
      <c r="H81" s="283"/>
      <c r="I81" s="1076"/>
    </row>
    <row r="82" spans="1:14" ht="12" hidden="1" customHeight="1" x14ac:dyDescent="0.25">
      <c r="A82" s="1041"/>
      <c r="B82" s="1042"/>
      <c r="C82" s="1042"/>
      <c r="D82" s="283"/>
      <c r="E82" s="283"/>
      <c r="F82" s="755">
        <f>SUM(F83:F85)</f>
        <v>23550</v>
      </c>
      <c r="G82" s="752"/>
      <c r="H82" s="283"/>
      <c r="I82" s="1076"/>
    </row>
    <row r="83" spans="1:14" ht="12" hidden="1" customHeight="1" x14ac:dyDescent="0.25">
      <c r="A83" s="1041"/>
      <c r="B83" s="1042"/>
      <c r="C83" s="1042"/>
      <c r="D83" s="283"/>
      <c r="E83" s="283"/>
      <c r="F83" s="756">
        <v>2800</v>
      </c>
      <c r="G83" s="752"/>
      <c r="H83" s="283"/>
      <c r="I83" s="1076"/>
    </row>
    <row r="84" spans="1:14" ht="12" hidden="1" customHeight="1" x14ac:dyDescent="0.25">
      <c r="A84" s="1041"/>
      <c r="B84" s="1042"/>
      <c r="C84" s="1042"/>
      <c r="D84" s="283"/>
      <c r="E84" s="283"/>
      <c r="F84" s="756">
        <v>3930</v>
      </c>
      <c r="G84" s="752"/>
      <c r="H84" s="283"/>
      <c r="I84" s="1076"/>
    </row>
    <row r="85" spans="1:14" ht="12" hidden="1" customHeight="1" x14ac:dyDescent="0.25">
      <c r="A85" s="1041"/>
      <c r="B85" s="1042"/>
      <c r="C85" s="1042"/>
      <c r="D85" s="283"/>
      <c r="E85" s="283"/>
      <c r="F85" s="756">
        <v>16820</v>
      </c>
      <c r="G85" s="752"/>
      <c r="H85" s="283"/>
      <c r="I85" s="1076"/>
    </row>
    <row r="86" spans="1:14" ht="12" hidden="1" customHeight="1" x14ac:dyDescent="0.25">
      <c r="A86" s="1041"/>
      <c r="B86" s="1042"/>
      <c r="C86" s="1042"/>
      <c r="D86" s="283"/>
      <c r="E86" s="283"/>
      <c r="F86" s="755">
        <f>SUM(F87:F89)</f>
        <v>170500</v>
      </c>
      <c r="G86" s="752"/>
      <c r="H86" s="283"/>
      <c r="I86" s="1076"/>
    </row>
    <row r="87" spans="1:14" ht="12" hidden="1" customHeight="1" x14ac:dyDescent="0.25">
      <c r="A87" s="1041"/>
      <c r="B87" s="1042"/>
      <c r="C87" s="1042"/>
      <c r="D87" s="283"/>
      <c r="E87" s="283"/>
      <c r="F87" s="756">
        <v>40000</v>
      </c>
      <c r="G87" s="752"/>
      <c r="H87" s="283"/>
      <c r="I87" s="1076"/>
    </row>
    <row r="88" spans="1:14" ht="12" hidden="1" customHeight="1" x14ac:dyDescent="0.25">
      <c r="A88" s="1041"/>
      <c r="B88" s="1042"/>
      <c r="C88" s="1042"/>
      <c r="D88" s="283"/>
      <c r="E88" s="283"/>
      <c r="F88" s="756">
        <v>36500</v>
      </c>
      <c r="G88" s="752"/>
      <c r="H88" s="283"/>
      <c r="I88" s="1076"/>
    </row>
    <row r="89" spans="1:14" ht="12" hidden="1" customHeight="1" x14ac:dyDescent="0.25">
      <c r="A89" s="1041"/>
      <c r="B89" s="1042"/>
      <c r="C89" s="1042"/>
      <c r="D89" s="283"/>
      <c r="E89" s="283"/>
      <c r="F89" s="756">
        <v>94000</v>
      </c>
      <c r="G89" s="752"/>
      <c r="H89" s="283"/>
      <c r="I89" s="1076"/>
    </row>
    <row r="90" spans="1:14" ht="12" hidden="1" customHeight="1" x14ac:dyDescent="0.25">
      <c r="A90" s="1041"/>
      <c r="B90" s="1042"/>
      <c r="C90" s="1042"/>
      <c r="D90" s="283"/>
      <c r="E90" s="283"/>
      <c r="F90" s="755">
        <f>SUM(F91:F92)</f>
        <v>103000</v>
      </c>
      <c r="G90" s="752"/>
      <c r="H90" s="283"/>
      <c r="I90" s="1076"/>
    </row>
    <row r="91" spans="1:14" ht="12" hidden="1" customHeight="1" x14ac:dyDescent="0.25">
      <c r="A91" s="1041"/>
      <c r="B91" s="1042"/>
      <c r="C91" s="1042"/>
      <c r="D91" s="283"/>
      <c r="E91" s="283"/>
      <c r="F91" s="756">
        <v>83000</v>
      </c>
      <c r="G91" s="752"/>
      <c r="H91" s="283"/>
      <c r="I91" s="1076"/>
    </row>
    <row r="92" spans="1:14" ht="12" hidden="1" customHeight="1" x14ac:dyDescent="0.25">
      <c r="A92" s="1041"/>
      <c r="B92" s="1042"/>
      <c r="C92" s="1042"/>
      <c r="D92" s="283"/>
      <c r="E92" s="283"/>
      <c r="F92" s="756">
        <v>20000</v>
      </c>
      <c r="G92" s="752"/>
      <c r="H92" s="283"/>
      <c r="I92" s="1076"/>
    </row>
    <row r="93" spans="1:14" ht="27" customHeight="1" x14ac:dyDescent="0.25">
      <c r="A93" s="1041">
        <v>2</v>
      </c>
      <c r="B93" s="1042" t="s">
        <v>1004</v>
      </c>
      <c r="C93" s="1042"/>
      <c r="D93" s="283">
        <f>3413000</f>
        <v>3413000</v>
      </c>
      <c r="E93" s="283">
        <v>1211885</v>
      </c>
      <c r="F93" s="283">
        <f>F94+F95</f>
        <v>4255527</v>
      </c>
      <c r="G93" s="773">
        <v>5240</v>
      </c>
      <c r="H93" s="283">
        <f>SUM(H96:H101)</f>
        <v>4255528</v>
      </c>
      <c r="I93" s="1076" t="s">
        <v>1005</v>
      </c>
      <c r="J93" s="281">
        <v>5240</v>
      </c>
      <c r="K93" s="281" t="s">
        <v>906</v>
      </c>
      <c r="L93" s="464">
        <f>SUM(H96,H97,H98)-1</f>
        <v>4248526</v>
      </c>
      <c r="M93" s="281" t="s">
        <v>907</v>
      </c>
      <c r="N93" s="464">
        <f>SUM(H99,H100,H101)+1</f>
        <v>7002</v>
      </c>
    </row>
    <row r="94" spans="1:14" ht="12" hidden="1" customHeight="1" x14ac:dyDescent="0.25">
      <c r="A94" s="1041"/>
      <c r="B94" s="1042"/>
      <c r="C94" s="1042"/>
      <c r="D94" s="283"/>
      <c r="E94" s="283"/>
      <c r="F94" s="774">
        <f>SUM(F96:F98)</f>
        <v>4248526</v>
      </c>
      <c r="G94" s="754" t="s">
        <v>1006</v>
      </c>
      <c r="H94" s="283"/>
      <c r="I94" s="1076"/>
      <c r="J94" s="281">
        <v>5250</v>
      </c>
      <c r="K94" s="281" t="s">
        <v>906</v>
      </c>
      <c r="L94" s="464">
        <v>0</v>
      </c>
      <c r="M94" s="281" t="s">
        <v>907</v>
      </c>
      <c r="N94" s="464">
        <f>SUM(H104)</f>
        <v>1602522</v>
      </c>
    </row>
    <row r="95" spans="1:14" ht="12" hidden="1" customHeight="1" x14ac:dyDescent="0.25">
      <c r="A95" s="1041"/>
      <c r="B95" s="1042"/>
      <c r="C95" s="1042"/>
      <c r="D95" s="283"/>
      <c r="E95" s="283"/>
      <c r="F95" s="774">
        <f>SUM(F99:F101)+0.85</f>
        <v>7001</v>
      </c>
      <c r="G95" s="754" t="s">
        <v>1007</v>
      </c>
      <c r="H95" s="283"/>
      <c r="I95" s="1076"/>
      <c r="L95" s="464">
        <f>SUM(L93:L94)</f>
        <v>4248526</v>
      </c>
      <c r="N95" s="464">
        <f>SUM(N93:N94)</f>
        <v>1609524</v>
      </c>
    </row>
    <row r="96" spans="1:14" ht="23.25" hidden="1" customHeight="1" x14ac:dyDescent="0.25">
      <c r="A96" s="1041"/>
      <c r="B96" s="1042"/>
      <c r="C96" s="1042"/>
      <c r="D96" s="283"/>
      <c r="E96" s="283"/>
      <c r="F96" s="756">
        <v>11638.09</v>
      </c>
      <c r="G96" s="754" t="s">
        <v>1008</v>
      </c>
      <c r="H96" s="283">
        <v>11638</v>
      </c>
      <c r="I96" s="1076"/>
    </row>
    <row r="97" spans="1:9" ht="23.25" hidden="1" customHeight="1" x14ac:dyDescent="0.25">
      <c r="A97" s="1041"/>
      <c r="B97" s="1042"/>
      <c r="C97" s="1042"/>
      <c r="D97" s="283"/>
      <c r="E97" s="283"/>
      <c r="F97" s="756">
        <v>19583.849999999999</v>
      </c>
      <c r="G97" s="754" t="s">
        <v>1008</v>
      </c>
      <c r="H97" s="283">
        <v>19584</v>
      </c>
      <c r="I97" s="1076"/>
    </row>
    <row r="98" spans="1:9" ht="12" hidden="1" customHeight="1" x14ac:dyDescent="0.25">
      <c r="A98" s="1041"/>
      <c r="B98" s="1042"/>
      <c r="C98" s="1042"/>
      <c r="D98" s="283"/>
      <c r="E98" s="283"/>
      <c r="F98" s="756">
        <v>4217304.0599999996</v>
      </c>
      <c r="G98" s="754" t="s">
        <v>1008</v>
      </c>
      <c r="H98" s="283">
        <v>4217305</v>
      </c>
      <c r="I98" s="1076"/>
    </row>
    <row r="99" spans="1:9" ht="12" hidden="1" customHeight="1" x14ac:dyDescent="0.25">
      <c r="A99" s="1041"/>
      <c r="B99" s="1042"/>
      <c r="C99" s="1042"/>
      <c r="D99" s="283"/>
      <c r="E99" s="283"/>
      <c r="F99" s="756">
        <v>0.15</v>
      </c>
      <c r="G99" s="754" t="s">
        <v>1009</v>
      </c>
      <c r="H99" s="283">
        <v>1</v>
      </c>
      <c r="I99" s="1076"/>
    </row>
    <row r="100" spans="1:9" ht="12" hidden="1" customHeight="1" x14ac:dyDescent="0.25">
      <c r="A100" s="1041"/>
      <c r="B100" s="1042"/>
      <c r="C100" s="1042"/>
      <c r="D100" s="283"/>
      <c r="E100" s="283"/>
      <c r="F100" s="756">
        <v>5000</v>
      </c>
      <c r="G100" s="754" t="s">
        <v>1009</v>
      </c>
      <c r="H100" s="283">
        <v>5000</v>
      </c>
      <c r="I100" s="1076"/>
    </row>
    <row r="101" spans="1:9" ht="12" hidden="1" customHeight="1" x14ac:dyDescent="0.25">
      <c r="A101" s="1041"/>
      <c r="B101" s="1042"/>
      <c r="C101" s="1042"/>
      <c r="D101" s="283"/>
      <c r="E101" s="283"/>
      <c r="F101" s="756">
        <v>2000</v>
      </c>
      <c r="G101" s="754" t="s">
        <v>1009</v>
      </c>
      <c r="H101" s="283">
        <v>2000</v>
      </c>
      <c r="I101" s="1076"/>
    </row>
    <row r="102" spans="1:9" ht="12" hidden="1" customHeight="1" x14ac:dyDescent="0.25">
      <c r="A102" s="1041"/>
      <c r="B102" s="1042"/>
      <c r="C102" s="1042"/>
      <c r="D102" s="283">
        <v>19544</v>
      </c>
      <c r="E102" s="283">
        <v>19544</v>
      </c>
      <c r="F102" s="283">
        <v>0</v>
      </c>
      <c r="G102" s="752">
        <v>5240</v>
      </c>
      <c r="H102" s="283"/>
      <c r="I102" s="451"/>
    </row>
    <row r="103" spans="1:9" ht="0.75" hidden="1" customHeight="1" x14ac:dyDescent="0.25">
      <c r="A103" s="1041"/>
      <c r="B103" s="1042"/>
      <c r="C103" s="1042"/>
      <c r="D103" s="283">
        <f>6729</f>
        <v>6729</v>
      </c>
      <c r="E103" s="283">
        <f>6729-328</f>
        <v>6401</v>
      </c>
      <c r="F103" s="283">
        <v>0</v>
      </c>
      <c r="G103" s="752">
        <v>2239</v>
      </c>
      <c r="H103" s="283"/>
      <c r="I103" s="451"/>
    </row>
    <row r="104" spans="1:9" x14ac:dyDescent="0.25">
      <c r="A104" s="1041"/>
      <c r="B104" s="1042"/>
      <c r="C104" s="1042"/>
      <c r="D104" s="283">
        <f>1276267</f>
        <v>1276267</v>
      </c>
      <c r="E104" s="283">
        <v>631273</v>
      </c>
      <c r="F104" s="283">
        <f>SUM(F105:F110)+0.18</f>
        <v>1602521</v>
      </c>
      <c r="G104" s="752">
        <v>5250</v>
      </c>
      <c r="H104" s="283">
        <f>SUM(H105:H110)</f>
        <v>1602522</v>
      </c>
      <c r="I104" s="1076" t="s">
        <v>1010</v>
      </c>
    </row>
    <row r="105" spans="1:9" ht="29.25" hidden="1" customHeight="1" x14ac:dyDescent="0.25">
      <c r="A105" s="1041"/>
      <c r="B105" s="1042"/>
      <c r="C105" s="1042"/>
      <c r="D105" s="283"/>
      <c r="E105" s="283"/>
      <c r="F105" s="756">
        <v>2800.97</v>
      </c>
      <c r="G105" s="752"/>
      <c r="H105" s="283">
        <v>2801</v>
      </c>
      <c r="I105" s="1076"/>
    </row>
    <row r="106" spans="1:9" ht="27" hidden="1" customHeight="1" x14ac:dyDescent="0.25">
      <c r="A106" s="1041"/>
      <c r="B106" s="1042"/>
      <c r="C106" s="1042"/>
      <c r="D106" s="283"/>
      <c r="E106" s="283"/>
      <c r="F106" s="756">
        <f>4579.78</f>
        <v>4579.78</v>
      </c>
      <c r="G106" s="775"/>
      <c r="H106" s="283">
        <v>4580</v>
      </c>
      <c r="I106" s="1076"/>
    </row>
    <row r="107" spans="1:9" ht="30" hidden="1" customHeight="1" x14ac:dyDescent="0.25">
      <c r="A107" s="1041"/>
      <c r="B107" s="1042"/>
      <c r="C107" s="1042"/>
      <c r="D107" s="283"/>
      <c r="E107" s="283"/>
      <c r="F107" s="756">
        <v>15776.54</v>
      </c>
      <c r="G107" s="752"/>
      <c r="H107" s="283">
        <v>15777</v>
      </c>
      <c r="I107" s="1076"/>
    </row>
    <row r="108" spans="1:9" ht="12" hidden="1" customHeight="1" x14ac:dyDescent="0.25">
      <c r="A108" s="1041"/>
      <c r="B108" s="1042"/>
      <c r="C108" s="1042"/>
      <c r="D108" s="283"/>
      <c r="E108" s="283"/>
      <c r="F108" s="756">
        <v>1571363.53</v>
      </c>
      <c r="G108" s="752"/>
      <c r="H108" s="283">
        <v>1571364</v>
      </c>
      <c r="I108" s="1076"/>
    </row>
    <row r="109" spans="1:9" ht="12" hidden="1" customHeight="1" x14ac:dyDescent="0.25">
      <c r="A109" s="1041"/>
      <c r="B109" s="1042"/>
      <c r="C109" s="1042"/>
      <c r="D109" s="283"/>
      <c r="E109" s="283"/>
      <c r="F109" s="756">
        <v>6000</v>
      </c>
      <c r="G109" s="752"/>
      <c r="H109" s="283">
        <v>6000</v>
      </c>
      <c r="I109" s="1076"/>
    </row>
    <row r="110" spans="1:9" ht="12" hidden="1" customHeight="1" x14ac:dyDescent="0.25">
      <c r="A110" s="1041"/>
      <c r="B110" s="1042"/>
      <c r="C110" s="1042"/>
      <c r="D110" s="283"/>
      <c r="E110" s="283"/>
      <c r="F110" s="756">
        <v>2000</v>
      </c>
      <c r="G110" s="775"/>
      <c r="H110" s="283">
        <v>2000</v>
      </c>
      <c r="I110" s="1076"/>
    </row>
    <row r="111" spans="1:9" ht="39" hidden="1" customHeight="1" x14ac:dyDescent="0.25">
      <c r="A111" s="3">
        <v>4</v>
      </c>
      <c r="B111" s="1078" t="s">
        <v>1011</v>
      </c>
      <c r="C111" s="1078"/>
      <c r="D111" s="283">
        <f>43500</f>
        <v>43500</v>
      </c>
      <c r="E111" s="776">
        <v>0</v>
      </c>
      <c r="F111" s="283">
        <v>0</v>
      </c>
      <c r="G111" s="752">
        <v>5250</v>
      </c>
      <c r="H111" s="283"/>
      <c r="I111" s="451" t="s">
        <v>1012</v>
      </c>
    </row>
    <row r="112" spans="1:9" ht="24.75" hidden="1" customHeight="1" x14ac:dyDescent="0.25">
      <c r="A112" s="467">
        <v>5</v>
      </c>
      <c r="B112" s="1078" t="s">
        <v>1013</v>
      </c>
      <c r="C112" s="1078"/>
      <c r="D112" s="283">
        <f>40000</f>
        <v>40000</v>
      </c>
      <c r="E112" s="283">
        <v>5808</v>
      </c>
      <c r="F112" s="283">
        <v>0</v>
      </c>
      <c r="G112" s="752">
        <v>5240</v>
      </c>
      <c r="H112" s="283"/>
      <c r="I112" s="451" t="s">
        <v>1014</v>
      </c>
    </row>
    <row r="113" spans="1:9" ht="12" hidden="1" customHeight="1" x14ac:dyDescent="0.25">
      <c r="A113" s="3">
        <v>6</v>
      </c>
      <c r="B113" s="1042" t="s">
        <v>1015</v>
      </c>
      <c r="C113" s="1042"/>
      <c r="D113" s="283">
        <f>1900</f>
        <v>1900</v>
      </c>
      <c r="E113" s="283">
        <v>1798</v>
      </c>
      <c r="F113" s="283">
        <v>0</v>
      </c>
      <c r="G113" s="752">
        <v>2241</v>
      </c>
      <c r="H113" s="283"/>
      <c r="I113" s="451" t="s">
        <v>1012</v>
      </c>
    </row>
    <row r="114" spans="1:9" ht="12" hidden="1" customHeight="1" x14ac:dyDescent="0.25">
      <c r="A114" s="3">
        <v>7</v>
      </c>
      <c r="B114" s="1042" t="s">
        <v>1016</v>
      </c>
      <c r="C114" s="1042"/>
      <c r="D114" s="776">
        <v>0</v>
      </c>
      <c r="E114" s="776">
        <v>0</v>
      </c>
      <c r="F114" s="283">
        <v>0</v>
      </c>
      <c r="G114" s="752">
        <v>5250</v>
      </c>
      <c r="H114" s="283"/>
      <c r="I114" s="451" t="s">
        <v>1017</v>
      </c>
    </row>
    <row r="115" spans="1:9" ht="24.75" hidden="1" customHeight="1" x14ac:dyDescent="0.25">
      <c r="A115" s="3">
        <v>8</v>
      </c>
      <c r="B115" s="1042" t="s">
        <v>1018</v>
      </c>
      <c r="C115" s="1042"/>
      <c r="D115" s="283">
        <v>56745</v>
      </c>
      <c r="E115" s="283">
        <v>56745</v>
      </c>
      <c r="F115" s="283">
        <v>0</v>
      </c>
      <c r="G115" s="752">
        <v>5240</v>
      </c>
      <c r="H115" s="283"/>
      <c r="I115" s="451"/>
    </row>
    <row r="116" spans="1:9" ht="12" hidden="1" customHeight="1" x14ac:dyDescent="0.25">
      <c r="A116" s="1041">
        <v>9</v>
      </c>
      <c r="B116" s="1042" t="s">
        <v>1019</v>
      </c>
      <c r="C116" s="1042"/>
      <c r="D116" s="283">
        <v>16904</v>
      </c>
      <c r="E116" s="283">
        <v>16871</v>
      </c>
      <c r="F116" s="283">
        <f>SUM(F117:F118)</f>
        <v>162465</v>
      </c>
      <c r="G116" s="752">
        <v>5250</v>
      </c>
      <c r="H116" s="283"/>
      <c r="I116" s="1068" t="s">
        <v>1020</v>
      </c>
    </row>
    <row r="117" spans="1:9" ht="15" hidden="1" customHeight="1" x14ac:dyDescent="0.25">
      <c r="A117" s="1041"/>
      <c r="B117" s="1042"/>
      <c r="C117" s="1042"/>
      <c r="D117" s="776"/>
      <c r="E117" s="295"/>
      <c r="F117" s="756">
        <v>90115</v>
      </c>
      <c r="G117" s="752"/>
      <c r="H117" s="283"/>
      <c r="I117" s="1069"/>
    </row>
    <row r="118" spans="1:9" ht="33.75" hidden="1" customHeight="1" x14ac:dyDescent="0.25">
      <c r="A118" s="1041"/>
      <c r="B118" s="1042"/>
      <c r="C118" s="1042"/>
      <c r="D118" s="283"/>
      <c r="E118" s="283"/>
      <c r="F118" s="756">
        <v>72350</v>
      </c>
      <c r="G118" s="752"/>
      <c r="H118" s="283"/>
      <c r="I118" s="1073"/>
    </row>
    <row r="119" spans="1:9" ht="15.75" customHeight="1" x14ac:dyDescent="0.25">
      <c r="A119" s="1041">
        <v>3</v>
      </c>
      <c r="B119" s="1042" t="s">
        <v>1021</v>
      </c>
      <c r="C119" s="1042"/>
      <c r="D119" s="283">
        <f>100000+43843</f>
        <v>143843</v>
      </c>
      <c r="E119" s="283">
        <f>100000+43843</f>
        <v>143843</v>
      </c>
      <c r="F119" s="283">
        <f>SUM(F120:F125)</f>
        <v>202526</v>
      </c>
      <c r="G119" s="752">
        <v>5250</v>
      </c>
      <c r="H119" s="283">
        <v>164039</v>
      </c>
      <c r="I119" s="1076" t="s">
        <v>1022</v>
      </c>
    </row>
    <row r="120" spans="1:9" ht="12" hidden="1" customHeight="1" x14ac:dyDescent="0.25">
      <c r="A120" s="1041"/>
      <c r="B120" s="1042"/>
      <c r="C120" s="1042"/>
      <c r="D120" s="283"/>
      <c r="E120" s="283"/>
      <c r="F120" s="756">
        <v>83089</v>
      </c>
      <c r="G120" s="752"/>
      <c r="H120" s="283"/>
      <c r="I120" s="1076"/>
    </row>
    <row r="121" spans="1:9" ht="12" hidden="1" customHeight="1" x14ac:dyDescent="0.25">
      <c r="A121" s="1041"/>
      <c r="B121" s="1042"/>
      <c r="C121" s="1042"/>
      <c r="D121" s="283"/>
      <c r="E121" s="283"/>
      <c r="F121" s="756">
        <v>80950</v>
      </c>
      <c r="G121" s="752"/>
      <c r="H121" s="283"/>
      <c r="I121" s="1076"/>
    </row>
    <row r="122" spans="1:9" ht="12" hidden="1" customHeight="1" x14ac:dyDescent="0.25">
      <c r="A122" s="1041"/>
      <c r="B122" s="1042"/>
      <c r="C122" s="1042"/>
      <c r="D122" s="283"/>
      <c r="E122" s="283"/>
      <c r="F122" s="777">
        <v>2682</v>
      </c>
      <c r="G122" s="752"/>
      <c r="H122" s="283"/>
      <c r="I122" s="1076"/>
    </row>
    <row r="123" spans="1:9" ht="12" hidden="1" customHeight="1" x14ac:dyDescent="0.25">
      <c r="A123" s="1041"/>
      <c r="B123" s="1042"/>
      <c r="C123" s="1042"/>
      <c r="D123" s="283"/>
      <c r="E123" s="283"/>
      <c r="F123" s="777">
        <v>11033</v>
      </c>
      <c r="G123" s="752"/>
      <c r="H123" s="283"/>
      <c r="I123" s="1076"/>
    </row>
    <row r="124" spans="1:9" ht="12" hidden="1" customHeight="1" x14ac:dyDescent="0.25">
      <c r="A124" s="1041"/>
      <c r="B124" s="1042"/>
      <c r="C124" s="1042"/>
      <c r="D124" s="283"/>
      <c r="E124" s="283"/>
      <c r="F124" s="777">
        <v>11438</v>
      </c>
      <c r="G124" s="752"/>
      <c r="H124" s="283"/>
      <c r="I124" s="1076"/>
    </row>
    <row r="125" spans="1:9" ht="12" hidden="1" customHeight="1" x14ac:dyDescent="0.25">
      <c r="A125" s="1041"/>
      <c r="B125" s="1042"/>
      <c r="C125" s="1042"/>
      <c r="D125" s="283"/>
      <c r="E125" s="283"/>
      <c r="F125" s="777">
        <v>13334</v>
      </c>
      <c r="G125" s="752"/>
      <c r="H125" s="283"/>
      <c r="I125" s="1076"/>
    </row>
    <row r="126" spans="1:9" ht="15.75" customHeight="1" x14ac:dyDescent="0.25">
      <c r="A126" s="1077">
        <v>4</v>
      </c>
      <c r="B126" s="1042" t="s">
        <v>1023</v>
      </c>
      <c r="C126" s="1042"/>
      <c r="D126" s="283">
        <f>122020</f>
        <v>122020</v>
      </c>
      <c r="E126" s="283">
        <v>111375</v>
      </c>
      <c r="F126" s="283">
        <f>SUM(F127:F136)+0.66</f>
        <v>744726</v>
      </c>
      <c r="G126" s="752">
        <v>2241</v>
      </c>
      <c r="H126" s="283">
        <v>39326</v>
      </c>
      <c r="I126" s="1076" t="s">
        <v>1024</v>
      </c>
    </row>
    <row r="127" spans="1:9" ht="28.5" hidden="1" customHeight="1" x14ac:dyDescent="0.25">
      <c r="A127" s="1077"/>
      <c r="B127" s="1042"/>
      <c r="C127" s="1042"/>
      <c r="D127" s="283"/>
      <c r="E127" s="283"/>
      <c r="F127" s="756">
        <v>10645.34</v>
      </c>
      <c r="G127" s="752"/>
      <c r="H127" s="283"/>
      <c r="I127" s="1076"/>
    </row>
    <row r="128" spans="1:9" ht="12" hidden="1" customHeight="1" x14ac:dyDescent="0.25">
      <c r="A128" s="1077"/>
      <c r="B128" s="1042"/>
      <c r="C128" s="1042"/>
      <c r="D128" s="283"/>
      <c r="E128" s="283"/>
      <c r="F128" s="756">
        <v>11780</v>
      </c>
      <c r="G128" s="752"/>
      <c r="H128" s="283"/>
      <c r="I128" s="1076"/>
    </row>
    <row r="129" spans="1:9" ht="12" hidden="1" customHeight="1" x14ac:dyDescent="0.25">
      <c r="A129" s="1077"/>
      <c r="B129" s="1042"/>
      <c r="C129" s="1042"/>
      <c r="D129" s="283"/>
      <c r="E129" s="283"/>
      <c r="F129" s="756">
        <v>8500</v>
      </c>
      <c r="G129" s="752"/>
      <c r="H129" s="283"/>
      <c r="I129" s="1076"/>
    </row>
    <row r="130" spans="1:9" ht="12" hidden="1" customHeight="1" x14ac:dyDescent="0.25">
      <c r="A130" s="1077"/>
      <c r="B130" s="1042"/>
      <c r="C130" s="1042"/>
      <c r="D130" s="283"/>
      <c r="E130" s="283"/>
      <c r="F130" s="756">
        <v>8400</v>
      </c>
      <c r="G130" s="752"/>
      <c r="H130" s="283"/>
      <c r="I130" s="1076"/>
    </row>
    <row r="131" spans="1:9" ht="12" hidden="1" customHeight="1" x14ac:dyDescent="0.25">
      <c r="A131" s="1077"/>
      <c r="B131" s="1042"/>
      <c r="C131" s="1042"/>
      <c r="D131" s="283"/>
      <c r="E131" s="283"/>
      <c r="F131" s="777">
        <v>15800</v>
      </c>
      <c r="G131" s="752"/>
      <c r="H131" s="283"/>
      <c r="I131" s="1076"/>
    </row>
    <row r="132" spans="1:9" ht="12" hidden="1" customHeight="1" x14ac:dyDescent="0.25">
      <c r="A132" s="1077"/>
      <c r="B132" s="1042"/>
      <c r="C132" s="1042"/>
      <c r="D132" s="283"/>
      <c r="E132" s="283"/>
      <c r="F132" s="777">
        <v>16900</v>
      </c>
      <c r="G132" s="752"/>
      <c r="H132" s="283"/>
      <c r="I132" s="1076"/>
    </row>
    <row r="133" spans="1:9" ht="12" hidden="1" customHeight="1" x14ac:dyDescent="0.25">
      <c r="A133" s="1077"/>
      <c r="B133" s="1042"/>
      <c r="C133" s="1042"/>
      <c r="D133" s="283"/>
      <c r="E133" s="283"/>
      <c r="F133" s="777">
        <v>16900</v>
      </c>
      <c r="G133" s="752"/>
      <c r="H133" s="283"/>
      <c r="I133" s="1076"/>
    </row>
    <row r="134" spans="1:9" ht="12" hidden="1" customHeight="1" x14ac:dyDescent="0.25">
      <c r="A134" s="1077"/>
      <c r="B134" s="1042"/>
      <c r="C134" s="1042"/>
      <c r="D134" s="283"/>
      <c r="E134" s="283"/>
      <c r="F134" s="777">
        <v>195800</v>
      </c>
      <c r="G134" s="752"/>
      <c r="H134" s="283"/>
      <c r="I134" s="1076"/>
    </row>
    <row r="135" spans="1:9" ht="12" hidden="1" customHeight="1" x14ac:dyDescent="0.25">
      <c r="A135" s="1077"/>
      <c r="B135" s="1042"/>
      <c r="C135" s="1042"/>
      <c r="D135" s="283"/>
      <c r="E135" s="283"/>
      <c r="F135" s="777">
        <v>130000</v>
      </c>
      <c r="G135" s="752"/>
      <c r="H135" s="283"/>
      <c r="I135" s="1076"/>
    </row>
    <row r="136" spans="1:9" ht="12" hidden="1" customHeight="1" x14ac:dyDescent="0.25">
      <c r="A136" s="1077"/>
      <c r="B136" s="1042"/>
      <c r="C136" s="1042"/>
      <c r="D136" s="283"/>
      <c r="E136" s="283"/>
      <c r="F136" s="777">
        <v>330000</v>
      </c>
      <c r="G136" s="752"/>
      <c r="H136" s="283"/>
      <c r="I136" s="1076"/>
    </row>
    <row r="137" spans="1:9" ht="12" customHeight="1" x14ac:dyDescent="0.25">
      <c r="A137" s="329">
        <v>5</v>
      </c>
      <c r="B137" s="1042" t="s">
        <v>1025</v>
      </c>
      <c r="C137" s="1042"/>
      <c r="D137" s="283">
        <f>15000</f>
        <v>15000</v>
      </c>
      <c r="E137" s="283">
        <v>3693</v>
      </c>
      <c r="F137" s="283">
        <v>5000</v>
      </c>
      <c r="G137" s="752">
        <v>2241</v>
      </c>
      <c r="H137" s="283">
        <v>5000</v>
      </c>
      <c r="I137" s="451" t="s">
        <v>1026</v>
      </c>
    </row>
    <row r="138" spans="1:9" ht="29.25" hidden="1" customHeight="1" x14ac:dyDescent="0.25">
      <c r="A138" s="1077">
        <v>13</v>
      </c>
      <c r="B138" s="1042" t="s">
        <v>1027</v>
      </c>
      <c r="C138" s="1042"/>
      <c r="D138" s="283">
        <v>8991</v>
      </c>
      <c r="E138" s="283">
        <v>8991</v>
      </c>
      <c r="F138" s="283">
        <v>0</v>
      </c>
      <c r="G138" s="752">
        <v>5250</v>
      </c>
      <c r="H138" s="283"/>
      <c r="I138" s="1068" t="s">
        <v>1028</v>
      </c>
    </row>
    <row r="139" spans="1:9" ht="12" hidden="1" customHeight="1" x14ac:dyDescent="0.25">
      <c r="A139" s="1077"/>
      <c r="B139" s="1042"/>
      <c r="C139" s="1042"/>
      <c r="D139" s="283"/>
      <c r="E139" s="283"/>
      <c r="F139" s="283"/>
      <c r="G139" s="752">
        <v>2241</v>
      </c>
      <c r="H139" s="283"/>
      <c r="I139" s="1069"/>
    </row>
    <row r="140" spans="1:9" ht="15" hidden="1" customHeight="1" x14ac:dyDescent="0.25">
      <c r="A140" s="1077"/>
      <c r="B140" s="1042"/>
      <c r="C140" s="1042"/>
      <c r="D140" s="283"/>
      <c r="E140" s="283"/>
      <c r="F140" s="756"/>
      <c r="G140" s="752"/>
      <c r="H140" s="283"/>
      <c r="I140" s="1069"/>
    </row>
    <row r="141" spans="1:9" ht="15" hidden="1" customHeight="1" x14ac:dyDescent="0.25">
      <c r="A141" s="1077"/>
      <c r="B141" s="1042"/>
      <c r="C141" s="1042"/>
      <c r="D141" s="283"/>
      <c r="E141" s="283"/>
      <c r="F141" s="756"/>
      <c r="G141" s="752"/>
      <c r="H141" s="283"/>
      <c r="I141" s="1069"/>
    </row>
    <row r="142" spans="1:9" ht="15" hidden="1" customHeight="1" x14ac:dyDescent="0.25">
      <c r="A142" s="1077"/>
      <c r="B142" s="1042"/>
      <c r="C142" s="1042"/>
      <c r="D142" s="283"/>
      <c r="E142" s="283"/>
      <c r="F142" s="756"/>
      <c r="G142" s="752"/>
      <c r="H142" s="283"/>
      <c r="I142" s="1069"/>
    </row>
    <row r="143" spans="1:9" ht="30" hidden="1" customHeight="1" x14ac:dyDescent="0.25">
      <c r="A143" s="1077"/>
      <c r="B143" s="1042"/>
      <c r="C143" s="1042"/>
      <c r="D143" s="283"/>
      <c r="E143" s="283"/>
      <c r="F143" s="756"/>
      <c r="G143" s="752"/>
      <c r="H143" s="283"/>
      <c r="I143" s="1069"/>
    </row>
    <row r="144" spans="1:9" ht="54.75" hidden="1" customHeight="1" x14ac:dyDescent="0.25">
      <c r="A144" s="1077"/>
      <c r="B144" s="1042"/>
      <c r="C144" s="1042"/>
      <c r="D144" s="283"/>
      <c r="E144" s="283"/>
      <c r="F144" s="756"/>
      <c r="G144" s="752"/>
      <c r="H144" s="283"/>
      <c r="I144" s="1069"/>
    </row>
    <row r="145" spans="1:13" ht="39.75" hidden="1" customHeight="1" x14ac:dyDescent="0.25">
      <c r="A145" s="1077"/>
      <c r="B145" s="1042"/>
      <c r="C145" s="1042"/>
      <c r="D145" s="283"/>
      <c r="E145" s="283"/>
      <c r="F145" s="756"/>
      <c r="G145" s="752"/>
      <c r="H145" s="283"/>
      <c r="I145" s="1073"/>
    </row>
    <row r="146" spans="1:13" ht="12" hidden="1" customHeight="1" x14ac:dyDescent="0.25">
      <c r="A146" s="1041">
        <v>14</v>
      </c>
      <c r="B146" s="1042" t="s">
        <v>1029</v>
      </c>
      <c r="C146" s="1042"/>
      <c r="D146" s="283">
        <v>0</v>
      </c>
      <c r="E146" s="283">
        <v>0</v>
      </c>
      <c r="F146" s="283">
        <v>0</v>
      </c>
      <c r="G146" s="752">
        <v>2241</v>
      </c>
      <c r="H146" s="283"/>
      <c r="I146" s="1068" t="s">
        <v>1030</v>
      </c>
    </row>
    <row r="147" spans="1:13" ht="15" hidden="1" customHeight="1" x14ac:dyDescent="0.25">
      <c r="A147" s="1041"/>
      <c r="B147" s="1042"/>
      <c r="C147" s="1042"/>
      <c r="D147" s="283">
        <v>7992</v>
      </c>
      <c r="E147" s="283">
        <v>7992</v>
      </c>
      <c r="F147" s="283">
        <v>0</v>
      </c>
      <c r="G147" s="752">
        <v>5250</v>
      </c>
      <c r="H147" s="283"/>
      <c r="I147" s="1073"/>
    </row>
    <row r="148" spans="1:13" ht="12" hidden="1" customHeight="1" x14ac:dyDescent="0.25">
      <c r="A148" s="3">
        <v>15</v>
      </c>
      <c r="B148" s="1042" t="s">
        <v>1031</v>
      </c>
      <c r="C148" s="1042"/>
      <c r="D148" s="283">
        <f>40000</f>
        <v>40000</v>
      </c>
      <c r="E148" s="283">
        <v>3844</v>
      </c>
      <c r="F148" s="283">
        <v>0</v>
      </c>
      <c r="G148" s="752">
        <v>5240</v>
      </c>
      <c r="H148" s="283"/>
      <c r="I148" s="451"/>
    </row>
    <row r="149" spans="1:13" ht="12" hidden="1" customHeight="1" x14ac:dyDescent="0.25">
      <c r="A149" s="3">
        <v>16</v>
      </c>
      <c r="B149" s="1042" t="s">
        <v>1032</v>
      </c>
      <c r="C149" s="1042"/>
      <c r="D149" s="283">
        <v>2373</v>
      </c>
      <c r="E149" s="283">
        <v>2373</v>
      </c>
      <c r="F149" s="283">
        <v>0</v>
      </c>
      <c r="G149" s="752">
        <v>5240</v>
      </c>
      <c r="H149" s="283"/>
      <c r="I149" s="451"/>
    </row>
    <row r="150" spans="1:13" ht="16.5" customHeight="1" x14ac:dyDescent="0.25">
      <c r="A150" s="3">
        <v>6</v>
      </c>
      <c r="B150" s="1042" t="s">
        <v>1033</v>
      </c>
      <c r="C150" s="1042"/>
      <c r="D150" s="283">
        <v>3000</v>
      </c>
      <c r="E150" s="283">
        <v>3000</v>
      </c>
      <c r="F150" s="283">
        <v>3000</v>
      </c>
      <c r="G150" s="752">
        <v>2239</v>
      </c>
      <c r="H150" s="283">
        <v>2000</v>
      </c>
      <c r="I150" s="451" t="s">
        <v>1034</v>
      </c>
    </row>
    <row r="151" spans="1:13" x14ac:dyDescent="0.25">
      <c r="A151" s="1088">
        <v>7</v>
      </c>
      <c r="B151" s="1078" t="s">
        <v>1035</v>
      </c>
      <c r="C151" s="1078"/>
      <c r="D151" s="662">
        <v>0</v>
      </c>
      <c r="E151" s="662">
        <v>0</v>
      </c>
      <c r="F151" s="779">
        <f>SUM(F152:F155)+0.5</f>
        <v>958375</v>
      </c>
      <c r="G151" s="780">
        <v>5250</v>
      </c>
      <c r="H151" s="662">
        <f>SUM(H152:H155)</f>
        <v>958375</v>
      </c>
      <c r="I151" s="1072" t="s">
        <v>1036</v>
      </c>
    </row>
    <row r="152" spans="1:13" ht="42" hidden="1" customHeight="1" x14ac:dyDescent="0.25">
      <c r="A152" s="1088"/>
      <c r="B152" s="1078"/>
      <c r="C152" s="1078"/>
      <c r="D152" s="662"/>
      <c r="E152" s="662"/>
      <c r="F152" s="765">
        <v>4174.5</v>
      </c>
      <c r="G152" s="780"/>
      <c r="H152" s="662">
        <v>4175</v>
      </c>
      <c r="I152" s="1072"/>
      <c r="J152" s="781" t="s">
        <v>1037</v>
      </c>
      <c r="K152" s="464">
        <f>SUM(H153)</f>
        <v>897000</v>
      </c>
      <c r="L152" s="281" t="s">
        <v>907</v>
      </c>
      <c r="M152" s="464">
        <f>SUM(H154:H155,H152)</f>
        <v>61375</v>
      </c>
    </row>
    <row r="153" spans="1:13" ht="12" hidden="1" customHeight="1" x14ac:dyDescent="0.25">
      <c r="A153" s="1088"/>
      <c r="B153" s="1078"/>
      <c r="C153" s="1078"/>
      <c r="D153" s="662"/>
      <c r="E153" s="662"/>
      <c r="F153" s="765">
        <v>897000</v>
      </c>
      <c r="G153" s="780"/>
      <c r="H153" s="662">
        <v>897000</v>
      </c>
      <c r="I153" s="1072"/>
      <c r="J153" s="781"/>
      <c r="K153" s="464"/>
      <c r="M153" s="464"/>
    </row>
    <row r="154" spans="1:13" ht="12" hidden="1" customHeight="1" x14ac:dyDescent="0.25">
      <c r="A154" s="1088"/>
      <c r="B154" s="1078"/>
      <c r="C154" s="1078"/>
      <c r="D154" s="662"/>
      <c r="E154" s="662"/>
      <c r="F154" s="765">
        <v>50000</v>
      </c>
      <c r="G154" s="780"/>
      <c r="H154" s="662">
        <v>50000</v>
      </c>
      <c r="I154" s="1072"/>
    </row>
    <row r="155" spans="1:13" ht="12" hidden="1" customHeight="1" x14ac:dyDescent="0.25">
      <c r="A155" s="1088"/>
      <c r="B155" s="1078"/>
      <c r="C155" s="1078"/>
      <c r="D155" s="662"/>
      <c r="E155" s="662"/>
      <c r="F155" s="765">
        <v>7200</v>
      </c>
      <c r="G155" s="780"/>
      <c r="H155" s="662">
        <v>7200</v>
      </c>
      <c r="I155" s="1072"/>
    </row>
    <row r="156" spans="1:13" ht="22.5" customHeight="1" x14ac:dyDescent="0.25">
      <c r="A156" s="1070">
        <v>8</v>
      </c>
      <c r="B156" s="1090" t="s">
        <v>1038</v>
      </c>
      <c r="C156" s="1090"/>
      <c r="D156" s="662">
        <v>0</v>
      </c>
      <c r="E156" s="763">
        <v>0</v>
      </c>
      <c r="F156" s="662">
        <f>SUM(F157:F161)</f>
        <v>139463</v>
      </c>
      <c r="G156" s="782">
        <v>5240</v>
      </c>
      <c r="H156" s="763">
        <f>SUM(H157:H161)</f>
        <v>139463</v>
      </c>
      <c r="I156" s="1072" t="s">
        <v>1039</v>
      </c>
    </row>
    <row r="157" spans="1:13" ht="12" hidden="1" customHeight="1" x14ac:dyDescent="0.25">
      <c r="A157" s="1070"/>
      <c r="B157" s="1090"/>
      <c r="C157" s="1090"/>
      <c r="D157" s="662"/>
      <c r="E157" s="763"/>
      <c r="F157" s="765">
        <v>85000</v>
      </c>
      <c r="G157" s="782"/>
      <c r="H157" s="763">
        <v>85000</v>
      </c>
      <c r="I157" s="1072"/>
    </row>
    <row r="158" spans="1:13" ht="12" hidden="1" customHeight="1" x14ac:dyDescent="0.25">
      <c r="A158" s="1070"/>
      <c r="B158" s="1090"/>
      <c r="C158" s="1090"/>
      <c r="D158" s="662"/>
      <c r="E158" s="763"/>
      <c r="F158" s="765">
        <v>8500</v>
      </c>
      <c r="G158" s="782"/>
      <c r="H158" s="763">
        <v>8500</v>
      </c>
      <c r="I158" s="1072"/>
    </row>
    <row r="159" spans="1:13" ht="12" hidden="1" customHeight="1" x14ac:dyDescent="0.25">
      <c r="A159" s="1070"/>
      <c r="B159" s="1090"/>
      <c r="C159" s="1090"/>
      <c r="D159" s="662"/>
      <c r="E159" s="763"/>
      <c r="F159" s="765">
        <v>15213</v>
      </c>
      <c r="G159" s="782"/>
      <c r="H159" s="763">
        <v>15213</v>
      </c>
      <c r="I159" s="1072"/>
    </row>
    <row r="160" spans="1:13" ht="12" hidden="1" customHeight="1" x14ac:dyDescent="0.25">
      <c r="A160" s="1070"/>
      <c r="B160" s="1090"/>
      <c r="C160" s="1090"/>
      <c r="D160" s="662"/>
      <c r="E160" s="763"/>
      <c r="F160" s="765">
        <v>30250</v>
      </c>
      <c r="G160" s="782"/>
      <c r="H160" s="763">
        <v>30250</v>
      </c>
      <c r="I160" s="1072"/>
    </row>
    <row r="161" spans="1:9" ht="12" hidden="1" customHeight="1" x14ac:dyDescent="0.25">
      <c r="A161" s="1070"/>
      <c r="B161" s="1090"/>
      <c r="C161" s="1090"/>
      <c r="D161" s="662"/>
      <c r="E161" s="763"/>
      <c r="F161" s="765">
        <v>500</v>
      </c>
      <c r="G161" s="782"/>
      <c r="H161" s="763">
        <v>500</v>
      </c>
      <c r="I161" s="1072"/>
    </row>
    <row r="162" spans="1:9" x14ac:dyDescent="0.25">
      <c r="A162" s="658">
        <v>9</v>
      </c>
      <c r="B162" s="1091" t="s">
        <v>1040</v>
      </c>
      <c r="C162" s="1092"/>
      <c r="D162" s="283"/>
      <c r="E162" s="283"/>
      <c r="F162" s="783"/>
      <c r="G162" s="752">
        <v>5250</v>
      </c>
      <c r="H162" s="283">
        <v>25000</v>
      </c>
      <c r="I162" s="451" t="s">
        <v>1041</v>
      </c>
    </row>
    <row r="163" spans="1:9" x14ac:dyDescent="0.25">
      <c r="A163" s="784"/>
      <c r="B163" s="785"/>
      <c r="C163" s="785"/>
      <c r="D163" s="786"/>
      <c r="E163" s="786"/>
      <c r="F163" s="787"/>
      <c r="G163" s="788"/>
      <c r="H163" s="786"/>
      <c r="I163" s="789"/>
    </row>
    <row r="164" spans="1:9" x14ac:dyDescent="0.25">
      <c r="A164" s="1074" t="s">
        <v>6</v>
      </c>
      <c r="B164" s="1074"/>
      <c r="C164" s="1074" t="s">
        <v>1042</v>
      </c>
      <c r="D164" s="1074"/>
      <c r="E164" s="1074"/>
      <c r="F164" s="1074"/>
      <c r="G164" s="1074"/>
      <c r="H164" s="1074"/>
      <c r="I164" s="1074"/>
    </row>
    <row r="165" spans="1:9" x14ac:dyDescent="0.25">
      <c r="A165" s="1075" t="s">
        <v>5</v>
      </c>
      <c r="B165" s="1075"/>
      <c r="C165" s="791" t="s">
        <v>1043</v>
      </c>
      <c r="D165" s="791"/>
      <c r="E165" s="791"/>
      <c r="F165" s="792"/>
      <c r="G165" s="793"/>
      <c r="H165" s="793"/>
      <c r="I165" s="794"/>
    </row>
    <row r="166" spans="1:9" ht="47.25" customHeight="1" x14ac:dyDescent="0.25">
      <c r="A166" s="6" t="s">
        <v>4</v>
      </c>
      <c r="B166" s="989" t="s">
        <v>3</v>
      </c>
      <c r="C166" s="989"/>
      <c r="D166" s="6" t="s">
        <v>11</v>
      </c>
      <c r="E166" s="6" t="s">
        <v>12</v>
      </c>
      <c r="F166" s="216" t="s">
        <v>13</v>
      </c>
      <c r="G166" s="6" t="s">
        <v>2</v>
      </c>
      <c r="H166" s="6" t="s">
        <v>180</v>
      </c>
      <c r="I166" s="216" t="s">
        <v>1</v>
      </c>
    </row>
    <row r="167" spans="1:9" x14ac:dyDescent="0.25">
      <c r="A167" s="1040" t="s">
        <v>14</v>
      </c>
      <c r="B167" s="1040"/>
      <c r="C167" s="1040"/>
      <c r="D167" s="7">
        <f>SUM(D168:D196)</f>
        <v>290200</v>
      </c>
      <c r="E167" s="7">
        <f>SUM(E168:E196)</f>
        <v>163053</v>
      </c>
      <c r="F167" s="425">
        <f>F168+F169+F175+F176+F180+F181+F185+F189+F190+F193</f>
        <v>2097388</v>
      </c>
      <c r="G167" s="7"/>
      <c r="H167" s="7">
        <f>SUM(H168:H169,H175:H176,H180:H181,H185,H189:H190,H193)</f>
        <v>354800</v>
      </c>
      <c r="I167" s="299"/>
    </row>
    <row r="168" spans="1:9" ht="12" hidden="1" customHeight="1" x14ac:dyDescent="0.25">
      <c r="A168" s="3">
        <v>1</v>
      </c>
      <c r="B168" s="1042" t="s">
        <v>1044</v>
      </c>
      <c r="C168" s="1042"/>
      <c r="D168" s="283">
        <f>54900</f>
        <v>54900</v>
      </c>
      <c r="E168" s="283">
        <v>6728</v>
      </c>
      <c r="F168" s="283">
        <v>0</v>
      </c>
      <c r="G168" s="768">
        <v>5250</v>
      </c>
      <c r="H168" s="4"/>
      <c r="I168" s="451" t="s">
        <v>1045</v>
      </c>
    </row>
    <row r="169" spans="1:9" ht="12" hidden="1" customHeight="1" x14ac:dyDescent="0.25">
      <c r="A169" s="1041">
        <v>2</v>
      </c>
      <c r="B169" s="1042" t="s">
        <v>29</v>
      </c>
      <c r="C169" s="1042"/>
      <c r="D169" s="283">
        <v>0</v>
      </c>
      <c r="E169" s="283">
        <v>0</v>
      </c>
      <c r="F169" s="283">
        <f>SUM(F170:F174)+0.6</f>
        <v>1550258</v>
      </c>
      <c r="G169" s="768">
        <v>5240</v>
      </c>
      <c r="H169" s="4"/>
      <c r="I169" s="1076" t="s">
        <v>1046</v>
      </c>
    </row>
    <row r="170" spans="1:9" ht="12" hidden="1" customHeight="1" x14ac:dyDescent="0.25">
      <c r="A170" s="1041"/>
      <c r="B170" s="1042"/>
      <c r="C170" s="1042"/>
      <c r="D170" s="283"/>
      <c r="E170" s="4"/>
      <c r="F170" s="795">
        <v>27757.4</v>
      </c>
      <c r="G170" s="768"/>
      <c r="H170" s="4"/>
      <c r="I170" s="1076"/>
    </row>
    <row r="171" spans="1:9" ht="12" hidden="1" customHeight="1" x14ac:dyDescent="0.25">
      <c r="A171" s="1041"/>
      <c r="B171" s="1042"/>
      <c r="C171" s="1042"/>
      <c r="D171" s="283"/>
      <c r="E171" s="4"/>
      <c r="F171" s="795">
        <v>7000</v>
      </c>
      <c r="G171" s="768"/>
      <c r="H171" s="4"/>
      <c r="I171" s="1076"/>
    </row>
    <row r="172" spans="1:9" ht="12" hidden="1" customHeight="1" x14ac:dyDescent="0.25">
      <c r="A172" s="1041"/>
      <c r="B172" s="1042"/>
      <c r="C172" s="1042"/>
      <c r="D172" s="283"/>
      <c r="E172" s="4"/>
      <c r="F172" s="795">
        <v>14500</v>
      </c>
      <c r="G172" s="768"/>
      <c r="H172" s="4"/>
      <c r="I172" s="1076"/>
    </row>
    <row r="173" spans="1:9" ht="12" hidden="1" customHeight="1" x14ac:dyDescent="0.25">
      <c r="A173" s="1041"/>
      <c r="B173" s="1042"/>
      <c r="C173" s="1042"/>
      <c r="D173" s="283"/>
      <c r="E173" s="4"/>
      <c r="F173" s="795">
        <v>1500000</v>
      </c>
      <c r="G173" s="768"/>
      <c r="H173" s="4"/>
      <c r="I173" s="1076"/>
    </row>
    <row r="174" spans="1:9" ht="12" hidden="1" customHeight="1" x14ac:dyDescent="0.25">
      <c r="A174" s="1041"/>
      <c r="B174" s="1042"/>
      <c r="C174" s="1042"/>
      <c r="D174" s="283"/>
      <c r="E174" s="4"/>
      <c r="F174" s="795">
        <v>1000</v>
      </c>
      <c r="G174" s="768"/>
      <c r="H174" s="4"/>
      <c r="I174" s="1076"/>
    </row>
    <row r="175" spans="1:9" ht="12" hidden="1" customHeight="1" x14ac:dyDescent="0.25">
      <c r="A175" s="3">
        <v>3</v>
      </c>
      <c r="B175" s="1078" t="s">
        <v>1047</v>
      </c>
      <c r="C175" s="1078"/>
      <c r="D175" s="283">
        <f>15000</f>
        <v>15000</v>
      </c>
      <c r="E175" s="4">
        <v>0</v>
      </c>
      <c r="F175" s="283">
        <v>0</v>
      </c>
      <c r="G175" s="768">
        <v>5240</v>
      </c>
      <c r="H175" s="4"/>
      <c r="I175" s="451"/>
    </row>
    <row r="176" spans="1:9" ht="22.5" customHeight="1" x14ac:dyDescent="0.25">
      <c r="A176" s="1041">
        <v>1</v>
      </c>
      <c r="B176" s="1078" t="s">
        <v>1048</v>
      </c>
      <c r="C176" s="1078"/>
      <c r="D176" s="283">
        <v>0</v>
      </c>
      <c r="E176" s="4">
        <v>0</v>
      </c>
      <c r="F176" s="283">
        <f>SUM(F177:F179)</f>
        <v>68500</v>
      </c>
      <c r="G176" s="769">
        <v>5240</v>
      </c>
      <c r="H176" s="4">
        <f>SUM(H177:H179)</f>
        <v>103300</v>
      </c>
      <c r="I176" s="1076" t="s">
        <v>1049</v>
      </c>
    </row>
    <row r="177" spans="1:9" ht="12" hidden="1" customHeight="1" x14ac:dyDescent="0.25">
      <c r="A177" s="1041"/>
      <c r="B177" s="1078"/>
      <c r="C177" s="1078"/>
      <c r="D177" s="283"/>
      <c r="E177" s="4"/>
      <c r="F177" s="795">
        <v>60000</v>
      </c>
      <c r="G177" s="769"/>
      <c r="H177" s="4">
        <v>87800</v>
      </c>
      <c r="I177" s="1076"/>
    </row>
    <row r="178" spans="1:9" ht="12" hidden="1" customHeight="1" x14ac:dyDescent="0.25">
      <c r="A178" s="1041"/>
      <c r="B178" s="1078"/>
      <c r="C178" s="1078"/>
      <c r="D178" s="283"/>
      <c r="E178" s="4"/>
      <c r="F178" s="795">
        <v>8000</v>
      </c>
      <c r="G178" s="769"/>
      <c r="H178" s="4">
        <v>15000</v>
      </c>
      <c r="I178" s="1076"/>
    </row>
    <row r="179" spans="1:9" ht="12" hidden="1" customHeight="1" x14ac:dyDescent="0.25">
      <c r="A179" s="1041"/>
      <c r="B179" s="1078"/>
      <c r="C179" s="1078"/>
      <c r="D179" s="283"/>
      <c r="E179" s="4"/>
      <c r="F179" s="795">
        <v>500</v>
      </c>
      <c r="G179" s="769"/>
      <c r="H179" s="4">
        <v>500</v>
      </c>
      <c r="I179" s="1076"/>
    </row>
    <row r="180" spans="1:9" ht="12" hidden="1" customHeight="1" x14ac:dyDescent="0.25">
      <c r="A180" s="3">
        <v>5</v>
      </c>
      <c r="B180" s="1042" t="s">
        <v>1050</v>
      </c>
      <c r="C180" s="1042"/>
      <c r="D180" s="283">
        <f>163300</f>
        <v>163300</v>
      </c>
      <c r="E180" s="4">
        <v>151714</v>
      </c>
      <c r="F180" s="283">
        <v>0</v>
      </c>
      <c r="G180" s="769">
        <v>5250</v>
      </c>
      <c r="H180" s="4"/>
      <c r="I180" s="451" t="s">
        <v>1051</v>
      </c>
    </row>
    <row r="181" spans="1:9" x14ac:dyDescent="0.25">
      <c r="A181" s="1088">
        <v>2</v>
      </c>
      <c r="B181" s="1078" t="s">
        <v>1052</v>
      </c>
      <c r="C181" s="1078"/>
      <c r="D181" s="283">
        <f>7000</f>
        <v>7000</v>
      </c>
      <c r="E181" s="283">
        <v>255</v>
      </c>
      <c r="F181" s="283">
        <f>SUM(F182:F184)</f>
        <v>42000</v>
      </c>
      <c r="G181" s="752">
        <v>5240</v>
      </c>
      <c r="H181" s="283">
        <f>SUM(H182:H184)</f>
        <v>6000</v>
      </c>
      <c r="I181" s="1089" t="s">
        <v>1053</v>
      </c>
    </row>
    <row r="182" spans="1:9" ht="12" hidden="1" customHeight="1" x14ac:dyDescent="0.25">
      <c r="A182" s="1088"/>
      <c r="B182" s="1078"/>
      <c r="C182" s="1078"/>
      <c r="D182" s="283"/>
      <c r="E182" s="283"/>
      <c r="F182" s="756">
        <v>6000</v>
      </c>
      <c r="G182" s="752"/>
      <c r="H182" s="283">
        <v>6000</v>
      </c>
      <c r="I182" s="1089"/>
    </row>
    <row r="183" spans="1:9" ht="12" hidden="1" customHeight="1" x14ac:dyDescent="0.25">
      <c r="A183" s="1088"/>
      <c r="B183" s="1078"/>
      <c r="C183" s="1078"/>
      <c r="D183" s="283"/>
      <c r="E183" s="283"/>
      <c r="F183" s="756">
        <v>32000</v>
      </c>
      <c r="G183" s="752"/>
      <c r="H183" s="283"/>
      <c r="I183" s="1089"/>
    </row>
    <row r="184" spans="1:9" ht="12" hidden="1" customHeight="1" x14ac:dyDescent="0.25">
      <c r="A184" s="1088"/>
      <c r="B184" s="1078"/>
      <c r="C184" s="1078"/>
      <c r="D184" s="283"/>
      <c r="E184" s="283"/>
      <c r="F184" s="756">
        <v>4000</v>
      </c>
      <c r="G184" s="752"/>
      <c r="H184" s="283"/>
      <c r="I184" s="1089"/>
    </row>
    <row r="185" spans="1:9" x14ac:dyDescent="0.25">
      <c r="A185" s="1041">
        <v>3</v>
      </c>
      <c r="B185" s="1078" t="s">
        <v>1054</v>
      </c>
      <c r="C185" s="1078"/>
      <c r="D185" s="283">
        <v>0</v>
      </c>
      <c r="E185" s="776">
        <v>0</v>
      </c>
      <c r="F185" s="283">
        <f>SUM(F186:F188)</f>
        <v>300000</v>
      </c>
      <c r="G185" s="752">
        <v>5250</v>
      </c>
      <c r="H185" s="283">
        <f>SUM(H186:H188)</f>
        <v>108900</v>
      </c>
      <c r="I185" s="1076" t="s">
        <v>1055</v>
      </c>
    </row>
    <row r="186" spans="1:9" ht="12" hidden="1" customHeight="1" x14ac:dyDescent="0.25">
      <c r="A186" s="1041"/>
      <c r="B186" s="1078"/>
      <c r="C186" s="1078"/>
      <c r="D186" s="283"/>
      <c r="E186" s="283"/>
      <c r="F186" s="756">
        <v>294118</v>
      </c>
      <c r="G186" s="752"/>
      <c r="H186" s="283">
        <v>108900</v>
      </c>
      <c r="I186" s="1076"/>
    </row>
    <row r="187" spans="1:9" ht="12" hidden="1" customHeight="1" x14ac:dyDescent="0.25">
      <c r="A187" s="1041"/>
      <c r="B187" s="1078"/>
      <c r="C187" s="1078"/>
      <c r="D187" s="283"/>
      <c r="E187" s="283"/>
      <c r="F187" s="756">
        <v>5382</v>
      </c>
      <c r="G187" s="752"/>
      <c r="H187" s="283"/>
      <c r="I187" s="1076"/>
    </row>
    <row r="188" spans="1:9" ht="12" hidden="1" customHeight="1" x14ac:dyDescent="0.25">
      <c r="A188" s="1041"/>
      <c r="B188" s="1078"/>
      <c r="C188" s="1078"/>
      <c r="D188" s="283"/>
      <c r="E188" s="283"/>
      <c r="F188" s="756">
        <v>500</v>
      </c>
      <c r="G188" s="752"/>
      <c r="H188" s="283"/>
      <c r="I188" s="1076"/>
    </row>
    <row r="189" spans="1:9" ht="12" hidden="1" customHeight="1" x14ac:dyDescent="0.25">
      <c r="A189" s="3">
        <v>8</v>
      </c>
      <c r="B189" s="1078" t="s">
        <v>1056</v>
      </c>
      <c r="C189" s="1078"/>
      <c r="D189" s="283">
        <f>50000</f>
        <v>50000</v>
      </c>
      <c r="E189" s="283">
        <v>4356</v>
      </c>
      <c r="F189" s="283">
        <v>0</v>
      </c>
      <c r="G189" s="752">
        <v>5240</v>
      </c>
      <c r="H189" s="283"/>
      <c r="I189" s="796" t="s">
        <v>1057</v>
      </c>
    </row>
    <row r="190" spans="1:9" x14ac:dyDescent="0.25">
      <c r="A190" s="1041">
        <v>4</v>
      </c>
      <c r="B190" s="1078" t="s">
        <v>1058</v>
      </c>
      <c r="C190" s="1078"/>
      <c r="D190" s="283">
        <v>0</v>
      </c>
      <c r="E190" s="283">
        <v>0</v>
      </c>
      <c r="F190" s="283">
        <f>SUM(F191:F192)</f>
        <v>83630</v>
      </c>
      <c r="G190" s="752">
        <v>5240</v>
      </c>
      <c r="H190" s="283">
        <v>83600</v>
      </c>
      <c r="I190" s="1076" t="s">
        <v>585</v>
      </c>
    </row>
    <row r="191" spans="1:9" ht="12" hidden="1" customHeight="1" x14ac:dyDescent="0.25">
      <c r="A191" s="1041"/>
      <c r="B191" s="1078"/>
      <c r="C191" s="1078"/>
      <c r="D191" s="283"/>
      <c r="E191" s="283"/>
      <c r="F191" s="756">
        <v>82651</v>
      </c>
      <c r="G191" s="752"/>
      <c r="H191" s="283"/>
      <c r="I191" s="1076"/>
    </row>
    <row r="192" spans="1:9" ht="12" hidden="1" customHeight="1" x14ac:dyDescent="0.25">
      <c r="A192" s="1041"/>
      <c r="B192" s="1078"/>
      <c r="C192" s="1078"/>
      <c r="D192" s="283"/>
      <c r="E192" s="283"/>
      <c r="F192" s="756">
        <v>979</v>
      </c>
      <c r="G192" s="752"/>
      <c r="H192" s="283"/>
      <c r="I192" s="1076"/>
    </row>
    <row r="193" spans="1:9" x14ac:dyDescent="0.25">
      <c r="A193" s="1087">
        <v>5</v>
      </c>
      <c r="B193" s="1078" t="s">
        <v>1059</v>
      </c>
      <c r="C193" s="1078"/>
      <c r="D193" s="283">
        <v>0</v>
      </c>
      <c r="E193" s="283">
        <v>0</v>
      </c>
      <c r="F193" s="283">
        <f>SUM(F194:F196)</f>
        <v>53000</v>
      </c>
      <c r="G193" s="752">
        <v>5240</v>
      </c>
      <c r="H193" s="283">
        <f>SUM(H194:H196)</f>
        <v>53000</v>
      </c>
      <c r="I193" s="1076" t="s">
        <v>585</v>
      </c>
    </row>
    <row r="194" spans="1:9" ht="12" hidden="1" customHeight="1" x14ac:dyDescent="0.25">
      <c r="A194" s="1087"/>
      <c r="B194" s="1078"/>
      <c r="C194" s="1078"/>
      <c r="D194" s="283"/>
      <c r="E194" s="283"/>
      <c r="F194" s="756">
        <v>46000</v>
      </c>
      <c r="G194" s="761"/>
      <c r="H194" s="283">
        <v>46000</v>
      </c>
      <c r="I194" s="1076"/>
    </row>
    <row r="195" spans="1:9" ht="12" hidden="1" customHeight="1" x14ac:dyDescent="0.25">
      <c r="A195" s="1087"/>
      <c r="B195" s="1078"/>
      <c r="C195" s="1078"/>
      <c r="D195" s="283"/>
      <c r="E195" s="283"/>
      <c r="F195" s="756">
        <v>6000</v>
      </c>
      <c r="G195" s="761"/>
      <c r="H195" s="283">
        <v>6000</v>
      </c>
      <c r="I195" s="1076"/>
    </row>
    <row r="196" spans="1:9" ht="12" hidden="1" customHeight="1" x14ac:dyDescent="0.25">
      <c r="A196" s="1087"/>
      <c r="B196" s="1078"/>
      <c r="C196" s="1078"/>
      <c r="D196" s="283"/>
      <c r="E196" s="283"/>
      <c r="F196" s="756">
        <v>1000</v>
      </c>
      <c r="G196" s="761"/>
      <c r="H196" s="283">
        <v>1000</v>
      </c>
      <c r="I196" s="1076"/>
    </row>
    <row r="197" spans="1:9" ht="9" customHeight="1" x14ac:dyDescent="0.25">
      <c r="A197" s="797"/>
      <c r="B197" s="798"/>
      <c r="C197" s="798"/>
      <c r="D197" s="798"/>
      <c r="E197" s="798"/>
      <c r="F197" s="799"/>
      <c r="G197" s="798"/>
      <c r="H197" s="800"/>
      <c r="I197" s="801"/>
    </row>
    <row r="198" spans="1:9" ht="12" hidden="1" customHeight="1" x14ac:dyDescent="0.25">
      <c r="A198" s="1074" t="s">
        <v>6</v>
      </c>
      <c r="B198" s="1074"/>
      <c r="C198" s="445" t="s">
        <v>1060</v>
      </c>
      <c r="D198" s="445"/>
      <c r="E198" s="445"/>
      <c r="F198" s="802"/>
      <c r="G198" s="445"/>
      <c r="H198" s="445"/>
      <c r="I198" s="802"/>
    </row>
    <row r="199" spans="1:9" hidden="1" x14ac:dyDescent="0.25">
      <c r="A199" s="1075" t="s">
        <v>5</v>
      </c>
      <c r="B199" s="1075"/>
      <c r="C199" s="791" t="s">
        <v>1061</v>
      </c>
      <c r="D199" s="791"/>
      <c r="E199" s="791"/>
      <c r="F199" s="792"/>
      <c r="G199" s="791"/>
      <c r="H199" s="791"/>
      <c r="I199" s="792"/>
    </row>
    <row r="200" spans="1:9" ht="54" hidden="1" customHeight="1" x14ac:dyDescent="0.25">
      <c r="A200" s="6" t="s">
        <v>4</v>
      </c>
      <c r="B200" s="989" t="s">
        <v>3</v>
      </c>
      <c r="C200" s="989"/>
      <c r="D200" s="6" t="s">
        <v>11</v>
      </c>
      <c r="E200" s="6" t="s">
        <v>12</v>
      </c>
      <c r="F200" s="216" t="s">
        <v>13</v>
      </c>
      <c r="G200" s="6" t="s">
        <v>2</v>
      </c>
      <c r="H200" s="6" t="s">
        <v>262</v>
      </c>
      <c r="I200" s="216" t="s">
        <v>1</v>
      </c>
    </row>
    <row r="201" spans="1:9" ht="12.75" hidden="1" customHeight="1" x14ac:dyDescent="0.25">
      <c r="A201" s="1040" t="s">
        <v>14</v>
      </c>
      <c r="B201" s="1040"/>
      <c r="C201" s="1040"/>
      <c r="D201" s="7">
        <f>SUM(D202:D211)</f>
        <v>4055</v>
      </c>
      <c r="E201" s="7">
        <f>SUM(E202:E211)</f>
        <v>4055</v>
      </c>
      <c r="F201" s="425">
        <f>F202</f>
        <v>43539</v>
      </c>
      <c r="G201" s="7"/>
      <c r="H201" s="7">
        <f>SUM(H202:H211)</f>
        <v>0</v>
      </c>
      <c r="I201" s="451" t="s">
        <v>1062</v>
      </c>
    </row>
    <row r="202" spans="1:9" ht="12.75" hidden="1" customHeight="1" x14ac:dyDescent="0.25">
      <c r="A202" s="1041">
        <v>1</v>
      </c>
      <c r="B202" s="1042" t="s">
        <v>1063</v>
      </c>
      <c r="C202" s="1042"/>
      <c r="D202" s="283">
        <v>4055</v>
      </c>
      <c r="E202" s="283">
        <v>4055</v>
      </c>
      <c r="F202" s="283">
        <f>SUM(F203:F211)</f>
        <v>43539</v>
      </c>
      <c r="G202" s="761">
        <v>5250</v>
      </c>
      <c r="H202" s="283"/>
      <c r="I202" s="1076" t="s">
        <v>1064</v>
      </c>
    </row>
    <row r="203" spans="1:9" ht="23.25" hidden="1" customHeight="1" x14ac:dyDescent="0.25">
      <c r="A203" s="1041"/>
      <c r="B203" s="1042"/>
      <c r="C203" s="1042"/>
      <c r="D203" s="283"/>
      <c r="E203" s="283"/>
      <c r="F203" s="795">
        <v>5500</v>
      </c>
      <c r="G203" s="761"/>
      <c r="H203" s="283"/>
      <c r="I203" s="1076"/>
    </row>
    <row r="204" spans="1:9" ht="23.25" hidden="1" customHeight="1" x14ac:dyDescent="0.25">
      <c r="A204" s="1041"/>
      <c r="B204" s="1042"/>
      <c r="C204" s="1042"/>
      <c r="D204" s="283"/>
      <c r="E204" s="283"/>
      <c r="F204" s="795">
        <v>9824</v>
      </c>
      <c r="G204" s="761"/>
      <c r="H204" s="283"/>
      <c r="I204" s="1076"/>
    </row>
    <row r="205" spans="1:9" ht="15.75" hidden="1" customHeight="1" x14ac:dyDescent="0.25">
      <c r="A205" s="1041"/>
      <c r="B205" s="1042"/>
      <c r="C205" s="1042"/>
      <c r="D205" s="283"/>
      <c r="E205" s="283"/>
      <c r="F205" s="795">
        <v>2002</v>
      </c>
      <c r="G205" s="761"/>
      <c r="H205" s="283"/>
      <c r="I205" s="1076"/>
    </row>
    <row r="206" spans="1:9" ht="23.25" hidden="1" customHeight="1" x14ac:dyDescent="0.25">
      <c r="A206" s="1041"/>
      <c r="B206" s="1042"/>
      <c r="C206" s="1042"/>
      <c r="D206" s="283"/>
      <c r="E206" s="283"/>
      <c r="F206" s="795">
        <v>1612</v>
      </c>
      <c r="G206" s="761"/>
      <c r="H206" s="283"/>
      <c r="I206" s="1076"/>
    </row>
    <row r="207" spans="1:9" ht="23.25" hidden="1" customHeight="1" x14ac:dyDescent="0.25">
      <c r="A207" s="1041"/>
      <c r="B207" s="1042"/>
      <c r="C207" s="1042"/>
      <c r="D207" s="283"/>
      <c r="E207" s="283"/>
      <c r="F207" s="795">
        <v>458</v>
      </c>
      <c r="G207" s="761"/>
      <c r="H207" s="283"/>
      <c r="I207" s="1076"/>
    </row>
    <row r="208" spans="1:9" ht="12" hidden="1" customHeight="1" x14ac:dyDescent="0.25">
      <c r="A208" s="1041"/>
      <c r="B208" s="1042"/>
      <c r="C208" s="1042"/>
      <c r="D208" s="283"/>
      <c r="E208" s="283"/>
      <c r="F208" s="795">
        <v>4290</v>
      </c>
      <c r="G208" s="761"/>
      <c r="H208" s="283"/>
      <c r="I208" s="1076"/>
    </row>
    <row r="209" spans="1:9" ht="23.25" hidden="1" customHeight="1" x14ac:dyDescent="0.25">
      <c r="A209" s="1041"/>
      <c r="B209" s="1042"/>
      <c r="C209" s="1042"/>
      <c r="D209" s="283"/>
      <c r="E209" s="283"/>
      <c r="F209" s="795">
        <v>5546</v>
      </c>
      <c r="G209" s="761"/>
      <c r="H209" s="283"/>
      <c r="I209" s="1076"/>
    </row>
    <row r="210" spans="1:9" ht="24.75" hidden="1" customHeight="1" x14ac:dyDescent="0.25">
      <c r="A210" s="1041"/>
      <c r="B210" s="1042"/>
      <c r="C210" s="1042"/>
      <c r="D210" s="283"/>
      <c r="E210" s="283"/>
      <c r="F210" s="795">
        <v>13824</v>
      </c>
      <c r="G210" s="761"/>
      <c r="H210" s="283"/>
      <c r="I210" s="1076"/>
    </row>
    <row r="211" spans="1:9" ht="12.75" hidden="1" customHeight="1" x14ac:dyDescent="0.25">
      <c r="A211" s="1041"/>
      <c r="B211" s="1042"/>
      <c r="C211" s="1042"/>
      <c r="D211" s="283"/>
      <c r="E211" s="283"/>
      <c r="F211" s="795">
        <v>483</v>
      </c>
      <c r="G211" s="761"/>
      <c r="H211" s="283"/>
      <c r="I211" s="1076"/>
    </row>
    <row r="212" spans="1:9" hidden="1" x14ac:dyDescent="0.25">
      <c r="A212" s="335"/>
      <c r="B212" s="758"/>
      <c r="C212" s="758"/>
      <c r="D212" s="307"/>
      <c r="E212" s="307"/>
      <c r="F212" s="766"/>
      <c r="G212" s="767"/>
      <c r="H212" s="307"/>
      <c r="I212" s="766"/>
    </row>
    <row r="213" spans="1:9" x14ac:dyDescent="0.25">
      <c r="A213" s="1079" t="s">
        <v>6</v>
      </c>
      <c r="B213" s="1079"/>
      <c r="C213" s="748" t="s">
        <v>1065</v>
      </c>
      <c r="D213" s="748"/>
      <c r="E213" s="748"/>
      <c r="F213" s="760"/>
      <c r="G213" s="748"/>
      <c r="H213" s="748"/>
      <c r="I213" s="760"/>
    </row>
    <row r="214" spans="1:9" x14ac:dyDescent="0.25">
      <c r="A214" s="1079" t="s">
        <v>5</v>
      </c>
      <c r="B214" s="1079"/>
      <c r="C214" s="749" t="s">
        <v>1066</v>
      </c>
      <c r="D214" s="749"/>
      <c r="E214" s="749"/>
      <c r="F214" s="750"/>
      <c r="G214" s="749"/>
      <c r="H214" s="749"/>
      <c r="I214" s="750"/>
    </row>
    <row r="215" spans="1:9" ht="48.75" customHeight="1" x14ac:dyDescent="0.25">
      <c r="A215" s="6" t="s">
        <v>4</v>
      </c>
      <c r="B215" s="989" t="s">
        <v>3</v>
      </c>
      <c r="C215" s="989"/>
      <c r="D215" s="6" t="s">
        <v>11</v>
      </c>
      <c r="E215" s="6" t="s">
        <v>12</v>
      </c>
      <c r="F215" s="216" t="s">
        <v>13</v>
      </c>
      <c r="G215" s="6" t="s">
        <v>2</v>
      </c>
      <c r="H215" s="6" t="s">
        <v>180</v>
      </c>
      <c r="I215" s="216" t="s">
        <v>1</v>
      </c>
    </row>
    <row r="216" spans="1:9" x14ac:dyDescent="0.25">
      <c r="A216" s="1040" t="s">
        <v>14</v>
      </c>
      <c r="B216" s="1040"/>
      <c r="C216" s="1040"/>
      <c r="D216" s="7">
        <f>SUM(D217:D230)</f>
        <v>57700</v>
      </c>
      <c r="E216" s="7">
        <f>SUM(E217:E230)</f>
        <v>31588</v>
      </c>
      <c r="F216" s="425">
        <f>F217+F218+F222</f>
        <v>97490</v>
      </c>
      <c r="G216" s="7"/>
      <c r="H216" s="7">
        <f>SUM(H217:H218,H222)</f>
        <v>17295</v>
      </c>
      <c r="I216" s="776"/>
    </row>
    <row r="217" spans="1:9" ht="12" hidden="1" customHeight="1" x14ac:dyDescent="0.25">
      <c r="A217" s="3">
        <v>1</v>
      </c>
      <c r="B217" s="1078" t="s">
        <v>1067</v>
      </c>
      <c r="C217" s="1078"/>
      <c r="D217" s="283">
        <f>57700</f>
        <v>57700</v>
      </c>
      <c r="E217" s="283">
        <v>31588</v>
      </c>
      <c r="F217" s="283">
        <v>0</v>
      </c>
      <c r="G217" s="768">
        <v>5240</v>
      </c>
      <c r="H217" s="4"/>
      <c r="I217" s="451" t="s">
        <v>1068</v>
      </c>
    </row>
    <row r="218" spans="1:9" x14ac:dyDescent="0.25">
      <c r="A218" s="1041">
        <v>1</v>
      </c>
      <c r="B218" s="1078" t="s">
        <v>1069</v>
      </c>
      <c r="C218" s="1078"/>
      <c r="D218" s="283">
        <v>0</v>
      </c>
      <c r="E218" s="283">
        <v>0</v>
      </c>
      <c r="F218" s="283">
        <f>SUM(F219:F221)+0.29</f>
        <v>8494</v>
      </c>
      <c r="G218" s="769">
        <v>5250</v>
      </c>
      <c r="H218" s="4">
        <f>SUM(H219:H221)</f>
        <v>5794</v>
      </c>
      <c r="I218" s="1076" t="s">
        <v>1070</v>
      </c>
    </row>
    <row r="219" spans="1:9" ht="28.5" hidden="1" customHeight="1" x14ac:dyDescent="0.25">
      <c r="A219" s="1041"/>
      <c r="B219" s="1078"/>
      <c r="C219" s="1078"/>
      <c r="D219" s="4"/>
      <c r="E219" s="4"/>
      <c r="F219" s="795">
        <v>4993.71</v>
      </c>
      <c r="G219" s="769"/>
      <c r="H219" s="4">
        <v>4994</v>
      </c>
      <c r="I219" s="1076"/>
    </row>
    <row r="220" spans="1:9" ht="12" hidden="1" customHeight="1" x14ac:dyDescent="0.25">
      <c r="A220" s="1041"/>
      <c r="B220" s="1078"/>
      <c r="C220" s="1078"/>
      <c r="D220" s="4"/>
      <c r="E220" s="4"/>
      <c r="F220" s="795">
        <v>3000</v>
      </c>
      <c r="G220" s="769"/>
      <c r="H220" s="1085">
        <v>800</v>
      </c>
      <c r="I220" s="1076"/>
    </row>
    <row r="221" spans="1:9" ht="12" hidden="1" customHeight="1" x14ac:dyDescent="0.25">
      <c r="A221" s="1041"/>
      <c r="B221" s="1078"/>
      <c r="C221" s="1078"/>
      <c r="D221" s="4"/>
      <c r="E221" s="4"/>
      <c r="F221" s="795">
        <v>500</v>
      </c>
      <c r="G221" s="769"/>
      <c r="H221" s="1086"/>
      <c r="I221" s="1076"/>
    </row>
    <row r="222" spans="1:9" ht="12" customHeight="1" x14ac:dyDescent="0.25">
      <c r="A222" s="1041">
        <v>2</v>
      </c>
      <c r="B222" s="1078" t="s">
        <v>1071</v>
      </c>
      <c r="C222" s="1078"/>
      <c r="D222" s="4">
        <v>0</v>
      </c>
      <c r="E222" s="4">
        <v>0</v>
      </c>
      <c r="F222" s="283">
        <f>SUM(F223+F227)</f>
        <v>88996</v>
      </c>
      <c r="G222" s="769">
        <v>5250</v>
      </c>
      <c r="H222" s="4">
        <f>SUM(H223:H230)</f>
        <v>11501</v>
      </c>
      <c r="I222" s="1076" t="s">
        <v>1072</v>
      </c>
    </row>
    <row r="223" spans="1:9" ht="12" hidden="1" customHeight="1" x14ac:dyDescent="0.25">
      <c r="A223" s="1041"/>
      <c r="B223" s="1078"/>
      <c r="C223" s="1078"/>
      <c r="D223" s="4"/>
      <c r="E223" s="4"/>
      <c r="F223" s="755">
        <f>SUM(F224:F226)</f>
        <v>36396</v>
      </c>
      <c r="G223" s="768"/>
      <c r="H223" s="4"/>
      <c r="I223" s="1076"/>
    </row>
    <row r="224" spans="1:9" ht="28.5" hidden="1" customHeight="1" x14ac:dyDescent="0.25">
      <c r="A224" s="1041"/>
      <c r="B224" s="1078"/>
      <c r="C224" s="1078"/>
      <c r="D224" s="4"/>
      <c r="E224" s="4"/>
      <c r="F224" s="795">
        <v>5500</v>
      </c>
      <c r="G224" s="768"/>
      <c r="H224" s="4">
        <v>5500</v>
      </c>
      <c r="I224" s="1076"/>
    </row>
    <row r="225" spans="1:9" ht="27.75" hidden="1" customHeight="1" x14ac:dyDescent="0.25">
      <c r="A225" s="1041"/>
      <c r="B225" s="1078"/>
      <c r="C225" s="1078"/>
      <c r="D225" s="4"/>
      <c r="E225" s="4"/>
      <c r="F225" s="795">
        <v>6001</v>
      </c>
      <c r="G225" s="768"/>
      <c r="H225" s="4">
        <v>6001</v>
      </c>
      <c r="I225" s="1076"/>
    </row>
    <row r="226" spans="1:9" ht="27.75" hidden="1" customHeight="1" x14ac:dyDescent="0.25">
      <c r="A226" s="1041"/>
      <c r="B226" s="1078"/>
      <c r="C226" s="1078"/>
      <c r="D226" s="4"/>
      <c r="E226" s="4"/>
      <c r="F226" s="795">
        <v>24895</v>
      </c>
      <c r="G226" s="768"/>
      <c r="H226" s="4"/>
      <c r="I226" s="1076"/>
    </row>
    <row r="227" spans="1:9" ht="12" hidden="1" customHeight="1" x14ac:dyDescent="0.25">
      <c r="A227" s="1041"/>
      <c r="B227" s="1078"/>
      <c r="C227" s="1078"/>
      <c r="D227" s="4"/>
      <c r="E227" s="4"/>
      <c r="F227" s="755">
        <f>SUM(F228:F230)</f>
        <v>52600</v>
      </c>
      <c r="G227" s="768"/>
      <c r="H227" s="4"/>
      <c r="I227" s="1076"/>
    </row>
    <row r="228" spans="1:9" ht="12" hidden="1" customHeight="1" x14ac:dyDescent="0.25">
      <c r="A228" s="1041"/>
      <c r="B228" s="1078"/>
      <c r="C228" s="1078"/>
      <c r="D228" s="4"/>
      <c r="E228" s="4"/>
      <c r="F228" s="795">
        <v>37058</v>
      </c>
      <c r="G228" s="768"/>
      <c r="H228" s="4"/>
      <c r="I228" s="1076"/>
    </row>
    <row r="229" spans="1:9" ht="27.75" hidden="1" customHeight="1" x14ac:dyDescent="0.25">
      <c r="A229" s="1041"/>
      <c r="B229" s="1078"/>
      <c r="C229" s="1078"/>
      <c r="D229" s="4"/>
      <c r="E229" s="4"/>
      <c r="F229" s="795">
        <v>1390</v>
      </c>
      <c r="G229" s="768"/>
      <c r="H229" s="4"/>
      <c r="I229" s="1076"/>
    </row>
    <row r="230" spans="1:9" ht="12" hidden="1" customHeight="1" x14ac:dyDescent="0.25">
      <c r="A230" s="1041"/>
      <c r="B230" s="1078"/>
      <c r="C230" s="1078"/>
      <c r="D230" s="4"/>
      <c r="E230" s="4"/>
      <c r="F230" s="795">
        <v>14152</v>
      </c>
      <c r="G230" s="768"/>
      <c r="H230" s="4"/>
      <c r="I230" s="1076"/>
    </row>
    <row r="231" spans="1:9" ht="9" customHeight="1" x14ac:dyDescent="0.25">
      <c r="A231" s="797"/>
      <c r="B231" s="798"/>
      <c r="C231" s="798"/>
      <c r="D231" s="798"/>
      <c r="E231" s="798"/>
      <c r="F231" s="799"/>
      <c r="G231" s="798"/>
      <c r="H231" s="798"/>
      <c r="I231" s="799"/>
    </row>
    <row r="232" spans="1:9" x14ac:dyDescent="0.25">
      <c r="A232" s="1074" t="s">
        <v>6</v>
      </c>
      <c r="B232" s="1074"/>
      <c r="C232" s="445" t="s">
        <v>1073</v>
      </c>
      <c r="D232" s="445"/>
      <c r="E232" s="445"/>
      <c r="F232" s="802"/>
      <c r="G232" s="445"/>
      <c r="H232" s="445"/>
      <c r="I232" s="802"/>
    </row>
    <row r="233" spans="1:9" x14ac:dyDescent="0.25">
      <c r="A233" s="1075" t="s">
        <v>5</v>
      </c>
      <c r="B233" s="1075"/>
      <c r="C233" s="791" t="s">
        <v>1074</v>
      </c>
      <c r="D233" s="791"/>
      <c r="E233" s="791"/>
      <c r="F233" s="792"/>
      <c r="G233" s="791"/>
      <c r="H233" s="791"/>
      <c r="I233" s="792"/>
    </row>
    <row r="234" spans="1:9" ht="48.75" customHeight="1" x14ac:dyDescent="0.25">
      <c r="A234" s="6" t="s">
        <v>4</v>
      </c>
      <c r="B234" s="989" t="s">
        <v>3</v>
      </c>
      <c r="C234" s="989"/>
      <c r="D234" s="6" t="s">
        <v>11</v>
      </c>
      <c r="E234" s="6" t="s">
        <v>12</v>
      </c>
      <c r="F234" s="216" t="s">
        <v>13</v>
      </c>
      <c r="G234" s="6" t="s">
        <v>2</v>
      </c>
      <c r="H234" s="6" t="s">
        <v>180</v>
      </c>
      <c r="I234" s="216" t="s">
        <v>1</v>
      </c>
    </row>
    <row r="235" spans="1:9" x14ac:dyDescent="0.25">
      <c r="A235" s="1040" t="s">
        <v>14</v>
      </c>
      <c r="B235" s="1040"/>
      <c r="C235" s="1040"/>
      <c r="D235" s="7">
        <f>SUM(D236:D271)</f>
        <v>88710</v>
      </c>
      <c r="E235" s="7">
        <f>SUM(E236:E271)</f>
        <v>38535</v>
      </c>
      <c r="F235" s="425">
        <f>F236+F237+F238+F242+F271+F243</f>
        <v>194184</v>
      </c>
      <c r="G235" s="7"/>
      <c r="H235" s="7">
        <f>SUM(H236:H238,H242:H243,H271)</f>
        <v>72500</v>
      </c>
      <c r="I235" s="451"/>
    </row>
    <row r="236" spans="1:9" ht="24.75" hidden="1" customHeight="1" x14ac:dyDescent="0.25">
      <c r="A236" s="3">
        <v>1</v>
      </c>
      <c r="B236" s="1042" t="s">
        <v>1075</v>
      </c>
      <c r="C236" s="1042"/>
      <c r="D236" s="283">
        <v>0</v>
      </c>
      <c r="E236" s="283">
        <v>0</v>
      </c>
      <c r="F236" s="437">
        <v>0</v>
      </c>
      <c r="G236" s="761">
        <v>5240</v>
      </c>
      <c r="H236" s="283"/>
      <c r="I236" s="283"/>
    </row>
    <row r="237" spans="1:9" ht="12" hidden="1" customHeight="1" x14ac:dyDescent="0.25">
      <c r="A237" s="3">
        <v>2</v>
      </c>
      <c r="B237" s="1042" t="s">
        <v>1076</v>
      </c>
      <c r="C237" s="1042"/>
      <c r="D237" s="283">
        <f>52200</f>
        <v>52200</v>
      </c>
      <c r="E237" s="283">
        <v>3300</v>
      </c>
      <c r="F237" s="437">
        <v>0</v>
      </c>
      <c r="G237" s="761">
        <v>5250</v>
      </c>
      <c r="H237" s="283"/>
      <c r="I237" s="283"/>
    </row>
    <row r="238" spans="1:9" x14ac:dyDescent="0.25">
      <c r="A238" s="1041">
        <v>1</v>
      </c>
      <c r="B238" s="1042" t="s">
        <v>1077</v>
      </c>
      <c r="C238" s="1042"/>
      <c r="D238" s="283">
        <v>0</v>
      </c>
      <c r="E238" s="283">
        <v>0</v>
      </c>
      <c r="F238" s="283">
        <f>SUM(F239:F241)</f>
        <v>55900</v>
      </c>
      <c r="G238" s="752">
        <v>5250</v>
      </c>
      <c r="H238" s="283">
        <f>SUM(H239:H241)</f>
        <v>55900</v>
      </c>
      <c r="I238" s="1076" t="s">
        <v>1072</v>
      </c>
    </row>
    <row r="239" spans="1:9" ht="12" hidden="1" customHeight="1" x14ac:dyDescent="0.25">
      <c r="A239" s="1041"/>
      <c r="B239" s="1042"/>
      <c r="C239" s="1042"/>
      <c r="D239" s="283"/>
      <c r="E239" s="283"/>
      <c r="F239" s="795">
        <v>53000</v>
      </c>
      <c r="G239" s="752"/>
      <c r="H239" s="283">
        <v>53000</v>
      </c>
      <c r="I239" s="1076"/>
    </row>
    <row r="240" spans="1:9" ht="12" hidden="1" customHeight="1" x14ac:dyDescent="0.25">
      <c r="A240" s="1041"/>
      <c r="B240" s="1042"/>
      <c r="C240" s="1042"/>
      <c r="D240" s="283"/>
      <c r="E240" s="283"/>
      <c r="F240" s="795">
        <v>2400</v>
      </c>
      <c r="G240" s="752"/>
      <c r="H240" s="283">
        <v>2400</v>
      </c>
      <c r="I240" s="1076"/>
    </row>
    <row r="241" spans="1:9" ht="63.75" hidden="1" customHeight="1" x14ac:dyDescent="0.25">
      <c r="A241" s="1041"/>
      <c r="B241" s="1042"/>
      <c r="C241" s="1042"/>
      <c r="D241" s="283"/>
      <c r="E241" s="283"/>
      <c r="F241" s="795">
        <v>500</v>
      </c>
      <c r="G241" s="752"/>
      <c r="H241" s="283">
        <v>500</v>
      </c>
      <c r="I241" s="1076"/>
    </row>
    <row r="242" spans="1:9" ht="12" customHeight="1" x14ac:dyDescent="0.25">
      <c r="A242" s="1041">
        <v>2</v>
      </c>
      <c r="B242" s="1042" t="s">
        <v>1078</v>
      </c>
      <c r="C242" s="1042"/>
      <c r="D242" s="283">
        <f>36510</f>
        <v>36510</v>
      </c>
      <c r="E242" s="283">
        <v>35235</v>
      </c>
      <c r="F242" s="437">
        <f>F245+F248+F250+F251+F252+F253+F254+F256+F257+F258+F260+F261+F262+F263+F264+F270</f>
        <v>117760</v>
      </c>
      <c r="G242" s="752">
        <v>5250</v>
      </c>
      <c r="H242" s="283">
        <f>SUM(H250,H257,H260,H261)</f>
        <v>16600</v>
      </c>
      <c r="I242" s="1068" t="s">
        <v>1072</v>
      </c>
    </row>
    <row r="243" spans="1:9" ht="12" hidden="1" customHeight="1" x14ac:dyDescent="0.25">
      <c r="A243" s="1041"/>
      <c r="B243" s="1042"/>
      <c r="C243" s="1042"/>
      <c r="D243" s="283">
        <v>0</v>
      </c>
      <c r="E243" s="283">
        <v>0</v>
      </c>
      <c r="F243" s="437">
        <f>F246+F247+F265+F266+F267+F268+F269</f>
        <v>20524</v>
      </c>
      <c r="G243" s="761">
        <v>2241</v>
      </c>
      <c r="H243" s="283"/>
      <c r="I243" s="1069"/>
    </row>
    <row r="244" spans="1:9" ht="15.75" hidden="1" customHeight="1" x14ac:dyDescent="0.25">
      <c r="A244" s="1041"/>
      <c r="B244" s="1042"/>
      <c r="C244" s="1042"/>
      <c r="D244" s="283"/>
      <c r="E244" s="283"/>
      <c r="F244" s="283">
        <f>SUM(F245:F248)</f>
        <v>25100</v>
      </c>
      <c r="G244" s="761"/>
      <c r="H244" s="283"/>
      <c r="I244" s="1069"/>
    </row>
    <row r="245" spans="1:9" ht="12" hidden="1" customHeight="1" x14ac:dyDescent="0.25">
      <c r="A245" s="1041"/>
      <c r="B245" s="1042"/>
      <c r="C245" s="1042"/>
      <c r="D245" s="283"/>
      <c r="E245" s="283"/>
      <c r="F245" s="795">
        <v>15000</v>
      </c>
      <c r="G245" s="761"/>
      <c r="H245" s="283"/>
      <c r="I245" s="1069"/>
    </row>
    <row r="246" spans="1:9" ht="12" hidden="1" customHeight="1" x14ac:dyDescent="0.25">
      <c r="A246" s="1041"/>
      <c r="B246" s="1042"/>
      <c r="C246" s="1042"/>
      <c r="D246" s="283"/>
      <c r="E246" s="283"/>
      <c r="F246" s="795">
        <v>2600</v>
      </c>
      <c r="G246" s="761"/>
      <c r="H246" s="283"/>
      <c r="I246" s="1069"/>
    </row>
    <row r="247" spans="1:9" ht="12" hidden="1" customHeight="1" x14ac:dyDescent="0.25">
      <c r="A247" s="1041"/>
      <c r="B247" s="1042"/>
      <c r="C247" s="1042"/>
      <c r="D247" s="283"/>
      <c r="E247" s="283"/>
      <c r="F247" s="795">
        <v>6500</v>
      </c>
      <c r="G247" s="761"/>
      <c r="H247" s="283"/>
      <c r="I247" s="1069"/>
    </row>
    <row r="248" spans="1:9" ht="12" hidden="1" customHeight="1" x14ac:dyDescent="0.25">
      <c r="A248" s="1041"/>
      <c r="B248" s="1042"/>
      <c r="C248" s="1042"/>
      <c r="D248" s="283"/>
      <c r="E248" s="283"/>
      <c r="F248" s="795">
        <v>1000</v>
      </c>
      <c r="G248" s="761"/>
      <c r="H248" s="283"/>
      <c r="I248" s="1069"/>
    </row>
    <row r="249" spans="1:9" ht="12" hidden="1" customHeight="1" x14ac:dyDescent="0.25">
      <c r="A249" s="1041"/>
      <c r="B249" s="1042"/>
      <c r="C249" s="1042"/>
      <c r="D249" s="283"/>
      <c r="E249" s="283"/>
      <c r="F249" s="283">
        <f>SUM(F250:F254)</f>
        <v>69900</v>
      </c>
      <c r="G249" s="761"/>
      <c r="H249" s="283"/>
      <c r="I249" s="1069"/>
    </row>
    <row r="250" spans="1:9" ht="12" hidden="1" customHeight="1" x14ac:dyDescent="0.25">
      <c r="A250" s="1041"/>
      <c r="B250" s="1042"/>
      <c r="C250" s="1042"/>
      <c r="D250" s="283"/>
      <c r="E250" s="283"/>
      <c r="F250" s="795">
        <v>5500</v>
      </c>
      <c r="G250" s="761"/>
      <c r="H250" s="283">
        <v>5500</v>
      </c>
      <c r="I250" s="1069"/>
    </row>
    <row r="251" spans="1:9" ht="12" hidden="1" customHeight="1" x14ac:dyDescent="0.25">
      <c r="A251" s="1041"/>
      <c r="B251" s="1042"/>
      <c r="C251" s="1042"/>
      <c r="D251" s="283"/>
      <c r="E251" s="283"/>
      <c r="F251" s="795">
        <v>45000</v>
      </c>
      <c r="G251" s="761"/>
      <c r="H251" s="283"/>
      <c r="I251" s="1069"/>
    </row>
    <row r="252" spans="1:9" ht="12" hidden="1" customHeight="1" x14ac:dyDescent="0.25">
      <c r="A252" s="1041"/>
      <c r="B252" s="1042"/>
      <c r="C252" s="1042"/>
      <c r="D252" s="283"/>
      <c r="E252" s="283"/>
      <c r="F252" s="795">
        <v>6300</v>
      </c>
      <c r="G252" s="761"/>
      <c r="H252" s="283"/>
      <c r="I252" s="1069"/>
    </row>
    <row r="253" spans="1:9" ht="12" hidden="1" customHeight="1" x14ac:dyDescent="0.25">
      <c r="A253" s="1041"/>
      <c r="B253" s="1042"/>
      <c r="C253" s="1042"/>
      <c r="D253" s="283"/>
      <c r="E253" s="283"/>
      <c r="F253" s="795">
        <v>9600</v>
      </c>
      <c r="G253" s="761"/>
      <c r="H253" s="283"/>
      <c r="I253" s="1069"/>
    </row>
    <row r="254" spans="1:9" ht="12" hidden="1" customHeight="1" x14ac:dyDescent="0.25">
      <c r="A254" s="1041"/>
      <c r="B254" s="1042"/>
      <c r="C254" s="1042"/>
      <c r="D254" s="283"/>
      <c r="E254" s="283"/>
      <c r="F254" s="795">
        <v>3500</v>
      </c>
      <c r="G254" s="761"/>
      <c r="H254" s="283"/>
      <c r="I254" s="1069"/>
    </row>
    <row r="255" spans="1:9" ht="15.75" hidden="1" customHeight="1" x14ac:dyDescent="0.25">
      <c r="A255" s="1041"/>
      <c r="B255" s="1042"/>
      <c r="C255" s="1042"/>
      <c r="D255" s="283"/>
      <c r="E255" s="283"/>
      <c r="F255" s="283">
        <f>SUM(F256:F258)</f>
        <v>18500</v>
      </c>
      <c r="G255" s="761"/>
      <c r="H255" s="283"/>
      <c r="I255" s="1069"/>
    </row>
    <row r="256" spans="1:9" ht="12" hidden="1" customHeight="1" x14ac:dyDescent="0.25">
      <c r="A256" s="1041"/>
      <c r="B256" s="1042"/>
      <c r="C256" s="1042"/>
      <c r="D256" s="283"/>
      <c r="E256" s="283"/>
      <c r="F256" s="795">
        <v>5500</v>
      </c>
      <c r="G256" s="761"/>
      <c r="H256" s="283"/>
      <c r="I256" s="1069"/>
    </row>
    <row r="257" spans="1:9" ht="12" hidden="1" customHeight="1" x14ac:dyDescent="0.25">
      <c r="A257" s="1041"/>
      <c r="B257" s="1042"/>
      <c r="C257" s="1042"/>
      <c r="D257" s="283"/>
      <c r="E257" s="283"/>
      <c r="F257" s="795">
        <v>3000</v>
      </c>
      <c r="G257" s="761"/>
      <c r="H257" s="283">
        <v>3000</v>
      </c>
      <c r="I257" s="1069"/>
    </row>
    <row r="258" spans="1:9" ht="26.25" hidden="1" customHeight="1" x14ac:dyDescent="0.25">
      <c r="A258" s="1041"/>
      <c r="B258" s="1042"/>
      <c r="C258" s="1042"/>
      <c r="D258" s="283"/>
      <c r="E258" s="283"/>
      <c r="F258" s="795">
        <v>10000</v>
      </c>
      <c r="G258" s="761"/>
      <c r="H258" s="283"/>
      <c r="I258" s="1069"/>
    </row>
    <row r="259" spans="1:9" ht="12" hidden="1" customHeight="1" x14ac:dyDescent="0.25">
      <c r="A259" s="1041"/>
      <c r="B259" s="1042"/>
      <c r="C259" s="1042"/>
      <c r="D259" s="283"/>
      <c r="E259" s="283"/>
      <c r="F259" s="283">
        <f>SUM(F260:F270)</f>
        <v>24784</v>
      </c>
      <c r="G259" s="761"/>
      <c r="H259" s="283"/>
      <c r="I259" s="1069"/>
    </row>
    <row r="260" spans="1:9" ht="12" hidden="1" customHeight="1" x14ac:dyDescent="0.25">
      <c r="A260" s="1041"/>
      <c r="B260" s="1042"/>
      <c r="C260" s="1042"/>
      <c r="D260" s="283"/>
      <c r="E260" s="283"/>
      <c r="F260" s="795">
        <v>5500</v>
      </c>
      <c r="G260" s="761"/>
      <c r="H260" s="283">
        <v>5500</v>
      </c>
      <c r="I260" s="1069"/>
    </row>
    <row r="261" spans="1:9" ht="12" hidden="1" customHeight="1" x14ac:dyDescent="0.25">
      <c r="A261" s="1041"/>
      <c r="B261" s="1042"/>
      <c r="C261" s="1042"/>
      <c r="D261" s="283"/>
      <c r="E261" s="283"/>
      <c r="F261" s="795">
        <v>2600</v>
      </c>
      <c r="G261" s="761"/>
      <c r="H261" s="283">
        <v>2600</v>
      </c>
      <c r="I261" s="1069"/>
    </row>
    <row r="262" spans="1:9" ht="12" hidden="1" customHeight="1" x14ac:dyDescent="0.25">
      <c r="A262" s="1041"/>
      <c r="B262" s="1042"/>
      <c r="C262" s="1042"/>
      <c r="D262" s="283"/>
      <c r="E262" s="283"/>
      <c r="F262" s="795">
        <v>1200</v>
      </c>
      <c r="G262" s="761"/>
      <c r="H262" s="283"/>
      <c r="I262" s="1069"/>
    </row>
    <row r="263" spans="1:9" ht="12" hidden="1" customHeight="1" x14ac:dyDescent="0.25">
      <c r="A263" s="1041"/>
      <c r="B263" s="1042"/>
      <c r="C263" s="1042"/>
      <c r="D263" s="283"/>
      <c r="E263" s="283"/>
      <c r="F263" s="795">
        <v>716</v>
      </c>
      <c r="G263" s="761"/>
      <c r="H263" s="283"/>
      <c r="I263" s="1069"/>
    </row>
    <row r="264" spans="1:9" ht="12" hidden="1" customHeight="1" x14ac:dyDescent="0.25">
      <c r="A264" s="1041"/>
      <c r="B264" s="1042"/>
      <c r="C264" s="1042"/>
      <c r="D264" s="283"/>
      <c r="E264" s="283"/>
      <c r="F264" s="795">
        <v>2744</v>
      </c>
      <c r="G264" s="761"/>
      <c r="H264" s="283"/>
      <c r="I264" s="1069"/>
    </row>
    <row r="265" spans="1:9" ht="12" hidden="1" customHeight="1" x14ac:dyDescent="0.25">
      <c r="A265" s="1041"/>
      <c r="B265" s="1042"/>
      <c r="C265" s="1042"/>
      <c r="D265" s="283"/>
      <c r="E265" s="283"/>
      <c r="F265" s="795">
        <v>3780</v>
      </c>
      <c r="G265" s="761"/>
      <c r="H265" s="283"/>
      <c r="I265" s="1069"/>
    </row>
    <row r="266" spans="1:9" ht="12" hidden="1" customHeight="1" x14ac:dyDescent="0.25">
      <c r="A266" s="1041"/>
      <c r="B266" s="1042"/>
      <c r="C266" s="1042"/>
      <c r="D266" s="283"/>
      <c r="E266" s="283"/>
      <c r="F266" s="795">
        <v>1890</v>
      </c>
      <c r="G266" s="761"/>
      <c r="H266" s="283"/>
      <c r="I266" s="1069"/>
    </row>
    <row r="267" spans="1:9" ht="12" hidden="1" customHeight="1" x14ac:dyDescent="0.25">
      <c r="A267" s="1041"/>
      <c r="B267" s="1042"/>
      <c r="C267" s="1042"/>
      <c r="D267" s="283"/>
      <c r="E267" s="283"/>
      <c r="F267" s="795">
        <v>735</v>
      </c>
      <c r="G267" s="761"/>
      <c r="H267" s="283"/>
      <c r="I267" s="1069"/>
    </row>
    <row r="268" spans="1:9" ht="12" hidden="1" customHeight="1" x14ac:dyDescent="0.25">
      <c r="A268" s="1041"/>
      <c r="B268" s="1042"/>
      <c r="C268" s="1042"/>
      <c r="D268" s="283"/>
      <c r="E268" s="283"/>
      <c r="F268" s="795">
        <v>378</v>
      </c>
      <c r="G268" s="761"/>
      <c r="H268" s="283"/>
      <c r="I268" s="1069"/>
    </row>
    <row r="269" spans="1:9" ht="15.75" hidden="1" customHeight="1" x14ac:dyDescent="0.25">
      <c r="A269" s="1041"/>
      <c r="B269" s="1042"/>
      <c r="C269" s="1042"/>
      <c r="D269" s="283"/>
      <c r="E269" s="283"/>
      <c r="F269" s="795">
        <v>4641</v>
      </c>
      <c r="G269" s="761"/>
      <c r="H269" s="283"/>
      <c r="I269" s="1069"/>
    </row>
    <row r="270" spans="1:9" ht="12" hidden="1" customHeight="1" x14ac:dyDescent="0.25">
      <c r="A270" s="1041"/>
      <c r="B270" s="1042"/>
      <c r="C270" s="1042"/>
      <c r="D270" s="283"/>
      <c r="E270" s="283"/>
      <c r="F270" s="795">
        <v>600</v>
      </c>
      <c r="G270" s="761"/>
      <c r="H270" s="283"/>
      <c r="I270" s="1073"/>
    </row>
    <row r="271" spans="1:9" ht="25.5" hidden="1" customHeight="1" x14ac:dyDescent="0.25">
      <c r="A271" s="3">
        <v>5</v>
      </c>
      <c r="B271" s="1042" t="s">
        <v>1079</v>
      </c>
      <c r="C271" s="1042"/>
      <c r="D271" s="283">
        <v>0</v>
      </c>
      <c r="E271" s="283">
        <v>0</v>
      </c>
      <c r="F271" s="283">
        <v>0</v>
      </c>
      <c r="G271" s="761">
        <v>5240</v>
      </c>
      <c r="H271" s="283"/>
      <c r="I271" s="451"/>
    </row>
    <row r="272" spans="1:9" ht="21.75" customHeight="1" x14ac:dyDescent="0.25">
      <c r="A272" s="797"/>
      <c r="B272" s="798"/>
      <c r="C272" s="798"/>
      <c r="D272" s="798"/>
      <c r="E272" s="798"/>
      <c r="F272" s="799"/>
      <c r="G272" s="798"/>
      <c r="H272" s="798"/>
      <c r="I272" s="799"/>
    </row>
    <row r="273" spans="1:13" x14ac:dyDescent="0.25">
      <c r="A273" s="1079" t="s">
        <v>6</v>
      </c>
      <c r="B273" s="1079"/>
      <c r="C273" s="748" t="s">
        <v>1080</v>
      </c>
      <c r="D273" s="748"/>
      <c r="E273" s="748"/>
      <c r="F273" s="760"/>
      <c r="G273" s="748"/>
      <c r="H273" s="748"/>
      <c r="I273" s="760"/>
    </row>
    <row r="274" spans="1:13" x14ac:dyDescent="0.25">
      <c r="A274" s="1079" t="s">
        <v>5</v>
      </c>
      <c r="B274" s="1079"/>
      <c r="C274" s="749" t="s">
        <v>1081</v>
      </c>
      <c r="D274" s="749"/>
      <c r="E274" s="749"/>
      <c r="F274" s="750"/>
      <c r="G274" s="749"/>
      <c r="H274" s="749"/>
      <c r="I274" s="750"/>
    </row>
    <row r="275" spans="1:13" ht="48.75" customHeight="1" x14ac:dyDescent="0.25">
      <c r="A275" s="6" t="s">
        <v>4</v>
      </c>
      <c r="B275" s="989" t="s">
        <v>3</v>
      </c>
      <c r="C275" s="989"/>
      <c r="D275" s="6" t="s">
        <v>11</v>
      </c>
      <c r="E275" s="6" t="s">
        <v>12</v>
      </c>
      <c r="F275" s="216" t="s">
        <v>13</v>
      </c>
      <c r="G275" s="6" t="s">
        <v>2</v>
      </c>
      <c r="H275" s="6" t="s">
        <v>180</v>
      </c>
      <c r="I275" s="216" t="s">
        <v>1</v>
      </c>
    </row>
    <row r="276" spans="1:13" x14ac:dyDescent="0.25">
      <c r="A276" s="1040" t="s">
        <v>14</v>
      </c>
      <c r="B276" s="1040"/>
      <c r="C276" s="1040"/>
      <c r="D276" s="7">
        <f>SUM(D277:D287)</f>
        <v>619677</v>
      </c>
      <c r="E276" s="7">
        <f>SUM(E277:E287)</f>
        <v>614419</v>
      </c>
      <c r="F276" s="425">
        <f>F277+F278+F279+F280+F281</f>
        <v>1725942</v>
      </c>
      <c r="G276" s="7"/>
      <c r="H276" s="7">
        <f>SUM(H277:H281)</f>
        <v>716900</v>
      </c>
      <c r="I276" s="451"/>
    </row>
    <row r="277" spans="1:13" ht="12" hidden="1" customHeight="1" x14ac:dyDescent="0.25">
      <c r="A277" s="3">
        <v>1</v>
      </c>
      <c r="B277" s="1042" t="s">
        <v>1082</v>
      </c>
      <c r="C277" s="1042"/>
      <c r="D277" s="283">
        <v>579191</v>
      </c>
      <c r="E277" s="283">
        <v>579190</v>
      </c>
      <c r="F277" s="437">
        <v>0</v>
      </c>
      <c r="G277" s="761">
        <v>5250</v>
      </c>
      <c r="H277" s="283"/>
      <c r="I277" s="451" t="s">
        <v>1017</v>
      </c>
    </row>
    <row r="278" spans="1:13" ht="12" hidden="1" customHeight="1" x14ac:dyDescent="0.25">
      <c r="A278" s="1041">
        <v>2</v>
      </c>
      <c r="B278" s="1042" t="s">
        <v>1083</v>
      </c>
      <c r="C278" s="1042"/>
      <c r="D278" s="283">
        <v>34430</v>
      </c>
      <c r="E278" s="283">
        <v>34430</v>
      </c>
      <c r="F278" s="437">
        <v>0</v>
      </c>
      <c r="G278" s="761">
        <v>5250</v>
      </c>
      <c r="H278" s="283"/>
      <c r="I278" s="1068" t="s">
        <v>1084</v>
      </c>
    </row>
    <row r="279" spans="1:13" ht="15" hidden="1" customHeight="1" x14ac:dyDescent="0.25">
      <c r="A279" s="1041"/>
      <c r="B279" s="1042"/>
      <c r="C279" s="1042"/>
      <c r="D279" s="283">
        <f>5256</f>
        <v>5256</v>
      </c>
      <c r="E279" s="283">
        <v>0</v>
      </c>
      <c r="F279" s="437">
        <v>6542</v>
      </c>
      <c r="G279" s="761">
        <v>2241</v>
      </c>
      <c r="H279" s="283"/>
      <c r="I279" s="1073"/>
    </row>
    <row r="280" spans="1:13" x14ac:dyDescent="0.25">
      <c r="A280" s="3">
        <v>1</v>
      </c>
      <c r="B280" s="1042" t="s">
        <v>1085</v>
      </c>
      <c r="C280" s="1042"/>
      <c r="D280" s="283">
        <f>800</f>
        <v>800</v>
      </c>
      <c r="E280" s="283">
        <v>799</v>
      </c>
      <c r="F280" s="437">
        <v>4200</v>
      </c>
      <c r="G280" s="752">
        <v>5250</v>
      </c>
      <c r="H280" s="283">
        <v>4200</v>
      </c>
      <c r="I280" s="451" t="s">
        <v>1053</v>
      </c>
    </row>
    <row r="281" spans="1:13" ht="23.25" customHeight="1" x14ac:dyDescent="0.25">
      <c r="A281" s="1070">
        <v>2</v>
      </c>
      <c r="B281" s="1071" t="s">
        <v>1086</v>
      </c>
      <c r="C281" s="1071"/>
      <c r="D281" s="662">
        <v>0</v>
      </c>
      <c r="E281" s="763">
        <v>0</v>
      </c>
      <c r="F281" s="662">
        <f>SUM(F282:F287)</f>
        <v>1715200</v>
      </c>
      <c r="G281" s="764">
        <v>5250</v>
      </c>
      <c r="H281" s="763">
        <f>SUM(H282:H287)</f>
        <v>712700</v>
      </c>
      <c r="I281" s="1072" t="s">
        <v>1053</v>
      </c>
      <c r="J281" s="281" t="s">
        <v>906</v>
      </c>
      <c r="K281" s="464">
        <f>SUM(H285)</f>
        <v>316700</v>
      </c>
      <c r="L281" s="281" t="s">
        <v>907</v>
      </c>
      <c r="M281" s="464">
        <f>SUM(H282,H283,H284,H287)</f>
        <v>396000</v>
      </c>
    </row>
    <row r="282" spans="1:13" ht="12" hidden="1" customHeight="1" x14ac:dyDescent="0.25">
      <c r="A282" s="1070"/>
      <c r="B282" s="1071"/>
      <c r="C282" s="1071"/>
      <c r="D282" s="763"/>
      <c r="E282" s="763"/>
      <c r="F282" s="765">
        <v>20000</v>
      </c>
      <c r="G282" s="764" t="s">
        <v>1087</v>
      </c>
      <c r="H282" s="763">
        <v>20000</v>
      </c>
      <c r="I282" s="1072"/>
    </row>
    <row r="283" spans="1:13" ht="12" hidden="1" customHeight="1" x14ac:dyDescent="0.25">
      <c r="A283" s="1070"/>
      <c r="B283" s="1071"/>
      <c r="C283" s="1071"/>
      <c r="D283" s="763"/>
      <c r="E283" s="763"/>
      <c r="F283" s="765">
        <v>33200</v>
      </c>
      <c r="G283" s="764" t="s">
        <v>1087</v>
      </c>
      <c r="H283" s="763">
        <v>33200</v>
      </c>
      <c r="I283" s="1072"/>
    </row>
    <row r="284" spans="1:13" ht="12" hidden="1" customHeight="1" x14ac:dyDescent="0.25">
      <c r="A284" s="1070"/>
      <c r="B284" s="1071"/>
      <c r="C284" s="1071"/>
      <c r="D284" s="763"/>
      <c r="E284" s="763"/>
      <c r="F284" s="765">
        <v>1660000</v>
      </c>
      <c r="G284" s="764" t="s">
        <v>1087</v>
      </c>
      <c r="H284" s="763">
        <v>340800</v>
      </c>
      <c r="I284" s="1072"/>
    </row>
    <row r="285" spans="1:13" hidden="1" x14ac:dyDescent="0.25">
      <c r="A285" s="1070"/>
      <c r="B285" s="1071"/>
      <c r="C285" s="1071"/>
      <c r="D285" s="763"/>
      <c r="E285" s="763"/>
      <c r="F285" s="765"/>
      <c r="G285" s="764" t="s">
        <v>1088</v>
      </c>
      <c r="H285" s="763">
        <v>316700</v>
      </c>
      <c r="I285" s="1072"/>
    </row>
    <row r="286" spans="1:13" ht="12" hidden="1" customHeight="1" x14ac:dyDescent="0.25">
      <c r="A286" s="1070"/>
      <c r="B286" s="1071"/>
      <c r="C286" s="1071"/>
      <c r="D286" s="763"/>
      <c r="E286" s="763"/>
      <c r="F286" s="765"/>
      <c r="G286" s="764" t="s">
        <v>1089</v>
      </c>
      <c r="H286" s="763"/>
      <c r="I286" s="1072"/>
    </row>
    <row r="287" spans="1:13" ht="12" hidden="1" customHeight="1" x14ac:dyDescent="0.25">
      <c r="A287" s="1070"/>
      <c r="B287" s="1071"/>
      <c r="C287" s="1071"/>
      <c r="D287" s="763"/>
      <c r="E287" s="763"/>
      <c r="F287" s="765">
        <v>2000</v>
      </c>
      <c r="G287" s="764" t="s">
        <v>1087</v>
      </c>
      <c r="H287" s="763">
        <v>2000</v>
      </c>
      <c r="I287" s="1072"/>
    </row>
    <row r="288" spans="1:13" x14ac:dyDescent="0.25">
      <c r="A288" s="803"/>
      <c r="B288" s="804"/>
      <c r="C288" s="804"/>
      <c r="D288" s="805"/>
      <c r="E288" s="805"/>
      <c r="F288" s="806"/>
      <c r="G288" s="807"/>
      <c r="H288" s="805"/>
      <c r="I288" s="808"/>
    </row>
    <row r="289" spans="1:13" x14ac:dyDescent="0.25">
      <c r="A289" s="1079" t="s">
        <v>6</v>
      </c>
      <c r="B289" s="1079"/>
      <c r="C289" s="748" t="s">
        <v>1090</v>
      </c>
      <c r="D289" s="748"/>
      <c r="E289" s="748"/>
      <c r="F289" s="760"/>
      <c r="G289" s="748"/>
      <c r="H289" s="767"/>
      <c r="I289" s="809"/>
    </row>
    <row r="290" spans="1:13" x14ac:dyDescent="0.25">
      <c r="A290" s="1079" t="s">
        <v>5</v>
      </c>
      <c r="B290" s="1079"/>
      <c r="C290" s="749" t="s">
        <v>1091</v>
      </c>
      <c r="D290" s="749"/>
      <c r="E290" s="749"/>
      <c r="F290" s="750"/>
      <c r="G290" s="749"/>
      <c r="H290" s="749"/>
      <c r="I290" s="750"/>
    </row>
    <row r="291" spans="1:13" ht="49.5" customHeight="1" x14ac:dyDescent="0.25">
      <c r="A291" s="6" t="s">
        <v>4</v>
      </c>
      <c r="B291" s="989" t="s">
        <v>3</v>
      </c>
      <c r="C291" s="989"/>
      <c r="D291" s="6" t="s">
        <v>11</v>
      </c>
      <c r="E291" s="6" t="s">
        <v>12</v>
      </c>
      <c r="F291" s="216" t="s">
        <v>13</v>
      </c>
      <c r="G291" s="6" t="s">
        <v>2</v>
      </c>
      <c r="H291" s="6" t="s">
        <v>180</v>
      </c>
      <c r="I291" s="216" t="s">
        <v>1</v>
      </c>
    </row>
    <row r="292" spans="1:13" x14ac:dyDescent="0.25">
      <c r="A292" s="1040" t="s">
        <v>14</v>
      </c>
      <c r="B292" s="1040"/>
      <c r="C292" s="1040"/>
      <c r="D292" s="7">
        <f>SUM(D293:D385)</f>
        <v>546457</v>
      </c>
      <c r="E292" s="7">
        <f>SUM(E293:E385)</f>
        <v>517667</v>
      </c>
      <c r="F292" s="425">
        <f>F293+F294+F295+F296+F297+F308+F310+F319+F327+F337+F352+F365+F373+F380+F384+F302+F385+F334+F298+F311+F328+F338+F353</f>
        <v>829708</v>
      </c>
      <c r="G292" s="7"/>
      <c r="H292" s="7">
        <f>H293+H294+H295+H296+H297+H308+H310+H319+H327+H337+H352+H365+H373+H380+H384+H302+H385+H334+H298+H311+H328+H338+H353</f>
        <v>403474</v>
      </c>
      <c r="I292" s="451"/>
    </row>
    <row r="293" spans="1:13" ht="14.25" customHeight="1" x14ac:dyDescent="0.25">
      <c r="A293" s="6">
        <v>1</v>
      </c>
      <c r="B293" s="1042" t="s">
        <v>1092</v>
      </c>
      <c r="C293" s="1042"/>
      <c r="D293" s="283">
        <f>48979+8000</f>
        <v>56979</v>
      </c>
      <c r="E293" s="429">
        <v>56979</v>
      </c>
      <c r="F293" s="437">
        <v>57000</v>
      </c>
      <c r="G293" s="752">
        <v>2241</v>
      </c>
      <c r="H293" s="810">
        <v>57000</v>
      </c>
      <c r="I293" s="433" t="s">
        <v>1093</v>
      </c>
    </row>
    <row r="294" spans="1:13" ht="24" hidden="1" customHeight="1" x14ac:dyDescent="0.25">
      <c r="A294" s="6">
        <v>2</v>
      </c>
      <c r="B294" s="1042" t="s">
        <v>1094</v>
      </c>
      <c r="C294" s="1042"/>
      <c r="D294" s="283">
        <v>0</v>
      </c>
      <c r="E294" s="283">
        <v>0</v>
      </c>
      <c r="F294" s="437">
        <v>0</v>
      </c>
      <c r="G294" s="752">
        <v>5250</v>
      </c>
      <c r="H294" s="810"/>
      <c r="I294" s="299"/>
    </row>
    <row r="295" spans="1:13" ht="12" customHeight="1" x14ac:dyDescent="0.25">
      <c r="A295" s="989">
        <v>3</v>
      </c>
      <c r="B295" s="1042" t="s">
        <v>1095</v>
      </c>
      <c r="C295" s="1042"/>
      <c r="D295" s="283">
        <v>20233</v>
      </c>
      <c r="E295" s="283">
        <v>20233</v>
      </c>
      <c r="F295" s="437">
        <v>20200</v>
      </c>
      <c r="G295" s="752">
        <v>5250</v>
      </c>
      <c r="H295" s="810">
        <v>20200</v>
      </c>
      <c r="I295" s="1044" t="s">
        <v>1093</v>
      </c>
    </row>
    <row r="296" spans="1:13" ht="15" hidden="1" customHeight="1" x14ac:dyDescent="0.25">
      <c r="A296" s="989"/>
      <c r="B296" s="1042"/>
      <c r="C296" s="1042"/>
      <c r="D296" s="283">
        <v>167</v>
      </c>
      <c r="E296" s="283">
        <v>167</v>
      </c>
      <c r="F296" s="437">
        <v>0</v>
      </c>
      <c r="G296" s="752">
        <v>2279</v>
      </c>
      <c r="H296" s="810"/>
      <c r="I296" s="1046"/>
    </row>
    <row r="297" spans="1:13" ht="12" hidden="1" customHeight="1" x14ac:dyDescent="0.25">
      <c r="C297" s="8"/>
      <c r="D297" s="283">
        <v>1609</v>
      </c>
      <c r="E297" s="283">
        <v>1609</v>
      </c>
      <c r="F297" s="437">
        <v>0</v>
      </c>
      <c r="G297" s="752">
        <v>5250</v>
      </c>
      <c r="H297" s="810"/>
      <c r="I297" s="1080" t="s">
        <v>1093</v>
      </c>
    </row>
    <row r="298" spans="1:13" x14ac:dyDescent="0.25">
      <c r="A298" s="6">
        <v>4</v>
      </c>
      <c r="B298" s="1025" t="s">
        <v>1096</v>
      </c>
      <c r="C298" s="1026"/>
      <c r="D298" s="283">
        <v>0</v>
      </c>
      <c r="E298" s="283">
        <v>0</v>
      </c>
      <c r="F298" s="437">
        <f>SUM(F299:F301)</f>
        <v>4390</v>
      </c>
      <c r="G298" s="752">
        <v>2241</v>
      </c>
      <c r="H298" s="810">
        <f>SUM(H299:H301)</f>
        <v>4390</v>
      </c>
      <c r="I298" s="1080"/>
    </row>
    <row r="299" spans="1:13" ht="28.5" hidden="1" customHeight="1" x14ac:dyDescent="0.25">
      <c r="A299" s="6"/>
      <c r="B299" s="8"/>
      <c r="C299" s="8"/>
      <c r="D299" s="283"/>
      <c r="E299" s="283"/>
      <c r="F299" s="765">
        <v>436</v>
      </c>
      <c r="G299" s="752"/>
      <c r="H299" s="810">
        <v>436</v>
      </c>
      <c r="I299" s="1080"/>
    </row>
    <row r="300" spans="1:13" ht="12" hidden="1" customHeight="1" x14ac:dyDescent="0.25">
      <c r="A300" s="6"/>
      <c r="B300" s="8"/>
      <c r="C300" s="8"/>
      <c r="D300" s="283"/>
      <c r="E300" s="283"/>
      <c r="F300" s="765">
        <v>1938</v>
      </c>
      <c r="G300" s="752"/>
      <c r="H300" s="810">
        <v>1938</v>
      </c>
      <c r="I300" s="1080"/>
    </row>
    <row r="301" spans="1:13" ht="12" hidden="1" customHeight="1" x14ac:dyDescent="0.25">
      <c r="A301" s="6"/>
      <c r="B301" s="8"/>
      <c r="C301" s="8"/>
      <c r="D301" s="283"/>
      <c r="E301" s="283"/>
      <c r="F301" s="765">
        <v>2016</v>
      </c>
      <c r="G301" s="752"/>
      <c r="H301" s="810">
        <v>2016</v>
      </c>
      <c r="I301" s="1080"/>
    </row>
    <row r="302" spans="1:13" x14ac:dyDescent="0.25">
      <c r="A302" s="1041">
        <v>5</v>
      </c>
      <c r="B302" s="1042" t="s">
        <v>1097</v>
      </c>
      <c r="C302" s="1042"/>
      <c r="D302" s="283">
        <v>0</v>
      </c>
      <c r="E302" s="283">
        <v>0</v>
      </c>
      <c r="F302" s="283">
        <f>SUM(F303:F307)+0.13</f>
        <v>217524</v>
      </c>
      <c r="G302" s="752">
        <v>5250</v>
      </c>
      <c r="H302" s="4">
        <f>SUM(H303:H307)</f>
        <v>217524</v>
      </c>
      <c r="I302" s="1076" t="s">
        <v>1093</v>
      </c>
      <c r="J302" s="281" t="s">
        <v>906</v>
      </c>
      <c r="K302" s="464">
        <f>H302-M302</f>
        <v>175000</v>
      </c>
      <c r="L302" s="281" t="s">
        <v>907</v>
      </c>
      <c r="M302" s="464">
        <f>SUM(H304,H307,H303)</f>
        <v>42524</v>
      </c>
    </row>
    <row r="303" spans="1:13" ht="12" hidden="1" customHeight="1" x14ac:dyDescent="0.25">
      <c r="A303" s="1041"/>
      <c r="B303" s="1042"/>
      <c r="C303" s="1042"/>
      <c r="D303" s="283"/>
      <c r="E303" s="283"/>
      <c r="F303" s="795">
        <v>33573.870000000003</v>
      </c>
      <c r="G303" s="752"/>
      <c r="H303" s="810">
        <v>33574</v>
      </c>
      <c r="I303" s="1076"/>
    </row>
    <row r="304" spans="1:13" s="285" customFormat="1" ht="12" hidden="1" customHeight="1" x14ac:dyDescent="0.25">
      <c r="A304" s="1041"/>
      <c r="B304" s="1042"/>
      <c r="C304" s="1042"/>
      <c r="D304" s="283"/>
      <c r="E304" s="283"/>
      <c r="F304" s="795">
        <v>7150</v>
      </c>
      <c r="G304" s="752"/>
      <c r="H304" s="810">
        <v>7150</v>
      </c>
      <c r="I304" s="1076"/>
    </row>
    <row r="305" spans="1:9" s="285" customFormat="1" ht="27.75" hidden="1" customHeight="1" x14ac:dyDescent="0.25">
      <c r="A305" s="1041"/>
      <c r="B305" s="1042"/>
      <c r="C305" s="1042"/>
      <c r="D305" s="283"/>
      <c r="E305" s="283"/>
      <c r="F305" s="795">
        <v>5000</v>
      </c>
      <c r="G305" s="752"/>
      <c r="H305" s="810">
        <v>5000</v>
      </c>
      <c r="I305" s="1076"/>
    </row>
    <row r="306" spans="1:9" s="285" customFormat="1" ht="24.75" hidden="1" customHeight="1" x14ac:dyDescent="0.25">
      <c r="A306" s="1041"/>
      <c r="B306" s="1042"/>
      <c r="C306" s="1042"/>
      <c r="D306" s="283"/>
      <c r="E306" s="283"/>
      <c r="F306" s="795">
        <v>170000</v>
      </c>
      <c r="G306" s="752"/>
      <c r="H306" s="810">
        <v>170000</v>
      </c>
      <c r="I306" s="1076"/>
    </row>
    <row r="307" spans="1:9" s="285" customFormat="1" ht="12" hidden="1" customHeight="1" x14ac:dyDescent="0.25">
      <c r="A307" s="1041"/>
      <c r="B307" s="1042"/>
      <c r="C307" s="1042"/>
      <c r="D307" s="283"/>
      <c r="E307" s="283"/>
      <c r="F307" s="795">
        <v>1800</v>
      </c>
      <c r="G307" s="752"/>
      <c r="H307" s="4">
        <v>1800</v>
      </c>
      <c r="I307" s="1076"/>
    </row>
    <row r="308" spans="1:9" s="285" customFormat="1" ht="24.75" hidden="1" customHeight="1" x14ac:dyDescent="0.25">
      <c r="A308" s="989">
        <v>6</v>
      </c>
      <c r="B308" s="1042" t="s">
        <v>1098</v>
      </c>
      <c r="C308" s="1042"/>
      <c r="D308" s="283">
        <v>25047</v>
      </c>
      <c r="E308" s="283">
        <v>25047</v>
      </c>
      <c r="F308" s="437">
        <f>SUM(F309:F309)</f>
        <v>20000</v>
      </c>
      <c r="G308" s="752">
        <v>5250</v>
      </c>
      <c r="H308" s="7"/>
      <c r="I308" s="1080" t="s">
        <v>1099</v>
      </c>
    </row>
    <row r="309" spans="1:9" s="285" customFormat="1" ht="24.75" hidden="1" customHeight="1" x14ac:dyDescent="0.25">
      <c r="A309" s="989"/>
      <c r="B309" s="1042"/>
      <c r="C309" s="1042"/>
      <c r="D309" s="283"/>
      <c r="E309" s="283"/>
      <c r="F309" s="765">
        <v>20000</v>
      </c>
      <c r="G309" s="752"/>
      <c r="H309" s="7"/>
      <c r="I309" s="1044"/>
    </row>
    <row r="310" spans="1:9" ht="12" hidden="1" customHeight="1" x14ac:dyDescent="0.25">
      <c r="C310" s="8"/>
      <c r="D310" s="283">
        <v>0</v>
      </c>
      <c r="E310" s="283">
        <v>0</v>
      </c>
      <c r="F310" s="437">
        <f>F312+F313+F316+F317+F318</f>
        <v>16000</v>
      </c>
      <c r="G310" s="752">
        <v>5250</v>
      </c>
      <c r="H310" s="7"/>
      <c r="I310" s="811"/>
    </row>
    <row r="311" spans="1:9" x14ac:dyDescent="0.25">
      <c r="A311" s="6">
        <v>7</v>
      </c>
      <c r="B311" s="1025" t="s">
        <v>1100</v>
      </c>
      <c r="C311" s="1026"/>
      <c r="D311" s="283">
        <v>0</v>
      </c>
      <c r="E311" s="283">
        <v>0</v>
      </c>
      <c r="F311" s="437">
        <f>F314+F315</f>
        <v>11200</v>
      </c>
      <c r="G311" s="752">
        <v>2241</v>
      </c>
      <c r="H311" s="810">
        <f>SUM(H312:H318)</f>
        <v>1800</v>
      </c>
      <c r="I311" s="433" t="s">
        <v>1093</v>
      </c>
    </row>
    <row r="312" spans="1:9" ht="17.25" hidden="1" customHeight="1" x14ac:dyDescent="0.25">
      <c r="A312" s="6"/>
      <c r="B312" s="8"/>
      <c r="C312" s="8"/>
      <c r="D312" s="283"/>
      <c r="E312" s="283"/>
      <c r="F312" s="765">
        <v>1400</v>
      </c>
      <c r="G312" s="752"/>
      <c r="H312" s="425"/>
      <c r="I312" s="433"/>
    </row>
    <row r="313" spans="1:9" ht="25.5" hidden="1" customHeight="1" x14ac:dyDescent="0.25">
      <c r="A313" s="6"/>
      <c r="B313" s="8"/>
      <c r="C313" s="8"/>
      <c r="D313" s="283"/>
      <c r="E313" s="283"/>
      <c r="F313" s="765">
        <v>2900</v>
      </c>
      <c r="G313" s="752"/>
      <c r="H313" s="425"/>
      <c r="I313" s="433"/>
    </row>
    <row r="314" spans="1:9" ht="24" hidden="1" customHeight="1" x14ac:dyDescent="0.25">
      <c r="A314" s="6"/>
      <c r="B314" s="8"/>
      <c r="C314" s="8"/>
      <c r="D314" s="283"/>
      <c r="E314" s="283"/>
      <c r="F314" s="765">
        <v>1800</v>
      </c>
      <c r="G314" s="752"/>
      <c r="H314" s="429">
        <v>1800</v>
      </c>
      <c r="I314" s="433"/>
    </row>
    <row r="315" spans="1:9" ht="12" hidden="1" customHeight="1" x14ac:dyDescent="0.25">
      <c r="A315" s="6"/>
      <c r="B315" s="8"/>
      <c r="C315" s="8"/>
      <c r="D315" s="283"/>
      <c r="E315" s="283"/>
      <c r="F315" s="765">
        <v>9400</v>
      </c>
      <c r="G315" s="752"/>
      <c r="H315" s="425"/>
      <c r="I315" s="433"/>
    </row>
    <row r="316" spans="1:9" ht="12" hidden="1" customHeight="1" x14ac:dyDescent="0.25">
      <c r="A316" s="6"/>
      <c r="B316" s="8"/>
      <c r="C316" s="8"/>
      <c r="D316" s="283"/>
      <c r="E316" s="283"/>
      <c r="F316" s="765">
        <v>3800</v>
      </c>
      <c r="G316" s="752"/>
      <c r="H316" s="425"/>
      <c r="I316" s="433"/>
    </row>
    <row r="317" spans="1:9" ht="12" hidden="1" customHeight="1" x14ac:dyDescent="0.25">
      <c r="A317" s="6"/>
      <c r="B317" s="8"/>
      <c r="C317" s="8"/>
      <c r="D317" s="283"/>
      <c r="E317" s="283"/>
      <c r="F317" s="765">
        <v>6400</v>
      </c>
      <c r="G317" s="752"/>
      <c r="H317" s="425"/>
      <c r="I317" s="433"/>
    </row>
    <row r="318" spans="1:9" ht="12" hidden="1" customHeight="1" x14ac:dyDescent="0.25">
      <c r="A318" s="6"/>
      <c r="B318" s="8"/>
      <c r="C318" s="8"/>
      <c r="D318" s="283"/>
      <c r="E318" s="283"/>
      <c r="F318" s="765">
        <v>1500</v>
      </c>
      <c r="G318" s="752"/>
      <c r="H318" s="425"/>
      <c r="I318" s="433"/>
    </row>
    <row r="319" spans="1:9" ht="12" hidden="1" customHeight="1" x14ac:dyDescent="0.25">
      <c r="A319" s="989">
        <v>8</v>
      </c>
      <c r="B319" s="1042" t="s">
        <v>1101</v>
      </c>
      <c r="C319" s="1042"/>
      <c r="D319" s="283">
        <v>0</v>
      </c>
      <c r="E319" s="283">
        <v>0</v>
      </c>
      <c r="F319" s="437">
        <f>SUM(F320:F326)+0.33</f>
        <v>73690</v>
      </c>
      <c r="G319" s="752">
        <v>5250</v>
      </c>
      <c r="H319" s="7"/>
      <c r="I319" s="1080" t="s">
        <v>1099</v>
      </c>
    </row>
    <row r="320" spans="1:9" ht="12" hidden="1" customHeight="1" x14ac:dyDescent="0.25">
      <c r="A320" s="989"/>
      <c r="B320" s="1042"/>
      <c r="C320" s="1042"/>
      <c r="D320" s="283"/>
      <c r="E320" s="283"/>
      <c r="F320" s="765">
        <v>37400</v>
      </c>
      <c r="G320" s="752"/>
      <c r="H320" s="7"/>
      <c r="I320" s="1080"/>
    </row>
    <row r="321" spans="1:12" ht="12" hidden="1" customHeight="1" x14ac:dyDescent="0.25">
      <c r="A321" s="989"/>
      <c r="B321" s="1042"/>
      <c r="C321" s="1042"/>
      <c r="D321" s="283"/>
      <c r="E321" s="283"/>
      <c r="F321" s="765">
        <v>617</v>
      </c>
      <c r="G321" s="752"/>
      <c r="H321" s="7"/>
      <c r="I321" s="1080"/>
    </row>
    <row r="322" spans="1:12" ht="12" hidden="1" customHeight="1" x14ac:dyDescent="0.25">
      <c r="A322" s="989"/>
      <c r="B322" s="1042"/>
      <c r="C322" s="1042"/>
      <c r="D322" s="283"/>
      <c r="E322" s="283"/>
      <c r="F322" s="765">
        <v>4900</v>
      </c>
      <c r="G322" s="752"/>
      <c r="H322" s="7"/>
      <c r="I322" s="1080"/>
    </row>
    <row r="323" spans="1:12" ht="12" hidden="1" customHeight="1" x14ac:dyDescent="0.25">
      <c r="A323" s="989"/>
      <c r="B323" s="1042"/>
      <c r="C323" s="1042"/>
      <c r="D323" s="283"/>
      <c r="E323" s="283"/>
      <c r="F323" s="765">
        <v>19400</v>
      </c>
      <c r="G323" s="752"/>
      <c r="H323" s="7"/>
      <c r="I323" s="1080"/>
    </row>
    <row r="324" spans="1:12" ht="12" hidden="1" customHeight="1" x14ac:dyDescent="0.25">
      <c r="A324" s="989"/>
      <c r="B324" s="1042"/>
      <c r="C324" s="1042"/>
      <c r="D324" s="283"/>
      <c r="E324" s="283"/>
      <c r="F324" s="765">
        <v>4060</v>
      </c>
      <c r="G324" s="752"/>
      <c r="H324" s="7"/>
      <c r="I324" s="1080"/>
    </row>
    <row r="325" spans="1:12" ht="12" hidden="1" customHeight="1" x14ac:dyDescent="0.25">
      <c r="A325" s="989"/>
      <c r="B325" s="1042"/>
      <c r="C325" s="1042"/>
      <c r="D325" s="283"/>
      <c r="E325" s="283"/>
      <c r="F325" s="765">
        <v>5441.94</v>
      </c>
      <c r="G325" s="752"/>
      <c r="H325" s="7"/>
      <c r="I325" s="1080"/>
    </row>
    <row r="326" spans="1:12" ht="12" hidden="1" customHeight="1" x14ac:dyDescent="0.25">
      <c r="A326" s="1084"/>
      <c r="B326" s="1036"/>
      <c r="C326" s="1036"/>
      <c r="D326" s="812"/>
      <c r="E326" s="812"/>
      <c r="F326" s="813">
        <v>1870.73</v>
      </c>
      <c r="G326" s="814"/>
      <c r="H326" s="815"/>
      <c r="I326" s="1080"/>
    </row>
    <row r="327" spans="1:12" ht="12" customHeight="1" x14ac:dyDescent="0.25">
      <c r="A327" s="989">
        <v>9</v>
      </c>
      <c r="B327" s="1042" t="s">
        <v>1102</v>
      </c>
      <c r="C327" s="1042"/>
      <c r="D327" s="283">
        <v>0</v>
      </c>
      <c r="E327" s="283">
        <v>0</v>
      </c>
      <c r="F327" s="437">
        <f>F329+F330+F332+F333</f>
        <v>53062</v>
      </c>
      <c r="G327" s="752">
        <v>5250</v>
      </c>
      <c r="H327" s="810">
        <f>SUM(H329)</f>
        <v>5500</v>
      </c>
      <c r="I327" s="1080" t="s">
        <v>1093</v>
      </c>
      <c r="J327" s="296"/>
      <c r="K327" s="296"/>
      <c r="L327" s="296"/>
    </row>
    <row r="328" spans="1:12" ht="15" hidden="1" customHeight="1" x14ac:dyDescent="0.25">
      <c r="A328" s="989"/>
      <c r="B328" s="1042"/>
      <c r="C328" s="1042"/>
      <c r="D328" s="283">
        <v>0</v>
      </c>
      <c r="E328" s="283">
        <v>0</v>
      </c>
      <c r="F328" s="437">
        <f>F331</f>
        <v>3500</v>
      </c>
      <c r="G328" s="752">
        <v>2241</v>
      </c>
      <c r="H328" s="810"/>
      <c r="I328" s="1080"/>
      <c r="J328" s="296"/>
      <c r="K328" s="296"/>
      <c r="L328" s="296"/>
    </row>
    <row r="329" spans="1:12" ht="12" hidden="1" customHeight="1" x14ac:dyDescent="0.25">
      <c r="A329" s="989"/>
      <c r="B329" s="1042"/>
      <c r="C329" s="1042"/>
      <c r="D329" s="283"/>
      <c r="E329" s="283"/>
      <c r="F329" s="765">
        <v>5500</v>
      </c>
      <c r="G329" s="752"/>
      <c r="H329" s="810">
        <v>5500</v>
      </c>
      <c r="I329" s="1080"/>
      <c r="J329" s="296"/>
      <c r="K329" s="296"/>
      <c r="L329" s="296"/>
    </row>
    <row r="330" spans="1:12" ht="12" hidden="1" customHeight="1" x14ac:dyDescent="0.25">
      <c r="A330" s="989"/>
      <c r="B330" s="1042"/>
      <c r="C330" s="1042"/>
      <c r="D330" s="283"/>
      <c r="E330" s="283"/>
      <c r="F330" s="765">
        <v>19200</v>
      </c>
      <c r="G330" s="752"/>
      <c r="H330" s="810"/>
      <c r="I330" s="1080"/>
      <c r="J330" s="296"/>
      <c r="K330" s="296"/>
      <c r="L330" s="296"/>
    </row>
    <row r="331" spans="1:12" ht="12" hidden="1" customHeight="1" x14ac:dyDescent="0.25">
      <c r="A331" s="989"/>
      <c r="B331" s="1042"/>
      <c r="C331" s="1042"/>
      <c r="D331" s="283"/>
      <c r="E331" s="283"/>
      <c r="F331" s="765">
        <v>3500</v>
      </c>
      <c r="G331" s="752"/>
      <c r="H331" s="810"/>
      <c r="I331" s="1080"/>
      <c r="J331" s="296"/>
      <c r="K331" s="296"/>
      <c r="L331" s="296"/>
    </row>
    <row r="332" spans="1:12" ht="12" hidden="1" customHeight="1" x14ac:dyDescent="0.25">
      <c r="A332" s="989"/>
      <c r="B332" s="1042"/>
      <c r="C332" s="1042"/>
      <c r="D332" s="283"/>
      <c r="E332" s="283"/>
      <c r="F332" s="765">
        <v>23682</v>
      </c>
      <c r="G332" s="752"/>
      <c r="H332" s="810"/>
      <c r="I332" s="1080"/>
      <c r="J332" s="296"/>
      <c r="K332" s="296"/>
      <c r="L332" s="296"/>
    </row>
    <row r="333" spans="1:12" ht="12" hidden="1" customHeight="1" x14ac:dyDescent="0.25">
      <c r="A333" s="989"/>
      <c r="B333" s="1042"/>
      <c r="C333" s="1042"/>
      <c r="D333" s="283"/>
      <c r="E333" s="283"/>
      <c r="F333" s="765">
        <v>4680</v>
      </c>
      <c r="G333" s="752"/>
      <c r="H333" s="810"/>
      <c r="I333" s="1080"/>
      <c r="J333" s="296"/>
      <c r="K333" s="296"/>
      <c r="L333" s="296"/>
    </row>
    <row r="334" spans="1:12" ht="12" customHeight="1" x14ac:dyDescent="0.25">
      <c r="A334" s="1070">
        <v>10</v>
      </c>
      <c r="B334" s="1071" t="s">
        <v>1103</v>
      </c>
      <c r="C334" s="1071"/>
      <c r="D334" s="816">
        <v>0</v>
      </c>
      <c r="E334" s="816">
        <v>0</v>
      </c>
      <c r="F334" s="817">
        <f>SUM(F335:F336)</f>
        <v>49000</v>
      </c>
      <c r="G334" s="818">
        <v>5250</v>
      </c>
      <c r="H334" s="816">
        <f>SUM(H335:H336)</f>
        <v>49000</v>
      </c>
      <c r="I334" s="1072" t="s">
        <v>1093</v>
      </c>
    </row>
    <row r="335" spans="1:12" ht="12" hidden="1" customHeight="1" x14ac:dyDescent="0.25">
      <c r="A335" s="1070"/>
      <c r="B335" s="1071"/>
      <c r="C335" s="1071"/>
      <c r="D335" s="763"/>
      <c r="E335" s="763"/>
      <c r="F335" s="765">
        <v>42000</v>
      </c>
      <c r="G335" s="782"/>
      <c r="H335" s="763">
        <v>42000</v>
      </c>
      <c r="I335" s="1072"/>
    </row>
    <row r="336" spans="1:12" ht="12" hidden="1" customHeight="1" x14ac:dyDescent="0.25">
      <c r="A336" s="1070"/>
      <c r="B336" s="1071"/>
      <c r="C336" s="1071"/>
      <c r="D336" s="763"/>
      <c r="E336" s="763"/>
      <c r="F336" s="765">
        <v>7000</v>
      </c>
      <c r="G336" s="782"/>
      <c r="H336" s="763">
        <v>7000</v>
      </c>
      <c r="I336" s="1072"/>
    </row>
    <row r="337" spans="1:9" ht="27" hidden="1" customHeight="1" x14ac:dyDescent="0.25">
      <c r="A337" s="989">
        <v>11</v>
      </c>
      <c r="B337" s="1042" t="s">
        <v>1104</v>
      </c>
      <c r="C337" s="1042"/>
      <c r="D337" s="283">
        <f>79725</f>
        <v>79725</v>
      </c>
      <c r="E337" s="283">
        <v>79711</v>
      </c>
      <c r="F337" s="437">
        <f>F339+F340+F347+F348+F349+F350+F351</f>
        <v>39289.5</v>
      </c>
      <c r="G337" s="752">
        <v>5250</v>
      </c>
      <c r="H337" s="810"/>
      <c r="I337" s="1080" t="s">
        <v>1099</v>
      </c>
    </row>
    <row r="338" spans="1:9" ht="15" hidden="1" customHeight="1" x14ac:dyDescent="0.25">
      <c r="A338" s="989"/>
      <c r="B338" s="1042"/>
      <c r="C338" s="1042"/>
      <c r="D338" s="283">
        <v>0</v>
      </c>
      <c r="E338" s="283">
        <v>0</v>
      </c>
      <c r="F338" s="437">
        <f>F341+F342+F343+F344+F345+F346</f>
        <v>36500.5</v>
      </c>
      <c r="G338" s="752">
        <v>2241</v>
      </c>
      <c r="H338" s="810"/>
      <c r="I338" s="1080"/>
    </row>
    <row r="339" spans="1:9" ht="12" hidden="1" customHeight="1" x14ac:dyDescent="0.25">
      <c r="A339" s="989"/>
      <c r="B339" s="1042"/>
      <c r="C339" s="1042"/>
      <c r="D339" s="283"/>
      <c r="E339" s="283"/>
      <c r="F339" s="765">
        <v>23000</v>
      </c>
      <c r="G339" s="752"/>
      <c r="H339" s="810"/>
      <c r="I339" s="1080"/>
    </row>
    <row r="340" spans="1:9" ht="12" hidden="1" customHeight="1" x14ac:dyDescent="0.25">
      <c r="A340" s="989"/>
      <c r="B340" s="1042"/>
      <c r="C340" s="1042"/>
      <c r="D340" s="283"/>
      <c r="E340" s="283"/>
      <c r="F340" s="765">
        <v>600</v>
      </c>
      <c r="G340" s="752"/>
      <c r="H340" s="810"/>
      <c r="I340" s="1080"/>
    </row>
    <row r="341" spans="1:9" ht="12" hidden="1" customHeight="1" x14ac:dyDescent="0.25">
      <c r="A341" s="989"/>
      <c r="B341" s="1042"/>
      <c r="C341" s="1042"/>
      <c r="D341" s="283"/>
      <c r="E341" s="283"/>
      <c r="F341" s="765">
        <v>6682.6</v>
      </c>
      <c r="G341" s="752"/>
      <c r="H341" s="810"/>
      <c r="I341" s="1080"/>
    </row>
    <row r="342" spans="1:9" ht="12" hidden="1" customHeight="1" x14ac:dyDescent="0.25">
      <c r="A342" s="989"/>
      <c r="B342" s="1042"/>
      <c r="C342" s="1042"/>
      <c r="D342" s="283"/>
      <c r="E342" s="283"/>
      <c r="F342" s="765">
        <v>5642.5</v>
      </c>
      <c r="G342" s="752"/>
      <c r="H342" s="810"/>
      <c r="I342" s="1080"/>
    </row>
    <row r="343" spans="1:9" ht="12" hidden="1" customHeight="1" x14ac:dyDescent="0.25">
      <c r="A343" s="989"/>
      <c r="B343" s="1042"/>
      <c r="C343" s="1042"/>
      <c r="D343" s="283"/>
      <c r="E343" s="283"/>
      <c r="F343" s="765">
        <v>5596</v>
      </c>
      <c r="G343" s="752"/>
      <c r="H343" s="810"/>
      <c r="I343" s="1080"/>
    </row>
    <row r="344" spans="1:9" s="285" customFormat="1" ht="12" hidden="1" customHeight="1" x14ac:dyDescent="0.25">
      <c r="A344" s="989"/>
      <c r="B344" s="1042"/>
      <c r="C344" s="1042"/>
      <c r="D344" s="283"/>
      <c r="E344" s="283"/>
      <c r="F344" s="765">
        <v>5598.6</v>
      </c>
      <c r="G344" s="752"/>
      <c r="H344" s="810"/>
      <c r="I344" s="1080"/>
    </row>
    <row r="345" spans="1:9" s="285" customFormat="1" ht="12" hidden="1" customHeight="1" x14ac:dyDescent="0.25">
      <c r="A345" s="989"/>
      <c r="B345" s="1042"/>
      <c r="C345" s="1042"/>
      <c r="D345" s="283"/>
      <c r="E345" s="283"/>
      <c r="F345" s="765">
        <v>10400.799999999999</v>
      </c>
      <c r="G345" s="752"/>
      <c r="H345" s="810"/>
      <c r="I345" s="1080"/>
    </row>
    <row r="346" spans="1:9" s="285" customFormat="1" ht="12" hidden="1" customHeight="1" x14ac:dyDescent="0.25">
      <c r="A346" s="989"/>
      <c r="B346" s="1042"/>
      <c r="C346" s="1042"/>
      <c r="D346" s="283"/>
      <c r="E346" s="283"/>
      <c r="F346" s="765">
        <v>2580</v>
      </c>
      <c r="G346" s="752"/>
      <c r="H346" s="810"/>
      <c r="I346" s="1080"/>
    </row>
    <row r="347" spans="1:9" s="285" customFormat="1" ht="12" hidden="1" customHeight="1" x14ac:dyDescent="0.25">
      <c r="A347" s="989"/>
      <c r="B347" s="1042"/>
      <c r="C347" s="1042"/>
      <c r="D347" s="283"/>
      <c r="E347" s="283"/>
      <c r="F347" s="765">
        <v>4224.6000000000004</v>
      </c>
      <c r="G347" s="752"/>
      <c r="H347" s="810"/>
      <c r="I347" s="1080"/>
    </row>
    <row r="348" spans="1:9" s="285" customFormat="1" ht="12" hidden="1" customHeight="1" x14ac:dyDescent="0.25">
      <c r="A348" s="989"/>
      <c r="B348" s="1042"/>
      <c r="C348" s="1042"/>
      <c r="D348" s="283"/>
      <c r="E348" s="283"/>
      <c r="F348" s="765">
        <v>1160.7</v>
      </c>
      <c r="G348" s="752"/>
      <c r="H348" s="810"/>
      <c r="I348" s="1080"/>
    </row>
    <row r="349" spans="1:9" s="285" customFormat="1" ht="12" hidden="1" customHeight="1" x14ac:dyDescent="0.25">
      <c r="A349" s="989"/>
      <c r="B349" s="1042"/>
      <c r="C349" s="1042"/>
      <c r="D349" s="283"/>
      <c r="E349" s="283"/>
      <c r="F349" s="765">
        <v>1454.2</v>
      </c>
      <c r="G349" s="752"/>
      <c r="H349" s="810"/>
      <c r="I349" s="1080"/>
    </row>
    <row r="350" spans="1:9" s="285" customFormat="1" ht="12" hidden="1" customHeight="1" x14ac:dyDescent="0.25">
      <c r="A350" s="989"/>
      <c r="B350" s="1042"/>
      <c r="C350" s="1042"/>
      <c r="D350" s="283"/>
      <c r="E350" s="283"/>
      <c r="F350" s="765">
        <v>6510</v>
      </c>
      <c r="G350" s="752"/>
      <c r="H350" s="4"/>
      <c r="I350" s="1080"/>
    </row>
    <row r="351" spans="1:9" s="285" customFormat="1" ht="12" hidden="1" customHeight="1" x14ac:dyDescent="0.25">
      <c r="A351" s="989"/>
      <c r="B351" s="1042"/>
      <c r="C351" s="1042"/>
      <c r="D351" s="283"/>
      <c r="E351" s="283"/>
      <c r="F351" s="765">
        <v>2340</v>
      </c>
      <c r="G351" s="752"/>
      <c r="H351" s="4"/>
      <c r="I351" s="1080"/>
    </row>
    <row r="352" spans="1:9" s="285" customFormat="1" ht="12" hidden="1" customHeight="1" x14ac:dyDescent="0.25">
      <c r="A352" s="989">
        <v>12</v>
      </c>
      <c r="B352" s="1042" t="s">
        <v>1105</v>
      </c>
      <c r="C352" s="1042"/>
      <c r="D352" s="283">
        <v>13653</v>
      </c>
      <c r="E352" s="283">
        <v>13653</v>
      </c>
      <c r="F352" s="437">
        <f>F354+F355+F363+F364</f>
        <v>62600</v>
      </c>
      <c r="G352" s="752">
        <v>5250</v>
      </c>
      <c r="H352" s="810"/>
      <c r="I352" s="1080" t="s">
        <v>1099</v>
      </c>
    </row>
    <row r="353" spans="1:9" s="285" customFormat="1" hidden="1" x14ac:dyDescent="0.25">
      <c r="A353" s="989"/>
      <c r="B353" s="1042"/>
      <c r="C353" s="1042"/>
      <c r="D353" s="283">
        <v>0</v>
      </c>
      <c r="E353" s="283">
        <v>0</v>
      </c>
      <c r="F353" s="437">
        <f>F356+F357+F358+F359+F360+F361+F362</f>
        <v>9610</v>
      </c>
      <c r="G353" s="752">
        <v>2241</v>
      </c>
      <c r="H353" s="810"/>
      <c r="I353" s="1080"/>
    </row>
    <row r="354" spans="1:9" s="285" customFormat="1" ht="12" hidden="1" customHeight="1" x14ac:dyDescent="0.25">
      <c r="A354" s="989"/>
      <c r="B354" s="1042"/>
      <c r="C354" s="1042"/>
      <c r="D354" s="283"/>
      <c r="E354" s="283"/>
      <c r="F354" s="765">
        <v>3500</v>
      </c>
      <c r="G354" s="752"/>
      <c r="H354" s="429"/>
      <c r="I354" s="1080"/>
    </row>
    <row r="355" spans="1:9" s="285" customFormat="1" ht="12" hidden="1" customHeight="1" x14ac:dyDescent="0.25">
      <c r="A355" s="989"/>
      <c r="B355" s="1042"/>
      <c r="C355" s="1042"/>
      <c r="D355" s="283"/>
      <c r="E355" s="283"/>
      <c r="F355" s="765">
        <v>5900</v>
      </c>
      <c r="G355" s="752"/>
      <c r="H355" s="429"/>
      <c r="I355" s="1080"/>
    </row>
    <row r="356" spans="1:9" ht="12" hidden="1" customHeight="1" x14ac:dyDescent="0.25">
      <c r="A356" s="989"/>
      <c r="B356" s="1042"/>
      <c r="C356" s="1042"/>
      <c r="D356" s="283"/>
      <c r="E356" s="283"/>
      <c r="F356" s="765">
        <v>1400</v>
      </c>
      <c r="G356" s="752"/>
      <c r="H356" s="429"/>
      <c r="I356" s="1080"/>
    </row>
    <row r="357" spans="1:9" ht="12" hidden="1" customHeight="1" x14ac:dyDescent="0.25">
      <c r="A357" s="989"/>
      <c r="B357" s="1042"/>
      <c r="C357" s="1042"/>
      <c r="D357" s="283"/>
      <c r="E357" s="283"/>
      <c r="F357" s="765">
        <v>1450</v>
      </c>
      <c r="G357" s="752"/>
      <c r="H357" s="429"/>
      <c r="I357" s="1080"/>
    </row>
    <row r="358" spans="1:9" ht="12" hidden="1" customHeight="1" x14ac:dyDescent="0.25">
      <c r="A358" s="989"/>
      <c r="B358" s="1042"/>
      <c r="C358" s="1042"/>
      <c r="D358" s="283"/>
      <c r="E358" s="283"/>
      <c r="F358" s="765">
        <v>530</v>
      </c>
      <c r="G358" s="752"/>
      <c r="H358" s="429"/>
      <c r="I358" s="1080"/>
    </row>
    <row r="359" spans="1:9" ht="12" hidden="1" customHeight="1" x14ac:dyDescent="0.25">
      <c r="A359" s="989"/>
      <c r="B359" s="1042"/>
      <c r="C359" s="1042"/>
      <c r="D359" s="283"/>
      <c r="E359" s="283"/>
      <c r="F359" s="765">
        <v>1400</v>
      </c>
      <c r="G359" s="752"/>
      <c r="H359" s="429"/>
      <c r="I359" s="1080"/>
    </row>
    <row r="360" spans="1:9" ht="12" hidden="1" customHeight="1" x14ac:dyDescent="0.25">
      <c r="A360" s="989"/>
      <c r="B360" s="1042"/>
      <c r="C360" s="1042"/>
      <c r="D360" s="283"/>
      <c r="E360" s="283"/>
      <c r="F360" s="765">
        <v>1400</v>
      </c>
      <c r="G360" s="752"/>
      <c r="H360" s="429"/>
      <c r="I360" s="1080"/>
    </row>
    <row r="361" spans="1:9" ht="12" hidden="1" customHeight="1" x14ac:dyDescent="0.25">
      <c r="A361" s="989"/>
      <c r="B361" s="1042"/>
      <c r="C361" s="1042"/>
      <c r="D361" s="283"/>
      <c r="E361" s="283"/>
      <c r="F361" s="765">
        <v>530</v>
      </c>
      <c r="G361" s="752"/>
      <c r="H361" s="429"/>
      <c r="I361" s="1080"/>
    </row>
    <row r="362" spans="1:9" ht="12" hidden="1" customHeight="1" x14ac:dyDescent="0.25">
      <c r="A362" s="989"/>
      <c r="B362" s="1042"/>
      <c r="C362" s="1042"/>
      <c r="D362" s="283"/>
      <c r="E362" s="283"/>
      <c r="F362" s="765">
        <v>2900</v>
      </c>
      <c r="G362" s="752"/>
      <c r="H362" s="429"/>
      <c r="I362" s="1080"/>
    </row>
    <row r="363" spans="1:9" ht="12" hidden="1" customHeight="1" x14ac:dyDescent="0.25">
      <c r="A363" s="989"/>
      <c r="B363" s="1042"/>
      <c r="C363" s="1042"/>
      <c r="D363" s="283"/>
      <c r="E363" s="283"/>
      <c r="F363" s="765">
        <v>42000</v>
      </c>
      <c r="G363" s="752"/>
      <c r="H363" s="429"/>
      <c r="I363" s="1080"/>
    </row>
    <row r="364" spans="1:9" ht="12" hidden="1" customHeight="1" x14ac:dyDescent="0.25">
      <c r="A364" s="989"/>
      <c r="B364" s="1042"/>
      <c r="C364" s="1042"/>
      <c r="D364" s="283"/>
      <c r="E364" s="283"/>
      <c r="F364" s="765">
        <v>11200</v>
      </c>
      <c r="G364" s="752"/>
      <c r="H364" s="429"/>
      <c r="I364" s="1080"/>
    </row>
    <row r="365" spans="1:9" ht="12" customHeight="1" x14ac:dyDescent="0.25">
      <c r="A365" s="989">
        <v>13</v>
      </c>
      <c r="B365" s="1042" t="s">
        <v>1106</v>
      </c>
      <c r="C365" s="1042"/>
      <c r="D365" s="283">
        <v>35206</v>
      </c>
      <c r="E365" s="283">
        <v>35206</v>
      </c>
      <c r="F365" s="437">
        <f>SUM(F366:F372)</f>
        <v>59942</v>
      </c>
      <c r="G365" s="752">
        <v>5250</v>
      </c>
      <c r="H365" s="810">
        <f>SUM(H366:H372)</f>
        <v>24260</v>
      </c>
      <c r="I365" s="1080" t="s">
        <v>1093</v>
      </c>
    </row>
    <row r="366" spans="1:9" ht="12" hidden="1" customHeight="1" x14ac:dyDescent="0.25">
      <c r="A366" s="989"/>
      <c r="B366" s="1042"/>
      <c r="C366" s="1042"/>
      <c r="D366" s="283"/>
      <c r="E366" s="283"/>
      <c r="F366" s="765">
        <v>26632</v>
      </c>
      <c r="G366" s="752"/>
      <c r="H366" s="7"/>
      <c r="I366" s="1080"/>
    </row>
    <row r="367" spans="1:9" ht="10.5" hidden="1" customHeight="1" x14ac:dyDescent="0.25">
      <c r="A367" s="989"/>
      <c r="B367" s="1042"/>
      <c r="C367" s="1042"/>
      <c r="D367" s="283"/>
      <c r="E367" s="283"/>
      <c r="F367" s="765">
        <v>9050</v>
      </c>
      <c r="G367" s="752"/>
      <c r="H367" s="7"/>
      <c r="I367" s="1080"/>
    </row>
    <row r="368" spans="1:9" ht="12" hidden="1" customHeight="1" x14ac:dyDescent="0.25">
      <c r="A368" s="989"/>
      <c r="B368" s="1042"/>
      <c r="C368" s="1042"/>
      <c r="D368" s="283"/>
      <c r="E368" s="283"/>
      <c r="F368" s="765">
        <v>9900</v>
      </c>
      <c r="G368" s="752"/>
      <c r="H368" s="810">
        <v>9900</v>
      </c>
      <c r="I368" s="1080"/>
    </row>
    <row r="369" spans="1:9" ht="12" hidden="1" customHeight="1" x14ac:dyDescent="0.25">
      <c r="A369" s="989"/>
      <c r="B369" s="1042"/>
      <c r="C369" s="1042"/>
      <c r="D369" s="283"/>
      <c r="E369" s="283"/>
      <c r="F369" s="765">
        <v>7070</v>
      </c>
      <c r="G369" s="752"/>
      <c r="H369" s="810">
        <v>7070</v>
      </c>
      <c r="I369" s="1080"/>
    </row>
    <row r="370" spans="1:9" ht="11.25" hidden="1" customHeight="1" x14ac:dyDescent="0.25">
      <c r="A370" s="989"/>
      <c r="B370" s="1042"/>
      <c r="C370" s="1042"/>
      <c r="D370" s="283"/>
      <c r="E370" s="283"/>
      <c r="F370" s="765">
        <v>2530</v>
      </c>
      <c r="G370" s="752"/>
      <c r="H370" s="810">
        <v>2530</v>
      </c>
      <c r="I370" s="1080"/>
    </row>
    <row r="371" spans="1:9" ht="12" hidden="1" customHeight="1" x14ac:dyDescent="0.25">
      <c r="A371" s="989"/>
      <c r="B371" s="1042"/>
      <c r="C371" s="1042"/>
      <c r="D371" s="283"/>
      <c r="E371" s="283"/>
      <c r="F371" s="765">
        <v>540</v>
      </c>
      <c r="G371" s="752"/>
      <c r="H371" s="810">
        <v>540</v>
      </c>
      <c r="I371" s="1080"/>
    </row>
    <row r="372" spans="1:9" ht="12" hidden="1" customHeight="1" x14ac:dyDescent="0.25">
      <c r="A372" s="989"/>
      <c r="B372" s="1042"/>
      <c r="C372" s="1042"/>
      <c r="D372" s="283"/>
      <c r="E372" s="283"/>
      <c r="F372" s="765">
        <v>4220</v>
      </c>
      <c r="G372" s="752"/>
      <c r="H372" s="4">
        <v>4220</v>
      </c>
      <c r="I372" s="1080"/>
    </row>
    <row r="373" spans="1:9" ht="12" customHeight="1" x14ac:dyDescent="0.25">
      <c r="A373" s="1041">
        <v>14</v>
      </c>
      <c r="B373" s="1042" t="s">
        <v>1107</v>
      </c>
      <c r="C373" s="1042"/>
      <c r="D373" s="283">
        <v>37214</v>
      </c>
      <c r="E373" s="283">
        <v>37214</v>
      </c>
      <c r="F373" s="437">
        <f>SUM(F374:F378)</f>
        <v>52900</v>
      </c>
      <c r="G373" s="752">
        <v>5250</v>
      </c>
      <c r="H373" s="4">
        <f>SUM(H374:H379)</f>
        <v>16600</v>
      </c>
      <c r="I373" s="1076" t="s">
        <v>1093</v>
      </c>
    </row>
    <row r="374" spans="1:9" ht="12" hidden="1" customHeight="1" x14ac:dyDescent="0.25">
      <c r="A374" s="1041"/>
      <c r="B374" s="1042"/>
      <c r="C374" s="1042"/>
      <c r="D374" s="283"/>
      <c r="E374" s="283"/>
      <c r="F374" s="765">
        <v>5900</v>
      </c>
      <c r="G374" s="752"/>
      <c r="H374" s="7"/>
      <c r="I374" s="1076"/>
    </row>
    <row r="375" spans="1:9" ht="25.5" hidden="1" customHeight="1" x14ac:dyDescent="0.25">
      <c r="A375" s="1041"/>
      <c r="B375" s="1042"/>
      <c r="C375" s="1042"/>
      <c r="D375" s="283"/>
      <c r="E375" s="283"/>
      <c r="F375" s="765">
        <v>27000</v>
      </c>
      <c r="G375" s="752"/>
      <c r="H375" s="7"/>
      <c r="I375" s="1076"/>
    </row>
    <row r="376" spans="1:9" ht="12" hidden="1" customHeight="1" x14ac:dyDescent="0.25">
      <c r="A376" s="1041"/>
      <c r="B376" s="1042"/>
      <c r="C376" s="1042"/>
      <c r="D376" s="283"/>
      <c r="E376" s="283"/>
      <c r="F376" s="765">
        <v>3400</v>
      </c>
      <c r="G376" s="752"/>
      <c r="H376" s="4"/>
      <c r="I376" s="1076"/>
    </row>
    <row r="377" spans="1:9" ht="12" hidden="1" customHeight="1" x14ac:dyDescent="0.25">
      <c r="A377" s="1041"/>
      <c r="B377" s="1042"/>
      <c r="C377" s="1042"/>
      <c r="D377" s="283"/>
      <c r="E377" s="283"/>
      <c r="F377" s="765">
        <v>7800</v>
      </c>
      <c r="G377" s="752"/>
      <c r="H377" s="4">
        <v>7800</v>
      </c>
      <c r="I377" s="1076"/>
    </row>
    <row r="378" spans="1:9" ht="12" hidden="1" customHeight="1" x14ac:dyDescent="0.25">
      <c r="A378" s="1041"/>
      <c r="B378" s="1042"/>
      <c r="C378" s="1042"/>
      <c r="D378" s="283"/>
      <c r="E378" s="283"/>
      <c r="F378" s="765">
        <v>8800</v>
      </c>
      <c r="G378" s="752"/>
      <c r="H378" s="4">
        <v>8800</v>
      </c>
      <c r="I378" s="1076"/>
    </row>
    <row r="379" spans="1:9" ht="12" hidden="1" customHeight="1" x14ac:dyDescent="0.25">
      <c r="A379" s="1041"/>
      <c r="B379" s="1042"/>
      <c r="C379" s="1042"/>
      <c r="D379" s="283"/>
      <c r="E379" s="283"/>
      <c r="F379" s="765">
        <v>15000</v>
      </c>
      <c r="G379" s="752"/>
      <c r="H379" s="4"/>
      <c r="I379" s="1076"/>
    </row>
    <row r="380" spans="1:9" ht="12" customHeight="1" x14ac:dyDescent="0.25">
      <c r="A380" s="1041">
        <v>15</v>
      </c>
      <c r="B380" s="1042" t="s">
        <v>1108</v>
      </c>
      <c r="C380" s="1042"/>
      <c r="D380" s="283">
        <v>0</v>
      </c>
      <c r="E380" s="283">
        <v>0</v>
      </c>
      <c r="F380" s="437">
        <f>SUM(F381:F383)</f>
        <v>43300</v>
      </c>
      <c r="G380" s="752">
        <v>5250</v>
      </c>
      <c r="H380" s="4">
        <f>SUM(H381)</f>
        <v>7200</v>
      </c>
      <c r="I380" s="1076" t="s">
        <v>1093</v>
      </c>
    </row>
    <row r="381" spans="1:9" ht="12" hidden="1" customHeight="1" x14ac:dyDescent="0.25">
      <c r="A381" s="1041"/>
      <c r="B381" s="1042"/>
      <c r="C381" s="1042"/>
      <c r="D381" s="283"/>
      <c r="E381" s="283"/>
      <c r="F381" s="765">
        <v>7200</v>
      </c>
      <c r="G381" s="761"/>
      <c r="H381" s="4">
        <v>7200</v>
      </c>
      <c r="I381" s="1076"/>
    </row>
    <row r="382" spans="1:9" ht="12" hidden="1" customHeight="1" x14ac:dyDescent="0.25">
      <c r="A382" s="1041"/>
      <c r="B382" s="1042"/>
      <c r="C382" s="1042"/>
      <c r="D382" s="283"/>
      <c r="E382" s="283"/>
      <c r="F382" s="765">
        <v>31800</v>
      </c>
      <c r="G382" s="761"/>
      <c r="H382" s="7"/>
      <c r="I382" s="1076"/>
    </row>
    <row r="383" spans="1:9" ht="12" hidden="1" customHeight="1" x14ac:dyDescent="0.25">
      <c r="A383" s="1041"/>
      <c r="B383" s="1042"/>
      <c r="C383" s="1042"/>
      <c r="D383" s="283"/>
      <c r="E383" s="283"/>
      <c r="F383" s="765">
        <v>4300</v>
      </c>
      <c r="G383" s="761"/>
      <c r="H383" s="7"/>
      <c r="I383" s="1076"/>
    </row>
    <row r="384" spans="1:9" ht="12" hidden="1" customHeight="1" x14ac:dyDescent="0.25">
      <c r="A384" s="3">
        <v>16</v>
      </c>
      <c r="B384" s="1042" t="s">
        <v>1109</v>
      </c>
      <c r="C384" s="1042"/>
      <c r="D384" s="283">
        <v>8293</v>
      </c>
      <c r="E384" s="283">
        <v>8293</v>
      </c>
      <c r="F384" s="283">
        <v>0</v>
      </c>
      <c r="G384" s="761">
        <v>5250</v>
      </c>
      <c r="H384" s="4"/>
      <c r="I384" s="283"/>
    </row>
    <row r="385" spans="1:9" ht="26.25" hidden="1" customHeight="1" x14ac:dyDescent="0.25">
      <c r="A385" s="3">
        <v>17</v>
      </c>
      <c r="B385" s="1042" t="s">
        <v>1110</v>
      </c>
      <c r="C385" s="1042"/>
      <c r="D385" s="283">
        <f>268331</f>
        <v>268331</v>
      </c>
      <c r="E385" s="283">
        <v>239555</v>
      </c>
      <c r="F385" s="437">
        <v>0</v>
      </c>
      <c r="G385" s="761">
        <v>5250</v>
      </c>
      <c r="H385" s="4"/>
      <c r="I385" s="451"/>
    </row>
    <row r="386" spans="1:9" x14ac:dyDescent="0.25">
      <c r="A386" s="350"/>
      <c r="B386" s="770"/>
      <c r="C386" s="770"/>
      <c r="D386" s="304"/>
      <c r="E386" s="304"/>
      <c r="F386" s="819"/>
      <c r="G386" s="820"/>
      <c r="H386" s="304"/>
      <c r="I386" s="821"/>
    </row>
    <row r="387" spans="1:9" x14ac:dyDescent="0.25">
      <c r="A387" s="1079" t="s">
        <v>6</v>
      </c>
      <c r="B387" s="1079"/>
      <c r="C387" s="748" t="s">
        <v>1111</v>
      </c>
      <c r="D387" s="748"/>
      <c r="E387" s="748"/>
      <c r="F387" s="760"/>
      <c r="G387" s="748"/>
      <c r="H387" s="748"/>
    </row>
    <row r="388" spans="1:9" x14ac:dyDescent="0.25">
      <c r="A388" s="1079" t="s">
        <v>5</v>
      </c>
      <c r="B388" s="1079"/>
      <c r="C388" s="749" t="s">
        <v>1112</v>
      </c>
      <c r="D388" s="749"/>
      <c r="E388" s="749"/>
      <c r="F388" s="750"/>
      <c r="G388" s="749"/>
      <c r="H388" s="749"/>
    </row>
    <row r="389" spans="1:9" ht="36" customHeight="1" x14ac:dyDescent="0.25">
      <c r="A389" s="6" t="s">
        <v>4</v>
      </c>
      <c r="B389" s="989" t="s">
        <v>3</v>
      </c>
      <c r="C389" s="989"/>
      <c r="D389" s="6" t="s">
        <v>11</v>
      </c>
      <c r="E389" s="6" t="s">
        <v>12</v>
      </c>
      <c r="F389" s="216" t="s">
        <v>13</v>
      </c>
      <c r="G389" s="6" t="s">
        <v>2</v>
      </c>
      <c r="H389" s="6" t="s">
        <v>180</v>
      </c>
      <c r="I389" s="216" t="s">
        <v>1</v>
      </c>
    </row>
    <row r="390" spans="1:9" x14ac:dyDescent="0.25">
      <c r="A390" s="1040" t="s">
        <v>14</v>
      </c>
      <c r="B390" s="1040"/>
      <c r="C390" s="1040"/>
      <c r="D390" s="7">
        <f>SUM(D391:D545)</f>
        <v>3928673</v>
      </c>
      <c r="E390" s="7">
        <f>SUM(E391:E545)</f>
        <v>3676428</v>
      </c>
      <c r="F390" s="425">
        <f>F391+F392+F393+F394+F395+F406+F412+F458+F482+F493+F494+F439+F457+F519+F430+F436+F524+F536+F423+F545+F471+F440+F441+F456+F432+F431+F470+F476+F472+F509+F477+F489+F466+F539+F396+F459+F520+F495</f>
        <v>10232207</v>
      </c>
      <c r="G390" s="7"/>
      <c r="H390" s="7">
        <f>H391+H392+H393+H394+H395+H406+H412+H458+H482+H493+H494+H439+H457+H519+H430+H436+H524+H536+H423+H545+H471+H440+H441+H456+H432+H431+H470+H476+H472+H509+H477+H489+H466+H539+H396+H459+H520+H495</f>
        <v>10080079</v>
      </c>
      <c r="I390" s="451"/>
    </row>
    <row r="391" spans="1:9" ht="15" customHeight="1" x14ac:dyDescent="0.25">
      <c r="A391" s="3">
        <v>1</v>
      </c>
      <c r="B391" s="1042" t="s">
        <v>1092</v>
      </c>
      <c r="C391" s="1042"/>
      <c r="D391" s="283">
        <f>62245+8000</f>
        <v>70245</v>
      </c>
      <c r="E391" s="283">
        <v>70245</v>
      </c>
      <c r="F391" s="437">
        <v>82000</v>
      </c>
      <c r="G391" s="752">
        <v>2241</v>
      </c>
      <c r="H391" s="283">
        <f>82000-14000</f>
        <v>68000</v>
      </c>
      <c r="I391" s="451" t="s">
        <v>1113</v>
      </c>
    </row>
    <row r="392" spans="1:9" ht="12" hidden="1" customHeight="1" x14ac:dyDescent="0.25">
      <c r="A392" s="6">
        <v>2</v>
      </c>
      <c r="B392" s="1042" t="s">
        <v>1094</v>
      </c>
      <c r="C392" s="1042"/>
      <c r="D392" s="283">
        <v>0</v>
      </c>
      <c r="E392" s="283">
        <v>0</v>
      </c>
      <c r="F392" s="437">
        <v>0</v>
      </c>
      <c r="G392" s="752">
        <v>5250</v>
      </c>
      <c r="H392" s="425"/>
      <c r="I392" s="299"/>
    </row>
    <row r="393" spans="1:9" ht="15" customHeight="1" x14ac:dyDescent="0.25">
      <c r="A393" s="989">
        <v>2</v>
      </c>
      <c r="B393" s="1042" t="s">
        <v>1114</v>
      </c>
      <c r="C393" s="1042"/>
      <c r="D393" s="283">
        <v>39072</v>
      </c>
      <c r="E393" s="283">
        <v>39072</v>
      </c>
      <c r="F393" s="437">
        <v>39000</v>
      </c>
      <c r="G393" s="752">
        <v>5250</v>
      </c>
      <c r="H393" s="429">
        <v>39000</v>
      </c>
      <c r="I393" s="451" t="s">
        <v>1113</v>
      </c>
    </row>
    <row r="394" spans="1:9" ht="12" hidden="1" customHeight="1" x14ac:dyDescent="0.25">
      <c r="A394" s="989"/>
      <c r="B394" s="1042"/>
      <c r="C394" s="1042"/>
      <c r="D394" s="822">
        <v>378</v>
      </c>
      <c r="E394" s="295">
        <v>378</v>
      </c>
      <c r="F394" s="437">
        <v>0</v>
      </c>
      <c r="G394" s="773">
        <v>2279</v>
      </c>
      <c r="H394" s="425"/>
      <c r="I394" s="299"/>
    </row>
    <row r="395" spans="1:9" ht="12" customHeight="1" x14ac:dyDescent="0.25">
      <c r="A395" s="1041">
        <v>3</v>
      </c>
      <c r="B395" s="1042" t="s">
        <v>1115</v>
      </c>
      <c r="C395" s="1042"/>
      <c r="D395" s="283">
        <v>31310</v>
      </c>
      <c r="E395" s="283">
        <v>31310</v>
      </c>
      <c r="F395" s="437">
        <f>F397+F398+F400+F401+F402+F403+F404+F405</f>
        <v>58498</v>
      </c>
      <c r="G395" s="752">
        <v>5250</v>
      </c>
      <c r="H395" s="283">
        <f>SUM(H397:H398,H400:H401)</f>
        <v>30838</v>
      </c>
      <c r="I395" s="1068" t="s">
        <v>1113</v>
      </c>
    </row>
    <row r="396" spans="1:9" ht="12" customHeight="1" x14ac:dyDescent="0.25">
      <c r="A396" s="1041"/>
      <c r="B396" s="1042"/>
      <c r="C396" s="1042"/>
      <c r="D396" s="283">
        <v>0</v>
      </c>
      <c r="E396" s="283">
        <v>0</v>
      </c>
      <c r="F396" s="437">
        <f>F399</f>
        <v>1748</v>
      </c>
      <c r="G396" s="752">
        <v>2241</v>
      </c>
      <c r="H396" s="283">
        <f>SUM(H399)</f>
        <v>1748</v>
      </c>
      <c r="I396" s="1069"/>
    </row>
    <row r="397" spans="1:9" ht="15" hidden="1" customHeight="1" x14ac:dyDescent="0.25">
      <c r="A397" s="1041"/>
      <c r="B397" s="1042"/>
      <c r="C397" s="1042"/>
      <c r="D397" s="283"/>
      <c r="E397" s="283"/>
      <c r="F397" s="765">
        <v>5500</v>
      </c>
      <c r="G397" s="752"/>
      <c r="H397" s="283">
        <v>5500</v>
      </c>
      <c r="I397" s="1069"/>
    </row>
    <row r="398" spans="1:9" ht="15" hidden="1" customHeight="1" x14ac:dyDescent="0.25">
      <c r="A398" s="1041"/>
      <c r="B398" s="1042"/>
      <c r="C398" s="1042"/>
      <c r="D398" s="283"/>
      <c r="E398" s="283"/>
      <c r="F398" s="765">
        <v>8284</v>
      </c>
      <c r="G398" s="752"/>
      <c r="H398" s="283">
        <v>8284</v>
      </c>
      <c r="I398" s="1069"/>
    </row>
    <row r="399" spans="1:9" ht="41.25" hidden="1" customHeight="1" x14ac:dyDescent="0.25">
      <c r="A399" s="1041"/>
      <c r="B399" s="1042"/>
      <c r="C399" s="1042"/>
      <c r="D399" s="283"/>
      <c r="E399" s="283"/>
      <c r="F399" s="765">
        <v>1748</v>
      </c>
      <c r="G399" s="752"/>
      <c r="H399" s="283">
        <v>1748</v>
      </c>
      <c r="I399" s="1069"/>
    </row>
    <row r="400" spans="1:9" ht="28.5" hidden="1" customHeight="1" x14ac:dyDescent="0.25">
      <c r="A400" s="1041"/>
      <c r="B400" s="1042"/>
      <c r="C400" s="1042"/>
      <c r="D400" s="283"/>
      <c r="E400" s="283"/>
      <c r="F400" s="765">
        <v>8414</v>
      </c>
      <c r="G400" s="752"/>
      <c r="H400" s="283">
        <v>8414</v>
      </c>
      <c r="I400" s="1069"/>
    </row>
    <row r="401" spans="1:9" ht="15" hidden="1" customHeight="1" x14ac:dyDescent="0.25">
      <c r="A401" s="1041"/>
      <c r="B401" s="1042"/>
      <c r="C401" s="1042"/>
      <c r="D401" s="283"/>
      <c r="E401" s="283"/>
      <c r="F401" s="765">
        <v>8640</v>
      </c>
      <c r="G401" s="752"/>
      <c r="H401" s="283">
        <v>8640</v>
      </c>
      <c r="I401" s="1069"/>
    </row>
    <row r="402" spans="1:9" ht="15" hidden="1" customHeight="1" x14ac:dyDescent="0.25">
      <c r="A402" s="1041"/>
      <c r="B402" s="1042"/>
      <c r="C402" s="1042"/>
      <c r="D402" s="283"/>
      <c r="E402" s="283"/>
      <c r="F402" s="765">
        <v>2160</v>
      </c>
      <c r="G402" s="752"/>
      <c r="H402" s="283"/>
      <c r="I402" s="1069"/>
    </row>
    <row r="403" spans="1:9" ht="15" hidden="1" customHeight="1" x14ac:dyDescent="0.25">
      <c r="A403" s="1041"/>
      <c r="B403" s="1042"/>
      <c r="C403" s="1042"/>
      <c r="D403" s="283"/>
      <c r="E403" s="283"/>
      <c r="F403" s="765">
        <v>9500</v>
      </c>
      <c r="G403" s="752"/>
      <c r="H403" s="425"/>
      <c r="I403" s="1069"/>
    </row>
    <row r="404" spans="1:9" ht="15" hidden="1" customHeight="1" x14ac:dyDescent="0.25">
      <c r="A404" s="1041"/>
      <c r="B404" s="1042"/>
      <c r="C404" s="1042"/>
      <c r="D404" s="283"/>
      <c r="E404" s="283"/>
      <c r="F404" s="765">
        <v>11000</v>
      </c>
      <c r="G404" s="752"/>
      <c r="H404" s="425"/>
      <c r="I404" s="1069"/>
    </row>
    <row r="405" spans="1:9" ht="15" hidden="1" customHeight="1" x14ac:dyDescent="0.25">
      <c r="A405" s="1041"/>
      <c r="B405" s="1042"/>
      <c r="C405" s="1042"/>
      <c r="D405" s="283"/>
      <c r="E405" s="283"/>
      <c r="F405" s="765">
        <v>5000</v>
      </c>
      <c r="G405" s="752"/>
      <c r="H405" s="425"/>
      <c r="I405" s="1073"/>
    </row>
    <row r="406" spans="1:9" ht="12" customHeight="1" x14ac:dyDescent="0.25">
      <c r="A406" s="1077">
        <v>4</v>
      </c>
      <c r="B406" s="1042" t="s">
        <v>1116</v>
      </c>
      <c r="C406" s="1042"/>
      <c r="D406" s="283">
        <v>16784</v>
      </c>
      <c r="E406" s="283">
        <v>16784</v>
      </c>
      <c r="F406" s="437">
        <f>SUM(F407:F411)</f>
        <v>61300</v>
      </c>
      <c r="G406" s="752">
        <v>5250</v>
      </c>
      <c r="H406" s="283">
        <f>SUM(H407:H411)</f>
        <v>29300</v>
      </c>
      <c r="I406" s="1076" t="s">
        <v>1113</v>
      </c>
    </row>
    <row r="407" spans="1:9" ht="12" hidden="1" customHeight="1" x14ac:dyDescent="0.25">
      <c r="A407" s="1077"/>
      <c r="B407" s="1042"/>
      <c r="C407" s="1042"/>
      <c r="D407" s="283"/>
      <c r="E407" s="283"/>
      <c r="F407" s="765">
        <v>17000</v>
      </c>
      <c r="G407" s="752"/>
      <c r="H407" s="429">
        <v>17000</v>
      </c>
      <c r="I407" s="1076"/>
    </row>
    <row r="408" spans="1:9" ht="12" hidden="1" customHeight="1" x14ac:dyDescent="0.25">
      <c r="A408" s="1077"/>
      <c r="B408" s="1042"/>
      <c r="C408" s="1042"/>
      <c r="D408" s="283"/>
      <c r="E408" s="283"/>
      <c r="F408" s="765">
        <v>2800</v>
      </c>
      <c r="G408" s="752"/>
      <c r="H408" s="429">
        <v>2800</v>
      </c>
      <c r="I408" s="1076"/>
    </row>
    <row r="409" spans="1:9" ht="12" hidden="1" customHeight="1" x14ac:dyDescent="0.25">
      <c r="A409" s="1077"/>
      <c r="B409" s="1042"/>
      <c r="C409" s="1042"/>
      <c r="D409" s="283"/>
      <c r="E409" s="283"/>
      <c r="F409" s="765">
        <v>10000</v>
      </c>
      <c r="G409" s="752"/>
      <c r="H409" s="425"/>
      <c r="I409" s="1076"/>
    </row>
    <row r="410" spans="1:9" ht="12" hidden="1" customHeight="1" x14ac:dyDescent="0.25">
      <c r="A410" s="1077"/>
      <c r="B410" s="1042"/>
      <c r="C410" s="1042"/>
      <c r="D410" s="283"/>
      <c r="E410" s="283"/>
      <c r="F410" s="765">
        <v>9500</v>
      </c>
      <c r="G410" s="752"/>
      <c r="H410" s="429">
        <v>9500</v>
      </c>
      <c r="I410" s="1076"/>
    </row>
    <row r="411" spans="1:9" ht="12" hidden="1" customHeight="1" x14ac:dyDescent="0.25">
      <c r="A411" s="1077"/>
      <c r="B411" s="1042"/>
      <c r="C411" s="1042"/>
      <c r="D411" s="283"/>
      <c r="E411" s="283"/>
      <c r="F411" s="765">
        <v>22000</v>
      </c>
      <c r="G411" s="752"/>
      <c r="H411" s="283"/>
      <c r="I411" s="1076"/>
    </row>
    <row r="412" spans="1:9" x14ac:dyDescent="0.25">
      <c r="A412" s="1077">
        <v>5</v>
      </c>
      <c r="B412" s="1042" t="s">
        <v>1117</v>
      </c>
      <c r="C412" s="1042"/>
      <c r="D412" s="283">
        <v>41376</v>
      </c>
      <c r="E412" s="283">
        <v>41376</v>
      </c>
      <c r="F412" s="437">
        <f>F413+F417</f>
        <v>101901</v>
      </c>
      <c r="G412" s="752">
        <v>5250</v>
      </c>
      <c r="H412" s="283">
        <f>SUM(H413:H422)</f>
        <v>52500</v>
      </c>
      <c r="I412" s="1068" t="s">
        <v>1113</v>
      </c>
    </row>
    <row r="413" spans="1:9" ht="15" hidden="1" customHeight="1" x14ac:dyDescent="0.25">
      <c r="A413" s="1077"/>
      <c r="B413" s="1042"/>
      <c r="C413" s="1042"/>
      <c r="D413" s="283"/>
      <c r="E413" s="283"/>
      <c r="F413" s="755">
        <f>SUM(F414:F416)</f>
        <v>33000</v>
      </c>
      <c r="G413" s="752"/>
      <c r="H413" s="283"/>
      <c r="I413" s="1069"/>
    </row>
    <row r="414" spans="1:9" ht="27" hidden="1" customHeight="1" x14ac:dyDescent="0.25">
      <c r="A414" s="1077"/>
      <c r="B414" s="1042"/>
      <c r="C414" s="1042"/>
      <c r="D414" s="283"/>
      <c r="E414" s="283"/>
      <c r="F414" s="765">
        <v>150</v>
      </c>
      <c r="G414" s="752"/>
      <c r="H414" s="283">
        <v>150</v>
      </c>
      <c r="I414" s="1069"/>
    </row>
    <row r="415" spans="1:9" ht="15" hidden="1" customHeight="1" x14ac:dyDescent="0.25">
      <c r="A415" s="1077"/>
      <c r="B415" s="1042"/>
      <c r="C415" s="1042"/>
      <c r="D415" s="283"/>
      <c r="E415" s="283"/>
      <c r="F415" s="765">
        <v>1800</v>
      </c>
      <c r="G415" s="752"/>
      <c r="H415" s="283">
        <v>1800</v>
      </c>
      <c r="I415" s="1069"/>
    </row>
    <row r="416" spans="1:9" ht="15" hidden="1" customHeight="1" x14ac:dyDescent="0.25">
      <c r="A416" s="1077"/>
      <c r="B416" s="1042"/>
      <c r="C416" s="1042"/>
      <c r="D416" s="283"/>
      <c r="E416" s="283"/>
      <c r="F416" s="765">
        <v>31050</v>
      </c>
      <c r="G416" s="752"/>
      <c r="H416" s="283">
        <v>31050</v>
      </c>
      <c r="I416" s="1069"/>
    </row>
    <row r="417" spans="1:11" ht="15" hidden="1" customHeight="1" x14ac:dyDescent="0.25">
      <c r="A417" s="1077"/>
      <c r="B417" s="1042"/>
      <c r="C417" s="1042"/>
      <c r="D417" s="283"/>
      <c r="E417" s="283"/>
      <c r="F417" s="755">
        <f>SUM(F418:F422)</f>
        <v>68901</v>
      </c>
      <c r="G417" s="752"/>
      <c r="H417" s="425"/>
      <c r="I417" s="1069"/>
    </row>
    <row r="418" spans="1:11" ht="15" hidden="1" customHeight="1" x14ac:dyDescent="0.25">
      <c r="A418" s="1077"/>
      <c r="B418" s="1042"/>
      <c r="C418" s="1042"/>
      <c r="D418" s="283"/>
      <c r="E418" s="283"/>
      <c r="F418" s="765">
        <v>5500</v>
      </c>
      <c r="G418" s="752"/>
      <c r="H418" s="429">
        <v>5500</v>
      </c>
      <c r="I418" s="1069"/>
    </row>
    <row r="419" spans="1:11" ht="15" hidden="1" customHeight="1" x14ac:dyDescent="0.25">
      <c r="A419" s="1077"/>
      <c r="B419" s="1042"/>
      <c r="C419" s="1042"/>
      <c r="D419" s="283"/>
      <c r="E419" s="283"/>
      <c r="F419" s="765">
        <v>14000</v>
      </c>
      <c r="G419" s="752"/>
      <c r="H419" s="283">
        <v>14000</v>
      </c>
      <c r="I419" s="1069"/>
    </row>
    <row r="420" spans="1:11" ht="28.5" hidden="1" customHeight="1" x14ac:dyDescent="0.25">
      <c r="A420" s="1077"/>
      <c r="B420" s="1042"/>
      <c r="C420" s="1042"/>
      <c r="D420" s="283"/>
      <c r="E420" s="283"/>
      <c r="F420" s="765">
        <v>29508</v>
      </c>
      <c r="G420" s="752"/>
      <c r="H420" s="425"/>
      <c r="I420" s="1069"/>
    </row>
    <row r="421" spans="1:11" ht="29.25" hidden="1" customHeight="1" x14ac:dyDescent="0.25">
      <c r="A421" s="1077"/>
      <c r="B421" s="1042"/>
      <c r="C421" s="1042"/>
      <c r="D421" s="283"/>
      <c r="E421" s="283"/>
      <c r="F421" s="765">
        <v>3850</v>
      </c>
      <c r="G421" s="752"/>
      <c r="H421" s="425"/>
      <c r="I421" s="1069"/>
    </row>
    <row r="422" spans="1:11" ht="15" hidden="1" customHeight="1" x14ac:dyDescent="0.25">
      <c r="A422" s="1077"/>
      <c r="B422" s="1042"/>
      <c r="C422" s="1042"/>
      <c r="D422" s="283"/>
      <c r="E422" s="283"/>
      <c r="F422" s="765">
        <v>16043</v>
      </c>
      <c r="G422" s="752"/>
      <c r="H422" s="425"/>
      <c r="I422" s="1073"/>
    </row>
    <row r="423" spans="1:11" ht="52.5" hidden="1" customHeight="1" x14ac:dyDescent="0.25">
      <c r="A423" s="1077">
        <v>7</v>
      </c>
      <c r="B423" s="1078" t="s">
        <v>1118</v>
      </c>
      <c r="C423" s="1078"/>
      <c r="D423" s="283">
        <v>0</v>
      </c>
      <c r="E423" s="283">
        <v>0</v>
      </c>
      <c r="F423" s="437">
        <f>SUM(F424:F429)</f>
        <v>51496</v>
      </c>
      <c r="G423" s="752">
        <v>5250</v>
      </c>
      <c r="H423" s="425"/>
      <c r="I423" s="1076" t="s">
        <v>1119</v>
      </c>
    </row>
    <row r="424" spans="1:11" ht="12" hidden="1" customHeight="1" x14ac:dyDescent="0.25">
      <c r="A424" s="1077"/>
      <c r="B424" s="1078"/>
      <c r="C424" s="1078"/>
      <c r="D424" s="283"/>
      <c r="E424" s="283"/>
      <c r="F424" s="765">
        <v>10144</v>
      </c>
      <c r="G424" s="752"/>
      <c r="H424" s="425"/>
      <c r="I424" s="1076"/>
    </row>
    <row r="425" spans="1:11" ht="12" hidden="1" customHeight="1" x14ac:dyDescent="0.25">
      <c r="A425" s="1077"/>
      <c r="B425" s="1078"/>
      <c r="C425" s="1078"/>
      <c r="D425" s="283"/>
      <c r="E425" s="283"/>
      <c r="F425" s="765">
        <v>7608</v>
      </c>
      <c r="G425" s="752"/>
      <c r="H425" s="425"/>
      <c r="I425" s="1076"/>
    </row>
    <row r="426" spans="1:11" ht="12" hidden="1" customHeight="1" x14ac:dyDescent="0.25">
      <c r="A426" s="1077"/>
      <c r="B426" s="1078"/>
      <c r="C426" s="1078"/>
      <c r="D426" s="283"/>
      <c r="E426" s="283"/>
      <c r="F426" s="765">
        <v>8876</v>
      </c>
      <c r="G426" s="752"/>
      <c r="H426" s="425"/>
      <c r="I426" s="1076"/>
    </row>
    <row r="427" spans="1:11" ht="12" hidden="1" customHeight="1" x14ac:dyDescent="0.25">
      <c r="A427" s="1077"/>
      <c r="B427" s="1078"/>
      <c r="C427" s="1078"/>
      <c r="D427" s="283"/>
      <c r="E427" s="283"/>
      <c r="F427" s="765">
        <v>8876</v>
      </c>
      <c r="G427" s="752"/>
      <c r="H427" s="425"/>
      <c r="I427" s="1076"/>
    </row>
    <row r="428" spans="1:11" ht="12" hidden="1" customHeight="1" x14ac:dyDescent="0.25">
      <c r="A428" s="1077"/>
      <c r="B428" s="1078"/>
      <c r="C428" s="1078"/>
      <c r="D428" s="283"/>
      <c r="E428" s="283"/>
      <c r="F428" s="765">
        <v>3312</v>
      </c>
      <c r="G428" s="752"/>
      <c r="H428" s="425"/>
      <c r="I428" s="1076"/>
    </row>
    <row r="429" spans="1:11" ht="12" hidden="1" customHeight="1" x14ac:dyDescent="0.25">
      <c r="A429" s="1077"/>
      <c r="B429" s="1078"/>
      <c r="C429" s="1078"/>
      <c r="D429" s="283"/>
      <c r="E429" s="283"/>
      <c r="F429" s="765">
        <v>12680</v>
      </c>
      <c r="G429" s="752"/>
      <c r="H429" s="425"/>
      <c r="I429" s="1076"/>
    </row>
    <row r="430" spans="1:11" ht="12" hidden="1" customHeight="1" x14ac:dyDescent="0.25">
      <c r="A430" s="3">
        <v>8</v>
      </c>
      <c r="B430" s="1042" t="s">
        <v>1120</v>
      </c>
      <c r="C430" s="1042"/>
      <c r="D430" s="283">
        <v>63649</v>
      </c>
      <c r="E430" s="283">
        <v>63649</v>
      </c>
      <c r="F430" s="437">
        <v>0</v>
      </c>
      <c r="G430" s="752">
        <v>5250</v>
      </c>
      <c r="H430" s="283"/>
      <c r="I430" s="451"/>
    </row>
    <row r="431" spans="1:11" ht="29.25" hidden="1" customHeight="1" x14ac:dyDescent="0.25">
      <c r="A431" s="3">
        <v>9</v>
      </c>
      <c r="B431" s="1078" t="s">
        <v>1121</v>
      </c>
      <c r="C431" s="1078"/>
      <c r="D431" s="283">
        <f>63050</f>
        <v>63050</v>
      </c>
      <c r="E431" s="283">
        <v>1876</v>
      </c>
      <c r="F431" s="437">
        <v>0</v>
      </c>
      <c r="G431" s="752">
        <v>5250</v>
      </c>
      <c r="H431" s="283"/>
      <c r="I431" s="451"/>
      <c r="J431" s="823"/>
      <c r="K431" s="823"/>
    </row>
    <row r="432" spans="1:11" ht="25.5" customHeight="1" x14ac:dyDescent="0.25">
      <c r="A432" s="1041">
        <v>6</v>
      </c>
      <c r="B432" s="1078" t="s">
        <v>1122</v>
      </c>
      <c r="C432" s="1078"/>
      <c r="D432" s="283">
        <v>0</v>
      </c>
      <c r="E432" s="283">
        <v>0</v>
      </c>
      <c r="F432" s="437">
        <f>SUM(F433:F435)</f>
        <v>99107</v>
      </c>
      <c r="G432" s="752">
        <v>5250</v>
      </c>
      <c r="H432" s="283">
        <f>SUM(H433:H435)</f>
        <v>82000</v>
      </c>
      <c r="I432" s="1076" t="s">
        <v>1113</v>
      </c>
      <c r="J432" s="823"/>
      <c r="K432" s="823"/>
    </row>
    <row r="433" spans="1:13" ht="12" hidden="1" customHeight="1" x14ac:dyDescent="0.25">
      <c r="A433" s="1041"/>
      <c r="B433" s="1078"/>
      <c r="C433" s="1078"/>
      <c r="D433" s="283"/>
      <c r="E433" s="283"/>
      <c r="F433" s="795">
        <v>90907</v>
      </c>
      <c r="G433" s="752"/>
      <c r="H433" s="283">
        <v>75000</v>
      </c>
      <c r="I433" s="1076"/>
      <c r="J433" s="823"/>
      <c r="K433" s="823"/>
    </row>
    <row r="434" spans="1:13" ht="12" hidden="1" customHeight="1" x14ac:dyDescent="0.25">
      <c r="A434" s="1041"/>
      <c r="B434" s="1078"/>
      <c r="C434" s="1078"/>
      <c r="D434" s="283"/>
      <c r="E434" s="283"/>
      <c r="F434" s="795">
        <v>7000</v>
      </c>
      <c r="G434" s="752"/>
      <c r="H434" s="283">
        <v>7000</v>
      </c>
      <c r="I434" s="1076"/>
      <c r="J434" s="823"/>
      <c r="K434" s="823"/>
    </row>
    <row r="435" spans="1:13" ht="12" hidden="1" customHeight="1" x14ac:dyDescent="0.25">
      <c r="A435" s="1041"/>
      <c r="B435" s="1078"/>
      <c r="C435" s="1078"/>
      <c r="D435" s="283"/>
      <c r="E435" s="283"/>
      <c r="F435" s="795">
        <v>1200</v>
      </c>
      <c r="G435" s="752"/>
      <c r="H435" s="283"/>
      <c r="I435" s="1076"/>
    </row>
    <row r="436" spans="1:13" ht="12" hidden="1" customHeight="1" x14ac:dyDescent="0.25">
      <c r="A436" s="1041">
        <v>11</v>
      </c>
      <c r="B436" s="1042" t="s">
        <v>1123</v>
      </c>
      <c r="C436" s="1042"/>
      <c r="D436" s="283">
        <v>0</v>
      </c>
      <c r="E436" s="283">
        <v>0</v>
      </c>
      <c r="F436" s="437">
        <f>SUM(F437:F438)</f>
        <v>20960</v>
      </c>
      <c r="G436" s="752">
        <v>5250</v>
      </c>
      <c r="H436" s="283"/>
      <c r="I436" s="1076" t="s">
        <v>1119</v>
      </c>
    </row>
    <row r="437" spans="1:13" ht="12" hidden="1" customHeight="1" x14ac:dyDescent="0.25">
      <c r="A437" s="1041"/>
      <c r="B437" s="1042"/>
      <c r="C437" s="1042"/>
      <c r="D437" s="283"/>
      <c r="E437" s="283"/>
      <c r="F437" s="765">
        <v>20322</v>
      </c>
      <c r="G437" s="752"/>
      <c r="H437" s="283"/>
      <c r="I437" s="1076"/>
    </row>
    <row r="438" spans="1:13" ht="12" hidden="1" customHeight="1" x14ac:dyDescent="0.25">
      <c r="A438" s="1041"/>
      <c r="B438" s="1042"/>
      <c r="C438" s="1042"/>
      <c r="D438" s="283"/>
      <c r="E438" s="283"/>
      <c r="F438" s="765">
        <v>638</v>
      </c>
      <c r="G438" s="752"/>
      <c r="H438" s="283"/>
      <c r="I438" s="1076"/>
    </row>
    <row r="439" spans="1:13" ht="12" hidden="1" customHeight="1" x14ac:dyDescent="0.25">
      <c r="A439" s="3">
        <v>12</v>
      </c>
      <c r="B439" s="1042" t="s">
        <v>1124</v>
      </c>
      <c r="C439" s="1042"/>
      <c r="D439" s="283">
        <v>28258</v>
      </c>
      <c r="E439" s="283">
        <v>28258</v>
      </c>
      <c r="F439" s="437">
        <v>0</v>
      </c>
      <c r="G439" s="752">
        <v>5250</v>
      </c>
      <c r="H439" s="283"/>
      <c r="I439" s="451"/>
    </row>
    <row r="440" spans="1:13" ht="12" customHeight="1" x14ac:dyDescent="0.25">
      <c r="A440" s="1041">
        <v>7</v>
      </c>
      <c r="B440" s="1078" t="s">
        <v>1125</v>
      </c>
      <c r="C440" s="1078"/>
      <c r="D440" s="283">
        <v>0</v>
      </c>
      <c r="E440" s="283">
        <v>0</v>
      </c>
      <c r="F440" s="437">
        <v>0</v>
      </c>
      <c r="G440" s="752">
        <v>5240</v>
      </c>
      <c r="H440" s="283">
        <f>H444+H445+H446+H447+H448</f>
        <v>5366407</v>
      </c>
      <c r="I440" s="451" t="s">
        <v>1113</v>
      </c>
    </row>
    <row r="441" spans="1:13" ht="27" customHeight="1" x14ac:dyDescent="0.25">
      <c r="A441" s="1041"/>
      <c r="B441" s="1078"/>
      <c r="C441" s="1078"/>
      <c r="D441" s="283">
        <f>1000000</f>
        <v>1000000</v>
      </c>
      <c r="E441" s="283">
        <v>876355</v>
      </c>
      <c r="F441" s="283">
        <f>F442+F443</f>
        <v>8681012</v>
      </c>
      <c r="G441" s="752">
        <v>5250</v>
      </c>
      <c r="H441" s="283">
        <f>H449+H450+H451+H452+H453+H454+H455:H455</f>
        <v>4190962</v>
      </c>
      <c r="I441" s="1068" t="s">
        <v>1126</v>
      </c>
      <c r="J441" s="281" t="s">
        <v>906</v>
      </c>
      <c r="K441" s="464">
        <f>SUM(H444,H445,H446)-1</f>
        <v>4363406</v>
      </c>
      <c r="L441" s="281" t="s">
        <v>907</v>
      </c>
      <c r="M441" s="464">
        <f>SUM(H447,H448)+1</f>
        <v>1003001</v>
      </c>
    </row>
    <row r="442" spans="1:13" ht="25.5" hidden="1" customHeight="1" x14ac:dyDescent="0.25">
      <c r="A442" s="1041"/>
      <c r="B442" s="1078"/>
      <c r="C442" s="1078"/>
      <c r="D442" s="283"/>
      <c r="E442" s="283"/>
      <c r="F442" s="824">
        <f>SUM(F444:F449)+SUM(F451:F452)+F454+0.72</f>
        <v>8624012</v>
      </c>
      <c r="G442" s="754" t="s">
        <v>1127</v>
      </c>
      <c r="H442" s="283"/>
      <c r="I442" s="1069"/>
      <c r="J442" s="281" t="s">
        <v>906</v>
      </c>
      <c r="K442" s="464">
        <f>SUM(H449,H451,H452,H454)-1</f>
        <v>4136960</v>
      </c>
      <c r="L442" s="281" t="s">
        <v>907</v>
      </c>
      <c r="M442" s="464">
        <f>SUM(H450,H453,H455)+1</f>
        <v>54002</v>
      </c>
    </row>
    <row r="443" spans="1:13" ht="25.5" hidden="1" customHeight="1" x14ac:dyDescent="0.25">
      <c r="A443" s="1041"/>
      <c r="B443" s="1078"/>
      <c r="C443" s="1078"/>
      <c r="D443" s="283"/>
      <c r="E443" s="283"/>
      <c r="F443" s="824">
        <f>F450+F453+F455</f>
        <v>57000</v>
      </c>
      <c r="G443" s="754" t="s">
        <v>1128</v>
      </c>
      <c r="H443" s="283"/>
      <c r="I443" s="1069"/>
      <c r="K443" s="464">
        <f>SUM(K441:K442)</f>
        <v>8500366</v>
      </c>
      <c r="M443" s="464">
        <f>SUM(M441:M442)</f>
        <v>1057003</v>
      </c>
    </row>
    <row r="444" spans="1:13" ht="15" hidden="1" customHeight="1" x14ac:dyDescent="0.25">
      <c r="A444" s="1041"/>
      <c r="B444" s="1078"/>
      <c r="C444" s="1078"/>
      <c r="D444" s="283"/>
      <c r="E444" s="283"/>
      <c r="F444" s="795">
        <v>15269.06</v>
      </c>
      <c r="G444" s="762" t="s">
        <v>1129</v>
      </c>
      <c r="H444" s="283">
        <v>15269</v>
      </c>
      <c r="I444" s="1069"/>
    </row>
    <row r="445" spans="1:13" ht="27.75" hidden="1" customHeight="1" x14ac:dyDescent="0.25">
      <c r="A445" s="1041"/>
      <c r="B445" s="1078"/>
      <c r="C445" s="1078"/>
      <c r="D445" s="283"/>
      <c r="E445" s="283"/>
      <c r="F445" s="795">
        <v>22614.35</v>
      </c>
      <c r="G445" s="762" t="s">
        <v>1129</v>
      </c>
      <c r="H445" s="283">
        <v>22615</v>
      </c>
      <c r="I445" s="1069"/>
    </row>
    <row r="446" spans="1:13" ht="15" hidden="1" customHeight="1" x14ac:dyDescent="0.25">
      <c r="A446" s="1041"/>
      <c r="B446" s="1078"/>
      <c r="C446" s="1078"/>
      <c r="D446" s="283"/>
      <c r="E446" s="283"/>
      <c r="F446" s="795">
        <f>4449167.85</f>
        <v>4449167.8499999996</v>
      </c>
      <c r="G446" s="762" t="s">
        <v>1129</v>
      </c>
      <c r="H446" s="283">
        <v>4325523</v>
      </c>
      <c r="I446" s="1069"/>
    </row>
    <row r="447" spans="1:13" ht="15" hidden="1" customHeight="1" x14ac:dyDescent="0.25">
      <c r="A447" s="1041"/>
      <c r="B447" s="1078"/>
      <c r="C447" s="1078"/>
      <c r="D447" s="283"/>
      <c r="E447" s="283"/>
      <c r="F447" s="795"/>
      <c r="G447" s="762" t="s">
        <v>1130</v>
      </c>
      <c r="H447" s="283">
        <v>1000000</v>
      </c>
      <c r="I447" s="1069"/>
    </row>
    <row r="448" spans="1:13" ht="15" hidden="1" customHeight="1" x14ac:dyDescent="0.25">
      <c r="A448" s="1041"/>
      <c r="B448" s="1078"/>
      <c r="C448" s="1078"/>
      <c r="D448" s="283"/>
      <c r="E448" s="283"/>
      <c r="F448" s="795"/>
      <c r="G448" s="762" t="s">
        <v>1130</v>
      </c>
      <c r="H448" s="283">
        <v>3000</v>
      </c>
      <c r="I448" s="1069"/>
    </row>
    <row r="449" spans="1:11" ht="15" hidden="1" customHeight="1" x14ac:dyDescent="0.25">
      <c r="A449" s="1041"/>
      <c r="B449" s="1078"/>
      <c r="C449" s="1078"/>
      <c r="D449" s="283"/>
      <c r="E449" s="283"/>
      <c r="F449" s="795">
        <v>3558.35</v>
      </c>
      <c r="G449" s="762" t="s">
        <v>1131</v>
      </c>
      <c r="H449" s="283">
        <v>3559</v>
      </c>
      <c r="I449" s="1069"/>
    </row>
    <row r="450" spans="1:11" ht="15" hidden="1" customHeight="1" x14ac:dyDescent="0.25">
      <c r="A450" s="1041"/>
      <c r="B450" s="1078"/>
      <c r="C450" s="1078"/>
      <c r="D450" s="283"/>
      <c r="E450" s="283"/>
      <c r="F450" s="795">
        <v>28333.32</v>
      </c>
      <c r="G450" s="754" t="s">
        <v>1087</v>
      </c>
      <c r="H450" s="283">
        <v>28334</v>
      </c>
      <c r="I450" s="1069"/>
    </row>
    <row r="451" spans="1:11" ht="15" hidden="1" customHeight="1" x14ac:dyDescent="0.25">
      <c r="A451" s="1041"/>
      <c r="B451" s="1078"/>
      <c r="C451" s="1078"/>
      <c r="D451" s="283"/>
      <c r="E451" s="283"/>
      <c r="F451" s="795">
        <f>391395.17+1364210.8</f>
        <v>1755605.97</v>
      </c>
      <c r="G451" s="762" t="s">
        <v>1131</v>
      </c>
      <c r="H451" s="283">
        <v>1755606</v>
      </c>
      <c r="I451" s="1069"/>
    </row>
    <row r="452" spans="1:11" ht="15" hidden="1" customHeight="1" x14ac:dyDescent="0.25">
      <c r="A452" s="1041"/>
      <c r="B452" s="1078"/>
      <c r="C452" s="1078"/>
      <c r="D452" s="283"/>
      <c r="E452" s="283"/>
      <c r="F452" s="795">
        <v>5404.46</v>
      </c>
      <c r="G452" s="762" t="s">
        <v>1131</v>
      </c>
      <c r="H452" s="283">
        <v>5405</v>
      </c>
      <c r="I452" s="1069"/>
    </row>
    <row r="453" spans="1:11" ht="15" hidden="1" customHeight="1" x14ac:dyDescent="0.25">
      <c r="A453" s="1041"/>
      <c r="B453" s="1078"/>
      <c r="C453" s="1078"/>
      <c r="D453" s="283"/>
      <c r="E453" s="283"/>
      <c r="F453" s="795">
        <v>21666.68</v>
      </c>
      <c r="G453" s="754" t="s">
        <v>1087</v>
      </c>
      <c r="H453" s="283">
        <v>21667</v>
      </c>
      <c r="I453" s="1069"/>
    </row>
    <row r="454" spans="1:11" ht="15" hidden="1" customHeight="1" x14ac:dyDescent="0.25">
      <c r="A454" s="1041"/>
      <c r="B454" s="1078"/>
      <c r="C454" s="1078"/>
      <c r="D454" s="283"/>
      <c r="E454" s="283"/>
      <c r="F454" s="795">
        <f>300426.83+2071964.41</f>
        <v>2372391.2399999998</v>
      </c>
      <c r="G454" s="762" t="s">
        <v>1131</v>
      </c>
      <c r="H454" s="283">
        <v>2372391</v>
      </c>
      <c r="I454" s="1069"/>
      <c r="J454" s="823"/>
      <c r="K454" s="823"/>
    </row>
    <row r="455" spans="1:11" ht="15" hidden="1" customHeight="1" x14ac:dyDescent="0.25">
      <c r="A455" s="1041"/>
      <c r="B455" s="1078"/>
      <c r="C455" s="1078"/>
      <c r="D455" s="283"/>
      <c r="E455" s="283"/>
      <c r="F455" s="795">
        <v>7000</v>
      </c>
      <c r="G455" s="754" t="s">
        <v>1087</v>
      </c>
      <c r="H455" s="283">
        <v>4000</v>
      </c>
      <c r="I455" s="1073"/>
      <c r="J455" s="823"/>
      <c r="K455" s="823"/>
    </row>
    <row r="456" spans="1:11" ht="12" hidden="1" customHeight="1" x14ac:dyDescent="0.25">
      <c r="A456" s="1041"/>
      <c r="B456" s="1078"/>
      <c r="C456" s="1078"/>
      <c r="D456" s="283">
        <f>630</f>
        <v>630</v>
      </c>
      <c r="E456" s="283">
        <v>497</v>
      </c>
      <c r="F456" s="437">
        <v>0</v>
      </c>
      <c r="G456" s="752">
        <v>2239</v>
      </c>
      <c r="H456" s="283"/>
      <c r="I456" s="451"/>
    </row>
    <row r="457" spans="1:11" ht="12" hidden="1" customHeight="1" x14ac:dyDescent="0.25">
      <c r="A457" s="3">
        <v>14</v>
      </c>
      <c r="B457" s="1042" t="s">
        <v>1132</v>
      </c>
      <c r="C457" s="1042"/>
      <c r="D457" s="283">
        <v>0</v>
      </c>
      <c r="E457" s="283">
        <v>0</v>
      </c>
      <c r="F457" s="437">
        <v>5500</v>
      </c>
      <c r="G457" s="752">
        <v>5250</v>
      </c>
      <c r="H457" s="283"/>
      <c r="I457" s="451" t="s">
        <v>1119</v>
      </c>
    </row>
    <row r="458" spans="1:11" ht="12" hidden="1" customHeight="1" x14ac:dyDescent="0.25">
      <c r="A458" s="1041">
        <v>15</v>
      </c>
      <c r="B458" s="1042" t="s">
        <v>1133</v>
      </c>
      <c r="C458" s="1042"/>
      <c r="D458" s="283">
        <v>32672</v>
      </c>
      <c r="E458" s="283">
        <v>32672</v>
      </c>
      <c r="F458" s="437">
        <f>F460+F461+F463</f>
        <v>22864.6</v>
      </c>
      <c r="G458" s="752">
        <v>5250</v>
      </c>
      <c r="H458" s="283"/>
      <c r="I458" s="1076" t="s">
        <v>1119</v>
      </c>
    </row>
    <row r="459" spans="1:11" ht="15" hidden="1" customHeight="1" x14ac:dyDescent="0.25">
      <c r="A459" s="1041"/>
      <c r="B459" s="1042"/>
      <c r="C459" s="1042"/>
      <c r="D459" s="283">
        <v>0</v>
      </c>
      <c r="E459" s="283">
        <v>0</v>
      </c>
      <c r="F459" s="437">
        <f>F462+F464+F465</f>
        <v>28385.399999999998</v>
      </c>
      <c r="G459" s="752">
        <v>2241</v>
      </c>
      <c r="H459" s="283"/>
      <c r="I459" s="1076"/>
    </row>
    <row r="460" spans="1:11" ht="39" hidden="1" customHeight="1" x14ac:dyDescent="0.25">
      <c r="A460" s="1041"/>
      <c r="B460" s="1042"/>
      <c r="C460" s="1042"/>
      <c r="D460" s="283"/>
      <c r="E460" s="283"/>
      <c r="F460" s="765">
        <v>16033</v>
      </c>
      <c r="G460" s="752"/>
      <c r="H460" s="425"/>
      <c r="I460" s="1076"/>
    </row>
    <row r="461" spans="1:11" ht="41.25" hidden="1" customHeight="1" x14ac:dyDescent="0.25">
      <c r="A461" s="1041"/>
      <c r="B461" s="1042"/>
      <c r="C461" s="1042"/>
      <c r="D461" s="283"/>
      <c r="E461" s="283"/>
      <c r="F461" s="765">
        <v>1533</v>
      </c>
      <c r="G461" s="752"/>
      <c r="H461" s="425"/>
      <c r="I461" s="1076"/>
    </row>
    <row r="462" spans="1:11" ht="12" hidden="1" customHeight="1" x14ac:dyDescent="0.25">
      <c r="A462" s="1041"/>
      <c r="B462" s="1042"/>
      <c r="C462" s="1042"/>
      <c r="D462" s="283"/>
      <c r="E462" s="283"/>
      <c r="F462" s="765">
        <v>116</v>
      </c>
      <c r="G462" s="752"/>
      <c r="H462" s="425"/>
      <c r="I462" s="1076"/>
    </row>
    <row r="463" spans="1:11" ht="30" hidden="1" customHeight="1" x14ac:dyDescent="0.25">
      <c r="A463" s="1041"/>
      <c r="B463" s="1042"/>
      <c r="C463" s="1042"/>
      <c r="D463" s="283"/>
      <c r="E463" s="283"/>
      <c r="F463" s="765">
        <v>5298.6</v>
      </c>
      <c r="G463" s="752"/>
      <c r="H463" s="425"/>
      <c r="I463" s="1076"/>
    </row>
    <row r="464" spans="1:11" ht="12" hidden="1" customHeight="1" x14ac:dyDescent="0.25">
      <c r="A464" s="1041"/>
      <c r="B464" s="1042"/>
      <c r="C464" s="1042"/>
      <c r="D464" s="283"/>
      <c r="E464" s="283"/>
      <c r="F464" s="765">
        <v>6544.3</v>
      </c>
      <c r="G464" s="752"/>
      <c r="H464" s="425"/>
      <c r="I464" s="1076"/>
    </row>
    <row r="465" spans="1:9" ht="12" hidden="1" customHeight="1" x14ac:dyDescent="0.25">
      <c r="A465" s="1041"/>
      <c r="B465" s="1042"/>
      <c r="C465" s="1042"/>
      <c r="D465" s="283"/>
      <c r="E465" s="283"/>
      <c r="F465" s="765">
        <v>21725.1</v>
      </c>
      <c r="G465" s="752"/>
      <c r="H465" s="425"/>
      <c r="I465" s="1076"/>
    </row>
    <row r="466" spans="1:9" ht="28.5" hidden="1" customHeight="1" x14ac:dyDescent="0.25">
      <c r="A466" s="1041">
        <v>16</v>
      </c>
      <c r="B466" s="1042" t="s">
        <v>1134</v>
      </c>
      <c r="C466" s="1042"/>
      <c r="D466" s="283">
        <v>0</v>
      </c>
      <c r="E466" s="283">
        <v>0</v>
      </c>
      <c r="F466" s="437">
        <f>SUM(F467:F469)</f>
        <v>35500</v>
      </c>
      <c r="G466" s="752">
        <v>5250</v>
      </c>
      <c r="H466" s="283"/>
      <c r="I466" s="1076" t="s">
        <v>1119</v>
      </c>
    </row>
    <row r="467" spans="1:9" ht="12" hidden="1" customHeight="1" x14ac:dyDescent="0.25">
      <c r="A467" s="1041"/>
      <c r="B467" s="1042"/>
      <c r="C467" s="1042"/>
      <c r="D467" s="283"/>
      <c r="E467" s="825"/>
      <c r="F467" s="795">
        <v>28000</v>
      </c>
      <c r="G467" s="826"/>
      <c r="H467" s="283"/>
      <c r="I467" s="1076"/>
    </row>
    <row r="468" spans="1:9" ht="12" hidden="1" customHeight="1" x14ac:dyDescent="0.25">
      <c r="A468" s="1041"/>
      <c r="B468" s="1042"/>
      <c r="C468" s="1042"/>
      <c r="D468" s="283"/>
      <c r="E468" s="825"/>
      <c r="F468" s="795">
        <v>7000</v>
      </c>
      <c r="G468" s="752"/>
      <c r="H468" s="283"/>
      <c r="I468" s="1076"/>
    </row>
    <row r="469" spans="1:9" ht="12" hidden="1" customHeight="1" x14ac:dyDescent="0.25">
      <c r="A469" s="1041"/>
      <c r="B469" s="1042"/>
      <c r="C469" s="1042"/>
      <c r="D469" s="827"/>
      <c r="E469" s="827"/>
      <c r="F469" s="795">
        <v>500</v>
      </c>
      <c r="G469" s="828"/>
      <c r="H469" s="827"/>
      <c r="I469" s="1076"/>
    </row>
    <row r="470" spans="1:9" ht="42" hidden="1" customHeight="1" x14ac:dyDescent="0.25">
      <c r="A470" s="3">
        <v>17</v>
      </c>
      <c r="B470" s="1042" t="s">
        <v>1135</v>
      </c>
      <c r="C470" s="1042"/>
      <c r="D470" s="283">
        <v>95496</v>
      </c>
      <c r="E470" s="283">
        <v>95496</v>
      </c>
      <c r="F470" s="437">
        <v>61710</v>
      </c>
      <c r="G470" s="752">
        <v>5250</v>
      </c>
      <c r="H470" s="283"/>
      <c r="I470" s="451" t="s">
        <v>1119</v>
      </c>
    </row>
    <row r="471" spans="1:9" ht="37.5" hidden="1" customHeight="1" x14ac:dyDescent="0.25">
      <c r="A471" s="3">
        <v>18</v>
      </c>
      <c r="B471" s="1042" t="s">
        <v>1136</v>
      </c>
      <c r="C471" s="1042"/>
      <c r="D471" s="283">
        <f>2153485</f>
        <v>2153485</v>
      </c>
      <c r="E471" s="283">
        <v>2124854</v>
      </c>
      <c r="F471" s="829">
        <v>0</v>
      </c>
      <c r="G471" s="752">
        <v>5240</v>
      </c>
      <c r="H471" s="283"/>
      <c r="I471" s="451"/>
    </row>
    <row r="472" spans="1:9" ht="24" customHeight="1" x14ac:dyDescent="0.25">
      <c r="A472" s="1041">
        <v>8</v>
      </c>
      <c r="B472" s="1078" t="s">
        <v>1137</v>
      </c>
      <c r="C472" s="1078"/>
      <c r="D472" s="283">
        <v>0</v>
      </c>
      <c r="E472" s="283">
        <v>0</v>
      </c>
      <c r="F472" s="437">
        <f>SUM(F473:F475)</f>
        <v>108750</v>
      </c>
      <c r="G472" s="752">
        <v>5250</v>
      </c>
      <c r="H472" s="283">
        <f>SUM(H473:H475)</f>
        <v>108750</v>
      </c>
      <c r="I472" s="1080" t="s">
        <v>1113</v>
      </c>
    </row>
    <row r="473" spans="1:9" ht="12" hidden="1" customHeight="1" x14ac:dyDescent="0.25">
      <c r="A473" s="1041"/>
      <c r="B473" s="1078"/>
      <c r="C473" s="1078"/>
      <c r="D473" s="283"/>
      <c r="E473" s="283"/>
      <c r="F473" s="795">
        <f>99550</f>
        <v>99550</v>
      </c>
      <c r="G473" s="752"/>
      <c r="H473" s="429">
        <v>99550</v>
      </c>
      <c r="I473" s="1080"/>
    </row>
    <row r="474" spans="1:9" ht="12" hidden="1" customHeight="1" x14ac:dyDescent="0.25">
      <c r="A474" s="1041"/>
      <c r="B474" s="1078"/>
      <c r="C474" s="1078"/>
      <c r="D474" s="283"/>
      <c r="E474" s="283"/>
      <c r="F474" s="795">
        <v>8000</v>
      </c>
      <c r="G474" s="752"/>
      <c r="H474" s="429">
        <v>8000</v>
      </c>
      <c r="I474" s="1080"/>
    </row>
    <row r="475" spans="1:9" ht="12" hidden="1" customHeight="1" x14ac:dyDescent="0.25">
      <c r="A475" s="1041"/>
      <c r="B475" s="1078"/>
      <c r="C475" s="1078"/>
      <c r="D475" s="283"/>
      <c r="E475" s="283"/>
      <c r="F475" s="795">
        <v>1200</v>
      </c>
      <c r="G475" s="752"/>
      <c r="H475" s="429">
        <v>1200</v>
      </c>
      <c r="I475" s="1080"/>
    </row>
    <row r="476" spans="1:9" ht="42.75" hidden="1" customHeight="1" x14ac:dyDescent="0.25">
      <c r="A476" s="3">
        <v>20</v>
      </c>
      <c r="B476" s="1042" t="s">
        <v>1138</v>
      </c>
      <c r="C476" s="1042"/>
      <c r="D476" s="283">
        <f>77849</f>
        <v>77849</v>
      </c>
      <c r="E476" s="283">
        <v>50002</v>
      </c>
      <c r="F476" s="437">
        <v>3800</v>
      </c>
      <c r="G476" s="752">
        <v>5250</v>
      </c>
      <c r="H476" s="283"/>
      <c r="I476" s="451" t="s">
        <v>1119</v>
      </c>
    </row>
    <row r="477" spans="1:9" ht="25.5" customHeight="1" x14ac:dyDescent="0.25">
      <c r="A477" s="1077">
        <v>9</v>
      </c>
      <c r="B477" s="1078" t="s">
        <v>1139</v>
      </c>
      <c r="C477" s="1078"/>
      <c r="D477" s="283">
        <v>0</v>
      </c>
      <c r="E477" s="283">
        <v>0</v>
      </c>
      <c r="F477" s="437">
        <f>SUM(F478:F481)</f>
        <v>116800</v>
      </c>
      <c r="G477" s="752">
        <v>5250</v>
      </c>
      <c r="H477" s="283">
        <f>SUM(H478:H481)</f>
        <v>69800</v>
      </c>
      <c r="I477" s="1080" t="s">
        <v>1140</v>
      </c>
    </row>
    <row r="478" spans="1:9" ht="12" hidden="1" customHeight="1" x14ac:dyDescent="0.25">
      <c r="A478" s="1077"/>
      <c r="B478" s="1078"/>
      <c r="C478" s="1078"/>
      <c r="D478" s="283"/>
      <c r="E478" s="283"/>
      <c r="F478" s="795">
        <v>105000</v>
      </c>
      <c r="G478" s="752"/>
      <c r="H478" s="429">
        <f>31000+9000</f>
        <v>40000</v>
      </c>
      <c r="I478" s="1080"/>
    </row>
    <row r="479" spans="1:9" ht="12" hidden="1" customHeight="1" x14ac:dyDescent="0.25">
      <c r="A479" s="1077"/>
      <c r="B479" s="1078"/>
      <c r="C479" s="1078"/>
      <c r="D479" s="283"/>
      <c r="E479" s="283"/>
      <c r="F479" s="795">
        <v>9000</v>
      </c>
      <c r="G479" s="752"/>
      <c r="H479" s="1081">
        <v>29800</v>
      </c>
      <c r="I479" s="1080"/>
    </row>
    <row r="480" spans="1:9" ht="12" hidden="1" customHeight="1" x14ac:dyDescent="0.25">
      <c r="A480" s="1077"/>
      <c r="B480" s="1078"/>
      <c r="C480" s="1078"/>
      <c r="D480" s="283"/>
      <c r="E480" s="283"/>
      <c r="F480" s="795"/>
      <c r="G480" s="752"/>
      <c r="H480" s="1082"/>
      <c r="I480" s="1080"/>
    </row>
    <row r="481" spans="1:9" ht="65.25" hidden="1" customHeight="1" x14ac:dyDescent="0.25">
      <c r="A481" s="1077"/>
      <c r="B481" s="1078"/>
      <c r="C481" s="1078"/>
      <c r="D481" s="283"/>
      <c r="E481" s="283"/>
      <c r="F481" s="795">
        <v>2800</v>
      </c>
      <c r="G481" s="752"/>
      <c r="H481" s="1083"/>
      <c r="I481" s="1080"/>
    </row>
    <row r="482" spans="1:9" ht="15" customHeight="1" x14ac:dyDescent="0.25">
      <c r="A482" s="1041">
        <v>10</v>
      </c>
      <c r="B482" s="1042" t="s">
        <v>1141</v>
      </c>
      <c r="C482" s="1042"/>
      <c r="D482" s="283">
        <v>40946</v>
      </c>
      <c r="E482" s="283">
        <v>40946</v>
      </c>
      <c r="F482" s="437">
        <f>SUM(F483:F488)</f>
        <v>75687</v>
      </c>
      <c r="G482" s="752">
        <v>5250</v>
      </c>
      <c r="H482" s="283">
        <f>SUM(H483:H488)</f>
        <v>10050</v>
      </c>
      <c r="I482" s="1076" t="s">
        <v>1113</v>
      </c>
    </row>
    <row r="483" spans="1:9" ht="12" hidden="1" customHeight="1" x14ac:dyDescent="0.25">
      <c r="A483" s="1041"/>
      <c r="B483" s="1042"/>
      <c r="C483" s="1042"/>
      <c r="D483" s="283"/>
      <c r="E483" s="283"/>
      <c r="F483" s="765">
        <v>5500</v>
      </c>
      <c r="G483" s="752"/>
      <c r="H483" s="283">
        <v>5500</v>
      </c>
      <c r="I483" s="1076"/>
    </row>
    <row r="484" spans="1:9" ht="12" hidden="1" customHeight="1" x14ac:dyDescent="0.25">
      <c r="A484" s="1041"/>
      <c r="B484" s="1042"/>
      <c r="C484" s="1042"/>
      <c r="D484" s="283"/>
      <c r="E484" s="283"/>
      <c r="F484" s="765">
        <v>4550</v>
      </c>
      <c r="G484" s="752"/>
      <c r="H484" s="283">
        <v>4550</v>
      </c>
      <c r="I484" s="1076"/>
    </row>
    <row r="485" spans="1:9" ht="12" hidden="1" customHeight="1" x14ac:dyDescent="0.25">
      <c r="A485" s="1041"/>
      <c r="B485" s="1042"/>
      <c r="C485" s="1042"/>
      <c r="D485" s="283"/>
      <c r="E485" s="283"/>
      <c r="F485" s="765">
        <v>24329</v>
      </c>
      <c r="G485" s="752"/>
      <c r="H485" s="283"/>
      <c r="I485" s="1076"/>
    </row>
    <row r="486" spans="1:9" ht="27" hidden="1" customHeight="1" x14ac:dyDescent="0.25">
      <c r="A486" s="1041"/>
      <c r="B486" s="1042"/>
      <c r="C486" s="1042"/>
      <c r="D486" s="283"/>
      <c r="E486" s="283"/>
      <c r="F486" s="765">
        <v>1727</v>
      </c>
      <c r="G486" s="752"/>
      <c r="H486" s="283"/>
      <c r="I486" s="1076"/>
    </row>
    <row r="487" spans="1:9" ht="29.25" hidden="1" customHeight="1" x14ac:dyDescent="0.25">
      <c r="A487" s="1041"/>
      <c r="B487" s="1042"/>
      <c r="C487" s="1042"/>
      <c r="D487" s="283"/>
      <c r="E487" s="283"/>
      <c r="F487" s="765">
        <v>10581</v>
      </c>
      <c r="G487" s="752"/>
      <c r="H487" s="283"/>
      <c r="I487" s="1076"/>
    </row>
    <row r="488" spans="1:9" ht="36.75" hidden="1" customHeight="1" x14ac:dyDescent="0.25">
      <c r="A488" s="1041"/>
      <c r="B488" s="1042"/>
      <c r="C488" s="1042"/>
      <c r="D488" s="283"/>
      <c r="E488" s="283"/>
      <c r="F488" s="765">
        <v>29000</v>
      </c>
      <c r="G488" s="752"/>
      <c r="H488" s="283"/>
      <c r="I488" s="1076"/>
    </row>
    <row r="489" spans="1:9" ht="25.5" customHeight="1" x14ac:dyDescent="0.25">
      <c r="A489" s="1077">
        <v>11</v>
      </c>
      <c r="B489" s="1078" t="s">
        <v>1142</v>
      </c>
      <c r="C489" s="1078"/>
      <c r="D489" s="283">
        <v>0</v>
      </c>
      <c r="E489" s="283">
        <v>0</v>
      </c>
      <c r="F489" s="437">
        <f>SUM(F490:F492)</f>
        <v>85000</v>
      </c>
      <c r="G489" s="752">
        <v>5250</v>
      </c>
      <c r="H489" s="283">
        <f>SUM(H490:H492)</f>
        <v>8000</v>
      </c>
      <c r="I489" s="1076" t="s">
        <v>1140</v>
      </c>
    </row>
    <row r="490" spans="1:9" ht="12" hidden="1" customHeight="1" x14ac:dyDescent="0.25">
      <c r="A490" s="1077"/>
      <c r="B490" s="1078"/>
      <c r="C490" s="1078"/>
      <c r="D490" s="283"/>
      <c r="E490" s="283"/>
      <c r="F490" s="795">
        <v>77260</v>
      </c>
      <c r="G490" s="752"/>
      <c r="H490" s="429">
        <v>8000</v>
      </c>
      <c r="I490" s="1076"/>
    </row>
    <row r="491" spans="1:9" ht="12" hidden="1" customHeight="1" x14ac:dyDescent="0.25">
      <c r="A491" s="1077"/>
      <c r="B491" s="1078"/>
      <c r="C491" s="1078"/>
      <c r="D491" s="283"/>
      <c r="E491" s="283"/>
      <c r="F491" s="795">
        <v>7000</v>
      </c>
      <c r="G491" s="752"/>
      <c r="H491" s="283"/>
      <c r="I491" s="1076"/>
    </row>
    <row r="492" spans="1:9" ht="12" hidden="1" customHeight="1" x14ac:dyDescent="0.25">
      <c r="A492" s="1077"/>
      <c r="B492" s="1078"/>
      <c r="C492" s="1078"/>
      <c r="D492" s="283"/>
      <c r="E492" s="283"/>
      <c r="F492" s="795">
        <v>740</v>
      </c>
      <c r="G492" s="752"/>
      <c r="H492" s="283"/>
      <c r="I492" s="1076"/>
    </row>
    <row r="493" spans="1:9" ht="12" hidden="1" customHeight="1" x14ac:dyDescent="0.25">
      <c r="A493" s="3">
        <v>24</v>
      </c>
      <c r="B493" s="1042" t="s">
        <v>1143</v>
      </c>
      <c r="C493" s="1042"/>
      <c r="D493" s="283">
        <f>55171</f>
        <v>55171</v>
      </c>
      <c r="E493" s="283">
        <v>54899</v>
      </c>
      <c r="F493" s="437">
        <v>0</v>
      </c>
      <c r="G493" s="752">
        <v>5250</v>
      </c>
      <c r="H493" s="283"/>
      <c r="I493" s="451"/>
    </row>
    <row r="494" spans="1:9" ht="12" customHeight="1" x14ac:dyDescent="0.25">
      <c r="A494" s="1041">
        <v>12</v>
      </c>
      <c r="B494" s="1042" t="s">
        <v>1144</v>
      </c>
      <c r="C494" s="1042"/>
      <c r="D494" s="283">
        <v>16698</v>
      </c>
      <c r="E494" s="283">
        <v>16698</v>
      </c>
      <c r="F494" s="437">
        <f>F496+F503+F504+F505+F506+F507</f>
        <v>109300</v>
      </c>
      <c r="G494" s="752">
        <v>5250</v>
      </c>
      <c r="H494" s="283">
        <f>SUM(H496:H507)</f>
        <v>13000</v>
      </c>
      <c r="I494" s="1076" t="s">
        <v>1113</v>
      </c>
    </row>
    <row r="495" spans="1:9" ht="15" hidden="1" customHeight="1" x14ac:dyDescent="0.25">
      <c r="A495" s="1041"/>
      <c r="B495" s="1042"/>
      <c r="C495" s="1042"/>
      <c r="D495" s="283">
        <v>0</v>
      </c>
      <c r="E495" s="283">
        <v>0</v>
      </c>
      <c r="F495" s="437">
        <f>F508</f>
        <v>18000</v>
      </c>
      <c r="G495" s="752">
        <v>2241</v>
      </c>
      <c r="H495" s="283"/>
      <c r="I495" s="1076"/>
    </row>
    <row r="496" spans="1:9" ht="12" hidden="1" customHeight="1" x14ac:dyDescent="0.25">
      <c r="A496" s="1041"/>
      <c r="B496" s="1042"/>
      <c r="C496" s="1042"/>
      <c r="D496" s="283"/>
      <c r="E496" s="283"/>
      <c r="F496" s="437">
        <f>SUM(F497:F501)</f>
        <v>76500</v>
      </c>
      <c r="G496" s="752"/>
      <c r="H496" s="283"/>
      <c r="I496" s="1076"/>
    </row>
    <row r="497" spans="1:9" ht="12" hidden="1" customHeight="1" x14ac:dyDescent="0.25">
      <c r="A497" s="1041"/>
      <c r="B497" s="1042"/>
      <c r="C497" s="1042"/>
      <c r="D497" s="283"/>
      <c r="E497" s="283"/>
      <c r="F497" s="765">
        <v>12000</v>
      </c>
      <c r="G497" s="752"/>
      <c r="H497" s="283"/>
      <c r="I497" s="1076"/>
    </row>
    <row r="498" spans="1:9" ht="29.25" hidden="1" customHeight="1" x14ac:dyDescent="0.25">
      <c r="A498" s="1041"/>
      <c r="B498" s="1042"/>
      <c r="C498" s="1042"/>
      <c r="D498" s="283"/>
      <c r="E498" s="283"/>
      <c r="F498" s="765">
        <v>49000</v>
      </c>
      <c r="G498" s="752"/>
      <c r="H498" s="425"/>
      <c r="I498" s="1076"/>
    </row>
    <row r="499" spans="1:9" ht="12" hidden="1" customHeight="1" x14ac:dyDescent="0.25">
      <c r="A499" s="1041"/>
      <c r="B499" s="1042"/>
      <c r="C499" s="1042"/>
      <c r="D499" s="283"/>
      <c r="E499" s="283"/>
      <c r="F499" s="765">
        <v>3000</v>
      </c>
      <c r="G499" s="752"/>
      <c r="H499" s="425"/>
      <c r="I499" s="1076"/>
    </row>
    <row r="500" spans="1:9" ht="12" hidden="1" customHeight="1" x14ac:dyDescent="0.25">
      <c r="A500" s="1041"/>
      <c r="B500" s="1042"/>
      <c r="C500" s="1042"/>
      <c r="D500" s="283"/>
      <c r="E500" s="283"/>
      <c r="F500" s="765">
        <v>4000</v>
      </c>
      <c r="G500" s="752"/>
      <c r="H500" s="425"/>
      <c r="I500" s="1076"/>
    </row>
    <row r="501" spans="1:9" ht="27" hidden="1" customHeight="1" x14ac:dyDescent="0.25">
      <c r="A501" s="1041"/>
      <c r="B501" s="1042"/>
      <c r="C501" s="1042"/>
      <c r="D501" s="283"/>
      <c r="E501" s="283"/>
      <c r="F501" s="765">
        <v>8500</v>
      </c>
      <c r="G501" s="752"/>
      <c r="H501" s="425"/>
      <c r="I501" s="1076"/>
    </row>
    <row r="502" spans="1:9" ht="12" hidden="1" customHeight="1" x14ac:dyDescent="0.25">
      <c r="A502" s="1041"/>
      <c r="B502" s="1042"/>
      <c r="C502" s="1042"/>
      <c r="D502" s="283"/>
      <c r="E502" s="283"/>
      <c r="F502" s="437">
        <f>SUM(F503:F508)</f>
        <v>50800</v>
      </c>
      <c r="G502" s="752"/>
      <c r="H502" s="425"/>
      <c r="I502" s="1076"/>
    </row>
    <row r="503" spans="1:9" ht="29.25" hidden="1" customHeight="1" x14ac:dyDescent="0.25">
      <c r="A503" s="1041"/>
      <c r="B503" s="1042"/>
      <c r="C503" s="1042"/>
      <c r="D503" s="283"/>
      <c r="E503" s="283"/>
      <c r="F503" s="765">
        <v>8000</v>
      </c>
      <c r="G503" s="752"/>
      <c r="H503" s="429">
        <v>8000</v>
      </c>
      <c r="I503" s="1076"/>
    </row>
    <row r="504" spans="1:9" ht="12" hidden="1" customHeight="1" x14ac:dyDescent="0.25">
      <c r="A504" s="1041"/>
      <c r="B504" s="1042"/>
      <c r="C504" s="1042"/>
      <c r="D504" s="283"/>
      <c r="E504" s="283"/>
      <c r="F504" s="765">
        <v>2500</v>
      </c>
      <c r="G504" s="752"/>
      <c r="H504" s="429">
        <v>2500</v>
      </c>
      <c r="I504" s="1076"/>
    </row>
    <row r="505" spans="1:9" ht="12" hidden="1" customHeight="1" x14ac:dyDescent="0.25">
      <c r="A505" s="1041"/>
      <c r="B505" s="1042"/>
      <c r="C505" s="1042"/>
      <c r="D505" s="283"/>
      <c r="E505" s="283"/>
      <c r="F505" s="765">
        <v>2500</v>
      </c>
      <c r="G505" s="752"/>
      <c r="H505" s="429">
        <v>2500</v>
      </c>
      <c r="I505" s="1076"/>
    </row>
    <row r="506" spans="1:9" ht="12" hidden="1" customHeight="1" x14ac:dyDescent="0.25">
      <c r="A506" s="1041"/>
      <c r="B506" s="1042"/>
      <c r="C506" s="1042"/>
      <c r="D506" s="283"/>
      <c r="E506" s="283"/>
      <c r="F506" s="765">
        <v>7500</v>
      </c>
      <c r="G506" s="752"/>
      <c r="H506" s="425"/>
      <c r="I506" s="1076"/>
    </row>
    <row r="507" spans="1:9" ht="25.5" hidden="1" customHeight="1" x14ac:dyDescent="0.25">
      <c r="A507" s="1041"/>
      <c r="B507" s="1042"/>
      <c r="C507" s="1042"/>
      <c r="D507" s="283"/>
      <c r="E507" s="283"/>
      <c r="F507" s="765">
        <v>12300</v>
      </c>
      <c r="G507" s="752"/>
      <c r="H507" s="425"/>
      <c r="I507" s="1076"/>
    </row>
    <row r="508" spans="1:9" ht="12" hidden="1" customHeight="1" x14ac:dyDescent="0.25">
      <c r="A508" s="1041"/>
      <c r="B508" s="1042"/>
      <c r="C508" s="1042"/>
      <c r="D508" s="283"/>
      <c r="E508" s="283"/>
      <c r="F508" s="765">
        <v>18000</v>
      </c>
      <c r="G508" s="752"/>
      <c r="H508" s="425"/>
      <c r="I508" s="1076"/>
    </row>
    <row r="509" spans="1:9" ht="12" customHeight="1" x14ac:dyDescent="0.25">
      <c r="A509" s="1077">
        <v>13</v>
      </c>
      <c r="B509" s="1042" t="s">
        <v>1145</v>
      </c>
      <c r="C509" s="1042"/>
      <c r="D509" s="283">
        <f>34364</f>
        <v>34364</v>
      </c>
      <c r="E509" s="283">
        <v>31826</v>
      </c>
      <c r="F509" s="437">
        <f>SUM(F510:F518)</f>
        <v>94000</v>
      </c>
      <c r="G509" s="752">
        <v>5250</v>
      </c>
      <c r="H509" s="283">
        <f>SUM(H510:H518)</f>
        <v>5500</v>
      </c>
      <c r="I509" s="1076" t="s">
        <v>1113</v>
      </c>
    </row>
    <row r="510" spans="1:9" ht="26.25" hidden="1" customHeight="1" x14ac:dyDescent="0.25">
      <c r="A510" s="1077"/>
      <c r="B510" s="1042"/>
      <c r="C510" s="1042"/>
      <c r="D510" s="283"/>
      <c r="E510" s="283"/>
      <c r="F510" s="765">
        <v>5500</v>
      </c>
      <c r="G510" s="752"/>
      <c r="H510" s="429">
        <v>5500</v>
      </c>
      <c r="I510" s="1076"/>
    </row>
    <row r="511" spans="1:9" ht="12" hidden="1" customHeight="1" x14ac:dyDescent="0.25">
      <c r="A511" s="1077"/>
      <c r="B511" s="1042"/>
      <c r="C511" s="1042"/>
      <c r="D511" s="283"/>
      <c r="E511" s="283"/>
      <c r="F511" s="765">
        <v>22000</v>
      </c>
      <c r="G511" s="752"/>
      <c r="H511" s="425"/>
      <c r="I511" s="1076"/>
    </row>
    <row r="512" spans="1:9" ht="28.5" hidden="1" customHeight="1" x14ac:dyDescent="0.25">
      <c r="A512" s="1077"/>
      <c r="B512" s="1042"/>
      <c r="C512" s="1042"/>
      <c r="D512" s="283"/>
      <c r="E512" s="283"/>
      <c r="F512" s="765">
        <v>8500</v>
      </c>
      <c r="G512" s="752"/>
      <c r="H512" s="425"/>
      <c r="I512" s="1076"/>
    </row>
    <row r="513" spans="1:11" ht="12" hidden="1" customHeight="1" x14ac:dyDescent="0.25">
      <c r="A513" s="1077"/>
      <c r="B513" s="1042"/>
      <c r="C513" s="1042"/>
      <c r="D513" s="283"/>
      <c r="E513" s="283"/>
      <c r="F513" s="765">
        <v>9000</v>
      </c>
      <c r="G513" s="752"/>
      <c r="H513" s="425"/>
      <c r="I513" s="1076"/>
    </row>
    <row r="514" spans="1:11" ht="34.5" hidden="1" customHeight="1" x14ac:dyDescent="0.25">
      <c r="A514" s="1077"/>
      <c r="B514" s="1042"/>
      <c r="C514" s="1042"/>
      <c r="D514" s="283"/>
      <c r="E514" s="283"/>
      <c r="F514" s="765">
        <v>6000</v>
      </c>
      <c r="G514" s="752"/>
      <c r="H514" s="425"/>
      <c r="I514" s="1076"/>
    </row>
    <row r="515" spans="1:11" ht="30" hidden="1" customHeight="1" x14ac:dyDescent="0.25">
      <c r="A515" s="1077"/>
      <c r="B515" s="1042"/>
      <c r="C515" s="1042"/>
      <c r="D515" s="283"/>
      <c r="E515" s="283"/>
      <c r="F515" s="765">
        <v>2500</v>
      </c>
      <c r="G515" s="752"/>
      <c r="H515" s="425"/>
      <c r="I515" s="1076"/>
    </row>
    <row r="516" spans="1:11" ht="27" hidden="1" customHeight="1" x14ac:dyDescent="0.25">
      <c r="A516" s="1077"/>
      <c r="B516" s="1042"/>
      <c r="C516" s="1042"/>
      <c r="D516" s="283"/>
      <c r="E516" s="283"/>
      <c r="F516" s="765">
        <v>23000</v>
      </c>
      <c r="G516" s="752"/>
      <c r="H516" s="425"/>
      <c r="I516" s="1076"/>
    </row>
    <row r="517" spans="1:11" ht="17.25" hidden="1" customHeight="1" x14ac:dyDescent="0.25">
      <c r="A517" s="1077"/>
      <c r="B517" s="1042"/>
      <c r="C517" s="1042"/>
      <c r="D517" s="283"/>
      <c r="E517" s="283"/>
      <c r="F517" s="765">
        <v>15000</v>
      </c>
      <c r="G517" s="752"/>
      <c r="H517" s="425"/>
      <c r="I517" s="1076"/>
    </row>
    <row r="518" spans="1:11" ht="12" hidden="1" customHeight="1" x14ac:dyDescent="0.25">
      <c r="A518" s="1077"/>
      <c r="B518" s="1042"/>
      <c r="C518" s="1042"/>
      <c r="D518" s="283"/>
      <c r="E518" s="283"/>
      <c r="F518" s="765">
        <v>2500</v>
      </c>
      <c r="G518" s="752"/>
      <c r="H518" s="425"/>
      <c r="I518" s="1076"/>
      <c r="J518" s="830"/>
    </row>
    <row r="519" spans="1:11" ht="12" hidden="1" customHeight="1" x14ac:dyDescent="0.25">
      <c r="A519" s="1041">
        <v>27</v>
      </c>
      <c r="B519" s="1042" t="s">
        <v>1146</v>
      </c>
      <c r="C519" s="1042"/>
      <c r="D519" s="283">
        <v>4997</v>
      </c>
      <c r="E519" s="283">
        <v>4997</v>
      </c>
      <c r="F519" s="437">
        <f>F522+F523</f>
        <v>75500</v>
      </c>
      <c r="G519" s="752">
        <v>5250</v>
      </c>
      <c r="H519" s="283"/>
      <c r="I519" s="1076" t="s">
        <v>1119</v>
      </c>
    </row>
    <row r="520" spans="1:11" ht="15" hidden="1" customHeight="1" x14ac:dyDescent="0.25">
      <c r="A520" s="1041"/>
      <c r="B520" s="1042"/>
      <c r="C520" s="1042"/>
      <c r="D520" s="283">
        <v>0</v>
      </c>
      <c r="E520" s="283">
        <v>0</v>
      </c>
      <c r="F520" s="437">
        <f>F521</f>
        <v>30000</v>
      </c>
      <c r="G520" s="752">
        <v>2241</v>
      </c>
      <c r="H520" s="283"/>
      <c r="I520" s="1076"/>
    </row>
    <row r="521" spans="1:11" ht="12" hidden="1" customHeight="1" x14ac:dyDescent="0.25">
      <c r="A521" s="1041"/>
      <c r="B521" s="1042"/>
      <c r="C521" s="1042"/>
      <c r="D521" s="283"/>
      <c r="E521" s="283"/>
      <c r="F521" s="765">
        <v>30000</v>
      </c>
      <c r="G521" s="752"/>
      <c r="H521" s="425"/>
      <c r="I521" s="1076"/>
    </row>
    <row r="522" spans="1:11" ht="27" hidden="1" customHeight="1" x14ac:dyDescent="0.25">
      <c r="A522" s="1041"/>
      <c r="B522" s="1042"/>
      <c r="C522" s="1042"/>
      <c r="D522" s="283"/>
      <c r="E522" s="283"/>
      <c r="F522" s="765">
        <v>11000</v>
      </c>
      <c r="G522" s="752"/>
      <c r="H522" s="425"/>
      <c r="I522" s="1076"/>
    </row>
    <row r="523" spans="1:11" ht="12" hidden="1" customHeight="1" x14ac:dyDescent="0.25">
      <c r="A523" s="1041"/>
      <c r="B523" s="1042"/>
      <c r="C523" s="1042"/>
      <c r="D523" s="283"/>
      <c r="E523" s="283"/>
      <c r="F523" s="765">
        <v>64500</v>
      </c>
      <c r="G523" s="752"/>
      <c r="H523" s="425"/>
      <c r="I523" s="1076"/>
    </row>
    <row r="524" spans="1:11" ht="12" hidden="1" customHeight="1" x14ac:dyDescent="0.25">
      <c r="A524" s="1077">
        <v>28</v>
      </c>
      <c r="B524" s="1042" t="s">
        <v>1147</v>
      </c>
      <c r="C524" s="1042"/>
      <c r="D524" s="283">
        <f>38243+14706</f>
        <v>52949</v>
      </c>
      <c r="E524" s="283">
        <v>52938</v>
      </c>
      <c r="F524" s="437">
        <f>SUM(F525:F535)</f>
        <v>63700</v>
      </c>
      <c r="G524" s="752">
        <v>5250</v>
      </c>
      <c r="H524" s="283"/>
      <c r="I524" s="1068" t="s">
        <v>1119</v>
      </c>
    </row>
    <row r="525" spans="1:11" ht="27.75" hidden="1" customHeight="1" x14ac:dyDescent="0.25">
      <c r="A525" s="1077"/>
      <c r="B525" s="1042"/>
      <c r="C525" s="1042"/>
      <c r="D525" s="283"/>
      <c r="E525" s="283"/>
      <c r="F525" s="765">
        <v>14000</v>
      </c>
      <c r="G525" s="752"/>
      <c r="H525" s="425"/>
      <c r="I525" s="1069"/>
    </row>
    <row r="526" spans="1:11" ht="15" hidden="1" customHeight="1" x14ac:dyDescent="0.25">
      <c r="A526" s="1077"/>
      <c r="B526" s="1042"/>
      <c r="C526" s="1042"/>
      <c r="D526" s="283"/>
      <c r="E526" s="283"/>
      <c r="F526" s="765">
        <v>3000</v>
      </c>
      <c r="G526" s="752"/>
      <c r="H526" s="425"/>
      <c r="I526" s="1069"/>
      <c r="J526" s="823"/>
      <c r="K526" s="823"/>
    </row>
    <row r="527" spans="1:11" ht="39.75" hidden="1" customHeight="1" x14ac:dyDescent="0.25">
      <c r="A527" s="1077"/>
      <c r="B527" s="1042"/>
      <c r="C527" s="1042"/>
      <c r="D527" s="283"/>
      <c r="E527" s="283"/>
      <c r="F527" s="765">
        <v>3500</v>
      </c>
      <c r="G527" s="752"/>
      <c r="H527" s="425"/>
      <c r="I527" s="1069"/>
    </row>
    <row r="528" spans="1:11" ht="12" hidden="1" customHeight="1" x14ac:dyDescent="0.25">
      <c r="A528" s="1077"/>
      <c r="B528" s="1042"/>
      <c r="C528" s="1042"/>
      <c r="D528" s="283"/>
      <c r="E528" s="283"/>
      <c r="F528" s="765">
        <v>5000</v>
      </c>
      <c r="G528" s="752"/>
      <c r="H528" s="425"/>
      <c r="I528" s="1069"/>
    </row>
    <row r="529" spans="1:9" ht="12" hidden="1" customHeight="1" x14ac:dyDescent="0.25">
      <c r="A529" s="1077"/>
      <c r="B529" s="1042"/>
      <c r="C529" s="1042"/>
      <c r="D529" s="283"/>
      <c r="E529" s="283"/>
      <c r="F529" s="765">
        <v>6000</v>
      </c>
      <c r="G529" s="752"/>
      <c r="H529" s="425"/>
      <c r="I529" s="1069"/>
    </row>
    <row r="530" spans="1:9" ht="27.75" hidden="1" customHeight="1" x14ac:dyDescent="0.25">
      <c r="A530" s="1077"/>
      <c r="B530" s="1042"/>
      <c r="C530" s="1042"/>
      <c r="D530" s="283"/>
      <c r="E530" s="283"/>
      <c r="F530" s="765">
        <v>3200</v>
      </c>
      <c r="G530" s="752"/>
      <c r="H530" s="425"/>
      <c r="I530" s="1069"/>
    </row>
    <row r="531" spans="1:9" ht="41.25" hidden="1" customHeight="1" x14ac:dyDescent="0.25">
      <c r="A531" s="1077"/>
      <c r="B531" s="1042"/>
      <c r="C531" s="1042"/>
      <c r="D531" s="283"/>
      <c r="E531" s="283"/>
      <c r="F531" s="765">
        <v>3000</v>
      </c>
      <c r="G531" s="752"/>
      <c r="H531" s="425"/>
      <c r="I531" s="1069"/>
    </row>
    <row r="532" spans="1:9" ht="36" hidden="1" customHeight="1" x14ac:dyDescent="0.25">
      <c r="A532" s="1077"/>
      <c r="B532" s="1042"/>
      <c r="C532" s="1042"/>
      <c r="D532" s="283"/>
      <c r="E532" s="283"/>
      <c r="F532" s="765">
        <v>2000</v>
      </c>
      <c r="G532" s="752"/>
      <c r="H532" s="425"/>
      <c r="I532" s="1069"/>
    </row>
    <row r="533" spans="1:9" ht="27" hidden="1" customHeight="1" x14ac:dyDescent="0.25">
      <c r="A533" s="1077"/>
      <c r="B533" s="1042"/>
      <c r="C533" s="1042"/>
      <c r="D533" s="283"/>
      <c r="E533" s="283"/>
      <c r="F533" s="765">
        <v>2000</v>
      </c>
      <c r="G533" s="752"/>
      <c r="H533" s="425"/>
      <c r="I533" s="1069"/>
    </row>
    <row r="534" spans="1:9" ht="25.5" hidden="1" customHeight="1" x14ac:dyDescent="0.25">
      <c r="A534" s="1077"/>
      <c r="B534" s="1042"/>
      <c r="C534" s="1042"/>
      <c r="D534" s="283"/>
      <c r="E534" s="283"/>
      <c r="F534" s="765">
        <v>4000</v>
      </c>
      <c r="G534" s="752"/>
      <c r="H534" s="425"/>
      <c r="I534" s="1069"/>
    </row>
    <row r="535" spans="1:9" ht="25.5" hidden="1" customHeight="1" x14ac:dyDescent="0.25">
      <c r="A535" s="1077"/>
      <c r="B535" s="1042"/>
      <c r="C535" s="1042"/>
      <c r="D535" s="283"/>
      <c r="E535" s="283"/>
      <c r="F535" s="765">
        <v>18000</v>
      </c>
      <c r="G535" s="752"/>
      <c r="H535" s="425"/>
      <c r="I535" s="1073"/>
    </row>
    <row r="536" spans="1:9" ht="12" hidden="1" customHeight="1" x14ac:dyDescent="0.25">
      <c r="A536" s="1077">
        <v>29</v>
      </c>
      <c r="B536" s="1042" t="s">
        <v>1148</v>
      </c>
      <c r="C536" s="1042"/>
      <c r="D536" s="283">
        <v>0</v>
      </c>
      <c r="E536" s="283">
        <v>0</v>
      </c>
      <c r="F536" s="437">
        <f>SUM(F537:F538)</f>
        <v>24500</v>
      </c>
      <c r="G536" s="752">
        <v>5250</v>
      </c>
      <c r="H536" s="283"/>
      <c r="I536" s="1076" t="s">
        <v>1119</v>
      </c>
    </row>
    <row r="537" spans="1:9" ht="12" hidden="1" customHeight="1" x14ac:dyDescent="0.25">
      <c r="A537" s="1077"/>
      <c r="B537" s="1042"/>
      <c r="C537" s="1042"/>
      <c r="D537" s="283"/>
      <c r="E537" s="283"/>
      <c r="F537" s="765">
        <v>12000</v>
      </c>
      <c r="G537" s="752"/>
      <c r="H537" s="425"/>
      <c r="I537" s="1076"/>
    </row>
    <row r="538" spans="1:9" ht="12" hidden="1" customHeight="1" x14ac:dyDescent="0.25">
      <c r="A538" s="1077"/>
      <c r="B538" s="1042"/>
      <c r="C538" s="1042"/>
      <c r="D538" s="283"/>
      <c r="E538" s="283"/>
      <c r="F538" s="765">
        <v>12500</v>
      </c>
      <c r="G538" s="752"/>
      <c r="H538" s="283"/>
      <c r="I538" s="1076"/>
    </row>
    <row r="539" spans="1:9" ht="12" customHeight="1" x14ac:dyDescent="0.25">
      <c r="A539" s="1077">
        <v>14</v>
      </c>
      <c r="B539" s="1078" t="s">
        <v>1149</v>
      </c>
      <c r="C539" s="1078"/>
      <c r="D539" s="283">
        <v>0</v>
      </c>
      <c r="E539" s="283">
        <v>0</v>
      </c>
      <c r="F539" s="437">
        <f>SUM(F540:F544)</f>
        <v>76188</v>
      </c>
      <c r="G539" s="752">
        <v>5250</v>
      </c>
      <c r="H539" s="283">
        <f>SUM(H540:H544)</f>
        <v>4224</v>
      </c>
      <c r="I539" s="1076" t="s">
        <v>1113</v>
      </c>
    </row>
    <row r="540" spans="1:9" ht="42" hidden="1" customHeight="1" x14ac:dyDescent="0.25">
      <c r="A540" s="1077"/>
      <c r="B540" s="1078"/>
      <c r="C540" s="1078"/>
      <c r="D540" s="283"/>
      <c r="E540" s="283"/>
      <c r="F540" s="795">
        <v>4224</v>
      </c>
      <c r="G540" s="761"/>
      <c r="H540" s="283">
        <v>4224</v>
      </c>
      <c r="I540" s="1076"/>
    </row>
    <row r="541" spans="1:9" ht="25.5" hidden="1" customHeight="1" x14ac:dyDescent="0.25">
      <c r="A541" s="1077"/>
      <c r="B541" s="1078"/>
      <c r="C541" s="1078"/>
      <c r="D541" s="283"/>
      <c r="E541" s="283"/>
      <c r="F541" s="795">
        <v>2760</v>
      </c>
      <c r="G541" s="761"/>
      <c r="H541" s="283"/>
      <c r="I541" s="1076"/>
    </row>
    <row r="542" spans="1:9" ht="28.5" hidden="1" customHeight="1" x14ac:dyDescent="0.25">
      <c r="A542" s="1077"/>
      <c r="B542" s="1078"/>
      <c r="C542" s="1078"/>
      <c r="D542" s="283"/>
      <c r="E542" s="283"/>
      <c r="F542" s="795">
        <v>27900</v>
      </c>
      <c r="G542" s="761"/>
      <c r="H542" s="283"/>
      <c r="I542" s="1076"/>
    </row>
    <row r="543" spans="1:9" ht="25.5" hidden="1" customHeight="1" x14ac:dyDescent="0.25">
      <c r="A543" s="1077"/>
      <c r="B543" s="1078"/>
      <c r="C543" s="1078"/>
      <c r="D543" s="283"/>
      <c r="E543" s="283"/>
      <c r="F543" s="795">
        <v>3038</v>
      </c>
      <c r="G543" s="761"/>
      <c r="H543" s="283"/>
      <c r="I543" s="1076"/>
    </row>
    <row r="544" spans="1:9" ht="38.25" hidden="1" customHeight="1" x14ac:dyDescent="0.25">
      <c r="A544" s="1077"/>
      <c r="B544" s="1078"/>
      <c r="C544" s="1078"/>
      <c r="D544" s="283"/>
      <c r="E544" s="283"/>
      <c r="F544" s="795">
        <v>38266</v>
      </c>
      <c r="G544" s="761"/>
      <c r="H544" s="283"/>
      <c r="I544" s="1076"/>
    </row>
    <row r="545" spans="1:9" ht="39.75" hidden="1" customHeight="1" x14ac:dyDescent="0.25">
      <c r="A545" s="329">
        <v>31</v>
      </c>
      <c r="B545" s="1042" t="s">
        <v>1150</v>
      </c>
      <c r="C545" s="1042"/>
      <c r="D545" s="283">
        <f>24000-14706</f>
        <v>9294</v>
      </c>
      <c r="E545" s="4">
        <v>1300</v>
      </c>
      <c r="F545" s="829">
        <v>0</v>
      </c>
      <c r="G545" s="831">
        <v>5250</v>
      </c>
      <c r="H545" s="295"/>
      <c r="I545" s="776"/>
    </row>
    <row r="546" spans="1:9" x14ac:dyDescent="0.25">
      <c r="A546" s="832"/>
      <c r="B546" s="833"/>
      <c r="C546" s="833"/>
      <c r="D546" s="833"/>
      <c r="E546" s="833"/>
      <c r="F546" s="833"/>
      <c r="G546" s="833"/>
      <c r="H546" s="833"/>
      <c r="I546" s="833"/>
    </row>
    <row r="547" spans="1:9" x14ac:dyDescent="0.25">
      <c r="A547" s="1079" t="s">
        <v>6</v>
      </c>
      <c r="B547" s="1079"/>
      <c r="C547" s="748" t="s">
        <v>1151</v>
      </c>
      <c r="D547" s="748"/>
      <c r="E547" s="748"/>
      <c r="F547" s="760"/>
      <c r="G547" s="748"/>
      <c r="H547" s="748"/>
      <c r="I547" s="760"/>
    </row>
    <row r="548" spans="1:9" x14ac:dyDescent="0.25">
      <c r="A548" s="1075" t="s">
        <v>5</v>
      </c>
      <c r="B548" s="1075"/>
      <c r="C548" s="749" t="s">
        <v>1152</v>
      </c>
      <c r="D548" s="749"/>
      <c r="E548" s="749"/>
      <c r="F548" s="750"/>
      <c r="G548" s="749"/>
      <c r="H548" s="749"/>
      <c r="I548" s="750"/>
    </row>
    <row r="549" spans="1:9" ht="49.5" customHeight="1" x14ac:dyDescent="0.25">
      <c r="A549" s="6" t="s">
        <v>4</v>
      </c>
      <c r="B549" s="989" t="s">
        <v>3</v>
      </c>
      <c r="C549" s="989"/>
      <c r="D549" s="6" t="s">
        <v>11</v>
      </c>
      <c r="E549" s="6" t="s">
        <v>12</v>
      </c>
      <c r="F549" s="216" t="s">
        <v>13</v>
      </c>
      <c r="G549" s="6" t="s">
        <v>2</v>
      </c>
      <c r="H549" s="6" t="s">
        <v>180</v>
      </c>
      <c r="I549" s="216" t="s">
        <v>1</v>
      </c>
    </row>
    <row r="550" spans="1:9" x14ac:dyDescent="0.25">
      <c r="A550" s="1040" t="s">
        <v>14</v>
      </c>
      <c r="B550" s="1040"/>
      <c r="C550" s="1040"/>
      <c r="D550" s="7">
        <f>SUM(D551:D593)</f>
        <v>163047</v>
      </c>
      <c r="E550" s="7">
        <f>SUM(E551:E593)</f>
        <v>66254</v>
      </c>
      <c r="F550" s="425">
        <f>F558+F552+F559+F592+F566+F567+F568+F571+F551+F577+F578+F583+F587+F593+F553</f>
        <v>914056</v>
      </c>
      <c r="G550" s="7"/>
      <c r="H550" s="7">
        <f>H558+H552+H559+H592+H566+H567+H568+H571+H551+H577+H578+H583+H587+H593+H553</f>
        <v>166720</v>
      </c>
      <c r="I550" s="776"/>
    </row>
    <row r="551" spans="1:9" x14ac:dyDescent="0.25">
      <c r="A551" s="329">
        <v>1</v>
      </c>
      <c r="B551" s="1042" t="s">
        <v>1153</v>
      </c>
      <c r="C551" s="1042"/>
      <c r="D551" s="283">
        <v>8383</v>
      </c>
      <c r="E551" s="283">
        <v>8383</v>
      </c>
      <c r="F551" s="437">
        <v>5500</v>
      </c>
      <c r="G551" s="752">
        <v>5250</v>
      </c>
      <c r="H551" s="283">
        <v>5500</v>
      </c>
      <c r="I551" s="451" t="s">
        <v>1036</v>
      </c>
    </row>
    <row r="552" spans="1:9" ht="12" customHeight="1" x14ac:dyDescent="0.25">
      <c r="A552" s="1041">
        <v>2</v>
      </c>
      <c r="B552" s="1042" t="s">
        <v>810</v>
      </c>
      <c r="C552" s="1042"/>
      <c r="D552" s="283">
        <v>0</v>
      </c>
      <c r="E552" s="283">
        <v>0</v>
      </c>
      <c r="F552" s="437">
        <f>F554</f>
        <v>5500</v>
      </c>
      <c r="G552" s="752">
        <v>5250</v>
      </c>
      <c r="H552" s="283">
        <f>SUM(H554)</f>
        <v>5500</v>
      </c>
      <c r="I552" s="1076" t="s">
        <v>1036</v>
      </c>
    </row>
    <row r="553" spans="1:9" ht="12" customHeight="1" x14ac:dyDescent="0.25">
      <c r="A553" s="1041"/>
      <c r="B553" s="1042"/>
      <c r="C553" s="1042"/>
      <c r="D553" s="283">
        <v>0</v>
      </c>
      <c r="E553" s="283">
        <v>0</v>
      </c>
      <c r="F553" s="437">
        <f>F555+F556+F557</f>
        <v>7648</v>
      </c>
      <c r="G553" s="752">
        <v>2241</v>
      </c>
      <c r="H553" s="283">
        <f>SUM(H556:H557)</f>
        <v>1114</v>
      </c>
      <c r="I553" s="1076"/>
    </row>
    <row r="554" spans="1:9" ht="18.75" hidden="1" customHeight="1" x14ac:dyDescent="0.25">
      <c r="A554" s="1041"/>
      <c r="B554" s="1042"/>
      <c r="C554" s="1042"/>
      <c r="D554" s="283"/>
      <c r="E554" s="283"/>
      <c r="F554" s="795">
        <v>5500</v>
      </c>
      <c r="G554" s="752"/>
      <c r="H554" s="283">
        <v>5500</v>
      </c>
      <c r="I554" s="1076"/>
    </row>
    <row r="555" spans="1:9" ht="12" hidden="1" customHeight="1" x14ac:dyDescent="0.25">
      <c r="A555" s="1041"/>
      <c r="B555" s="1042"/>
      <c r="C555" s="1042"/>
      <c r="D555" s="283"/>
      <c r="E555" s="283"/>
      <c r="F555" s="795">
        <v>6534</v>
      </c>
      <c r="G555" s="752"/>
      <c r="H555" s="283"/>
      <c r="I555" s="1076"/>
    </row>
    <row r="556" spans="1:9" ht="26.25" hidden="1" customHeight="1" x14ac:dyDescent="0.25">
      <c r="A556" s="1041"/>
      <c r="B556" s="1042"/>
      <c r="C556" s="1042"/>
      <c r="D556" s="283"/>
      <c r="E556" s="283"/>
      <c r="F556" s="795">
        <v>968</v>
      </c>
      <c r="G556" s="752"/>
      <c r="H556" s="283">
        <v>968</v>
      </c>
      <c r="I556" s="1076"/>
    </row>
    <row r="557" spans="1:9" ht="28.5" hidden="1" customHeight="1" x14ac:dyDescent="0.25">
      <c r="A557" s="1041"/>
      <c r="B557" s="1042"/>
      <c r="C557" s="1042"/>
      <c r="D557" s="283"/>
      <c r="E557" s="283"/>
      <c r="F557" s="795">
        <v>146</v>
      </c>
      <c r="G557" s="752"/>
      <c r="H557" s="283">
        <v>146</v>
      </c>
      <c r="I557" s="1076"/>
    </row>
    <row r="558" spans="1:9" ht="12" hidden="1" customHeight="1" x14ac:dyDescent="0.25">
      <c r="A558" s="3">
        <v>3</v>
      </c>
      <c r="B558" s="1078" t="s">
        <v>1154</v>
      </c>
      <c r="C558" s="1078"/>
      <c r="D558" s="283">
        <f>16392</f>
        <v>16392</v>
      </c>
      <c r="E558" s="283">
        <v>1392</v>
      </c>
      <c r="F558" s="437">
        <v>0</v>
      </c>
      <c r="G558" s="752">
        <v>5250</v>
      </c>
      <c r="H558" s="283"/>
      <c r="I558" s="451" t="s">
        <v>1155</v>
      </c>
    </row>
    <row r="559" spans="1:9" x14ac:dyDescent="0.25">
      <c r="A559" s="1041">
        <v>3</v>
      </c>
      <c r="B559" s="1078" t="s">
        <v>1156</v>
      </c>
      <c r="C559" s="1078"/>
      <c r="D559" s="283">
        <v>0</v>
      </c>
      <c r="E559" s="283">
        <v>0</v>
      </c>
      <c r="F559" s="437">
        <f>SUM(F560:F565)</f>
        <v>73477</v>
      </c>
      <c r="G559" s="752">
        <v>5250</v>
      </c>
      <c r="H559" s="283">
        <f>SUM(H560:H565)</f>
        <v>52000</v>
      </c>
      <c r="I559" s="1076" t="s">
        <v>1036</v>
      </c>
    </row>
    <row r="560" spans="1:9" ht="12" hidden="1" customHeight="1" x14ac:dyDescent="0.25">
      <c r="A560" s="1041"/>
      <c r="B560" s="1078"/>
      <c r="C560" s="1078"/>
      <c r="D560" s="283"/>
      <c r="E560" s="283"/>
      <c r="F560" s="795">
        <v>60000</v>
      </c>
      <c r="G560" s="752"/>
      <c r="H560" s="283">
        <v>45000</v>
      </c>
      <c r="I560" s="1076"/>
    </row>
    <row r="561" spans="1:9" ht="12" hidden="1" customHeight="1" x14ac:dyDescent="0.25">
      <c r="A561" s="1041"/>
      <c r="B561" s="1078"/>
      <c r="C561" s="1078"/>
      <c r="D561" s="283"/>
      <c r="E561" s="283"/>
      <c r="F561" s="795">
        <v>8000</v>
      </c>
      <c r="G561" s="752"/>
      <c r="H561" s="283">
        <v>7000</v>
      </c>
      <c r="I561" s="1076"/>
    </row>
    <row r="562" spans="1:9" ht="12" hidden="1" customHeight="1" x14ac:dyDescent="0.25">
      <c r="A562" s="1041"/>
      <c r="B562" s="1078"/>
      <c r="C562" s="1078"/>
      <c r="D562" s="283"/>
      <c r="E562" s="283"/>
      <c r="F562" s="795">
        <v>1000</v>
      </c>
      <c r="G562" s="752"/>
      <c r="H562" s="283"/>
      <c r="I562" s="1076"/>
    </row>
    <row r="563" spans="1:9" ht="12" hidden="1" customHeight="1" x14ac:dyDescent="0.25">
      <c r="A563" s="1041"/>
      <c r="B563" s="1078"/>
      <c r="C563" s="1078"/>
      <c r="D563" s="283"/>
      <c r="E563" s="283"/>
      <c r="F563" s="795"/>
      <c r="G563" s="752"/>
      <c r="H563" s="283"/>
      <c r="I563" s="1076"/>
    </row>
    <row r="564" spans="1:9" ht="12" hidden="1" customHeight="1" x14ac:dyDescent="0.25">
      <c r="A564" s="1041"/>
      <c r="B564" s="1078"/>
      <c r="C564" s="1078"/>
      <c r="D564" s="283"/>
      <c r="E564" s="283"/>
      <c r="F564" s="795">
        <v>1452</v>
      </c>
      <c r="G564" s="752"/>
      <c r="H564" s="283"/>
      <c r="I564" s="1076"/>
    </row>
    <row r="565" spans="1:9" ht="12" hidden="1" customHeight="1" x14ac:dyDescent="0.25">
      <c r="A565" s="1041"/>
      <c r="B565" s="1078"/>
      <c r="C565" s="1078"/>
      <c r="D565" s="283"/>
      <c r="E565" s="283"/>
      <c r="F565" s="795">
        <v>3025</v>
      </c>
      <c r="G565" s="752"/>
      <c r="H565" s="283"/>
      <c r="I565" s="1076"/>
    </row>
    <row r="566" spans="1:9" ht="12" hidden="1" customHeight="1" x14ac:dyDescent="0.25">
      <c r="A566" s="3">
        <v>5</v>
      </c>
      <c r="B566" s="1042" t="s">
        <v>1157</v>
      </c>
      <c r="C566" s="1042"/>
      <c r="D566" s="283">
        <v>0</v>
      </c>
      <c r="E566" s="283">
        <v>0</v>
      </c>
      <c r="F566" s="437">
        <v>0</v>
      </c>
      <c r="G566" s="752">
        <v>5250</v>
      </c>
      <c r="H566" s="283"/>
      <c r="I566" s="451"/>
    </row>
    <row r="567" spans="1:9" ht="12" hidden="1" customHeight="1" x14ac:dyDescent="0.25">
      <c r="A567" s="3">
        <v>6</v>
      </c>
      <c r="B567" s="1042" t="s">
        <v>1158</v>
      </c>
      <c r="C567" s="1042"/>
      <c r="D567" s="283">
        <f>39082</f>
        <v>39082</v>
      </c>
      <c r="E567" s="283">
        <v>39082</v>
      </c>
      <c r="F567" s="437">
        <v>0</v>
      </c>
      <c r="G567" s="752">
        <v>5250</v>
      </c>
      <c r="H567" s="283"/>
      <c r="I567" s="451"/>
    </row>
    <row r="568" spans="1:9" ht="12" hidden="1" customHeight="1" x14ac:dyDescent="0.25">
      <c r="A568" s="1041">
        <v>7</v>
      </c>
      <c r="B568" s="1042" t="s">
        <v>1159</v>
      </c>
      <c r="C568" s="1042"/>
      <c r="D568" s="283">
        <v>0</v>
      </c>
      <c r="E568" s="283">
        <v>0</v>
      </c>
      <c r="F568" s="437">
        <f>SUM(F569:F570)</f>
        <v>26916</v>
      </c>
      <c r="G568" s="752">
        <v>5250</v>
      </c>
      <c r="H568" s="283"/>
      <c r="I568" s="1076" t="s">
        <v>1160</v>
      </c>
    </row>
    <row r="569" spans="1:9" ht="12" hidden="1" customHeight="1" x14ac:dyDescent="0.25">
      <c r="A569" s="1041"/>
      <c r="B569" s="1042"/>
      <c r="C569" s="1042"/>
      <c r="D569" s="283"/>
      <c r="E569" s="283"/>
      <c r="F569" s="795">
        <v>13980</v>
      </c>
      <c r="G569" s="752"/>
      <c r="H569" s="283"/>
      <c r="I569" s="1076"/>
    </row>
    <row r="570" spans="1:9" ht="12" hidden="1" customHeight="1" x14ac:dyDescent="0.25">
      <c r="A570" s="1041"/>
      <c r="B570" s="1042"/>
      <c r="C570" s="1042"/>
      <c r="D570" s="283"/>
      <c r="E570" s="283"/>
      <c r="F570" s="795">
        <v>12936</v>
      </c>
      <c r="G570" s="752"/>
      <c r="H570" s="425"/>
      <c r="I570" s="1076"/>
    </row>
    <row r="571" spans="1:9" ht="12" customHeight="1" x14ac:dyDescent="0.25">
      <c r="A571" s="1077">
        <v>4</v>
      </c>
      <c r="B571" s="1042" t="s">
        <v>1161</v>
      </c>
      <c r="C571" s="1042"/>
      <c r="D571" s="283">
        <f>73550</f>
        <v>73550</v>
      </c>
      <c r="E571" s="283">
        <v>6757</v>
      </c>
      <c r="F571" s="829">
        <f>SUM(F572:F576)+0.84</f>
        <v>97980</v>
      </c>
      <c r="G571" s="752">
        <v>5250</v>
      </c>
      <c r="H571" s="283">
        <f>SUM(H572:H576)</f>
        <v>80764</v>
      </c>
      <c r="I571" s="1076" t="s">
        <v>1036</v>
      </c>
    </row>
    <row r="572" spans="1:9" ht="12" hidden="1" customHeight="1" x14ac:dyDescent="0.25">
      <c r="A572" s="1077"/>
      <c r="B572" s="1042"/>
      <c r="C572" s="1042"/>
      <c r="D572" s="283"/>
      <c r="E572" s="283"/>
      <c r="F572" s="795">
        <v>963.16</v>
      </c>
      <c r="G572" s="752"/>
      <c r="H572" s="429">
        <v>964</v>
      </c>
      <c r="I572" s="1076"/>
    </row>
    <row r="573" spans="1:9" ht="12" hidden="1" customHeight="1" x14ac:dyDescent="0.25">
      <c r="A573" s="1077"/>
      <c r="B573" s="1042"/>
      <c r="C573" s="1042"/>
      <c r="D573" s="283"/>
      <c r="E573" s="283"/>
      <c r="F573" s="795">
        <v>4800</v>
      </c>
      <c r="G573" s="752"/>
      <c r="H573" s="283">
        <v>4800</v>
      </c>
      <c r="I573" s="1076"/>
    </row>
    <row r="574" spans="1:9" ht="12" hidden="1" customHeight="1" x14ac:dyDescent="0.25">
      <c r="A574" s="1077"/>
      <c r="B574" s="1042"/>
      <c r="C574" s="1042"/>
      <c r="D574" s="283"/>
      <c r="E574" s="283"/>
      <c r="F574" s="795">
        <v>75000</v>
      </c>
      <c r="G574" s="752"/>
      <c r="H574" s="283">
        <v>75000</v>
      </c>
      <c r="I574" s="1076"/>
    </row>
    <row r="575" spans="1:9" ht="12" hidden="1" customHeight="1" x14ac:dyDescent="0.25">
      <c r="A575" s="1077"/>
      <c r="B575" s="1042"/>
      <c r="C575" s="1042"/>
      <c r="D575" s="283"/>
      <c r="E575" s="283"/>
      <c r="F575" s="795">
        <v>12633</v>
      </c>
      <c r="G575" s="752"/>
      <c r="H575" s="283"/>
      <c r="I575" s="1076"/>
    </row>
    <row r="576" spans="1:9" ht="12" hidden="1" customHeight="1" x14ac:dyDescent="0.25">
      <c r="A576" s="1077"/>
      <c r="B576" s="1042"/>
      <c r="C576" s="1042"/>
      <c r="D576" s="283"/>
      <c r="E576" s="283"/>
      <c r="F576" s="795">
        <v>4583</v>
      </c>
      <c r="G576" s="773"/>
      <c r="H576" s="295"/>
      <c r="I576" s="1076"/>
    </row>
    <row r="577" spans="1:9" ht="12" hidden="1" customHeight="1" x14ac:dyDescent="0.25">
      <c r="A577" s="3">
        <v>9</v>
      </c>
      <c r="B577" s="1042" t="s">
        <v>1162</v>
      </c>
      <c r="C577" s="1042"/>
      <c r="D577" s="283">
        <v>106</v>
      </c>
      <c r="E577" s="283">
        <v>106</v>
      </c>
      <c r="F577" s="437">
        <v>0</v>
      </c>
      <c r="G577" s="752">
        <v>2279</v>
      </c>
      <c r="H577" s="283"/>
      <c r="I577" s="451"/>
    </row>
    <row r="578" spans="1:9" ht="12" customHeight="1" x14ac:dyDescent="0.25">
      <c r="A578" s="1041">
        <v>5</v>
      </c>
      <c r="B578" s="1042" t="s">
        <v>1163</v>
      </c>
      <c r="C578" s="1042"/>
      <c r="D578" s="283">
        <v>0</v>
      </c>
      <c r="E578" s="283">
        <v>0</v>
      </c>
      <c r="F578" s="437">
        <f>SUM(F579:F582)</f>
        <v>21955</v>
      </c>
      <c r="G578" s="752">
        <v>5250</v>
      </c>
      <c r="H578" s="283">
        <f>SUM(H579:H582)</f>
        <v>13142</v>
      </c>
      <c r="I578" s="1068" t="s">
        <v>1036</v>
      </c>
    </row>
    <row r="579" spans="1:9" ht="15" hidden="1" customHeight="1" x14ac:dyDescent="0.25">
      <c r="A579" s="1041"/>
      <c r="B579" s="1042"/>
      <c r="C579" s="1042"/>
      <c r="D579" s="283"/>
      <c r="E579" s="283"/>
      <c r="F579" s="795">
        <v>5500</v>
      </c>
      <c r="G579" s="752"/>
      <c r="H579" s="283">
        <v>5500</v>
      </c>
      <c r="I579" s="1069"/>
    </row>
    <row r="580" spans="1:9" ht="15" hidden="1" customHeight="1" x14ac:dyDescent="0.25">
      <c r="A580" s="1041"/>
      <c r="B580" s="1042"/>
      <c r="C580" s="1042"/>
      <c r="D580" s="283"/>
      <c r="E580" s="283"/>
      <c r="F580" s="795">
        <v>7642</v>
      </c>
      <c r="G580" s="752"/>
      <c r="H580" s="283">
        <v>7642</v>
      </c>
      <c r="I580" s="1069"/>
    </row>
    <row r="581" spans="1:9" ht="15" hidden="1" customHeight="1" x14ac:dyDescent="0.25">
      <c r="A581" s="1041"/>
      <c r="B581" s="1042"/>
      <c r="C581" s="1042"/>
      <c r="D581" s="283"/>
      <c r="E581" s="283"/>
      <c r="F581" s="795">
        <v>533</v>
      </c>
      <c r="G581" s="752"/>
      <c r="H581" s="283"/>
      <c r="I581" s="1069"/>
    </row>
    <row r="582" spans="1:9" ht="32.25" hidden="1" customHeight="1" x14ac:dyDescent="0.25">
      <c r="A582" s="1041"/>
      <c r="B582" s="1042"/>
      <c r="C582" s="1042"/>
      <c r="D582" s="283"/>
      <c r="E582" s="283"/>
      <c r="F582" s="795">
        <v>8280</v>
      </c>
      <c r="G582" s="752"/>
      <c r="H582" s="283"/>
      <c r="I582" s="1073"/>
    </row>
    <row r="583" spans="1:9" ht="12" hidden="1" customHeight="1" x14ac:dyDescent="0.25">
      <c r="A583" s="1030">
        <v>11</v>
      </c>
      <c r="B583" s="1032" t="s">
        <v>1164</v>
      </c>
      <c r="C583" s="1033"/>
      <c r="D583" s="283">
        <f>16767</f>
        <v>16767</v>
      </c>
      <c r="E583" s="4">
        <v>1767</v>
      </c>
      <c r="F583" s="283">
        <f>SUM(F584:F586)</f>
        <v>263600</v>
      </c>
      <c r="G583" s="769">
        <v>5240</v>
      </c>
      <c r="H583" s="4">
        <f>SUM(H584:H586)</f>
        <v>0</v>
      </c>
      <c r="I583" s="1068" t="s">
        <v>1165</v>
      </c>
    </row>
    <row r="584" spans="1:9" ht="12" hidden="1" customHeight="1" x14ac:dyDescent="0.25">
      <c r="A584" s="1065"/>
      <c r="B584" s="1066"/>
      <c r="C584" s="1067"/>
      <c r="D584" s="283"/>
      <c r="E584" s="4"/>
      <c r="F584" s="795">
        <v>254100</v>
      </c>
      <c r="G584" s="769"/>
      <c r="H584" s="4"/>
      <c r="I584" s="1069"/>
    </row>
    <row r="585" spans="1:9" ht="12" hidden="1" customHeight="1" x14ac:dyDescent="0.25">
      <c r="A585" s="1065"/>
      <c r="B585" s="1066"/>
      <c r="C585" s="1067"/>
      <c r="D585" s="283"/>
      <c r="E585" s="4"/>
      <c r="F585" s="795">
        <v>9000</v>
      </c>
      <c r="G585" s="769"/>
      <c r="H585" s="4"/>
      <c r="I585" s="1069"/>
    </row>
    <row r="586" spans="1:9" ht="12" hidden="1" customHeight="1" x14ac:dyDescent="0.25">
      <c r="A586" s="1031"/>
      <c r="B586" s="1034"/>
      <c r="C586" s="1035"/>
      <c r="D586" s="283"/>
      <c r="E586" s="4"/>
      <c r="F586" s="795">
        <v>500</v>
      </c>
      <c r="G586" s="773"/>
      <c r="H586" s="295"/>
      <c r="I586" s="1073"/>
    </row>
    <row r="587" spans="1:9" ht="12" hidden="1" customHeight="1" x14ac:dyDescent="0.25">
      <c r="A587" s="1041">
        <v>12</v>
      </c>
      <c r="B587" s="1042" t="s">
        <v>1166</v>
      </c>
      <c r="C587" s="1042"/>
      <c r="D587" s="283">
        <v>0</v>
      </c>
      <c r="E587" s="4">
        <v>0</v>
      </c>
      <c r="F587" s="283">
        <f>SUM(F588:F591)</f>
        <v>393400</v>
      </c>
      <c r="G587" s="769">
        <v>5250</v>
      </c>
      <c r="H587" s="4"/>
      <c r="I587" s="1076" t="s">
        <v>1167</v>
      </c>
    </row>
    <row r="588" spans="1:9" ht="12" hidden="1" customHeight="1" x14ac:dyDescent="0.25">
      <c r="A588" s="1041"/>
      <c r="B588" s="1042"/>
      <c r="C588" s="1042"/>
      <c r="D588" s="283"/>
      <c r="E588" s="4"/>
      <c r="F588" s="795">
        <v>125000</v>
      </c>
      <c r="G588" s="769"/>
      <c r="H588" s="4"/>
      <c r="I588" s="1076"/>
    </row>
    <row r="589" spans="1:9" ht="12" hidden="1" customHeight="1" x14ac:dyDescent="0.25">
      <c r="A589" s="1041"/>
      <c r="B589" s="1042"/>
      <c r="C589" s="1042"/>
      <c r="D589" s="4"/>
      <c r="E589" s="4"/>
      <c r="F589" s="795">
        <v>225000</v>
      </c>
      <c r="G589" s="769"/>
      <c r="H589" s="4"/>
      <c r="I589" s="1076"/>
    </row>
    <row r="590" spans="1:9" ht="12" hidden="1" customHeight="1" x14ac:dyDescent="0.25">
      <c r="A590" s="1041"/>
      <c r="B590" s="1042"/>
      <c r="C590" s="1042"/>
      <c r="D590" s="4"/>
      <c r="E590" s="4"/>
      <c r="F590" s="795">
        <v>26600</v>
      </c>
      <c r="G590" s="769"/>
      <c r="H590" s="4"/>
      <c r="I590" s="1076"/>
    </row>
    <row r="591" spans="1:9" ht="12" hidden="1" customHeight="1" x14ac:dyDescent="0.25">
      <c r="A591" s="1041"/>
      <c r="B591" s="1042"/>
      <c r="C591" s="1042"/>
      <c r="D591" s="4"/>
      <c r="E591" s="4"/>
      <c r="F591" s="795">
        <v>16800</v>
      </c>
      <c r="G591" s="769"/>
      <c r="H591" s="4"/>
      <c r="I591" s="1076"/>
    </row>
    <row r="592" spans="1:9" ht="13.5" customHeight="1" x14ac:dyDescent="0.25">
      <c r="A592" s="3">
        <v>6</v>
      </c>
      <c r="B592" s="1042" t="s">
        <v>1092</v>
      </c>
      <c r="C592" s="1042"/>
      <c r="D592" s="283">
        <v>8767</v>
      </c>
      <c r="E592" s="283">
        <v>8767</v>
      </c>
      <c r="F592" s="437">
        <v>8700</v>
      </c>
      <c r="G592" s="752">
        <v>2241</v>
      </c>
      <c r="H592" s="283">
        <v>8700</v>
      </c>
      <c r="I592" s="451" t="s">
        <v>1036</v>
      </c>
    </row>
    <row r="593" spans="1:9" ht="51" hidden="1" customHeight="1" x14ac:dyDescent="0.25">
      <c r="A593" s="3">
        <v>14</v>
      </c>
      <c r="B593" s="1042" t="s">
        <v>1168</v>
      </c>
      <c r="C593" s="1042"/>
      <c r="D593" s="283">
        <v>0</v>
      </c>
      <c r="E593" s="283">
        <v>0</v>
      </c>
      <c r="F593" s="437">
        <v>9380</v>
      </c>
      <c r="G593" s="761">
        <v>5250</v>
      </c>
      <c r="H593" s="4"/>
      <c r="I593" s="451" t="s">
        <v>1169</v>
      </c>
    </row>
    <row r="594" spans="1:9" x14ac:dyDescent="0.25">
      <c r="A594" s="454"/>
      <c r="B594" s="10"/>
      <c r="C594" s="10"/>
      <c r="D594" s="10"/>
      <c r="E594" s="10"/>
      <c r="F594" s="759"/>
      <c r="G594" s="10"/>
      <c r="H594" s="444"/>
      <c r="I594" s="834"/>
    </row>
    <row r="595" spans="1:9" ht="12" hidden="1" customHeight="1" x14ac:dyDescent="0.25">
      <c r="A595" s="1074" t="s">
        <v>6</v>
      </c>
      <c r="B595" s="1074"/>
      <c r="C595" s="445" t="s">
        <v>1170</v>
      </c>
      <c r="D595" s="445"/>
      <c r="E595" s="445"/>
      <c r="F595" s="802"/>
      <c r="G595" s="445"/>
      <c r="H595" s="445"/>
      <c r="I595" s="802"/>
    </row>
    <row r="596" spans="1:9" ht="12" hidden="1" customHeight="1" x14ac:dyDescent="0.25">
      <c r="A596" s="1074" t="s">
        <v>5</v>
      </c>
      <c r="B596" s="1074"/>
      <c r="C596" s="835" t="s">
        <v>254</v>
      </c>
      <c r="D596" s="835"/>
      <c r="E596" s="835"/>
      <c r="F596" s="836"/>
      <c r="G596" s="835"/>
      <c r="H596" s="835"/>
      <c r="I596" s="836"/>
    </row>
    <row r="597" spans="1:9" ht="36" hidden="1" customHeight="1" x14ac:dyDescent="0.25">
      <c r="A597" s="6" t="s">
        <v>4</v>
      </c>
      <c r="B597" s="989" t="s">
        <v>3</v>
      </c>
      <c r="C597" s="989"/>
      <c r="D597" s="6" t="s">
        <v>11</v>
      </c>
      <c r="E597" s="6" t="s">
        <v>12</v>
      </c>
      <c r="F597" s="216" t="s">
        <v>13</v>
      </c>
      <c r="G597" s="6" t="s">
        <v>2</v>
      </c>
      <c r="H597" s="6" t="s">
        <v>262</v>
      </c>
      <c r="I597" s="216" t="s">
        <v>1</v>
      </c>
    </row>
    <row r="598" spans="1:9" ht="12" hidden="1" customHeight="1" x14ac:dyDescent="0.25">
      <c r="A598" s="1040" t="s">
        <v>14</v>
      </c>
      <c r="B598" s="1040"/>
      <c r="C598" s="1040"/>
      <c r="D598" s="7">
        <f>D599</f>
        <v>4492</v>
      </c>
      <c r="E598" s="7">
        <f>E599</f>
        <v>4492</v>
      </c>
      <c r="F598" s="425">
        <f>F599</f>
        <v>0</v>
      </c>
      <c r="G598" s="7"/>
      <c r="H598" s="7">
        <f>SUM(H599)</f>
        <v>0</v>
      </c>
      <c r="I598" s="776"/>
    </row>
    <row r="599" spans="1:9" ht="25.5" hidden="1" customHeight="1" x14ac:dyDescent="0.25">
      <c r="A599" s="3">
        <v>1</v>
      </c>
      <c r="B599" s="1042" t="s">
        <v>1171</v>
      </c>
      <c r="C599" s="1042"/>
      <c r="D599" s="283">
        <v>4492</v>
      </c>
      <c r="E599" s="283">
        <v>4492</v>
      </c>
      <c r="F599" s="437">
        <v>0</v>
      </c>
      <c r="G599" s="761">
        <v>5250</v>
      </c>
      <c r="H599" s="283"/>
      <c r="I599" s="776"/>
    </row>
    <row r="600" spans="1:9" ht="15" hidden="1" customHeight="1" x14ac:dyDescent="0.25">
      <c r="A600" s="350"/>
      <c r="B600" s="770"/>
      <c r="C600" s="770"/>
      <c r="D600" s="771"/>
      <c r="E600" s="771"/>
      <c r="F600" s="819"/>
      <c r="G600" s="837"/>
      <c r="H600" s="771"/>
      <c r="I600" s="838"/>
    </row>
    <row r="601" spans="1:9" ht="15" hidden="1" customHeight="1" x14ac:dyDescent="0.25">
      <c r="A601" s="1074" t="s">
        <v>6</v>
      </c>
      <c r="B601" s="1074"/>
      <c r="C601" s="445" t="s">
        <v>1172</v>
      </c>
      <c r="D601" s="445"/>
      <c r="E601" s="445"/>
      <c r="F601" s="802"/>
      <c r="G601" s="445"/>
      <c r="H601" s="445"/>
      <c r="I601" s="802"/>
    </row>
    <row r="602" spans="1:9" ht="15" hidden="1" customHeight="1" x14ac:dyDescent="0.25">
      <c r="A602" s="1075" t="s">
        <v>5</v>
      </c>
      <c r="B602" s="1075"/>
      <c r="C602" s="791" t="s">
        <v>217</v>
      </c>
      <c r="D602" s="791"/>
      <c r="E602" s="791"/>
      <c r="F602" s="792"/>
      <c r="G602" s="791"/>
      <c r="H602" s="791"/>
      <c r="I602" s="792"/>
    </row>
    <row r="603" spans="1:9" ht="36" hidden="1" customHeight="1" x14ac:dyDescent="0.25">
      <c r="A603" s="6" t="s">
        <v>4</v>
      </c>
      <c r="B603" s="989" t="s">
        <v>3</v>
      </c>
      <c r="C603" s="989"/>
      <c r="D603" s="6" t="s">
        <v>11</v>
      </c>
      <c r="E603" s="6" t="s">
        <v>12</v>
      </c>
      <c r="F603" s="216" t="s">
        <v>13</v>
      </c>
      <c r="G603" s="6" t="s">
        <v>2</v>
      </c>
      <c r="H603" s="6" t="s">
        <v>262</v>
      </c>
      <c r="I603" s="216" t="s">
        <v>1</v>
      </c>
    </row>
    <row r="604" spans="1:9" ht="15" hidden="1" customHeight="1" x14ac:dyDescent="0.25">
      <c r="A604" s="1040" t="s">
        <v>14</v>
      </c>
      <c r="B604" s="1040"/>
      <c r="C604" s="1040"/>
      <c r="D604" s="7">
        <f>SUM(D605:D605)</f>
        <v>16697</v>
      </c>
      <c r="E604" s="7">
        <f>SUM(E605:E605)</f>
        <v>16697</v>
      </c>
      <c r="F604" s="425">
        <f>F605</f>
        <v>0</v>
      </c>
      <c r="G604" s="7"/>
      <c r="H604" s="7">
        <f>SUM(H605)</f>
        <v>0</v>
      </c>
      <c r="I604" s="451"/>
    </row>
    <row r="605" spans="1:9" ht="24" hidden="1" customHeight="1" x14ac:dyDescent="0.25">
      <c r="A605" s="3">
        <v>1</v>
      </c>
      <c r="B605" s="1042" t="s">
        <v>1173</v>
      </c>
      <c r="C605" s="1042"/>
      <c r="D605" s="283">
        <v>16697</v>
      </c>
      <c r="E605" s="283">
        <v>16697</v>
      </c>
      <c r="F605" s="437">
        <v>0</v>
      </c>
      <c r="G605" s="761">
        <v>5250</v>
      </c>
      <c r="H605" s="283"/>
      <c r="I605" s="451" t="s">
        <v>1174</v>
      </c>
    </row>
    <row r="606" spans="1:9" ht="15" hidden="1" customHeight="1" x14ac:dyDescent="0.25">
      <c r="A606" s="797"/>
      <c r="B606" s="798"/>
      <c r="C606" s="798"/>
      <c r="D606" s="798"/>
      <c r="E606" s="798"/>
      <c r="F606" s="799"/>
      <c r="G606" s="798"/>
      <c r="H606" s="800"/>
      <c r="I606" s="839"/>
    </row>
    <row r="607" spans="1:9" x14ac:dyDescent="0.25">
      <c r="A607" s="1074" t="s">
        <v>6</v>
      </c>
      <c r="B607" s="1074"/>
      <c r="C607" s="445" t="s">
        <v>1175</v>
      </c>
      <c r="D607" s="445"/>
      <c r="E607" s="445"/>
      <c r="F607" s="802"/>
      <c r="G607" s="445"/>
      <c r="H607" s="445"/>
      <c r="I607" s="802"/>
    </row>
    <row r="608" spans="1:9" x14ac:dyDescent="0.25">
      <c r="A608" s="1075" t="s">
        <v>5</v>
      </c>
      <c r="B608" s="1075"/>
      <c r="C608" s="791" t="s">
        <v>234</v>
      </c>
      <c r="D608" s="791"/>
      <c r="E608" s="791"/>
      <c r="F608" s="792"/>
      <c r="G608" s="791"/>
      <c r="H608" s="791"/>
      <c r="I608" s="792"/>
    </row>
    <row r="609" spans="1:9" ht="48.75" customHeight="1" x14ac:dyDescent="0.25">
      <c r="A609" s="6" t="s">
        <v>4</v>
      </c>
      <c r="B609" s="989" t="s">
        <v>3</v>
      </c>
      <c r="C609" s="989"/>
      <c r="D609" s="6" t="s">
        <v>11</v>
      </c>
      <c r="E609" s="6" t="s">
        <v>12</v>
      </c>
      <c r="F609" s="216" t="s">
        <v>13</v>
      </c>
      <c r="G609" s="6" t="s">
        <v>2</v>
      </c>
      <c r="H609" s="6" t="s">
        <v>180</v>
      </c>
      <c r="I609" s="216" t="s">
        <v>1</v>
      </c>
    </row>
    <row r="610" spans="1:9" x14ac:dyDescent="0.25">
      <c r="A610" s="1040" t="s">
        <v>14</v>
      </c>
      <c r="B610" s="1040"/>
      <c r="C610" s="1040"/>
      <c r="D610" s="7">
        <f>SUM(D611:D641)</f>
        <v>21679</v>
      </c>
      <c r="E610" s="7">
        <f>SUM(E611:E641)</f>
        <v>21679</v>
      </c>
      <c r="F610" s="425">
        <f>F611+F612+F619+F624+F620+F638+F613</f>
        <v>238105</v>
      </c>
      <c r="G610" s="7"/>
      <c r="H610" s="7">
        <f>SUM(H611,H612,H613,H619,H620,H625,H628,H630,H638)</f>
        <v>160421</v>
      </c>
      <c r="I610" s="451"/>
    </row>
    <row r="611" spans="1:9" ht="37.5" hidden="1" customHeight="1" x14ac:dyDescent="0.25">
      <c r="A611" s="3">
        <v>1</v>
      </c>
      <c r="B611" s="1042" t="s">
        <v>1176</v>
      </c>
      <c r="C611" s="1042"/>
      <c r="D611" s="283">
        <v>10402</v>
      </c>
      <c r="E611" s="283">
        <v>10402</v>
      </c>
      <c r="F611" s="437">
        <v>0</v>
      </c>
      <c r="G611" s="761">
        <v>5250</v>
      </c>
      <c r="H611" s="283"/>
      <c r="I611" s="451"/>
    </row>
    <row r="612" spans="1:9" x14ac:dyDescent="0.25">
      <c r="A612" s="1041">
        <v>1</v>
      </c>
      <c r="B612" s="1042" t="s">
        <v>1177</v>
      </c>
      <c r="C612" s="1042"/>
      <c r="D612" s="283">
        <v>11246</v>
      </c>
      <c r="E612" s="283">
        <v>11246</v>
      </c>
      <c r="F612" s="437">
        <f>F614+F617+F618</f>
        <v>16500</v>
      </c>
      <c r="G612" s="752">
        <v>5250</v>
      </c>
      <c r="H612" s="283">
        <f>SUM(H614,H617,H618)</f>
        <v>16500</v>
      </c>
      <c r="I612" s="1068" t="s">
        <v>1178</v>
      </c>
    </row>
    <row r="613" spans="1:9" ht="12" hidden="1" customHeight="1" x14ac:dyDescent="0.25">
      <c r="A613" s="1041"/>
      <c r="B613" s="1042"/>
      <c r="C613" s="1042"/>
      <c r="D613" s="283">
        <v>0</v>
      </c>
      <c r="E613" s="283">
        <v>0</v>
      </c>
      <c r="F613" s="437">
        <f>F615+F616</f>
        <v>40000</v>
      </c>
      <c r="G613" s="752">
        <v>2241</v>
      </c>
      <c r="H613" s="283"/>
      <c r="I613" s="1069"/>
    </row>
    <row r="614" spans="1:9" ht="15" hidden="1" customHeight="1" x14ac:dyDescent="0.25">
      <c r="A614" s="1041"/>
      <c r="B614" s="1042"/>
      <c r="C614" s="1042"/>
      <c r="D614" s="283"/>
      <c r="E614" s="283"/>
      <c r="F614" s="795">
        <v>12900</v>
      </c>
      <c r="G614" s="752"/>
      <c r="H614" s="283">
        <v>12900</v>
      </c>
      <c r="I614" s="1069"/>
    </row>
    <row r="615" spans="1:9" ht="15" hidden="1" customHeight="1" x14ac:dyDescent="0.25">
      <c r="A615" s="1041"/>
      <c r="B615" s="1042"/>
      <c r="C615" s="1042"/>
      <c r="D615" s="283"/>
      <c r="E615" s="283"/>
      <c r="F615" s="795">
        <v>21000</v>
      </c>
      <c r="G615" s="752"/>
      <c r="H615" s="283"/>
      <c r="I615" s="1069"/>
    </row>
    <row r="616" spans="1:9" ht="15" hidden="1" customHeight="1" x14ac:dyDescent="0.25">
      <c r="A616" s="1041"/>
      <c r="B616" s="1042"/>
      <c r="C616" s="1042"/>
      <c r="D616" s="283"/>
      <c r="E616" s="283"/>
      <c r="F616" s="795">
        <v>19000</v>
      </c>
      <c r="G616" s="752"/>
      <c r="H616" s="283"/>
      <c r="I616" s="1069"/>
    </row>
    <row r="617" spans="1:9" ht="12" hidden="1" customHeight="1" x14ac:dyDescent="0.25">
      <c r="A617" s="1041"/>
      <c r="B617" s="1042"/>
      <c r="C617" s="1042"/>
      <c r="D617" s="283"/>
      <c r="E617" s="283"/>
      <c r="F617" s="795">
        <v>1500</v>
      </c>
      <c r="G617" s="752"/>
      <c r="H617" s="283">
        <v>1500</v>
      </c>
      <c r="I617" s="1069"/>
    </row>
    <row r="618" spans="1:9" ht="15" hidden="1" customHeight="1" x14ac:dyDescent="0.25">
      <c r="A618" s="1041"/>
      <c r="B618" s="1042"/>
      <c r="C618" s="1042"/>
      <c r="D618" s="283"/>
      <c r="E618" s="283"/>
      <c r="F618" s="795">
        <v>2100</v>
      </c>
      <c r="G618" s="752"/>
      <c r="H618" s="283">
        <v>2100</v>
      </c>
      <c r="I618" s="1073"/>
    </row>
    <row r="619" spans="1:9" ht="12" hidden="1" customHeight="1" x14ac:dyDescent="0.25">
      <c r="A619" s="1041"/>
      <c r="B619" s="1042"/>
      <c r="C619" s="1042"/>
      <c r="D619" s="283">
        <v>31</v>
      </c>
      <c r="E619" s="283">
        <v>31</v>
      </c>
      <c r="F619" s="437">
        <v>0</v>
      </c>
      <c r="G619" s="752">
        <v>2279</v>
      </c>
      <c r="H619" s="283"/>
      <c r="I619" s="451"/>
    </row>
    <row r="620" spans="1:9" ht="26.25" customHeight="1" x14ac:dyDescent="0.25">
      <c r="A620" s="1041">
        <v>2</v>
      </c>
      <c r="B620" s="1042" t="s">
        <v>1179</v>
      </c>
      <c r="C620" s="1042"/>
      <c r="D620" s="283">
        <v>0</v>
      </c>
      <c r="E620" s="283">
        <v>0</v>
      </c>
      <c r="F620" s="437">
        <f>SUM(F621:F623)</f>
        <v>80500</v>
      </c>
      <c r="G620" s="752">
        <v>5250</v>
      </c>
      <c r="H620" s="283">
        <f>SUM(H621:H623)</f>
        <v>80500</v>
      </c>
      <c r="I620" s="1048" t="s">
        <v>1180</v>
      </c>
    </row>
    <row r="621" spans="1:9" ht="12" hidden="1" customHeight="1" x14ac:dyDescent="0.25">
      <c r="A621" s="1041"/>
      <c r="B621" s="1042"/>
      <c r="C621" s="1042"/>
      <c r="D621" s="776"/>
      <c r="E621" s="776"/>
      <c r="F621" s="795">
        <v>72000</v>
      </c>
      <c r="G621" s="752"/>
      <c r="H621" s="776">
        <v>72000</v>
      </c>
      <c r="I621" s="1048"/>
    </row>
    <row r="622" spans="1:9" ht="12" hidden="1" customHeight="1" x14ac:dyDescent="0.25">
      <c r="A622" s="1041"/>
      <c r="B622" s="1042"/>
      <c r="C622" s="1042"/>
      <c r="D622" s="283"/>
      <c r="E622" s="283"/>
      <c r="F622" s="795">
        <v>8000</v>
      </c>
      <c r="G622" s="752"/>
      <c r="H622" s="283">
        <v>8000</v>
      </c>
      <c r="I622" s="1048"/>
    </row>
    <row r="623" spans="1:9" ht="12" hidden="1" customHeight="1" x14ac:dyDescent="0.25">
      <c r="A623" s="1041"/>
      <c r="B623" s="1042"/>
      <c r="C623" s="1042"/>
      <c r="D623" s="283"/>
      <c r="E623" s="283"/>
      <c r="F623" s="795">
        <v>500</v>
      </c>
      <c r="G623" s="752"/>
      <c r="H623" s="283">
        <v>500</v>
      </c>
      <c r="I623" s="1048"/>
    </row>
    <row r="624" spans="1:9" ht="28.5" hidden="1" customHeight="1" x14ac:dyDescent="0.25">
      <c r="D624" s="283">
        <v>0</v>
      </c>
      <c r="E624" s="283">
        <v>0</v>
      </c>
      <c r="F624" s="437">
        <f>SUM(F625+F628)</f>
        <v>17915</v>
      </c>
      <c r="G624" s="752"/>
      <c r="H624" s="283"/>
      <c r="I624" s="811"/>
    </row>
    <row r="625" spans="1:9" ht="12" customHeight="1" x14ac:dyDescent="0.25">
      <c r="A625" s="3">
        <v>3</v>
      </c>
      <c r="B625" s="1025" t="s">
        <v>1181</v>
      </c>
      <c r="C625" s="1026"/>
      <c r="D625" s="283"/>
      <c r="E625" s="283"/>
      <c r="F625" s="437">
        <f>SUM(F626:F627)</f>
        <v>15500</v>
      </c>
      <c r="G625" s="752">
        <v>5250</v>
      </c>
      <c r="H625" s="283">
        <f>SUM(H626:H627)</f>
        <v>5500</v>
      </c>
      <c r="I625" s="451" t="s">
        <v>1178</v>
      </c>
    </row>
    <row r="626" spans="1:9" ht="12" hidden="1" customHeight="1" x14ac:dyDescent="0.25">
      <c r="A626" s="3"/>
      <c r="B626" s="8"/>
      <c r="C626" s="8"/>
      <c r="D626" s="283"/>
      <c r="E626" s="283"/>
      <c r="F626" s="795">
        <v>10000</v>
      </c>
      <c r="G626" s="752"/>
      <c r="H626" s="283"/>
      <c r="I626" s="451"/>
    </row>
    <row r="627" spans="1:9" ht="12" hidden="1" customHeight="1" x14ac:dyDescent="0.25">
      <c r="A627" s="3"/>
      <c r="B627" s="8"/>
      <c r="C627" s="8"/>
      <c r="D627" s="7"/>
      <c r="E627" s="7"/>
      <c r="F627" s="795">
        <v>5500</v>
      </c>
      <c r="G627" s="752"/>
      <c r="H627" s="810">
        <v>5500</v>
      </c>
      <c r="I627" s="451"/>
    </row>
    <row r="628" spans="1:9" ht="12" hidden="1" customHeight="1" x14ac:dyDescent="0.25">
      <c r="A628" s="3"/>
      <c r="B628" s="8"/>
      <c r="C628" s="8"/>
      <c r="D628" s="7"/>
      <c r="E628" s="7"/>
      <c r="F628" s="437">
        <f>F629</f>
        <v>2415</v>
      </c>
      <c r="G628" s="752">
        <v>2241</v>
      </c>
      <c r="H628" s="7"/>
      <c r="I628" s="451"/>
    </row>
    <row r="629" spans="1:9" ht="3.75" hidden="1" customHeight="1" x14ac:dyDescent="0.25">
      <c r="A629" s="3"/>
      <c r="B629" s="8"/>
      <c r="C629" s="8"/>
      <c r="D629" s="7"/>
      <c r="E629" s="7"/>
      <c r="F629" s="795">
        <v>2415</v>
      </c>
      <c r="G629" s="752"/>
      <c r="H629" s="7"/>
      <c r="I629" s="451"/>
    </row>
    <row r="630" spans="1:9" x14ac:dyDescent="0.25">
      <c r="A630" s="1030">
        <v>4</v>
      </c>
      <c r="B630" s="1032" t="s">
        <v>1182</v>
      </c>
      <c r="C630" s="1033"/>
      <c r="D630" s="7"/>
      <c r="E630" s="7"/>
      <c r="F630" s="840">
        <f>SUM(F631:F637)</f>
        <v>217921</v>
      </c>
      <c r="G630" s="752">
        <v>5250</v>
      </c>
      <c r="H630" s="810">
        <f>SUM(H631:H637)</f>
        <v>57921</v>
      </c>
      <c r="I630" s="1068" t="s">
        <v>1178</v>
      </c>
    </row>
    <row r="631" spans="1:9" ht="27.75" hidden="1" customHeight="1" x14ac:dyDescent="0.25">
      <c r="A631" s="1065"/>
      <c r="B631" s="1066"/>
      <c r="C631" s="1067"/>
      <c r="D631" s="7"/>
      <c r="E631" s="7"/>
      <c r="F631" s="840">
        <v>4216</v>
      </c>
      <c r="G631" s="761"/>
      <c r="H631" s="810">
        <v>4216</v>
      </c>
      <c r="I631" s="1069"/>
    </row>
    <row r="632" spans="1:9" ht="42" hidden="1" customHeight="1" x14ac:dyDescent="0.25">
      <c r="A632" s="1065"/>
      <c r="B632" s="1066"/>
      <c r="C632" s="1067"/>
      <c r="D632" s="283"/>
      <c r="E632" s="283"/>
      <c r="F632" s="841">
        <v>38599</v>
      </c>
      <c r="G632" s="840"/>
      <c r="H632" s="755">
        <v>38599</v>
      </c>
      <c r="I632" s="1069"/>
    </row>
    <row r="633" spans="1:9" ht="27.75" hidden="1" customHeight="1" x14ac:dyDescent="0.25">
      <c r="A633" s="1065"/>
      <c r="B633" s="1066"/>
      <c r="C633" s="1067"/>
      <c r="D633" s="283"/>
      <c r="E633" s="283"/>
      <c r="F633" s="842">
        <v>9680</v>
      </c>
      <c r="G633" s="840"/>
      <c r="H633" s="755">
        <v>9680</v>
      </c>
      <c r="I633" s="1069"/>
    </row>
    <row r="634" spans="1:9" ht="27.75" hidden="1" customHeight="1" x14ac:dyDescent="0.25">
      <c r="A634" s="1065"/>
      <c r="B634" s="1066"/>
      <c r="C634" s="1067"/>
      <c r="D634" s="283"/>
      <c r="E634" s="283"/>
      <c r="F634" s="756">
        <v>160000</v>
      </c>
      <c r="G634" s="840"/>
      <c r="H634" s="755"/>
      <c r="I634" s="1069"/>
    </row>
    <row r="635" spans="1:9" ht="12" hidden="1" customHeight="1" x14ac:dyDescent="0.25">
      <c r="A635" s="1065"/>
      <c r="B635" s="1066"/>
      <c r="C635" s="1067"/>
      <c r="D635" s="7"/>
      <c r="E635" s="7"/>
      <c r="F635" s="840">
        <v>3117</v>
      </c>
      <c r="G635" s="761"/>
      <c r="H635" s="810">
        <v>3117</v>
      </c>
      <c r="I635" s="1069"/>
    </row>
    <row r="636" spans="1:9" ht="18" hidden="1" customHeight="1" x14ac:dyDescent="0.25">
      <c r="A636" s="1065"/>
      <c r="B636" s="1066"/>
      <c r="C636" s="1067"/>
      <c r="D636" s="7"/>
      <c r="E636" s="7"/>
      <c r="F636" s="840">
        <v>1197</v>
      </c>
      <c r="G636" s="761"/>
      <c r="H636" s="810">
        <v>1197</v>
      </c>
      <c r="I636" s="1069"/>
    </row>
    <row r="637" spans="1:9" ht="12" hidden="1" customHeight="1" x14ac:dyDescent="0.25">
      <c r="A637" s="1065"/>
      <c r="B637" s="1066"/>
      <c r="C637" s="1067"/>
      <c r="D637" s="7"/>
      <c r="E637" s="7"/>
      <c r="F637" s="840">
        <v>1112</v>
      </c>
      <c r="G637" s="761"/>
      <c r="H637" s="810">
        <v>1112</v>
      </c>
      <c r="I637" s="1069"/>
    </row>
    <row r="638" spans="1:9" ht="12" hidden="1" customHeight="1" x14ac:dyDescent="0.25">
      <c r="A638" s="1070">
        <v>7</v>
      </c>
      <c r="B638" s="1071" t="s">
        <v>1183</v>
      </c>
      <c r="C638" s="1071"/>
      <c r="D638" s="763">
        <v>0</v>
      </c>
      <c r="E638" s="763">
        <v>0</v>
      </c>
      <c r="F638" s="662">
        <f>SUM(F639:F641)</f>
        <v>83190</v>
      </c>
      <c r="G638" s="761">
        <v>5240</v>
      </c>
      <c r="H638" s="763"/>
      <c r="I638" s="1072" t="s">
        <v>1184</v>
      </c>
    </row>
    <row r="639" spans="1:9" ht="12" hidden="1" customHeight="1" x14ac:dyDescent="0.25">
      <c r="A639" s="1070"/>
      <c r="B639" s="1071"/>
      <c r="C639" s="1071"/>
      <c r="D639" s="763"/>
      <c r="E639" s="763"/>
      <c r="F639" s="795">
        <v>76000</v>
      </c>
      <c r="G639" s="761"/>
      <c r="H639" s="763"/>
      <c r="I639" s="1072"/>
    </row>
    <row r="640" spans="1:9" ht="12" hidden="1" customHeight="1" x14ac:dyDescent="0.25">
      <c r="A640" s="1070"/>
      <c r="B640" s="1071"/>
      <c r="C640" s="1071"/>
      <c r="D640" s="763"/>
      <c r="E640" s="763"/>
      <c r="F640" s="795">
        <v>6600</v>
      </c>
      <c r="G640" s="761"/>
      <c r="H640" s="763"/>
      <c r="I640" s="1072"/>
    </row>
    <row r="641" spans="1:9" ht="12" hidden="1" customHeight="1" x14ac:dyDescent="0.25">
      <c r="A641" s="1070"/>
      <c r="B641" s="1071"/>
      <c r="C641" s="1071"/>
      <c r="D641" s="763"/>
      <c r="E641" s="763"/>
      <c r="F641" s="795">
        <v>590</v>
      </c>
      <c r="G641" s="761"/>
      <c r="H641" s="295"/>
      <c r="I641" s="1072"/>
    </row>
    <row r="642" spans="1:9" ht="12" hidden="1" customHeight="1" x14ac:dyDescent="0.25">
      <c r="A642" s="1060" t="s">
        <v>1185</v>
      </c>
      <c r="B642" s="1061"/>
      <c r="C642" s="1062"/>
      <c r="D642" s="843">
        <f>SUM(D10,D44,D60,D69,D167,D201,D216,D235,D276,D292,D390,D550,D598,D604,D610)</f>
        <v>11311907</v>
      </c>
      <c r="E642" s="843">
        <f>SUM(E10,E44,E60,E69,E167,E201,E216,E235,E276,E292,E390,E550,E598,E604,E610)</f>
        <v>7647596</v>
      </c>
      <c r="F642" s="844">
        <f>SUM(F10,F44,F60,F69,F167,F201,F216,F235,F276,F292,F390,F550,F598,F604,F610)</f>
        <v>25454882</v>
      </c>
      <c r="G642" s="843">
        <f>SUM(G10,G44,G60,G69,G167,G201,G216,G235,G276,G292,G390,G550,G598,G604,G610)</f>
        <v>0</v>
      </c>
      <c r="H642" s="843">
        <f>SUM(H10,H44,H60,H69,H167,H201,H216,H235,H276,H292,H390,H550,H598,H604,H610)</f>
        <v>19516037</v>
      </c>
      <c r="I642" s="845"/>
    </row>
    <row r="643" spans="1:9" x14ac:dyDescent="0.25">
      <c r="A643" s="846"/>
      <c r="B643" s="847"/>
      <c r="C643" s="847"/>
      <c r="D643" s="847"/>
      <c r="E643" s="847"/>
      <c r="F643" s="821"/>
      <c r="G643" s="847"/>
      <c r="H643" s="847"/>
      <c r="I643" s="821"/>
    </row>
    <row r="644" spans="1:9" x14ac:dyDescent="0.25">
      <c r="A644" s="1063" t="s">
        <v>1186</v>
      </c>
      <c r="B644" s="1063"/>
      <c r="C644" s="1063"/>
      <c r="D644" s="1063"/>
      <c r="E644" s="1063"/>
      <c r="F644" s="1063"/>
      <c r="G644" s="1063"/>
      <c r="H644" s="1063"/>
      <c r="I644" s="1063"/>
    </row>
    <row r="645" spans="1:9" x14ac:dyDescent="0.25">
      <c r="A645" s="445" t="s">
        <v>765</v>
      </c>
      <c r="C645" s="296"/>
      <c r="D645" s="296"/>
      <c r="E645" s="296"/>
      <c r="F645" s="848"/>
      <c r="G645" s="296"/>
      <c r="H645" s="296"/>
      <c r="I645" s="848"/>
    </row>
    <row r="646" spans="1:9" x14ac:dyDescent="0.25">
      <c r="A646" s="447"/>
      <c r="B646" s="296" t="s">
        <v>1187</v>
      </c>
      <c r="C646" s="296"/>
      <c r="D646" s="296"/>
      <c r="E646" s="296"/>
      <c r="F646" s="848"/>
      <c r="G646" s="296"/>
      <c r="H646" s="296"/>
      <c r="I646" s="848"/>
    </row>
    <row r="647" spans="1:9" x14ac:dyDescent="0.25">
      <c r="C647" s="281" t="s">
        <v>1188</v>
      </c>
      <c r="I647" s="848"/>
    </row>
    <row r="648" spans="1:9" x14ac:dyDescent="0.25">
      <c r="B648" s="281" t="s">
        <v>1189</v>
      </c>
      <c r="I648" s="848"/>
    </row>
    <row r="649" spans="1:9" x14ac:dyDescent="0.25">
      <c r="C649" s="281" t="s">
        <v>1190</v>
      </c>
      <c r="I649" s="848"/>
    </row>
    <row r="650" spans="1:9" x14ac:dyDescent="0.25">
      <c r="B650" s="281" t="s">
        <v>1191</v>
      </c>
    </row>
    <row r="651" spans="1:9" x14ac:dyDescent="0.25">
      <c r="C651" s="281" t="s">
        <v>1192</v>
      </c>
    </row>
    <row r="652" spans="1:9" x14ac:dyDescent="0.25">
      <c r="C652" s="281" t="s">
        <v>1193</v>
      </c>
    </row>
    <row r="653" spans="1:9" x14ac:dyDescent="0.25">
      <c r="B653" s="281" t="s">
        <v>1194</v>
      </c>
    </row>
    <row r="654" spans="1:9" x14ac:dyDescent="0.25">
      <c r="C654" s="281" t="s">
        <v>1195</v>
      </c>
    </row>
    <row r="655" spans="1:9" x14ac:dyDescent="0.25">
      <c r="B655" s="281" t="s">
        <v>1196</v>
      </c>
    </row>
    <row r="656" spans="1:9" ht="23.25" customHeight="1" x14ac:dyDescent="0.25">
      <c r="C656" s="1064" t="s">
        <v>1197</v>
      </c>
      <c r="D656" s="1064"/>
      <c r="E656" s="1064"/>
      <c r="F656" s="1064"/>
      <c r="G656" s="1064"/>
      <c r="H656" s="1064"/>
      <c r="I656" s="1064"/>
    </row>
    <row r="657" spans="2:3" x14ac:dyDescent="0.25">
      <c r="B657" s="281" t="s">
        <v>972</v>
      </c>
    </row>
    <row r="658" spans="2:3" x14ac:dyDescent="0.25">
      <c r="C658" s="281" t="s">
        <v>1198</v>
      </c>
    </row>
    <row r="659" spans="2:3" x14ac:dyDescent="0.25">
      <c r="C659" s="281" t="s">
        <v>1199</v>
      </c>
    </row>
    <row r="660" spans="2:3" x14ac:dyDescent="0.25">
      <c r="C660" s="281" t="s">
        <v>1200</v>
      </c>
    </row>
    <row r="661" spans="2:3" x14ac:dyDescent="0.25">
      <c r="B661" s="281" t="s">
        <v>1201</v>
      </c>
    </row>
    <row r="662" spans="2:3" x14ac:dyDescent="0.25">
      <c r="C662" s="281" t="s">
        <v>1202</v>
      </c>
    </row>
    <row r="663" spans="2:3" x14ac:dyDescent="0.25">
      <c r="B663" s="281" t="s">
        <v>1203</v>
      </c>
    </row>
    <row r="664" spans="2:3" x14ac:dyDescent="0.25">
      <c r="C664" s="281" t="s">
        <v>1204</v>
      </c>
    </row>
    <row r="665" spans="2:3" x14ac:dyDescent="0.25">
      <c r="B665" s="281" t="s">
        <v>1205</v>
      </c>
    </row>
    <row r="666" spans="2:3" x14ac:dyDescent="0.25">
      <c r="C666" s="281" t="s">
        <v>1206</v>
      </c>
    </row>
    <row r="667" spans="2:3" x14ac:dyDescent="0.25">
      <c r="B667" s="281" t="s">
        <v>1207</v>
      </c>
    </row>
    <row r="668" spans="2:3" x14ac:dyDescent="0.25">
      <c r="C668" s="281" t="s">
        <v>1208</v>
      </c>
    </row>
    <row r="669" spans="2:3" x14ac:dyDescent="0.25">
      <c r="B669" s="281" t="s">
        <v>1209</v>
      </c>
    </row>
    <row r="670" spans="2:3" x14ac:dyDescent="0.25">
      <c r="C670" s="281" t="s">
        <v>1210</v>
      </c>
    </row>
    <row r="671" spans="2:3" x14ac:dyDescent="0.25">
      <c r="B671" s="281" t="s">
        <v>1211</v>
      </c>
    </row>
    <row r="672" spans="2:3" x14ac:dyDescent="0.25">
      <c r="C672" s="281" t="s">
        <v>1212</v>
      </c>
    </row>
    <row r="673" spans="2:3" x14ac:dyDescent="0.25">
      <c r="B673" s="281" t="s">
        <v>211</v>
      </c>
    </row>
    <row r="674" spans="2:3" x14ac:dyDescent="0.25">
      <c r="C674" s="281" t="s">
        <v>1213</v>
      </c>
    </row>
    <row r="675" spans="2:3" x14ac:dyDescent="0.25">
      <c r="C675" s="281" t="s">
        <v>1214</v>
      </c>
    </row>
    <row r="676" spans="2:3" x14ac:dyDescent="0.25">
      <c r="B676" s="281" t="s">
        <v>1215</v>
      </c>
    </row>
    <row r="677" spans="2:3" x14ac:dyDescent="0.25">
      <c r="C677" s="281" t="s">
        <v>1216</v>
      </c>
    </row>
    <row r="678" spans="2:3" x14ac:dyDescent="0.25">
      <c r="B678" s="281" t="s">
        <v>1217</v>
      </c>
    </row>
    <row r="679" spans="2:3" x14ac:dyDescent="0.25">
      <c r="C679" s="281" t="s">
        <v>1218</v>
      </c>
    </row>
    <row r="680" spans="2:3" x14ac:dyDescent="0.25">
      <c r="B680" s="281" t="s">
        <v>1219</v>
      </c>
    </row>
    <row r="681" spans="2:3" x14ac:dyDescent="0.25">
      <c r="C681" s="281" t="s">
        <v>1220</v>
      </c>
    </row>
  </sheetData>
  <sheetProtection algorithmName="SHA-512" hashValue="G8nl2N6J+Yg905+RYF07xI9x7fdXVEfrfkE0m6363Lr/iq5TrkUOpZ2F+MI6zw0vKKxFP+WghleFhypMRTaWXQ==" saltValue="cTDVUgT0RGCdMufeFkPcyg==" spinCount="100000" sheet="1" objects="1" scenarios="1" selectLockedCells="1" selectUnlockedCells="1"/>
  <mergeCells count="336">
    <mergeCell ref="A1:B1"/>
    <mergeCell ref="C1:I1"/>
    <mergeCell ref="A2:B2"/>
    <mergeCell ref="C2:I2"/>
    <mergeCell ref="A3:I3"/>
    <mergeCell ref="A5:B5"/>
    <mergeCell ref="C5:I5"/>
    <mergeCell ref="A11:A39"/>
    <mergeCell ref="B11:C39"/>
    <mergeCell ref="I11:I39"/>
    <mergeCell ref="A41:B41"/>
    <mergeCell ref="A42:B42"/>
    <mergeCell ref="B43:C43"/>
    <mergeCell ref="A7:B7"/>
    <mergeCell ref="C7:I7"/>
    <mergeCell ref="A8:B8"/>
    <mergeCell ref="C8:I8"/>
    <mergeCell ref="B9:C9"/>
    <mergeCell ref="A10:C10"/>
    <mergeCell ref="B52:C52"/>
    <mergeCell ref="A53:A55"/>
    <mergeCell ref="B53:C55"/>
    <mergeCell ref="I53:I55"/>
    <mergeCell ref="A57:B57"/>
    <mergeCell ref="A58:B58"/>
    <mergeCell ref="A44:C44"/>
    <mergeCell ref="I44:I51"/>
    <mergeCell ref="B45:C45"/>
    <mergeCell ref="B46:C46"/>
    <mergeCell ref="A47:A51"/>
    <mergeCell ref="B47:C51"/>
    <mergeCell ref="A66:B66"/>
    <mergeCell ref="A67:B67"/>
    <mergeCell ref="B68:C68"/>
    <mergeCell ref="A69:C69"/>
    <mergeCell ref="A70:A75"/>
    <mergeCell ref="B70:C75"/>
    <mergeCell ref="B59:C59"/>
    <mergeCell ref="A60:C60"/>
    <mergeCell ref="I60:I64"/>
    <mergeCell ref="B61:C61"/>
    <mergeCell ref="A62:A64"/>
    <mergeCell ref="B62:C64"/>
    <mergeCell ref="B111:C111"/>
    <mergeCell ref="B112:C112"/>
    <mergeCell ref="B113:C113"/>
    <mergeCell ref="B114:C114"/>
    <mergeCell ref="B115:C115"/>
    <mergeCell ref="A116:A118"/>
    <mergeCell ref="B116:C118"/>
    <mergeCell ref="I70:I75"/>
    <mergeCell ref="H73:H75"/>
    <mergeCell ref="A76:A92"/>
    <mergeCell ref="B76:C92"/>
    <mergeCell ref="I76:I92"/>
    <mergeCell ref="A93:A110"/>
    <mergeCell ref="B93:C110"/>
    <mergeCell ref="I93:I101"/>
    <mergeCell ref="I104:I110"/>
    <mergeCell ref="B137:C137"/>
    <mergeCell ref="A138:A145"/>
    <mergeCell ref="B138:C145"/>
    <mergeCell ref="I138:I145"/>
    <mergeCell ref="A146:A147"/>
    <mergeCell ref="B146:C147"/>
    <mergeCell ref="I146:I147"/>
    <mergeCell ref="I116:I118"/>
    <mergeCell ref="A119:A125"/>
    <mergeCell ref="B119:C125"/>
    <mergeCell ref="I119:I125"/>
    <mergeCell ref="A126:A136"/>
    <mergeCell ref="B126:C136"/>
    <mergeCell ref="I126:I136"/>
    <mergeCell ref="A156:A161"/>
    <mergeCell ref="B156:C161"/>
    <mergeCell ref="I156:I161"/>
    <mergeCell ref="B162:C162"/>
    <mergeCell ref="A164:B164"/>
    <mergeCell ref="C164:I164"/>
    <mergeCell ref="B148:C148"/>
    <mergeCell ref="B149:C149"/>
    <mergeCell ref="B150:C150"/>
    <mergeCell ref="A151:A155"/>
    <mergeCell ref="B151:C155"/>
    <mergeCell ref="I151:I155"/>
    <mergeCell ref="I169:I174"/>
    <mergeCell ref="B175:C175"/>
    <mergeCell ref="A176:A179"/>
    <mergeCell ref="B176:C179"/>
    <mergeCell ref="I176:I179"/>
    <mergeCell ref="B180:C180"/>
    <mergeCell ref="A165:B165"/>
    <mergeCell ref="B166:C166"/>
    <mergeCell ref="A167:C167"/>
    <mergeCell ref="B168:C168"/>
    <mergeCell ref="A169:A174"/>
    <mergeCell ref="B169:C174"/>
    <mergeCell ref="B189:C189"/>
    <mergeCell ref="A190:A192"/>
    <mergeCell ref="B190:C192"/>
    <mergeCell ref="I190:I192"/>
    <mergeCell ref="A193:A196"/>
    <mergeCell ref="B193:C196"/>
    <mergeCell ref="I193:I196"/>
    <mergeCell ref="A181:A184"/>
    <mergeCell ref="B181:C184"/>
    <mergeCell ref="I181:I184"/>
    <mergeCell ref="A185:A188"/>
    <mergeCell ref="B185:C188"/>
    <mergeCell ref="I185:I188"/>
    <mergeCell ref="I202:I211"/>
    <mergeCell ref="A213:B213"/>
    <mergeCell ref="A214:B214"/>
    <mergeCell ref="B215:C215"/>
    <mergeCell ref="A216:C216"/>
    <mergeCell ref="B217:C217"/>
    <mergeCell ref="A198:B198"/>
    <mergeCell ref="A199:B199"/>
    <mergeCell ref="B200:C200"/>
    <mergeCell ref="A201:C201"/>
    <mergeCell ref="A202:A211"/>
    <mergeCell ref="B202:C211"/>
    <mergeCell ref="A232:B232"/>
    <mergeCell ref="A233:B233"/>
    <mergeCell ref="B234:C234"/>
    <mergeCell ref="A235:C235"/>
    <mergeCell ref="B236:C236"/>
    <mergeCell ref="B237:C237"/>
    <mergeCell ref="A218:A221"/>
    <mergeCell ref="B218:C221"/>
    <mergeCell ref="I218:I221"/>
    <mergeCell ref="H220:H221"/>
    <mergeCell ref="A222:A230"/>
    <mergeCell ref="B222:C230"/>
    <mergeCell ref="I222:I230"/>
    <mergeCell ref="B271:C271"/>
    <mergeCell ref="A273:B273"/>
    <mergeCell ref="A274:B274"/>
    <mergeCell ref="B275:C275"/>
    <mergeCell ref="A276:C276"/>
    <mergeCell ref="B277:C277"/>
    <mergeCell ref="A238:A241"/>
    <mergeCell ref="B238:C241"/>
    <mergeCell ref="I238:I241"/>
    <mergeCell ref="A242:A270"/>
    <mergeCell ref="B242:C270"/>
    <mergeCell ref="I242:I270"/>
    <mergeCell ref="A289:B289"/>
    <mergeCell ref="A290:B290"/>
    <mergeCell ref="B291:C291"/>
    <mergeCell ref="A292:C292"/>
    <mergeCell ref="B293:C293"/>
    <mergeCell ref="B294:C294"/>
    <mergeCell ref="A278:A279"/>
    <mergeCell ref="B278:C279"/>
    <mergeCell ref="I278:I279"/>
    <mergeCell ref="B280:C280"/>
    <mergeCell ref="A281:A287"/>
    <mergeCell ref="B281:C287"/>
    <mergeCell ref="I281:I287"/>
    <mergeCell ref="A308:A309"/>
    <mergeCell ref="B308:C309"/>
    <mergeCell ref="I308:I309"/>
    <mergeCell ref="B311:C311"/>
    <mergeCell ref="A319:A326"/>
    <mergeCell ref="B319:C326"/>
    <mergeCell ref="I319:I326"/>
    <mergeCell ref="A295:A296"/>
    <mergeCell ref="B295:C296"/>
    <mergeCell ref="I295:I296"/>
    <mergeCell ref="I297:I301"/>
    <mergeCell ref="B298:C298"/>
    <mergeCell ref="A302:A307"/>
    <mergeCell ref="B302:C307"/>
    <mergeCell ref="I302:I307"/>
    <mergeCell ref="A337:A351"/>
    <mergeCell ref="B337:C351"/>
    <mergeCell ref="I337:I351"/>
    <mergeCell ref="A352:A364"/>
    <mergeCell ref="B352:C364"/>
    <mergeCell ref="I352:I364"/>
    <mergeCell ref="A327:A333"/>
    <mergeCell ref="B327:C333"/>
    <mergeCell ref="I327:I333"/>
    <mergeCell ref="A334:A336"/>
    <mergeCell ref="B334:C336"/>
    <mergeCell ref="I334:I336"/>
    <mergeCell ref="I380:I383"/>
    <mergeCell ref="B384:C384"/>
    <mergeCell ref="B385:C385"/>
    <mergeCell ref="A387:B387"/>
    <mergeCell ref="A365:A372"/>
    <mergeCell ref="B365:C372"/>
    <mergeCell ref="I365:I372"/>
    <mergeCell ref="A373:A379"/>
    <mergeCell ref="B373:C379"/>
    <mergeCell ref="I373:I379"/>
    <mergeCell ref="A388:B388"/>
    <mergeCell ref="B389:C389"/>
    <mergeCell ref="A390:C390"/>
    <mergeCell ref="B391:C391"/>
    <mergeCell ref="B392:C392"/>
    <mergeCell ref="A393:A394"/>
    <mergeCell ref="B393:C394"/>
    <mergeCell ref="A380:A383"/>
    <mergeCell ref="B380:C383"/>
    <mergeCell ref="A412:A422"/>
    <mergeCell ref="B412:C422"/>
    <mergeCell ref="I412:I422"/>
    <mergeCell ref="A423:A429"/>
    <mergeCell ref="B423:C429"/>
    <mergeCell ref="I423:I429"/>
    <mergeCell ref="A395:A405"/>
    <mergeCell ref="B395:C405"/>
    <mergeCell ref="I395:I405"/>
    <mergeCell ref="A406:A411"/>
    <mergeCell ref="B406:C411"/>
    <mergeCell ref="I406:I411"/>
    <mergeCell ref="B439:C439"/>
    <mergeCell ref="A440:A456"/>
    <mergeCell ref="B440:C456"/>
    <mergeCell ref="I441:I455"/>
    <mergeCell ref="B457:C457"/>
    <mergeCell ref="A458:A465"/>
    <mergeCell ref="B458:C465"/>
    <mergeCell ref="I458:I465"/>
    <mergeCell ref="B430:C430"/>
    <mergeCell ref="B431:C431"/>
    <mergeCell ref="A432:A435"/>
    <mergeCell ref="B432:C435"/>
    <mergeCell ref="I432:I435"/>
    <mergeCell ref="A436:A438"/>
    <mergeCell ref="B436:C438"/>
    <mergeCell ref="I436:I438"/>
    <mergeCell ref="B476:C476"/>
    <mergeCell ref="A477:A481"/>
    <mergeCell ref="B477:C481"/>
    <mergeCell ref="I477:I481"/>
    <mergeCell ref="H479:H481"/>
    <mergeCell ref="A482:A488"/>
    <mergeCell ref="B482:C488"/>
    <mergeCell ref="I482:I488"/>
    <mergeCell ref="A466:A469"/>
    <mergeCell ref="B466:C469"/>
    <mergeCell ref="I466:I469"/>
    <mergeCell ref="B470:C470"/>
    <mergeCell ref="B471:C471"/>
    <mergeCell ref="A472:A475"/>
    <mergeCell ref="B472:C475"/>
    <mergeCell ref="I472:I475"/>
    <mergeCell ref="A509:A518"/>
    <mergeCell ref="B509:C518"/>
    <mergeCell ref="I509:I518"/>
    <mergeCell ref="A519:A523"/>
    <mergeCell ref="B519:C523"/>
    <mergeCell ref="I519:I523"/>
    <mergeCell ref="A489:A492"/>
    <mergeCell ref="B489:C492"/>
    <mergeCell ref="I489:I492"/>
    <mergeCell ref="B493:C493"/>
    <mergeCell ref="A494:A508"/>
    <mergeCell ref="B494:C508"/>
    <mergeCell ref="I494:I508"/>
    <mergeCell ref="A539:A544"/>
    <mergeCell ref="B539:C544"/>
    <mergeCell ref="I539:I544"/>
    <mergeCell ref="B545:C545"/>
    <mergeCell ref="A547:B547"/>
    <mergeCell ref="A548:B548"/>
    <mergeCell ref="A524:A535"/>
    <mergeCell ref="B524:C535"/>
    <mergeCell ref="I524:I535"/>
    <mergeCell ref="A536:A538"/>
    <mergeCell ref="B536:C538"/>
    <mergeCell ref="I536:I538"/>
    <mergeCell ref="B558:C558"/>
    <mergeCell ref="A559:A565"/>
    <mergeCell ref="B559:C565"/>
    <mergeCell ref="I559:I565"/>
    <mergeCell ref="B566:C566"/>
    <mergeCell ref="B567:C567"/>
    <mergeCell ref="B549:C549"/>
    <mergeCell ref="A550:C550"/>
    <mergeCell ref="B551:C551"/>
    <mergeCell ref="A552:A557"/>
    <mergeCell ref="B552:C557"/>
    <mergeCell ref="I552:I557"/>
    <mergeCell ref="B577:C577"/>
    <mergeCell ref="A578:A582"/>
    <mergeCell ref="B578:C582"/>
    <mergeCell ref="I578:I582"/>
    <mergeCell ref="A583:A586"/>
    <mergeCell ref="B583:C586"/>
    <mergeCell ref="I583:I586"/>
    <mergeCell ref="A568:A570"/>
    <mergeCell ref="B568:C570"/>
    <mergeCell ref="I568:I570"/>
    <mergeCell ref="A571:A576"/>
    <mergeCell ref="B571:C576"/>
    <mergeCell ref="I571:I576"/>
    <mergeCell ref="A596:B596"/>
    <mergeCell ref="B597:C597"/>
    <mergeCell ref="A598:C598"/>
    <mergeCell ref="B599:C599"/>
    <mergeCell ref="A601:B601"/>
    <mergeCell ref="A602:B602"/>
    <mergeCell ref="A587:A591"/>
    <mergeCell ref="B587:C591"/>
    <mergeCell ref="I587:I591"/>
    <mergeCell ref="B592:C592"/>
    <mergeCell ref="B593:C593"/>
    <mergeCell ref="A595:B595"/>
    <mergeCell ref="A610:C610"/>
    <mergeCell ref="B611:C611"/>
    <mergeCell ref="A612:A619"/>
    <mergeCell ref="B612:C619"/>
    <mergeCell ref="I612:I618"/>
    <mergeCell ref="A620:A623"/>
    <mergeCell ref="B620:C623"/>
    <mergeCell ref="I620:I623"/>
    <mergeCell ref="B603:C603"/>
    <mergeCell ref="A604:C604"/>
    <mergeCell ref="B605:C605"/>
    <mergeCell ref="A607:B607"/>
    <mergeCell ref="A608:B608"/>
    <mergeCell ref="B609:C609"/>
    <mergeCell ref="A642:C642"/>
    <mergeCell ref="A644:I644"/>
    <mergeCell ref="C656:I656"/>
    <mergeCell ref="B625:C625"/>
    <mergeCell ref="A630:A637"/>
    <mergeCell ref="B630:C637"/>
    <mergeCell ref="I630:I637"/>
    <mergeCell ref="A638:A641"/>
    <mergeCell ref="B638:C641"/>
    <mergeCell ref="I638:I641"/>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Roman,Regular"&amp;8&amp;D;&amp;T&amp;R&amp;"Times New Roman,Regular"&amp;8&amp;P(&amp;N)</oddFooter>
    <firstHeader>&amp;R&amp;"Times New Roman,Regular"&amp;8
10.pielikums Jūrmalas pilsētas domes
2016.gada 16.decembra saistošajiem noteikumiem Nr.47
(protokols Nr.19, 19.punkts)</first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8"/>
  <sheetViews>
    <sheetView view="pageLayout" zoomScaleNormal="100" zoomScaleSheetLayoutView="110" workbookViewId="0">
      <selection activeCell="J14" sqref="J14"/>
    </sheetView>
  </sheetViews>
  <sheetFormatPr defaultRowHeight="12" x14ac:dyDescent="0.2"/>
  <cols>
    <col min="1" max="1" width="6.140625" style="1" customWidth="1"/>
    <col min="2" max="2" width="17.28515625" style="1" customWidth="1"/>
    <col min="3" max="3" width="24.7109375" style="1" customWidth="1"/>
    <col min="4" max="4" width="11.85546875" style="1" hidden="1" customWidth="1"/>
    <col min="5" max="5" width="11.140625" style="1" hidden="1" customWidth="1"/>
    <col min="6" max="6" width="10.28515625" style="1" hidden="1" customWidth="1"/>
    <col min="7" max="7" width="10.5703125" style="1" customWidth="1"/>
    <col min="8" max="8" width="9.7109375" style="1" customWidth="1"/>
    <col min="9" max="9" width="17" style="1" customWidth="1"/>
    <col min="10" max="16384" width="9.140625" style="1"/>
  </cols>
  <sheetData>
    <row r="1" spans="1:9" x14ac:dyDescent="0.2">
      <c r="A1" s="1016" t="s">
        <v>8</v>
      </c>
      <c r="B1" s="1016"/>
      <c r="C1" s="1016" t="s">
        <v>15</v>
      </c>
      <c r="D1" s="1016"/>
      <c r="E1" s="1016"/>
      <c r="F1" s="1016"/>
      <c r="G1" s="1016"/>
      <c r="H1" s="1016"/>
      <c r="I1" s="1016"/>
    </row>
    <row r="2" spans="1:9" x14ac:dyDescent="0.2">
      <c r="A2" s="1016" t="s">
        <v>7</v>
      </c>
      <c r="B2" s="1016"/>
      <c r="C2" s="1016">
        <v>90000056357</v>
      </c>
      <c r="D2" s="1016"/>
      <c r="E2" s="1016"/>
      <c r="F2" s="1016"/>
      <c r="G2" s="1016"/>
      <c r="H2" s="1016"/>
      <c r="I2" s="1016"/>
    </row>
    <row r="3" spans="1:9" ht="15.75" x14ac:dyDescent="0.25">
      <c r="A3" s="1018" t="s">
        <v>9</v>
      </c>
      <c r="B3" s="1018"/>
      <c r="C3" s="1018"/>
      <c r="D3" s="1018"/>
      <c r="E3" s="1018"/>
      <c r="F3" s="1018"/>
      <c r="G3" s="1018"/>
      <c r="H3" s="1018"/>
      <c r="I3" s="1018"/>
    </row>
    <row r="4" spans="1:9" ht="15.75" x14ac:dyDescent="0.25">
      <c r="A4" s="275"/>
      <c r="B4" s="275"/>
      <c r="C4" s="275"/>
      <c r="D4" s="275"/>
      <c r="E4" s="275"/>
      <c r="F4" s="275"/>
      <c r="G4" s="275"/>
      <c r="H4" s="275"/>
      <c r="I4" s="275"/>
    </row>
    <row r="5" spans="1:9" ht="15.75" x14ac:dyDescent="0.25">
      <c r="A5" s="1016" t="s">
        <v>10</v>
      </c>
      <c r="B5" s="1016"/>
      <c r="C5" s="1017" t="s">
        <v>544</v>
      </c>
      <c r="D5" s="1017"/>
      <c r="E5" s="1017"/>
      <c r="F5" s="1017"/>
      <c r="G5" s="1017"/>
      <c r="H5" s="1017"/>
      <c r="I5" s="1017"/>
    </row>
    <row r="6" spans="1:9" x14ac:dyDescent="0.2">
      <c r="A6" s="1016" t="s">
        <v>6</v>
      </c>
      <c r="B6" s="1016"/>
      <c r="C6" s="1016" t="s">
        <v>532</v>
      </c>
      <c r="D6" s="1016"/>
      <c r="E6" s="1016"/>
      <c r="F6" s="1016"/>
      <c r="G6" s="1016"/>
      <c r="H6" s="1016"/>
      <c r="I6" s="1016"/>
    </row>
    <row r="7" spans="1:9" x14ac:dyDescent="0.2">
      <c r="A7" s="1016" t="s">
        <v>5</v>
      </c>
      <c r="B7" s="1016"/>
      <c r="C7" s="1019" t="s">
        <v>416</v>
      </c>
      <c r="D7" s="1019"/>
      <c r="E7" s="1019"/>
      <c r="F7" s="1019"/>
      <c r="G7" s="1019"/>
      <c r="H7" s="1019"/>
      <c r="I7" s="1019"/>
    </row>
    <row r="8" spans="1:9" ht="54.75" customHeight="1" x14ac:dyDescent="0.2">
      <c r="A8" s="6" t="s">
        <v>4</v>
      </c>
      <c r="B8" s="1020" t="s">
        <v>3</v>
      </c>
      <c r="C8" s="1021"/>
      <c r="D8" s="6" t="s">
        <v>11</v>
      </c>
      <c r="E8" s="6" t="s">
        <v>12</v>
      </c>
      <c r="F8" s="6" t="s">
        <v>13</v>
      </c>
      <c r="G8" s="6" t="s">
        <v>2</v>
      </c>
      <c r="H8" s="6" t="s">
        <v>180</v>
      </c>
      <c r="I8" s="6" t="s">
        <v>1</v>
      </c>
    </row>
    <row r="9" spans="1:9" ht="12.75" customHeight="1" x14ac:dyDescent="0.2">
      <c r="A9" s="1022" t="s">
        <v>14</v>
      </c>
      <c r="B9" s="1023"/>
      <c r="C9" s="1024"/>
      <c r="D9" s="7">
        <f>SUM(D10:D19)</f>
        <v>44736</v>
      </c>
      <c r="E9" s="7">
        <f>SUM(E10:E19)</f>
        <v>35051.57</v>
      </c>
      <c r="F9" s="7">
        <f>SUM(F10:F19)</f>
        <v>50306</v>
      </c>
      <c r="G9" s="7"/>
      <c r="H9" s="7">
        <f>SUM(H10:H19)</f>
        <v>50306</v>
      </c>
      <c r="I9" s="7"/>
    </row>
    <row r="10" spans="1:9" x14ac:dyDescent="0.2">
      <c r="A10" s="1030">
        <v>1</v>
      </c>
      <c r="B10" s="1100" t="s">
        <v>545</v>
      </c>
      <c r="C10" s="1101"/>
      <c r="D10" s="4">
        <v>19575</v>
      </c>
      <c r="E10" s="4">
        <v>19575</v>
      </c>
      <c r="F10" s="4">
        <v>20000</v>
      </c>
      <c r="G10" s="286">
        <v>2279</v>
      </c>
      <c r="H10" s="4">
        <v>20000</v>
      </c>
      <c r="I10" s="302" t="s">
        <v>546</v>
      </c>
    </row>
    <row r="11" spans="1:9" ht="15" customHeight="1" x14ac:dyDescent="0.2">
      <c r="A11" s="1031"/>
      <c r="B11" s="1102"/>
      <c r="C11" s="1103"/>
      <c r="D11" s="4">
        <v>153</v>
      </c>
      <c r="E11" s="4">
        <v>152.57</v>
      </c>
      <c r="F11" s="4">
        <v>160</v>
      </c>
      <c r="G11" s="286">
        <v>2314</v>
      </c>
      <c r="H11" s="4">
        <v>160</v>
      </c>
      <c r="I11" s="302" t="s">
        <v>546</v>
      </c>
    </row>
    <row r="12" spans="1:9" ht="15.75" customHeight="1" x14ac:dyDescent="0.2">
      <c r="A12" s="3">
        <v>2</v>
      </c>
      <c r="B12" s="1104" t="s">
        <v>547</v>
      </c>
      <c r="C12" s="1105"/>
      <c r="D12" s="4">
        <v>146</v>
      </c>
      <c r="E12" s="4">
        <v>146</v>
      </c>
      <c r="F12" s="4">
        <v>146</v>
      </c>
      <c r="G12" s="286">
        <v>2279</v>
      </c>
      <c r="H12" s="4">
        <v>146</v>
      </c>
      <c r="I12" s="300" t="s">
        <v>548</v>
      </c>
    </row>
    <row r="13" spans="1:9" ht="24" x14ac:dyDescent="0.2">
      <c r="A13" s="3">
        <v>3</v>
      </c>
      <c r="B13" s="1104" t="s">
        <v>549</v>
      </c>
      <c r="C13" s="1105"/>
      <c r="D13" s="4">
        <v>12379</v>
      </c>
      <c r="E13" s="4">
        <v>5500</v>
      </c>
      <c r="F13" s="4">
        <v>15000</v>
      </c>
      <c r="G13" s="286">
        <v>2279</v>
      </c>
      <c r="H13" s="4">
        <v>15000</v>
      </c>
      <c r="I13" s="300" t="s">
        <v>550</v>
      </c>
    </row>
    <row r="14" spans="1:9" ht="24" x14ac:dyDescent="0.2">
      <c r="A14" s="1030">
        <v>4</v>
      </c>
      <c r="B14" s="1032" t="s">
        <v>551</v>
      </c>
      <c r="C14" s="1033"/>
      <c r="D14" s="4">
        <v>0</v>
      </c>
      <c r="E14" s="4">
        <v>0</v>
      </c>
      <c r="F14" s="4">
        <v>9678</v>
      </c>
      <c r="G14" s="286">
        <v>5240</v>
      </c>
      <c r="H14" s="4">
        <v>9678</v>
      </c>
      <c r="I14" s="300" t="s">
        <v>552</v>
      </c>
    </row>
    <row r="15" spans="1:9" ht="96" x14ac:dyDescent="0.2">
      <c r="A15" s="1031"/>
      <c r="B15" s="1034"/>
      <c r="C15" s="1035"/>
      <c r="D15" s="4">
        <v>12483</v>
      </c>
      <c r="E15" s="4">
        <v>9678</v>
      </c>
      <c r="F15" s="4">
        <v>5322</v>
      </c>
      <c r="G15" s="286">
        <v>2279</v>
      </c>
      <c r="H15" s="4">
        <v>5322</v>
      </c>
      <c r="I15" s="300" t="s">
        <v>553</v>
      </c>
    </row>
    <row r="16" spans="1:9" hidden="1" x14ac:dyDescent="0.2">
      <c r="A16" s="461"/>
      <c r="B16" s="1025"/>
      <c r="C16" s="1026"/>
      <c r="D16" s="462"/>
      <c r="E16" s="462"/>
      <c r="F16" s="462"/>
      <c r="G16" s="462"/>
      <c r="H16" s="4"/>
      <c r="I16" s="4"/>
    </row>
    <row r="17" spans="1:9" hidden="1" x14ac:dyDescent="0.2">
      <c r="A17" s="461"/>
      <c r="B17" s="1025"/>
      <c r="C17" s="1026"/>
      <c r="D17" s="462"/>
      <c r="E17" s="462"/>
      <c r="F17" s="462"/>
      <c r="G17" s="462"/>
      <c r="H17" s="4"/>
      <c r="I17" s="4"/>
    </row>
    <row r="18" spans="1:9" hidden="1" x14ac:dyDescent="0.2">
      <c r="A18" s="3"/>
      <c r="B18" s="1025"/>
      <c r="C18" s="1026"/>
      <c r="D18" s="300"/>
      <c r="E18" s="300"/>
      <c r="F18" s="300"/>
      <c r="G18" s="300"/>
      <c r="H18" s="4"/>
      <c r="I18" s="4"/>
    </row>
    <row r="19" spans="1:9" hidden="1" x14ac:dyDescent="0.2">
      <c r="A19" s="8"/>
      <c r="B19" s="1025"/>
      <c r="C19" s="1026"/>
      <c r="D19" s="4"/>
      <c r="E19" s="4"/>
      <c r="F19" s="4"/>
      <c r="G19" s="4"/>
      <c r="H19" s="4"/>
      <c r="I19" s="4"/>
    </row>
    <row r="20" spans="1:9" hidden="1" x14ac:dyDescent="0.2">
      <c r="A20" s="10"/>
      <c r="B20" s="10"/>
      <c r="C20" s="10"/>
      <c r="D20" s="10"/>
      <c r="E20" s="10"/>
      <c r="F20" s="10"/>
      <c r="G20" s="10"/>
      <c r="H20" s="10"/>
      <c r="I20" s="10"/>
    </row>
    <row r="21" spans="1:9" hidden="1" x14ac:dyDescent="0.2">
      <c r="A21" s="1079" t="s">
        <v>6</v>
      </c>
      <c r="B21" s="1079"/>
      <c r="C21" s="1079"/>
      <c r="D21" s="1079"/>
      <c r="E21" s="1079"/>
      <c r="F21" s="1079"/>
      <c r="G21" s="1079"/>
      <c r="H21" s="1079"/>
      <c r="I21" s="1079"/>
    </row>
    <row r="22" spans="1:9" hidden="1" x14ac:dyDescent="0.2">
      <c r="A22" s="1079" t="s">
        <v>5</v>
      </c>
      <c r="B22" s="1079"/>
      <c r="C22" s="1079"/>
      <c r="D22" s="1079"/>
      <c r="E22" s="1079"/>
      <c r="F22" s="1079"/>
      <c r="G22" s="1079"/>
      <c r="H22" s="1079"/>
      <c r="I22" s="1079"/>
    </row>
    <row r="23" spans="1:9" hidden="1" x14ac:dyDescent="0.2">
      <c r="A23" s="281"/>
      <c r="B23" s="281"/>
      <c r="C23" s="281"/>
      <c r="D23" s="1075"/>
      <c r="E23" s="1075"/>
      <c r="F23" s="463"/>
      <c r="G23" s="463"/>
      <c r="H23" s="463"/>
      <c r="I23" s="463"/>
    </row>
    <row r="24" spans="1:9" ht="91.5" hidden="1" customHeight="1" x14ac:dyDescent="0.2">
      <c r="A24" s="6" t="s">
        <v>4</v>
      </c>
      <c r="B24" s="1020" t="s">
        <v>3</v>
      </c>
      <c r="C24" s="1021"/>
      <c r="D24" s="6" t="s">
        <v>11</v>
      </c>
      <c r="E24" s="6" t="s">
        <v>12</v>
      </c>
      <c r="F24" s="6" t="s">
        <v>13</v>
      </c>
      <c r="G24" s="6" t="s">
        <v>2</v>
      </c>
      <c r="H24" s="6" t="s">
        <v>262</v>
      </c>
      <c r="I24" s="6" t="s">
        <v>1</v>
      </c>
    </row>
    <row r="25" spans="1:9" hidden="1" x14ac:dyDescent="0.2">
      <c r="A25" s="1022" t="s">
        <v>14</v>
      </c>
      <c r="B25" s="1023"/>
      <c r="C25" s="1024"/>
      <c r="D25" s="7">
        <f>SUM(D26:D36)</f>
        <v>0</v>
      </c>
      <c r="E25" s="7">
        <f>SUM(E26:E36)</f>
        <v>0</v>
      </c>
      <c r="F25" s="7">
        <f>SUM(F26:F36)</f>
        <v>0</v>
      </c>
      <c r="G25" s="7"/>
      <c r="H25" s="7">
        <f>SUM(H26:H36)</f>
        <v>0</v>
      </c>
      <c r="I25" s="7"/>
    </row>
    <row r="26" spans="1:9" hidden="1" x14ac:dyDescent="0.2">
      <c r="A26" s="8"/>
      <c r="B26" s="1025"/>
      <c r="C26" s="1026"/>
      <c r="D26" s="4"/>
      <c r="E26" s="4"/>
      <c r="F26" s="4"/>
      <c r="G26" s="4"/>
      <c r="H26" s="4"/>
      <c r="I26" s="4"/>
    </row>
    <row r="27" spans="1:9" hidden="1" x14ac:dyDescent="0.2">
      <c r="A27" s="8"/>
      <c r="B27" s="1025"/>
      <c r="C27" s="1026"/>
      <c r="D27" s="4"/>
      <c r="E27" s="4"/>
      <c r="F27" s="4"/>
      <c r="G27" s="4"/>
      <c r="H27" s="4"/>
      <c r="I27" s="4"/>
    </row>
    <row r="28" spans="1:9" hidden="1" x14ac:dyDescent="0.2">
      <c r="A28" s="8"/>
      <c r="B28" s="1025"/>
      <c r="C28" s="1026"/>
      <c r="D28" s="4"/>
      <c r="E28" s="4"/>
      <c r="F28" s="4"/>
      <c r="G28" s="4"/>
      <c r="H28" s="4"/>
      <c r="I28" s="4"/>
    </row>
    <row r="29" spans="1:9" hidden="1" x14ac:dyDescent="0.2">
      <c r="A29" s="8"/>
      <c r="B29" s="1025"/>
      <c r="C29" s="1026"/>
      <c r="D29" s="4"/>
      <c r="E29" s="4"/>
      <c r="F29" s="4"/>
      <c r="G29" s="4"/>
      <c r="H29" s="4"/>
      <c r="I29" s="4"/>
    </row>
    <row r="30" spans="1:9" hidden="1" x14ac:dyDescent="0.2">
      <c r="A30" s="8"/>
      <c r="B30" s="1025"/>
      <c r="C30" s="1026"/>
      <c r="D30" s="4"/>
      <c r="E30" s="4"/>
      <c r="F30" s="4"/>
      <c r="G30" s="4"/>
      <c r="H30" s="4"/>
      <c r="I30" s="4"/>
    </row>
    <row r="31" spans="1:9" hidden="1" x14ac:dyDescent="0.2">
      <c r="A31" s="8"/>
      <c r="B31" s="1025"/>
      <c r="C31" s="1026"/>
      <c r="D31" s="4"/>
      <c r="E31" s="4"/>
      <c r="F31" s="4"/>
      <c r="G31" s="4"/>
      <c r="H31" s="4"/>
      <c r="I31" s="4"/>
    </row>
    <row r="32" spans="1:9" hidden="1" x14ac:dyDescent="0.2">
      <c r="A32" s="8"/>
      <c r="B32" s="1025"/>
      <c r="C32" s="1026"/>
      <c r="D32" s="4"/>
      <c r="E32" s="4"/>
      <c r="F32" s="4"/>
      <c r="G32" s="4"/>
      <c r="H32" s="4"/>
      <c r="I32" s="4"/>
    </row>
    <row r="33" spans="1:9" hidden="1" x14ac:dyDescent="0.2">
      <c r="A33" s="461"/>
      <c r="B33" s="1025"/>
      <c r="C33" s="1026"/>
      <c r="D33" s="462"/>
      <c r="E33" s="462"/>
      <c r="F33" s="462"/>
      <c r="G33" s="462"/>
      <c r="H33" s="4"/>
      <c r="I33" s="4"/>
    </row>
    <row r="34" spans="1:9" hidden="1" x14ac:dyDescent="0.2">
      <c r="A34" s="461"/>
      <c r="B34" s="1025"/>
      <c r="C34" s="1026"/>
      <c r="D34" s="462"/>
      <c r="E34" s="462"/>
      <c r="F34" s="462"/>
      <c r="G34" s="462"/>
      <c r="H34" s="4"/>
      <c r="I34" s="4"/>
    </row>
    <row r="35" spans="1:9" hidden="1" x14ac:dyDescent="0.2">
      <c r="A35" s="3"/>
      <c r="B35" s="1025"/>
      <c r="C35" s="1026"/>
      <c r="D35" s="300"/>
      <c r="E35" s="300"/>
      <c r="F35" s="300"/>
      <c r="G35" s="300"/>
      <c r="H35" s="4"/>
      <c r="I35" s="4"/>
    </row>
    <row r="36" spans="1:9" hidden="1" x14ac:dyDescent="0.2">
      <c r="A36" s="8"/>
      <c r="B36" s="1025"/>
      <c r="C36" s="1026"/>
      <c r="D36" s="4"/>
      <c r="E36" s="4"/>
      <c r="F36" s="4"/>
      <c r="G36" s="4"/>
      <c r="H36" s="4"/>
      <c r="I36" s="4"/>
    </row>
    <row r="37" spans="1:9" hidden="1" x14ac:dyDescent="0.2">
      <c r="A37" s="10"/>
      <c r="B37" s="10"/>
      <c r="C37" s="10"/>
      <c r="D37" s="10"/>
      <c r="E37" s="10"/>
      <c r="F37" s="10"/>
      <c r="G37" s="10"/>
      <c r="H37" s="444"/>
      <c r="I37" s="444"/>
    </row>
    <row r="38" spans="1:9" hidden="1" x14ac:dyDescent="0.2">
      <c r="A38" s="1079" t="s">
        <v>6</v>
      </c>
      <c r="B38" s="1079"/>
      <c r="C38" s="1079"/>
      <c r="D38" s="1079"/>
      <c r="E38" s="1079"/>
      <c r="F38" s="1079"/>
      <c r="G38" s="1079"/>
      <c r="H38" s="1079"/>
      <c r="I38" s="1079"/>
    </row>
    <row r="39" spans="1:9" hidden="1" x14ac:dyDescent="0.2">
      <c r="A39" s="1079" t="s">
        <v>5</v>
      </c>
      <c r="B39" s="1079"/>
      <c r="C39" s="1079"/>
      <c r="D39" s="1079"/>
      <c r="E39" s="1079"/>
      <c r="F39" s="1079"/>
      <c r="G39" s="1079"/>
      <c r="H39" s="1079"/>
      <c r="I39" s="1079"/>
    </row>
    <row r="40" spans="1:9" hidden="1" x14ac:dyDescent="0.2">
      <c r="A40" s="281"/>
      <c r="B40" s="281"/>
      <c r="C40" s="281"/>
      <c r="D40" s="1075"/>
      <c r="E40" s="1075"/>
      <c r="F40" s="463"/>
      <c r="G40" s="463"/>
      <c r="H40" s="463"/>
      <c r="I40" s="463"/>
    </row>
    <row r="41" spans="1:9" ht="89.25" hidden="1" customHeight="1" x14ac:dyDescent="0.2">
      <c r="A41" s="6" t="s">
        <v>4</v>
      </c>
      <c r="B41" s="1020" t="s">
        <v>3</v>
      </c>
      <c r="C41" s="1021"/>
      <c r="D41" s="6" t="s">
        <v>11</v>
      </c>
      <c r="E41" s="6" t="s">
        <v>12</v>
      </c>
      <c r="F41" s="6" t="s">
        <v>13</v>
      </c>
      <c r="G41" s="6" t="s">
        <v>2</v>
      </c>
      <c r="H41" s="6" t="s">
        <v>262</v>
      </c>
      <c r="I41" s="6" t="s">
        <v>1</v>
      </c>
    </row>
    <row r="42" spans="1:9" hidden="1" x14ac:dyDescent="0.2">
      <c r="A42" s="1022" t="s">
        <v>14</v>
      </c>
      <c r="B42" s="1023"/>
      <c r="C42" s="1024"/>
      <c r="D42" s="7">
        <f>SUM(D43:D53)</f>
        <v>0</v>
      </c>
      <c r="E42" s="7">
        <f>SUM(E43:E53)</f>
        <v>0</v>
      </c>
      <c r="F42" s="7">
        <f>SUM(F43:F53)</f>
        <v>0</v>
      </c>
      <c r="G42" s="7"/>
      <c r="H42" s="7">
        <f>SUM(H43:H53)</f>
        <v>0</v>
      </c>
      <c r="I42" s="7"/>
    </row>
    <row r="43" spans="1:9" hidden="1" x14ac:dyDescent="0.2">
      <c r="A43" s="8"/>
      <c r="B43" s="1025"/>
      <c r="C43" s="1026"/>
      <c r="D43" s="4"/>
      <c r="E43" s="4"/>
      <c r="F43" s="4"/>
      <c r="G43" s="4"/>
      <c r="H43" s="4"/>
      <c r="I43" s="4"/>
    </row>
    <row r="44" spans="1:9" hidden="1" x14ac:dyDescent="0.2">
      <c r="A44" s="8"/>
      <c r="B44" s="1025"/>
      <c r="C44" s="1026"/>
      <c r="D44" s="4"/>
      <c r="E44" s="4"/>
      <c r="F44" s="4"/>
      <c r="G44" s="4"/>
      <c r="H44" s="4"/>
      <c r="I44" s="4"/>
    </row>
    <row r="45" spans="1:9" hidden="1" x14ac:dyDescent="0.2">
      <c r="A45" s="8"/>
      <c r="B45" s="1025"/>
      <c r="C45" s="1026"/>
      <c r="D45" s="4"/>
      <c r="E45" s="4"/>
      <c r="F45" s="4"/>
      <c r="G45" s="4"/>
      <c r="H45" s="4"/>
      <c r="I45" s="4"/>
    </row>
    <row r="46" spans="1:9" hidden="1" x14ac:dyDescent="0.2">
      <c r="A46" s="8"/>
      <c r="B46" s="1025"/>
      <c r="C46" s="1026"/>
      <c r="D46" s="4"/>
      <c r="E46" s="4"/>
      <c r="F46" s="4"/>
      <c r="G46" s="4"/>
      <c r="H46" s="4"/>
      <c r="I46" s="4"/>
    </row>
    <row r="47" spans="1:9" hidden="1" x14ac:dyDescent="0.2">
      <c r="A47" s="8"/>
      <c r="B47" s="1025"/>
      <c r="C47" s="1026"/>
      <c r="D47" s="4"/>
      <c r="E47" s="4"/>
      <c r="F47" s="4"/>
      <c r="G47" s="4"/>
      <c r="H47" s="4"/>
      <c r="I47" s="4"/>
    </row>
    <row r="48" spans="1:9" hidden="1" x14ac:dyDescent="0.2">
      <c r="A48" s="8"/>
      <c r="B48" s="1025"/>
      <c r="C48" s="1026"/>
      <c r="D48" s="4"/>
      <c r="E48" s="4"/>
      <c r="F48" s="4"/>
      <c r="G48" s="4"/>
      <c r="H48" s="4"/>
      <c r="I48" s="4"/>
    </row>
    <row r="49" spans="1:9" hidden="1" x14ac:dyDescent="0.2">
      <c r="A49" s="8"/>
      <c r="B49" s="1025"/>
      <c r="C49" s="1026"/>
      <c r="D49" s="4"/>
      <c r="E49" s="4"/>
      <c r="F49" s="4"/>
      <c r="G49" s="4"/>
      <c r="H49" s="4"/>
      <c r="I49" s="4"/>
    </row>
    <row r="50" spans="1:9" hidden="1" x14ac:dyDescent="0.2">
      <c r="A50" s="461"/>
      <c r="B50" s="1025"/>
      <c r="C50" s="1026"/>
      <c r="D50" s="462"/>
      <c r="E50" s="462"/>
      <c r="F50" s="462"/>
      <c r="G50" s="462"/>
      <c r="H50" s="4"/>
      <c r="I50" s="4"/>
    </row>
    <row r="51" spans="1:9" hidden="1" x14ac:dyDescent="0.2">
      <c r="A51" s="461"/>
      <c r="B51" s="1025"/>
      <c r="C51" s="1026"/>
      <c r="D51" s="462"/>
      <c r="E51" s="462"/>
      <c r="F51" s="462"/>
      <c r="G51" s="462"/>
      <c r="H51" s="4"/>
      <c r="I51" s="4"/>
    </row>
    <row r="52" spans="1:9" hidden="1" x14ac:dyDescent="0.2">
      <c r="A52" s="3"/>
      <c r="B52" s="1025"/>
      <c r="C52" s="1026"/>
      <c r="D52" s="300"/>
      <c r="E52" s="300"/>
      <c r="F52" s="300"/>
      <c r="G52" s="300"/>
      <c r="H52" s="4"/>
      <c r="I52" s="4"/>
    </row>
    <row r="53" spans="1:9" hidden="1" x14ac:dyDescent="0.2">
      <c r="A53" s="8"/>
      <c r="B53" s="1025"/>
      <c r="C53" s="1026"/>
      <c r="D53" s="4"/>
      <c r="E53" s="4"/>
      <c r="F53" s="4"/>
      <c r="G53" s="4"/>
      <c r="H53" s="4"/>
      <c r="I53" s="4"/>
    </row>
    <row r="54" spans="1:9" hidden="1" x14ac:dyDescent="0.2">
      <c r="A54" s="281"/>
      <c r="B54" s="281"/>
      <c r="C54" s="281"/>
      <c r="D54" s="464"/>
      <c r="E54" s="464"/>
      <c r="F54" s="464"/>
      <c r="G54" s="281"/>
      <c r="H54" s="464"/>
      <c r="I54" s="464"/>
    </row>
    <row r="55" spans="1:9" x14ac:dyDescent="0.2">
      <c r="A55" s="1" t="s">
        <v>399</v>
      </c>
    </row>
    <row r="56" spans="1:9" x14ac:dyDescent="0.2">
      <c r="A56" s="411" t="s">
        <v>400</v>
      </c>
      <c r="B56" s="448"/>
      <c r="C56" s="448"/>
      <c r="D56" s="448"/>
      <c r="E56" s="448"/>
      <c r="F56" s="448"/>
      <c r="G56" s="448"/>
      <c r="H56" s="448"/>
      <c r="I56" s="448"/>
    </row>
    <row r="57" spans="1:9" x14ac:dyDescent="0.2">
      <c r="A57" s="411"/>
      <c r="B57" s="1" t="s">
        <v>554</v>
      </c>
      <c r="C57" s="448"/>
      <c r="D57" s="448"/>
      <c r="E57" s="448"/>
      <c r="F57" s="448"/>
      <c r="G57" s="448"/>
      <c r="H57" s="448"/>
      <c r="I57" s="448"/>
    </row>
    <row r="58" spans="1:9" x14ac:dyDescent="0.2">
      <c r="A58" s="411"/>
      <c r="B58" s="274" t="s">
        <v>555</v>
      </c>
      <c r="C58" s="448"/>
      <c r="D58" s="448"/>
      <c r="E58" s="448"/>
      <c r="F58" s="448"/>
      <c r="G58" s="448"/>
      <c r="H58" s="448"/>
      <c r="I58" s="448"/>
    </row>
    <row r="59" spans="1:9" x14ac:dyDescent="0.2">
      <c r="A59" s="411"/>
      <c r="B59" s="274" t="s">
        <v>556</v>
      </c>
      <c r="C59" s="448"/>
      <c r="D59" s="448"/>
      <c r="E59" s="448"/>
      <c r="F59" s="448"/>
      <c r="G59" s="448"/>
      <c r="H59" s="448"/>
      <c r="I59" s="448"/>
    </row>
    <row r="60" spans="1:9" x14ac:dyDescent="0.2">
      <c r="A60" s="411"/>
      <c r="B60" s="1" t="s">
        <v>524</v>
      </c>
      <c r="C60" s="448"/>
      <c r="D60" s="448"/>
      <c r="E60" s="448"/>
      <c r="F60" s="448"/>
      <c r="G60" s="448"/>
      <c r="H60" s="448"/>
      <c r="I60" s="448"/>
    </row>
    <row r="61" spans="1:9" x14ac:dyDescent="0.2">
      <c r="A61" s="411"/>
      <c r="B61" s="274" t="s">
        <v>557</v>
      </c>
      <c r="C61" s="448"/>
      <c r="D61" s="448"/>
      <c r="E61" s="448"/>
      <c r="F61" s="448"/>
      <c r="G61" s="448"/>
      <c r="H61" s="448"/>
      <c r="I61" s="448"/>
    </row>
    <row r="62" spans="1:9" x14ac:dyDescent="0.2">
      <c r="A62" s="411"/>
      <c r="B62" s="1" t="s">
        <v>558</v>
      </c>
      <c r="C62" s="448"/>
      <c r="D62" s="448"/>
      <c r="E62" s="448"/>
      <c r="F62" s="448"/>
      <c r="G62" s="448"/>
      <c r="H62" s="448"/>
      <c r="I62" s="448"/>
    </row>
    <row r="63" spans="1:9" x14ac:dyDescent="0.2">
      <c r="A63" s="411"/>
      <c r="B63" s="274" t="s">
        <v>559</v>
      </c>
      <c r="C63" s="448"/>
      <c r="D63" s="448"/>
      <c r="E63" s="448"/>
      <c r="F63" s="448"/>
      <c r="G63" s="448"/>
      <c r="H63" s="448"/>
      <c r="I63" s="448"/>
    </row>
    <row r="64" spans="1:9" x14ac:dyDescent="0.2">
      <c r="A64" s="411"/>
      <c r="B64" s="1" t="s">
        <v>560</v>
      </c>
      <c r="C64" s="448"/>
      <c r="D64" s="448"/>
      <c r="E64" s="448"/>
      <c r="F64" s="448"/>
      <c r="G64" s="448"/>
      <c r="H64" s="448"/>
      <c r="I64" s="448"/>
    </row>
    <row r="65" spans="1:9" x14ac:dyDescent="0.2">
      <c r="A65" s="411"/>
      <c r="B65" s="274" t="s">
        <v>561</v>
      </c>
      <c r="C65" s="448"/>
      <c r="D65" s="448"/>
      <c r="E65" s="448"/>
      <c r="F65" s="448"/>
      <c r="G65" s="448"/>
      <c r="H65" s="448"/>
      <c r="I65" s="448"/>
    </row>
    <row r="66" spans="1:9" x14ac:dyDescent="0.2">
      <c r="A66" s="411"/>
      <c r="B66" s="1" t="s">
        <v>434</v>
      </c>
      <c r="C66" s="448"/>
      <c r="D66" s="448"/>
      <c r="E66" s="448"/>
      <c r="F66" s="448"/>
      <c r="G66" s="448"/>
      <c r="H66" s="448"/>
      <c r="I66" s="448"/>
    </row>
    <row r="67" spans="1:9" x14ac:dyDescent="0.2">
      <c r="A67" s="411"/>
      <c r="B67" s="274" t="s">
        <v>435</v>
      </c>
      <c r="C67" s="448"/>
      <c r="D67" s="448"/>
      <c r="E67" s="448"/>
      <c r="F67" s="448"/>
      <c r="G67" s="448"/>
      <c r="H67" s="448"/>
      <c r="I67" s="448"/>
    </row>
    <row r="68" spans="1:9" x14ac:dyDescent="0.2">
      <c r="A68" s="411"/>
      <c r="B68" s="1" t="s">
        <v>371</v>
      </c>
      <c r="C68" s="448"/>
      <c r="D68" s="448"/>
      <c r="E68" s="448"/>
      <c r="F68" s="448"/>
      <c r="G68" s="448"/>
      <c r="H68" s="448"/>
      <c r="I68" s="448"/>
    </row>
    <row r="69" spans="1:9" x14ac:dyDescent="0.2">
      <c r="A69" s="411"/>
      <c r="B69" s="274" t="s">
        <v>562</v>
      </c>
      <c r="C69" s="448"/>
      <c r="D69" s="448"/>
      <c r="E69" s="448"/>
      <c r="F69" s="448"/>
      <c r="G69" s="448"/>
      <c r="H69" s="448"/>
      <c r="I69" s="448"/>
    </row>
    <row r="70" spans="1:9" x14ac:dyDescent="0.2">
      <c r="A70" s="411"/>
      <c r="B70" s="1" t="s">
        <v>563</v>
      </c>
      <c r="C70" s="448"/>
      <c r="D70" s="448"/>
      <c r="E70" s="448"/>
      <c r="F70" s="448"/>
      <c r="G70" s="448"/>
      <c r="H70" s="448"/>
      <c r="I70" s="448"/>
    </row>
    <row r="71" spans="1:9" x14ac:dyDescent="0.2">
      <c r="A71" s="411"/>
      <c r="B71" s="274" t="s">
        <v>564</v>
      </c>
      <c r="C71" s="448"/>
      <c r="D71" s="448"/>
      <c r="E71" s="448"/>
      <c r="F71" s="448"/>
      <c r="G71" s="448"/>
      <c r="H71" s="448"/>
      <c r="I71" s="448"/>
    </row>
    <row r="72" spans="1:9" x14ac:dyDescent="0.2">
      <c r="A72" s="411"/>
      <c r="B72" s="1" t="s">
        <v>411</v>
      </c>
      <c r="C72" s="448"/>
      <c r="D72" s="448"/>
      <c r="E72" s="448"/>
      <c r="F72" s="448"/>
      <c r="G72" s="448"/>
      <c r="H72" s="448"/>
      <c r="I72" s="448"/>
    </row>
    <row r="73" spans="1:9" x14ac:dyDescent="0.2">
      <c r="A73" s="411"/>
      <c r="B73" s="274" t="s">
        <v>565</v>
      </c>
      <c r="C73" s="448"/>
      <c r="D73" s="448"/>
      <c r="E73" s="448"/>
      <c r="F73" s="448"/>
      <c r="G73" s="448"/>
      <c r="H73" s="448"/>
      <c r="I73" s="448"/>
    </row>
    <row r="74" spans="1:9" x14ac:dyDescent="0.2">
      <c r="A74" s="411"/>
      <c r="B74" s="1" t="s">
        <v>566</v>
      </c>
      <c r="C74" s="448"/>
      <c r="D74" s="448"/>
      <c r="E74" s="448"/>
      <c r="F74" s="448"/>
      <c r="G74" s="448"/>
      <c r="H74" s="448"/>
      <c r="I74" s="448"/>
    </row>
    <row r="75" spans="1:9" x14ac:dyDescent="0.2">
      <c r="A75" s="448"/>
      <c r="B75" s="274" t="s">
        <v>567</v>
      </c>
      <c r="C75" s="448"/>
      <c r="D75" s="448"/>
      <c r="E75" s="448"/>
      <c r="F75" s="448"/>
      <c r="G75" s="448"/>
      <c r="H75" s="448"/>
      <c r="I75" s="448"/>
    </row>
    <row r="76" spans="1:9" ht="11.25" customHeight="1" x14ac:dyDescent="0.2">
      <c r="A76" s="465"/>
      <c r="B76" s="448"/>
      <c r="C76" s="448"/>
      <c r="D76" s="448"/>
      <c r="E76" s="448"/>
      <c r="F76" s="448"/>
      <c r="G76" s="448"/>
      <c r="H76" s="448"/>
      <c r="I76" s="448"/>
    </row>
    <row r="77" spans="1:9" ht="12.75" customHeight="1" x14ac:dyDescent="0.2">
      <c r="A77" s="465"/>
      <c r="B77" s="448"/>
      <c r="C77" s="448"/>
      <c r="D77" s="448"/>
      <c r="E77" s="448"/>
      <c r="F77" s="448"/>
      <c r="G77" s="448"/>
      <c r="H77" s="448"/>
      <c r="I77" s="448"/>
    </row>
    <row r="78" spans="1:9" x14ac:dyDescent="0.2">
      <c r="B78" s="281"/>
    </row>
  </sheetData>
  <sheetProtection algorithmName="SHA-512" hashValue="PcwMNOLytqN2+LfUWt3QNekkqTVD1vk+X4LlWcmd/se4j0XiEybMZqy7xPdEPmj05Wk7UUnsOYkH2zdl7VXYGg==" saltValue="mLXnqZcV/t66f0kPefMd6w==" spinCount="100000" sheet="1" objects="1" scenarios="1" selectLockedCells="1" selectUnlockedCells="1"/>
  <mergeCells count="59">
    <mergeCell ref="A9:C9"/>
    <mergeCell ref="A1:B1"/>
    <mergeCell ref="C1:I1"/>
    <mergeCell ref="A2:B2"/>
    <mergeCell ref="C2:I2"/>
    <mergeCell ref="A3:I3"/>
    <mergeCell ref="A5:B5"/>
    <mergeCell ref="C5:I5"/>
    <mergeCell ref="A6:B6"/>
    <mergeCell ref="C6:I6"/>
    <mergeCell ref="A7:B7"/>
    <mergeCell ref="C7:I7"/>
    <mergeCell ref="B8:C8"/>
    <mergeCell ref="A10:A11"/>
    <mergeCell ref="B10:C11"/>
    <mergeCell ref="B12:C12"/>
    <mergeCell ref="B13:C13"/>
    <mergeCell ref="A14:A15"/>
    <mergeCell ref="B14:C15"/>
    <mergeCell ref="B16:C16"/>
    <mergeCell ref="B17:C17"/>
    <mergeCell ref="B18:C18"/>
    <mergeCell ref="B19:C19"/>
    <mergeCell ref="A21:B21"/>
    <mergeCell ref="C21:I21"/>
    <mergeCell ref="B32:C32"/>
    <mergeCell ref="A22:B22"/>
    <mergeCell ref="C22:I22"/>
    <mergeCell ref="D23:E23"/>
    <mergeCell ref="B24:C24"/>
    <mergeCell ref="A25:C25"/>
    <mergeCell ref="B26:C26"/>
    <mergeCell ref="B27:C27"/>
    <mergeCell ref="B28:C28"/>
    <mergeCell ref="B29:C29"/>
    <mergeCell ref="B30:C30"/>
    <mergeCell ref="B31:C31"/>
    <mergeCell ref="B43:C43"/>
    <mergeCell ref="B33:C33"/>
    <mergeCell ref="B34:C34"/>
    <mergeCell ref="B35:C35"/>
    <mergeCell ref="B36:C36"/>
    <mergeCell ref="A38:B38"/>
    <mergeCell ref="C38:I38"/>
    <mergeCell ref="A39:B39"/>
    <mergeCell ref="C39:I39"/>
    <mergeCell ref="D40:E40"/>
    <mergeCell ref="B41:C41"/>
    <mergeCell ref="A42:C42"/>
    <mergeCell ref="B50:C50"/>
    <mergeCell ref="B51:C51"/>
    <mergeCell ref="B52:C52"/>
    <mergeCell ref="B53:C53"/>
    <mergeCell ref="B44:C44"/>
    <mergeCell ref="B45:C45"/>
    <mergeCell ref="B46:C46"/>
    <mergeCell ref="B47:C47"/>
    <mergeCell ref="B48:C48"/>
    <mergeCell ref="B49:C49"/>
  </mergeCells>
  <pageMargins left="0.98425196850393704" right="0.39370078740157483" top="0.59055118110236227" bottom="0.39370078740157483" header="0.23622047244094491" footer="0.23622047244094491"/>
  <pageSetup paperSize="9" scale="70" orientation="portrait" r:id="rId1"/>
  <headerFooter differentFirst="1">
    <oddHeader xml:space="preserve">&amp;R&amp;"Times New Roman,Regular"&amp;8
 3.pielikums Jūrmalas pilsētas domes  2016.gada __________ saistošajiem noteikumiem Nr._______ </oddHeader>
    <oddFooter>&amp;L&amp;"Times New Roman,Regular"&amp;8&amp;D;&amp;T&amp;R&amp;"Times New Roman,Regular"&amp;8&amp;P(&amp;N)</oddFooter>
    <firstHeader>&amp;R&amp;"Times New Roman,Regular"&amp;8
11.pielikums Jūrmalas pilsētas domes
2016.gada 16.decembra saistošajiem noteikumiem Nr.47
(protokols Nr.19, 19.punkts)</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'31'!Print_Area</vt:lpstr>
      <vt:lpstr>'32'!Print_Area</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Līga Krūtkrāmele</dc:creator>
  <cp:lastModifiedBy>Elina Markaine</cp:lastModifiedBy>
  <cp:lastPrinted>2016-12-22T09:00:55Z</cp:lastPrinted>
  <dcterms:created xsi:type="dcterms:W3CDTF">2016-12-08T13:02:51Z</dcterms:created>
  <dcterms:modified xsi:type="dcterms:W3CDTF">2016-12-22T12:45:42Z</dcterms:modified>
</cp:coreProperties>
</file>