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30" windowHeight="11880"/>
  </bookViews>
  <sheets>
    <sheet name="ITI" sheetId="1" r:id="rId1"/>
    <sheet name="ITI kopsavilkums" sheetId="3" r:id="rId2"/>
  </sheet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3" l="1"/>
  <c r="H28" i="3"/>
  <c r="F28" i="3"/>
  <c r="E28" i="3"/>
  <c r="K122" i="1" l="1"/>
  <c r="I122" i="1"/>
  <c r="H122" i="1"/>
  <c r="K121" i="1"/>
  <c r="I121" i="1"/>
  <c r="I27" i="3" l="1"/>
  <c r="H27" i="3"/>
  <c r="G27" i="3"/>
  <c r="F27" i="3"/>
  <c r="E27" i="3"/>
  <c r="D27" i="3"/>
  <c r="D9" i="3"/>
  <c r="H33" i="1" l="1"/>
  <c r="K33" i="1"/>
  <c r="K23" i="1" l="1"/>
  <c r="K22" i="1" s="1"/>
  <c r="I9" i="3" s="1"/>
  <c r="J23" i="1"/>
  <c r="I23" i="1"/>
  <c r="H23" i="1"/>
  <c r="H22" i="1" s="1"/>
  <c r="J22" i="1"/>
  <c r="G9" i="3" s="1"/>
  <c r="I22" i="1"/>
  <c r="F9" i="3" s="1"/>
  <c r="G23" i="1" l="1"/>
  <c r="G22" i="1"/>
  <c r="E9" i="3" s="1"/>
  <c r="H9" i="3"/>
  <c r="K74" i="1"/>
  <c r="K73" i="1" s="1"/>
  <c r="H74" i="1"/>
  <c r="H73" i="1" s="1"/>
  <c r="H39" i="1" l="1"/>
  <c r="H18" i="1" l="1"/>
  <c r="H13" i="1" l="1"/>
  <c r="H12" i="1"/>
  <c r="H11" i="1" l="1"/>
  <c r="H121" i="1" l="1"/>
  <c r="K58" i="1"/>
  <c r="H58" i="1"/>
  <c r="K48" i="1"/>
  <c r="H48" i="1"/>
  <c r="K63" i="1"/>
  <c r="H63" i="1"/>
  <c r="I138" i="1" l="1"/>
  <c r="K127" i="1" l="1"/>
  <c r="H127" i="1"/>
  <c r="K132" i="1"/>
  <c r="J90" i="1" l="1"/>
  <c r="H69" i="1" l="1"/>
  <c r="K69" i="1"/>
  <c r="H64" i="1"/>
  <c r="K64" i="1"/>
  <c r="I63" i="1"/>
  <c r="H59" i="1"/>
  <c r="K59" i="1"/>
  <c r="I58" i="1"/>
  <c r="K54" i="1"/>
  <c r="H54" i="1"/>
  <c r="H49" i="1"/>
  <c r="K49" i="1"/>
  <c r="I48" i="1"/>
  <c r="H44" i="1"/>
  <c r="K44" i="1"/>
  <c r="K39" i="1"/>
  <c r="I38" i="1"/>
  <c r="I137" i="1" l="1"/>
  <c r="H143" i="1"/>
  <c r="K143" i="1"/>
  <c r="I143" i="1"/>
  <c r="K138" i="1"/>
  <c r="K137" i="1" s="1"/>
  <c r="H138" i="1"/>
  <c r="H132" i="1"/>
  <c r="I132" i="1"/>
  <c r="I131" i="1" s="1"/>
  <c r="K90" i="1"/>
  <c r="H90" i="1"/>
  <c r="J89" i="1"/>
  <c r="I90" i="1"/>
  <c r="I89" i="1" s="1"/>
  <c r="K106" i="1"/>
  <c r="H106" i="1"/>
  <c r="J106" i="1"/>
  <c r="I106" i="1"/>
  <c r="I105" i="1" s="1"/>
  <c r="F25" i="3" s="1"/>
  <c r="K28" i="1"/>
  <c r="K27" i="1" s="1"/>
  <c r="H28" i="1"/>
  <c r="H27" i="1" s="1"/>
  <c r="J28" i="1"/>
  <c r="J27" i="1" s="1"/>
  <c r="I28" i="1"/>
  <c r="I27" i="1" s="1"/>
  <c r="K18" i="1"/>
  <c r="K13" i="1"/>
  <c r="J18" i="1"/>
  <c r="I18" i="1"/>
  <c r="G132" i="1" l="1"/>
  <c r="G131" i="1" s="1"/>
  <c r="G28" i="1"/>
  <c r="G27" i="1"/>
  <c r="H53" i="1" l="1"/>
  <c r="K53" i="1"/>
  <c r="I15" i="3" s="1"/>
  <c r="I53" i="1"/>
  <c r="F15" i="3" s="1"/>
  <c r="D19" i="3"/>
  <c r="D13" i="3"/>
  <c r="D14" i="3"/>
  <c r="D17" i="3"/>
  <c r="D21" i="3"/>
  <c r="D20" i="3"/>
  <c r="H16" i="3"/>
  <c r="F16" i="3"/>
  <c r="I16" i="3"/>
  <c r="D16" i="3"/>
  <c r="D15" i="3"/>
  <c r="G59" i="1"/>
  <c r="G58" i="1" s="1"/>
  <c r="E16" i="3" s="1"/>
  <c r="D22" i="3"/>
  <c r="H19" i="3"/>
  <c r="F19" i="3"/>
  <c r="F78" i="1"/>
  <c r="J43" i="1"/>
  <c r="I43" i="1"/>
  <c r="I19" i="3"/>
  <c r="K43" i="1"/>
  <c r="G44" i="1"/>
  <c r="H43" i="1"/>
  <c r="G49" i="1"/>
  <c r="F21" i="3"/>
  <c r="F20" i="3"/>
  <c r="F11" i="3"/>
  <c r="G11" i="3"/>
  <c r="F10" i="3"/>
  <c r="I142" i="1"/>
  <c r="K142" i="1"/>
  <c r="I31" i="3"/>
  <c r="H137" i="1"/>
  <c r="H31" i="3" s="1"/>
  <c r="H131" i="1"/>
  <c r="H30" i="3" s="1"/>
  <c r="K131" i="1"/>
  <c r="H126" i="1"/>
  <c r="K126" i="1"/>
  <c r="I29" i="3" s="1"/>
  <c r="K111" i="1"/>
  <c r="K110" i="1" s="1"/>
  <c r="I26" i="3" s="1"/>
  <c r="H111" i="1"/>
  <c r="H110" i="1" s="1"/>
  <c r="K105" i="1"/>
  <c r="H105" i="1"/>
  <c r="H25" i="3" s="1"/>
  <c r="K101" i="1"/>
  <c r="K99" i="1" s="1"/>
  <c r="I24" i="3" s="1"/>
  <c r="H101" i="1"/>
  <c r="K100" i="1"/>
  <c r="H100" i="1"/>
  <c r="H99" i="1" s="1"/>
  <c r="H24" i="3" s="1"/>
  <c r="K95" i="1"/>
  <c r="K94" i="1" s="1"/>
  <c r="I23" i="3" s="1"/>
  <c r="H95" i="1"/>
  <c r="K89" i="1"/>
  <c r="H89" i="1"/>
  <c r="G89" i="1" s="1"/>
  <c r="K84" i="1"/>
  <c r="I21" i="3" s="1"/>
  <c r="H84" i="1"/>
  <c r="H21" i="3" s="1"/>
  <c r="H79" i="1"/>
  <c r="H20" i="3" s="1"/>
  <c r="K79" i="1"/>
  <c r="I20" i="3" s="1"/>
  <c r="G74" i="1"/>
  <c r="G73" i="1" s="1"/>
  <c r="I68" i="1"/>
  <c r="F18" i="3" s="1"/>
  <c r="H68" i="1"/>
  <c r="H18" i="3" s="1"/>
  <c r="H15" i="3"/>
  <c r="H38" i="1"/>
  <c r="K32" i="1"/>
  <c r="I11" i="3" s="1"/>
  <c r="H32" i="1"/>
  <c r="I17" i="1"/>
  <c r="J17" i="1"/>
  <c r="G8" i="3" s="1"/>
  <c r="H17" i="1"/>
  <c r="K12" i="1"/>
  <c r="K11" i="1" s="1"/>
  <c r="I7" i="3" s="1"/>
  <c r="G39" i="1"/>
  <c r="G18" i="1"/>
  <c r="K17" i="1"/>
  <c r="I8" i="3" s="1"/>
  <c r="K38" i="1"/>
  <c r="G69" i="1"/>
  <c r="G138" i="1"/>
  <c r="G137" i="1" s="1"/>
  <c r="G143" i="1"/>
  <c r="H142" i="1"/>
  <c r="K68" i="1"/>
  <c r="H94" i="1"/>
  <c r="H23" i="3" s="1"/>
  <c r="D8" i="3"/>
  <c r="J105" i="1"/>
  <c r="G25" i="3" s="1"/>
  <c r="J101" i="1"/>
  <c r="J100" i="1"/>
  <c r="I101" i="1"/>
  <c r="I100" i="1"/>
  <c r="J11" i="1"/>
  <c r="G7" i="3" s="1"/>
  <c r="I11" i="1"/>
  <c r="F7" i="3" s="1"/>
  <c r="G13" i="1"/>
  <c r="I32" i="3"/>
  <c r="H32" i="3"/>
  <c r="F32" i="3"/>
  <c r="F31" i="3"/>
  <c r="I30" i="3"/>
  <c r="F30" i="3"/>
  <c r="F29" i="3"/>
  <c r="F23" i="3"/>
  <c r="I22" i="3"/>
  <c r="F22" i="3"/>
  <c r="H10" i="3"/>
  <c r="H7" i="3"/>
  <c r="G10" i="3"/>
  <c r="G26" i="3"/>
  <c r="G23" i="3"/>
  <c r="G22" i="3"/>
  <c r="D7" i="3"/>
  <c r="G64" i="1"/>
  <c r="I127" i="1"/>
  <c r="G127" i="1" s="1"/>
  <c r="G54" i="1"/>
  <c r="G53" i="1" s="1"/>
  <c r="E15" i="3" s="1"/>
  <c r="I10" i="3"/>
  <c r="G90" i="1"/>
  <c r="I12" i="3"/>
  <c r="F12" i="3"/>
  <c r="D12" i="3"/>
  <c r="F26" i="3"/>
  <c r="D26" i="3"/>
  <c r="I14" i="3"/>
  <c r="F14" i="3"/>
  <c r="I13" i="3"/>
  <c r="H13" i="3"/>
  <c r="F13" i="3"/>
  <c r="I17" i="3"/>
  <c r="F17" i="3"/>
  <c r="I18" i="3"/>
  <c r="H17" i="3"/>
  <c r="H14" i="3"/>
  <c r="D32" i="3"/>
  <c r="D31" i="3"/>
  <c r="D30" i="3"/>
  <c r="D29" i="3"/>
  <c r="D25" i="3"/>
  <c r="D24" i="3"/>
  <c r="D23" i="3"/>
  <c r="D18" i="3"/>
  <c r="D11" i="3"/>
  <c r="D10" i="3"/>
  <c r="G106" i="1"/>
  <c r="G84" i="1" l="1"/>
  <c r="G95" i="1"/>
  <c r="I99" i="1"/>
  <c r="F24" i="3" s="1"/>
  <c r="G79" i="1"/>
  <c r="G111" i="1"/>
  <c r="G100" i="1"/>
  <c r="G101" i="1"/>
  <c r="E21" i="3"/>
  <c r="J99" i="1"/>
  <c r="G24" i="3" s="1"/>
  <c r="E24" i="3" s="1"/>
  <c r="H22" i="3"/>
  <c r="E20" i="3"/>
  <c r="E30" i="3"/>
  <c r="E23" i="3"/>
  <c r="H8" i="3"/>
  <c r="G17" i="1"/>
  <c r="E8" i="3" s="1"/>
  <c r="E19" i="3"/>
  <c r="G99" i="1"/>
  <c r="G94" i="1"/>
  <c r="H11" i="3"/>
  <c r="E11" i="3" s="1"/>
  <c r="G32" i="1"/>
  <c r="G110" i="1"/>
  <c r="E26" i="3" s="1"/>
  <c r="H26" i="3"/>
  <c r="E32" i="3"/>
  <c r="G12" i="1"/>
  <c r="G11" i="1" s="1"/>
  <c r="G33" i="1"/>
  <c r="G105" i="1"/>
  <c r="G38" i="1"/>
  <c r="E12" i="3" s="1"/>
  <c r="H12" i="3"/>
  <c r="G126" i="1"/>
  <c r="H29" i="3"/>
  <c r="E29" i="3" s="1"/>
  <c r="G68" i="1"/>
  <c r="E18" i="3" s="1"/>
  <c r="E17" i="3"/>
  <c r="E14" i="3"/>
  <c r="G43" i="1"/>
  <c r="E13" i="3"/>
  <c r="G142" i="1"/>
  <c r="E31" i="3"/>
  <c r="E22" i="3"/>
  <c r="I25" i="3"/>
  <c r="E25" i="3" s="1"/>
  <c r="E10" i="3"/>
  <c r="E7" i="3"/>
  <c r="F8" i="3"/>
</calcChain>
</file>

<file path=xl/sharedStrings.xml><?xml version="1.0" encoding="utf-8"?>
<sst xmlns="http://schemas.openxmlformats.org/spreadsheetml/2006/main" count="523" uniqueCount="342">
  <si>
    <t>2.pielikums</t>
  </si>
  <si>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</si>
  <si>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</si>
  <si>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</si>
  <si>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</si>
  <si>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</si>
  <si>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</si>
  <si>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</si>
  <si>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</si>
  <si>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</si>
  <si>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</si>
  <si>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ES fondu finansējums (85%)</t>
  </si>
  <si>
    <t>Privātais sektors*</t>
  </si>
  <si>
    <t>Projekta uzsākšanas datums / aktivitāšu īstenošanas laika grafiks</t>
  </si>
  <si>
    <t>Projekta realizācijas ilgums</t>
  </si>
  <si>
    <t>1.1.</t>
  </si>
  <si>
    <t>Jūrmalas pilsētas dome</t>
  </si>
  <si>
    <t>2.1.</t>
  </si>
  <si>
    <t>3.1.</t>
  </si>
  <si>
    <t>4.1.</t>
  </si>
  <si>
    <t>5.1.</t>
  </si>
  <si>
    <t>*Piesaistītās nefinanšu investīcijas konkrētās aktivitātes ietvaros</t>
  </si>
  <si>
    <t>SAM</t>
  </si>
  <si>
    <t>Nr.</t>
  </si>
  <si>
    <t>Kopējās projekta izmaksas</t>
  </si>
  <si>
    <t>P</t>
  </si>
  <si>
    <t>Īstenošanas laiks</t>
  </si>
  <si>
    <t>3.3.1.</t>
  </si>
  <si>
    <t>Indikatīvā kopsumma (EUR)</t>
  </si>
  <si>
    <t>ES fondu finansējums (85%) (EUR)</t>
  </si>
  <si>
    <t>A</t>
  </si>
  <si>
    <t>4.2.2.</t>
  </si>
  <si>
    <t>Apzīmējums*</t>
  </si>
  <si>
    <t>*P - prioritāra projekta ideja; A - alternatīva projekta ideja</t>
  </si>
  <si>
    <t>5.6.2.</t>
  </si>
  <si>
    <t>2018-2019</t>
  </si>
  <si>
    <t>2019-2020</t>
  </si>
  <si>
    <t>8.1.2.</t>
  </si>
  <si>
    <t>9.3.1.</t>
  </si>
  <si>
    <t>-</t>
  </si>
  <si>
    <t>IP - Jūrmalas pilsētas investīciju plāns 2016.-2018.gadam</t>
  </si>
  <si>
    <t>7.1.</t>
  </si>
  <si>
    <t>8.1.</t>
  </si>
  <si>
    <t>6.1.</t>
  </si>
  <si>
    <t>9.1.</t>
  </si>
  <si>
    <t>Nefinanšu investīcijas</t>
  </si>
  <si>
    <t>10.1.</t>
  </si>
  <si>
    <t>14.1.</t>
  </si>
  <si>
    <t>16.1.</t>
  </si>
  <si>
    <t>Pakalpojuma infrastruktrūras attīstība (t.sk. būvprojekts, būvuzraudzība, autoruzraudzība)</t>
  </si>
  <si>
    <t>P 2.1.                 P 3.7.</t>
  </si>
  <si>
    <t>P 2.6.                        P 3.2.</t>
  </si>
  <si>
    <t>P 3.5.</t>
  </si>
  <si>
    <t>15.1.</t>
  </si>
  <si>
    <r>
      <rPr>
        <b/>
        <i/>
        <sz val="10"/>
        <rFont val="Times New Roman"/>
        <family val="1"/>
        <charset val="186"/>
      </rPr>
      <t xml:space="preserve">2019 </t>
    </r>
    <r>
      <rPr>
        <i/>
        <sz val="10"/>
        <rFont val="Times New Roman"/>
        <family val="1"/>
        <charset val="186"/>
      </rPr>
      <t xml:space="preserve">                 (12 mēneši)</t>
    </r>
  </si>
  <si>
    <r>
      <rPr>
        <b/>
        <i/>
        <sz val="10"/>
        <rFont val="Times New Roman"/>
        <family val="1"/>
        <charset val="186"/>
      </rPr>
      <t xml:space="preserve">2019  </t>
    </r>
    <r>
      <rPr>
        <i/>
        <sz val="10"/>
        <rFont val="Times New Roman"/>
        <family val="1"/>
        <charset val="186"/>
      </rPr>
      <t xml:space="preserve">              (12 mēneši)</t>
    </r>
  </si>
  <si>
    <t>P 3.2.</t>
  </si>
  <si>
    <t>P.3.2.</t>
  </si>
  <si>
    <t xml:space="preserve">P 1.2.                    P 3.7.            </t>
  </si>
  <si>
    <t>P 2.4.                    P 3.7.</t>
  </si>
  <si>
    <t>P 2.6.                      P 3.5.</t>
  </si>
  <si>
    <t>P 2.6.                      P 3.3.</t>
  </si>
  <si>
    <t>P 2.6.                    P 3.1.</t>
  </si>
  <si>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</si>
  <si>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</si>
  <si>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r>
      <rPr>
        <u/>
        <sz val="10"/>
        <rFont val="Times New Roman"/>
        <family val="1"/>
        <charset val="186"/>
      </rPr>
      <t>Rezultāta rādītājs:</t>
    </r>
    <r>
      <rPr>
        <sz val="10"/>
        <rFont val="Times New Roman"/>
        <family val="1"/>
        <charset val="186"/>
      </rPr>
      <t xml:space="preserve">
Personas ar garīga rakstura traucējumiem, kas saņem pakalpojumu – 5 cilvēki
(rezultāta rādītāji un finansējuma apjoms tiks precizēts pēc Deinstitucionalizācijas plāna izstrādes)</t>
    </r>
  </si>
  <si>
    <t>Atbilstoši Deinstucionalizācijas plānam, veikts ieguldījums Grupu dzīvokļa pakalpojuma infrastruktūras attīstībā</t>
  </si>
  <si>
    <r>
      <rPr>
        <u/>
        <sz val="10"/>
        <rFont val="Times New Roman"/>
        <family val="1"/>
        <charset val="186"/>
      </rPr>
      <t>Rezultāta rādītājs:</t>
    </r>
    <r>
      <rPr>
        <sz val="10"/>
        <rFont val="Times New Roman"/>
        <family val="1"/>
        <charset val="186"/>
      </rPr>
      <t xml:space="preserve">
1) klientu skaits, veidojos SOS bērnu ciematam līdzīgu pakalpojumu - līdz 45 bērniem vecumā no 2 - 15 gadiem;
2) klientu skaits pakalpojumā “jauniešu māja” – 16 jaunieši vecumā no 15 -18 gadiem. (rezultāta rādītāji un finansējuma apjoms tiks precizēts pēc Deinstitucionalizācijas plāna izstrādes)</t>
    </r>
  </si>
  <si>
    <t>Atbilstoši Deinstucionalizācijas plānam, veikts ieguldījums pakalpojuma bērnu un jauniešu aprūpe ģimeniskā vidē infrastruktūras attīstībā.</t>
  </si>
  <si>
    <r>
      <t xml:space="preserve">2020                         </t>
    </r>
    <r>
      <rPr>
        <i/>
        <sz val="10"/>
        <rFont val="Times New Roman"/>
        <family val="1"/>
        <charset val="186"/>
      </rPr>
      <t xml:space="preserve"> (16mēneši)</t>
    </r>
  </si>
  <si>
    <t>Majoru muižas kompleksa pārbūve, restaurācija un labiekārtošana (t.sk.būvprojekts, autoruzraudzība, būvuzraudzība)</t>
  </si>
  <si>
    <r>
      <rPr>
        <b/>
        <sz val="12"/>
        <rFont val="Times New Roman"/>
        <family val="1"/>
        <charset val="186"/>
      </rPr>
      <t xml:space="preserve">Prioritārā projekta ideja Nr.2: </t>
    </r>
    <r>
      <rPr>
        <b/>
        <i/>
        <u/>
        <sz val="12"/>
        <rFont val="Times New Roman"/>
        <family val="1"/>
        <charset val="186"/>
      </rPr>
      <t xml:space="preserve">Grupu dzīvokļu pakalpojuma attīstība cilvēkiem ar garīga rakstura traucējumiem </t>
    </r>
  </si>
  <si>
    <r>
      <rPr>
        <b/>
        <sz val="12"/>
        <rFont val="Times New Roman"/>
        <family val="1"/>
        <charset val="186"/>
      </rPr>
      <t>Prioritārā projekta ideja Nr.2:</t>
    </r>
    <r>
      <rPr>
        <b/>
        <i/>
        <u/>
        <sz val="12"/>
        <rFont val="Times New Roman"/>
        <family val="1"/>
        <charset val="186"/>
      </rPr>
      <t xml:space="preserve"> Ceļu infrastruktūras atjaunošana un autostāvvietas izbūve Ķemeros </t>
    </r>
  </si>
  <si>
    <r>
      <t xml:space="preserve">Majoru muižas kompleksa atjaunošana                                   </t>
    </r>
    <r>
      <rPr>
        <i/>
        <sz val="10"/>
        <rFont val="Times New Roman"/>
        <family val="1"/>
        <charset val="186"/>
      </rPr>
      <t xml:space="preserve">  (IP 62.pozīcija) </t>
    </r>
  </si>
  <si>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</si>
  <si>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2.Grupu dzīvokļu pakalpojuma attīstība cilvēkiem ar funkcionāliem traucējumiem  </t>
    </r>
    <r>
      <rPr>
        <i/>
        <sz val="12"/>
        <rFont val="Times New Roman"/>
        <family val="1"/>
        <charset val="186"/>
      </rPr>
      <t xml:space="preserve">                                                                                                                                                                                                                                                           2007.–2013.gada plānošanas periodā Jūrmalas pilsētas dome uzsāka Grupu dzīvokļa pakalpojumu attīstību. Tika īstenots projekts “Grupu dzīvokļa pakalpojuma izveide un nodrošināšana Jūrmalā”, kura mērķis bija attīstīt Jūrmalas pašvaldībā inovatīvu sociālās rehabilitācijas un institūcijām alternatīvu sociālās aprūpes pakalpojumu – grupu dzīvokļa pakalpojumu personām ar garīga rakstura traucējumiem, tādā veidā nodrošinot personām ar funkcionāliem traucējumiem iespēju integrēties sabiedrībā un iesaistīties darba tirgū. Projekta ietvaros tika pielāgotas un aprīkotas telpas jaunā pakalpojuma sniegšanai un uzsākta pakalpojuma sniegšana, kas pēc projekta tiek nodrošināta par pašvaldības līdzekļiem. Lai nodrošinātu projekta pēctecību un attīstītu jaunizveidoto pakalpojumu, jaunajā plānošanas periodā paredzēts stiprināt Grupu dzīvokļa atbalstošos pakalpojumus - dienas centru personām ar garīga rakstura traucējumiem, specializētās darbnīcas  pakalpojumu, kā arī pielāgot jaunas telpas, lai paplašinātu Grupu dzīvokļa pakalpojumu saņēmēju  skaitu personām ar dažādām garīga rakstura traucējumu smaguma pakāpēm. </t>
    </r>
  </si>
  <si>
    <r>
      <t xml:space="preserve">2020                    </t>
    </r>
    <r>
      <rPr>
        <i/>
        <sz val="10"/>
        <rFont val="Times New Roman"/>
        <family val="1"/>
        <charset val="186"/>
      </rPr>
      <t>(18 mēneši)</t>
    </r>
  </si>
  <si>
    <r>
      <t xml:space="preserve">2019              </t>
    </r>
    <r>
      <rPr>
        <i/>
        <sz val="10"/>
        <rFont val="Times New Roman"/>
        <family val="1"/>
        <charset val="186"/>
      </rPr>
      <t>(2018.gads būvprojekta izstrāde)</t>
    </r>
  </si>
  <si>
    <r>
      <t xml:space="preserve">2019           </t>
    </r>
    <r>
      <rPr>
        <i/>
        <sz val="10"/>
        <rFont val="Times New Roman"/>
        <family val="1"/>
        <charset val="186"/>
      </rPr>
      <t xml:space="preserve">   (2019.gads būvprojekta izstrāde)</t>
    </r>
  </si>
  <si>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</si>
  <si>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 xml:space="preserve">Projekta rezultatīvie un indikatīvie rādītāji tiks precizēti pēc tehniskās dokumentācijas izstrādes. </t>
  </si>
  <si>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</si>
  <si>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t>Veikta Ķemeru parka pārbūve un restaurācija revitalizējot degradēto teritoriju 25.9 ha apmērā, t.sk. veikta ielu un ceļa infrastruktūras atjaunošana, teritorijas labiekārtošana,  inženiertehnisko tīklu pārbūve saimnieciskās darbības veikšanai, u.c. Projekta rezultatīvie un indikatīvie rādītāji tiks precizēti pēc tehniskās dokumentācijas izstrādes.</t>
  </si>
  <si>
    <t xml:space="preserve">
Veikta Majoru muižas kompleksa pārbūve, restaurācija un teritorijas labiekārtošana.</t>
  </si>
  <si>
    <t xml:space="preserve"> Jūrmalas teātra ēkas energoefektivitātes paaugstināšana (t.sk. autoruzraudziba, būvuzraudzība)</t>
  </si>
  <si>
    <t xml:space="preserve">Mācību vides infrastruktūras (IKT risinājumi, ergonomiska mācību vide) pilnveide. </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</si>
  <si>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1.Infrastruktūras izveide bērnu un jauniešu aprūpei ģimeniskā vidē saskaņa ar Quality4Children standartiem.</t>
    </r>
    <r>
      <rPr>
        <i/>
        <sz val="12"/>
        <rFont val="Times New Roman"/>
        <family val="1"/>
        <charset val="186"/>
      </rPr>
      <t xml:space="preserve">
Mērķa grupas – bez vecāku gādības palikuši  bērni un jaunieši ārpus ģimenes aprūpē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ir nepieciešams radīt jaunu infrastruktūru. Projekta ietvaros paredzēts izveidot infrastruktūru bērnu aprūpei ģimeniskā vidē saskaņā ar Quality4Children standartiem, kas nozīmē ģimeniskas vides radīšanu sabiedrībā integrētā pakalpojuma veidā. Quality4Children-2.standartu grupa nosaka, kā jāorganizē aprūpes process, lai bērna ārpusģimenes aprūpes vieta atbilst bērna vajadzībām, dzīves situācijai un sākotnējai sociālajai videi, ņemot vērā fizisko attālumu starp bērna kopienu un aprūpes vietu. Videi ir jābūt pieejamai, iekļaujošai, atbalstošai, drošai un gādīgai. Kā arī, lai bērns nezaudē saikni ar savu izcelsmes ģimeni, lai attiecības ar bērna izcelsmes ģimeni tiktu veicinātas, saglabātas un atbalstītas, ja tas ir bērna labākajās interesēs. Kā arī, lai bērniem ar īpašām vajadzībām paredzētā ārpusģimenes aprūpes vieta tiktu sagatavota ar īpašu rūpību. Ārpusģimenes aprūpi  paredzēts nodrošināt vienā vietā nelielam bērnu skaitam -  grupās (8 bērni vienā grupā), izveidojot jaunu infrastruktūru atsevišķās ēkās, privātmāju  veidā  (pēc SOS ciematiņu principa).</t>
    </r>
  </si>
  <si>
    <r>
      <rPr>
        <b/>
        <u/>
        <sz val="12"/>
        <rFont val="Times New Roman"/>
        <family val="1"/>
        <charset val="186"/>
      </rPr>
      <t>Prioritārā projekta ideja Nr.1:</t>
    </r>
    <r>
      <rPr>
        <b/>
        <i/>
        <u/>
        <sz val="12"/>
        <rFont val="Times New Roman"/>
        <family val="1"/>
        <charset val="186"/>
      </rPr>
      <t xml:space="preserve"> Infrastruktūras izveide bērnu un jauniešu aprūpei ģimeniskā vidē saskaņa ar Quality4Children standartiem.</t>
    </r>
  </si>
  <si>
    <t>Integrēto teritoriju investīciju  projektu ideju kopsavilkums</t>
  </si>
  <si>
    <t>1.pielikums</t>
  </si>
  <si>
    <t>"Integrētās teritoriju investīcijas"</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</si>
  <si>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</si>
  <si>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1.2.</t>
  </si>
  <si>
    <t xml:space="preserve"> P 3.2.                          P 3.7.</t>
  </si>
  <si>
    <r>
      <t xml:space="preserve">Prioritārā projekta ideja Nr.2: </t>
    </r>
    <r>
      <rPr>
        <b/>
        <i/>
        <u/>
        <sz val="12"/>
        <rFont val="Times New Roman"/>
        <family val="1"/>
        <charset val="186"/>
      </rPr>
      <t>Jūrmalas ūdenstūrisma pakalpojuma infrastruktūras attīstība atbilstoši pilsētas ekonomiskajai specializācijai</t>
    </r>
  </si>
  <si>
    <t xml:space="preserve">
Projekta sadalījums aktivitāšu griezumā, darbības rezultāti un rezultatīvie rādītāji tiks precizēti pēc būvprojekta izstrādes. </t>
  </si>
  <si>
    <t>Daudzfunkcionāla, interaktīva dabas tūrisma objekta  būvniecība - ēkas un tās funkcionalitātes nodrošināšanai nepieciešamās infrastruktūras izbūve, piegulošās teritorijas labiekārtošana (t.sk.būvprojekts, autoruzraudzība, būvuzraudzība)</t>
  </si>
  <si>
    <t xml:space="preserve">Revitalizētā teritorija pēc tūrisma objekta izbūves un piegulošās teritorijas labiekārtošanas E.Dārziņa ielā 28 – 4.7 ha. </t>
  </si>
  <si>
    <t>Daudzfunkcionāla, interaktīva dabas tūrisma objekta papildinošās infrastruktūras būvniecība - teritorijas labiekārtošana (t.sk. būvprojekts, autoruzraudzība, būvuzraudzība)</t>
  </si>
  <si>
    <t>Revitalizētā teritorija uzņēmējdarbības attīstībai un kompleksu tūrisma un kūrorta pakalpojumu īstenošanai Tūristu ielā 17 – 9.2 ha.</t>
  </si>
  <si>
    <t xml:space="preserve">Veikta E.Dārziņa ielas infrastruktūras atjaunošana, t.sk. inženierkomunikāciju, ielas seguma, publiskā apgaismojuma atjaunošana, teritorijas labiekārtošana 0.8 ha platībā.  </t>
  </si>
  <si>
    <t>P 2.1.                    P 3.7.</t>
  </si>
  <si>
    <t xml:space="preserve">Jūrmalas pilsētas pašvaldība                                  
</t>
  </si>
  <si>
    <t xml:space="preserve">
Tiks veikta ceļu infrastruktūras atjaunošana un stāvvietu izbūve.
Projekta sadalījums aktivitāšu griezumā, darbības rezultāti un rezultatīvie rādītāji tiks precizēti pēc būvprojekta izstrādes. </t>
  </si>
  <si>
    <t>Jūrmalas pilsētas pašvaldība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</si>
  <si>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- 8 komersanti;
2)jaunizveidoto darba vietu skaits komersantos, kuri guvuši labumu no investīcijām infrastruktūrā – 25 darba vietas;
3)no projekta ietvaro veiktajām investīcijām infrastruktūrā labumu guvušo komersantu nefinanšu investīcijas pašu nemateriālajos ieguldījumos un pamatlīdzekļos – 1 000 000.00  EUR.</t>
    </r>
  </si>
  <si>
    <r>
      <rPr>
        <b/>
        <sz val="12"/>
        <rFont val="Times New Roman"/>
        <family val="1"/>
        <charset val="186"/>
      </rPr>
      <t xml:space="preserve">Prioritārā projekta ideja Nr.3: </t>
    </r>
    <r>
      <rPr>
        <b/>
        <i/>
        <u/>
        <sz val="12"/>
        <rFont val="Times New Roman"/>
        <family val="1"/>
        <charset val="186"/>
      </rPr>
      <t>Daudzfunkcionāla, interaktīva dabas tūrisma objekta izveide Ķemeros</t>
    </r>
  </si>
  <si>
    <t xml:space="preserve">Jūrmalas pilsētas pašvaldība                                         
</t>
  </si>
  <si>
    <t xml:space="preserve">Jūrmalas pilsētas pašvaldība                                          
</t>
  </si>
  <si>
    <t xml:space="preserve">Jūrmalas pilsētas pašvaldība                                       
</t>
  </si>
  <si>
    <t>E.Dārziņa ielas inženierkomunikāciju, ielas seguma, publiskā apgaismojuma atjaunošana, teritorijas labiekārtošana (t.sk. būvprojekts, autoruzraudzība, būvuzraudzība)</t>
  </si>
  <si>
    <t xml:space="preserve">Jūrmalas pilsētas pašvaldība
</t>
  </si>
  <si>
    <r>
      <rPr>
        <b/>
        <sz val="12"/>
        <rFont val="Times New Roman"/>
        <family val="1"/>
        <charset val="186"/>
      </rPr>
      <t xml:space="preserve">Prioritārā projekta ideja Nr.4: </t>
    </r>
    <r>
      <rPr>
        <b/>
        <i/>
        <u/>
        <sz val="12"/>
        <rFont val="Times New Roman"/>
        <family val="1"/>
        <charset val="186"/>
      </rPr>
      <t>Ielu infrastruktūras atjaunošana Ķemeros</t>
    </r>
  </si>
  <si>
    <t xml:space="preserve">Jūrmalas pilsētas pašvaldība                                              
</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</si>
  <si>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būvprojekts, autoruzraudzība,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</si>
  <si>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t>P 2.8.                 P 3.2.                          P 3.7.</t>
  </si>
  <si>
    <t>P 2.8.                     P 3.7.</t>
  </si>
  <si>
    <t>Ceļu infrastruktūras atjaunošana un stāvvietu izbūve (t.sk. autoruzraudzība un būvuzraudzība)</t>
  </si>
  <si>
    <t>13.1.</t>
  </si>
  <si>
    <t>18.1.</t>
  </si>
  <si>
    <t>19.1.</t>
  </si>
  <si>
    <t>Specifiskais atbalsta mērķis  (SAM)  9.3.1.                                                                                                                                                                                                                                                                                                                                                                                                                        "Attīstīt pakalpojumu infrastruktūru bērnu aprūpei ģimeniskā vidē un personu ar invaliditāti neatkarīgai dzīvei un integrācijai sabiedrībā"***</t>
  </si>
  <si>
    <t>***Aktivitates šī SAM ietvaros var tikt precizētas pēc Rīgas plānošanas reģiona Deinstitucionalizācijas plāna izstrādes</t>
  </si>
  <si>
    <t>**Atbilstoši Vides aizsardzības un reģionālās attīstības ministrijas noteiktajam "Pašvaldību budžeta kapacitātes rādītājam 2016.gadā" (MK 27.01.2015. noteikumi Nr.42.)</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</si>
  <si>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</si>
  <si>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</si>
  <si>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 xml:space="preserve">Specifiskais atbalsta mērķis (SAM) 4.2.2.                                                                                                                                                                                                                                                                                                                                                                                                                   "Atbilstoši pašvaldības integrētajām attīstības programmām sekmēt energoefektivitātes paaugstināšanu un AER izmantošanu pašvaldību ēkās" </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</si>
  <si>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</si>
  <si>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</si>
  <si>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r>
      <t xml:space="preserve">Alternatīvā projekta ideja Nr.3. </t>
    </r>
    <r>
      <rPr>
        <b/>
        <i/>
        <u/>
        <sz val="12"/>
        <rFont val="Times New Roman"/>
        <family val="1"/>
        <charset val="186"/>
      </rPr>
      <t>Ķemeru pasta ēkas energoefektivitātes paaugstināšana</t>
    </r>
  </si>
  <si>
    <t>20.1.</t>
  </si>
  <si>
    <t>22.1.</t>
  </si>
  <si>
    <t>23.1.</t>
  </si>
  <si>
    <t xml:space="preserve">Jūrmalas pilsētas Jaundubultu vidusskolas  ēkas energoefektivitātes paaugstināšana (t.sk.autoruzraudzība,būvuzraudzība) </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</si>
  <si>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domes administratīvās ēkas energoefektivitātes paaugstināšana Dubultu prospektā 1, lit.1. (t.sk. autoruzraudzība, būvuzraudzība) </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</si>
  <si>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t xml:space="preserve">Jūrmalas pilsētas domes administratīvās ēkas energoefektivitātes paaugstināšana Dubultu prospektā 1, lit.1. (t.sk. autoruzraudzība, būvuzraudzība)         </t>
  </si>
  <si>
    <t xml:space="preserve">Jūrmalas pilsētas domes administratīvās ēkas energoefektivitātes paaugstināšana Rūpniecības ielā 19 (t.sk. autoruzraudzība, būvuzraudzība)             </t>
  </si>
  <si>
    <t xml:space="preserve">Ķemeru pasta ēkas energoefektivitātes paaugstināšana (t.sk. autoruzraudziba, būvuzraudzība) </t>
  </si>
  <si>
    <t>Projekta rezultatīvie un indikatīvie rādītāji tiks precizēti pēc tehniskās dokumentācijas izstrādes.</t>
  </si>
  <si>
    <r>
      <t xml:space="preserve">Projekta aktivitāšu pamatojums:
</t>
    </r>
    <r>
      <rPr>
        <b/>
        <sz val="12"/>
        <rFont val="Times New Roman"/>
        <family val="1"/>
        <charset val="186"/>
      </rPr>
      <t>1.Ceļu infrastruktūras atjaunošana un stāvvietu izbūve (t.sk. autoruzraudzība un būvuzraudzība)</t>
    </r>
    <r>
      <rPr>
        <i/>
        <sz val="12"/>
        <rFont val="Times New Roman"/>
        <family val="1"/>
        <charset val="186"/>
      </rPr>
      <t xml:space="preserve">
Ņemot vērā pilsētas ekonomisko specializāciju, pilsētas centrālā daļa jeb Jomas iela ir pilsētas viesu iecienīts galamērķis (2014.gadā vienas dienas tūristu skaits Jūrmalas pilsētā 4 miljoni cilvēki). Tomēr, lai arī Jūrmalas pilsēta ir izveidojusi virkni stāvvietu gan ielu malās gan atsevišķas autosstāvvietas, ņemot vērā plašo pakalpojumu klāstu (kultūras, tūrisma, veselības, ēdināšanas, izmitināšanas, u.c. pakalpojumi) Majoros-Dzintaros, sezonas laikā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ielu/ceļu un ar to saistīto infrastruktūru pārbūvi un atjaunošanu Majoru-Dzintaru rajonos, t.sk. veicot lietus ūdens  kanalizācijas infrastruktūras un ielu apgaismojuma būvniecību un atjaunošanu un stāvvietu izbūvi ielu malās.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</si>
  <si>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autoruzraudzība,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</si>
  <si>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r>
      <t xml:space="preserve">2019              </t>
    </r>
    <r>
      <rPr>
        <i/>
        <sz val="10"/>
        <rFont val="Times New Roman"/>
        <family val="1"/>
        <charset val="186"/>
      </rPr>
      <t>(20 mēneši)</t>
    </r>
  </si>
  <si>
    <r>
      <t xml:space="preserve">2019                  </t>
    </r>
    <r>
      <rPr>
        <i/>
        <sz val="10"/>
        <rFont val="Times New Roman"/>
        <family val="1"/>
        <charset val="186"/>
      </rPr>
      <t>(18 mēneši)</t>
    </r>
  </si>
  <si>
    <r>
      <t xml:space="preserve">2020                   </t>
    </r>
    <r>
      <rPr>
        <i/>
        <sz val="10"/>
        <rFont val="Times New Roman"/>
        <family val="1"/>
        <charset val="186"/>
      </rPr>
      <t>(23 mēneši)</t>
    </r>
  </si>
  <si>
    <t>Pašvaldības budžets* (12.75%) + neattiecināmās izmaksas</t>
  </si>
  <si>
    <t>Valsts budžeta dotācija** (2.25%)</t>
  </si>
  <si>
    <r>
      <t>Jūrmalas pilsētas pašvaldība</t>
    </r>
    <r>
      <rPr>
        <strike/>
        <sz val="10"/>
        <rFont val="Times New Roman"/>
        <family val="1"/>
        <charset val="186"/>
      </rPr>
      <t xml:space="preserve">       </t>
    </r>
    <r>
      <rPr>
        <sz val="10"/>
        <rFont val="Times New Roman"/>
        <family val="1"/>
        <charset val="186"/>
      </rPr>
      <t xml:space="preserve">                                
</t>
    </r>
  </si>
  <si>
    <t xml:space="preserve">Jūrmalas pilsētas pašvaldība                                          
</t>
  </si>
  <si>
    <t xml:space="preserve">Jūrmalas pilsētas pašvaldība                                      
</t>
  </si>
  <si>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</si>
  <si>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t>Pašvaldības budžets (12.75%) + neattiecināmās izmaksas (EUR)</t>
  </si>
  <si>
    <t>Valsts budžeta dotācija (2.25%) (EUR)</t>
  </si>
  <si>
    <r>
      <rPr>
        <b/>
        <u/>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</si>
  <si>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u/>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</si>
  <si>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t>24.1.</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</si>
  <si>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Ķemeru pasta ēkai Tukuma ielā 30 kopējais enerģijas  patēriņa novērtējums ir vērtējams kā augsts jeb 127,70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</si>
  <si>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Ēka ir arī vizuāli nepievilcīga un līdz ar to degradē kopējo pilsētas ainavu. Veicot ēkai energoefektivitātes pasākumus, samazināsies ēkas siltumeneģijas patēriņš, ēkas apsaimniekošanas izmaksas un CO2 emisija.</t>
    </r>
  </si>
  <si>
    <r>
      <rPr>
        <b/>
        <sz val="12"/>
        <rFont val="Times New Roman"/>
        <family val="1"/>
        <charset val="186"/>
      </rPr>
      <t>Prioritārā projekta ideja Nr.3:</t>
    </r>
    <r>
      <rPr>
        <b/>
        <i/>
        <u/>
        <sz val="12"/>
        <rFont val="Times New Roman"/>
        <family val="1"/>
        <charset val="186"/>
      </rPr>
      <t>Jūrmalas pilsētas Ķemeru pamatskolas ēkas pārbūve un energoefektivitātes paaugstināšana</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</si>
  <si>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un veselības un atpūtas tūristu skaita pieaugumam.</t>
    </r>
  </si>
  <si>
    <t xml:space="preserve">Jūrmalas pilsētas Kauguru vidusskolas infrastruktūras pilnveide                               </t>
  </si>
  <si>
    <t xml:space="preserve">Daudzfunkcionālā laukuma (t.sk. ēku) un autostāvvietas izbūve </t>
  </si>
  <si>
    <t>Jauniešu mājas un inženiertehnisko tīklu izbūve</t>
  </si>
  <si>
    <t>Ūdenstūrisma pakalpojumu centra ''Majori'' izveide(ēkas pārbūve)</t>
  </si>
  <si>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2006.gada līdz 2012.gadam to skaits ir palielinājies no 290 līdz 600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pakalpojumu kompleksu, kas attīstīs uzņēmējdarbības vidi pilsētā un mazinās šīs jomas sezonalitāti Jūrmalā. </t>
    </r>
  </si>
  <si>
    <t xml:space="preserve">Jūrmalas pilsētas Ķemeru pamatskolas ēkas pārbūve un energoefektivitātes paaugstināšana 
</t>
  </si>
  <si>
    <t xml:space="preserve">Jūrmalas pilsētas Jaundubultu vidusskolass ēkas k-1 (autoskolas ēka) energoefektivitātes paaugstināšana (t.sk.autoruzraudzība,būvuzraudzība)
</t>
  </si>
  <si>
    <t xml:space="preserve">Jūrmalas pilsētas Kauguru vidusskolas energoefektivitātes paaugstināšana </t>
  </si>
  <si>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ielā.</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</si>
  <si>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</si>
  <si>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t>Pilsētas atpūtas parka un jauniešu mājas izveide Kauguros
(IP 43.pozīcija)</t>
  </si>
  <si>
    <r>
      <rPr>
        <b/>
        <i/>
        <sz val="10"/>
        <rFont val="Times New Roman"/>
        <family val="1"/>
        <charset val="186"/>
      </rPr>
      <t>2020</t>
    </r>
    <r>
      <rPr>
        <i/>
        <sz val="10"/>
        <rFont val="Times New Roman"/>
        <family val="1"/>
        <charset val="186"/>
      </rPr>
      <t xml:space="preserve">                                                                                                                                                                                                                                                                                                                                                                                                                                                                (34 mēneši)</t>
    </r>
  </si>
  <si>
    <t>1000 m2 plašas autostāvvietas izbūve, 1500 m2 komercdarbībai paredzētas platības izbūve, kā arī tiks  izbūvētas telpas/būves komercdarbībai, inženierkomunikāciju izveide. Projekta sadalījums aktivitāšu griezumā, darbības rezultāti, precīzas izmaksas un rezultatīvie rādītāji tiks precizēti pēc būvprojekta izstrādes.</t>
  </si>
  <si>
    <t>Sabiedriskā objekta teritorijā tiks izbūvēta jauniešu māja, pārbūvēti un izbūvēti inženiertehniskie tīkli. Kopumā objektam izdalītā teritorija ir 4000m2. 
Projekta sadalījums aktivitāšu griezumā, darbības rezultāti, precīzas izmaksas un rezultatīvie rādītāji tiks precizēti pēc būvprojekta izstrādes.</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</si>
  <si>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 Ūdenstūrisma pakalpojumu centra ''Majori'' izveide (ēkas pārbūve)</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</si>
  <si>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t xml:space="preserve">Jūrmalas ūdenstūrisma pakalpojumu infrastruktūras attīstība atbilstoši pilsētas ekonomiskajai specializācijai </t>
    </r>
    <r>
      <rPr>
        <i/>
        <sz val="10"/>
        <rFont val="Times New Roman"/>
        <family val="1"/>
        <charset val="186"/>
      </rPr>
      <t>(IP 30.pozīcija)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</si>
  <si>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8 darba vietas;
3)no projekta ietvaros veiktajām investīcijām infrastruktūrā labumu guvušo komersantu nefinanšu investīcijas pašu nemateriālajos ieguldījumos un pamatlīdzekļos – 417 394.80 EUR.</t>
    </r>
  </si>
  <si>
    <r>
      <rPr>
        <b/>
        <i/>
        <sz val="10"/>
        <rFont val="Times New Roman"/>
        <family val="1"/>
        <charset val="186"/>
      </rPr>
      <t>2019</t>
    </r>
    <r>
      <rPr>
        <sz val="10"/>
        <rFont val="Times New Roman"/>
        <family val="1"/>
        <charset val="186"/>
      </rPr>
      <t xml:space="preserve">                                           </t>
    </r>
    <r>
      <rPr>
        <i/>
        <sz val="10"/>
        <rFont val="Times New Roman"/>
        <family val="1"/>
        <charset val="186"/>
      </rPr>
      <t>(17 mēneši)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</si>
  <si>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1.Servisa centra izbūve Vikingu ielā 40a un inženiertehnisko tīklu izbūve (t.sk. autoruzraudzība un būvuzraudzība) </t>
    </r>
    <r>
      <rPr>
        <i/>
        <sz val="12"/>
        <rFont val="Times New Roman"/>
        <family val="1"/>
        <charset val="186"/>
      </rPr>
      <t xml:space="preserve">
Pilsētā pietrūkst Lielupes kuģošanas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uzglabāt savu kustamo mantu arī ziemas laikā. Ir nepieciešama arī inženiertehnisko tīklu izbūve, lai nodrošinātu servisa centra efektīvu funkcionēšanu un tajā esošo komersantu saimniecisko darbību.</t>
    </r>
  </si>
  <si>
    <r>
      <t xml:space="preserve">Lielupes kuģošanas infrastruktūras attīstība uzņēmējdarbības veicināšanai Jūrmalā </t>
    </r>
    <r>
      <rPr>
        <i/>
        <sz val="10"/>
        <rFont val="Times New Roman"/>
        <family val="1"/>
        <charset val="186"/>
      </rPr>
      <t>(IP 31.pozīcija)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</si>
  <si>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 darba vietas;
3)no projekta ietvaros veiktajām investīcijām infrastruktūrā labumu guvušo komersantu nefinanšu investīcijas pašu nemateriālajos ieguldījumos un pamatlīdzekļos – 82 605.20 EUR.</t>
    </r>
  </si>
  <si>
    <r>
      <rPr>
        <b/>
        <i/>
        <sz val="10"/>
        <rFont val="Times New Roman"/>
        <family val="1"/>
        <charset val="186"/>
      </rPr>
      <t>2020</t>
    </r>
    <r>
      <rPr>
        <sz val="10"/>
        <rFont val="Times New Roman"/>
        <family val="1"/>
        <charset val="186"/>
      </rPr>
      <t xml:space="preserve">                 </t>
    </r>
    <r>
      <rPr>
        <i/>
        <sz val="10"/>
        <rFont val="Times New Roman"/>
        <family val="1"/>
        <charset val="186"/>
      </rPr>
      <t>(12 mēneši)</t>
    </r>
  </si>
  <si>
    <r>
      <t>Servisa centra izbūve Vikingu ielā 40a un inženiertehnisko tīklu izbūve</t>
    </r>
    <r>
      <rPr>
        <strike/>
        <sz val="10"/>
        <rFont val="Times New Roman"/>
        <family val="1"/>
        <charset val="186"/>
      </rPr>
      <t xml:space="preserve"> </t>
    </r>
    <r>
      <rPr>
        <sz val="10"/>
        <rFont val="Times New Roman"/>
        <family val="1"/>
        <charset val="186"/>
      </rPr>
      <t>(t.sk.autoruzraudzība un būvuzraudzība)</t>
    </r>
  </si>
  <si>
    <r>
      <t>Tiks izbūvēta infrastruktūra un izbūvēti/pārbūvēti inženiertehniskie tīkli</t>
    </r>
    <r>
      <rPr>
        <strike/>
        <sz val="10"/>
        <rFont val="Times New Roman"/>
        <family val="1"/>
        <charset val="186"/>
      </rPr>
      <t>.</t>
    </r>
    <r>
      <rPr>
        <sz val="10"/>
        <rFont val="Times New Roman"/>
        <family val="1"/>
        <charset val="186"/>
      </rPr>
      <t xml:space="preserve">
Projekta sadalījums aktivitāšu griezumā, darbības rezultāti un rezultatīvie rādītāji tiks precizēti pēc būvprojekta izstrādes. </t>
    </r>
  </si>
  <si>
    <r>
      <rPr>
        <b/>
        <i/>
        <sz val="10"/>
        <rFont val="Times New Roman"/>
        <family val="1"/>
        <charset val="186"/>
      </rPr>
      <t xml:space="preserve">2019    </t>
    </r>
    <r>
      <rPr>
        <sz val="10"/>
        <rFont val="Times New Roman"/>
        <family val="1"/>
        <charset val="186"/>
      </rPr>
      <t xml:space="preserve">                                                                                                                                                                                                                                                                                                                                                                                                                                                                                                                                                                                                                                                                                                                                                    </t>
    </r>
    <r>
      <rPr>
        <i/>
        <sz val="10"/>
        <rFont val="Times New Roman"/>
        <family val="1"/>
        <charset val="186"/>
      </rPr>
      <t>(2018.gads būvprojekta izstrāde)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</si>
  <si>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</si>
  <si>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t xml:space="preserve">Pilsētas centrālās daļas ceļu infrastruktūras atjaunošana                    </t>
    </r>
    <r>
      <rPr>
        <i/>
        <sz val="10"/>
        <rFont val="Times New Roman"/>
        <family val="1"/>
        <charset val="186"/>
      </rPr>
      <t>(IP 16.pozīcija un IP 19.pozīcija)</t>
    </r>
  </si>
  <si>
    <r>
      <rPr>
        <b/>
        <sz val="12"/>
        <rFont val="Times New Roman"/>
        <family val="1"/>
        <charset val="186"/>
      </rPr>
      <t>Prioritārā projekta ideja Nr.1:</t>
    </r>
    <r>
      <rPr>
        <b/>
        <i/>
        <u/>
        <sz val="12"/>
        <rFont val="Times New Roman"/>
        <family val="1"/>
        <charset val="186"/>
      </rPr>
      <t xml:space="preserve"> Jūrmalas veselības veicināšanas un sociālo pakalpojumu centra infrastruktūras pilnveide un energoefektivitātes paaugstināšana </t>
    </r>
  </si>
  <si>
    <r>
      <t xml:space="preserve">Jūrmalas veselības veicināšanas un sociālo pakalpojumu centra infrastruktūras pilnveide un energoefektivitātes paaugstināšana         </t>
    </r>
    <r>
      <rPr>
        <i/>
        <sz val="10"/>
        <rFont val="Times New Roman"/>
        <family val="1"/>
        <charset val="186"/>
      </rPr>
      <t xml:space="preserve">  (IP 101.pozīcija)</t>
    </r>
  </si>
  <si>
    <t xml:space="preserve">Jūrmalas veselības veicināšanas un sociālo pakalpojumu centra infrastruktūras pilnveide un energoefektivitātes paaugstināšana </t>
  </si>
  <si>
    <t>Prioritārā projekta ideja Nr.2.: Jūrmalas Sporta skolas ēkas baseinu pārbūve, energoefektivitātes paaugstināšana</t>
  </si>
  <si>
    <r>
      <t xml:space="preserve">Jūrmalas Sporta skolas ēkas baseinu pārbūve, energoefektivitātes paaugstināšana         </t>
    </r>
    <r>
      <rPr>
        <i/>
        <sz val="10"/>
        <rFont val="Times New Roman"/>
        <family val="1"/>
        <charset val="186"/>
      </rPr>
      <t>(IP 70.pozīcija)</t>
    </r>
  </si>
  <si>
    <t>Jūrmalas Sporta skolas ēkas baseinu pārbūves, energoefektivitātes paaugstināšana</t>
  </si>
  <si>
    <r>
      <t xml:space="preserve">Jūrmala pilsētas Ķemeru pamatskolas ēkas pārbūve un energoefektivitātes paaugstināšana </t>
    </r>
    <r>
      <rPr>
        <i/>
        <sz val="10"/>
        <rFont val="Times New Roman"/>
        <family val="1"/>
        <charset val="186"/>
      </rPr>
      <t>(IP 64.pozīcija)</t>
    </r>
  </si>
  <si>
    <r>
      <t xml:space="preserve">Jūrmalas pilsētas Jaundubultu vidusskolas ēkas energoefektivitātes paaugstināšana  </t>
    </r>
    <r>
      <rPr>
        <i/>
        <sz val="10"/>
        <rFont val="Times New Roman"/>
        <family val="1"/>
        <charset val="186"/>
      </rPr>
      <t>(IP 65.pozīcija)</t>
    </r>
  </si>
  <si>
    <t>Jūrmalas pilsētas Jaundubultu vidusskolas ēkas k-1 (autoskolas ēka) energoefektivitātes paaugstināšana 
 (IP 66.pozīcija)</t>
  </si>
  <si>
    <r>
      <t xml:space="preserve">Jūrmalas pilsētas Kauguru vidusskolas energoefektivitātes paaugstināšana          </t>
    </r>
    <r>
      <rPr>
        <i/>
        <sz val="10"/>
        <rFont val="Times New Roman"/>
        <family val="1"/>
        <charset val="186"/>
      </rPr>
      <t>(IP 69.pozīcija)</t>
    </r>
  </si>
  <si>
    <r>
      <t xml:space="preserve">Jūrmalas teātra ēkas energoefektivitātes paaugstināšana        </t>
    </r>
    <r>
      <rPr>
        <i/>
        <sz val="10"/>
        <rFont val="Times New Roman"/>
        <family val="1"/>
        <charset val="186"/>
      </rPr>
      <t>(IP 95.pozīcija)</t>
    </r>
  </si>
  <si>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(12 mēneši)</t>
    </r>
  </si>
  <si>
    <r>
      <t xml:space="preserve">2019              </t>
    </r>
    <r>
      <rPr>
        <i/>
        <sz val="10"/>
        <rFont val="Times New Roman"/>
        <family val="1"/>
        <charset val="186"/>
      </rPr>
      <t>(2018.gads tehniskās dokumentācijas izstrāde)</t>
    </r>
  </si>
  <si>
    <r>
      <t xml:space="preserve">Jūrmalas pilsētas domes administratīvās ēkas energoefektivitātes paaugstināšana Dubultu prospektā 1, lit.1. </t>
    </r>
    <r>
      <rPr>
        <i/>
        <sz val="10"/>
        <rFont val="Times New Roman"/>
        <family val="1"/>
        <charset val="186"/>
      </rPr>
      <t xml:space="preserve">                        (IP 42.pozīcija)</t>
    </r>
  </si>
  <si>
    <r>
      <rPr>
        <b/>
        <i/>
        <sz val="10"/>
        <rFont val="Times New Roman"/>
        <family val="1"/>
        <charset val="186"/>
      </rPr>
      <t xml:space="preserve">2019    </t>
    </r>
    <r>
      <rPr>
        <i/>
        <sz val="10"/>
        <rFont val="Times New Roman"/>
        <family val="1"/>
        <charset val="186"/>
      </rPr>
      <t xml:space="preserve">                                                                       (2018.gads tehniskās dokumentācijas izstrāde)</t>
    </r>
  </si>
  <si>
    <r>
      <t xml:space="preserve">Jūrmalas pilsētas domes administratīvās ēkas energoefektivitātes paaugstināšana Rūpniecības ielā 19                                        </t>
    </r>
    <r>
      <rPr>
        <i/>
        <sz val="10"/>
        <rFont val="Times New Roman"/>
        <family val="1"/>
        <charset val="186"/>
      </rPr>
      <t xml:space="preserve"> (IP 54.pozīcija)</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</si>
  <si>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(2018.gads tehniskās dokumentācijas izstrāde)</t>
    </r>
  </si>
  <si>
    <r>
      <t xml:space="preserve">Ķemeru pasta ēkas energoefektivitātes paaugstināšana </t>
    </r>
    <r>
      <rPr>
        <i/>
        <sz val="10"/>
        <rFont val="Times New Roman"/>
        <family val="1"/>
        <charset val="186"/>
      </rPr>
      <t>(IP 48.pozīcija)</t>
    </r>
  </si>
  <si>
    <t>P 2.6.            P2.8.</t>
  </si>
  <si>
    <r>
      <rPr>
        <b/>
        <i/>
        <sz val="10"/>
        <rFont val="Times New Roman"/>
        <family val="1"/>
        <charset val="186"/>
      </rPr>
      <t>2019</t>
    </r>
    <r>
      <rPr>
        <i/>
        <sz val="10"/>
        <rFont val="Times New Roman"/>
        <family val="1"/>
        <charset val="186"/>
      </rPr>
      <t xml:space="preserve">                                                                     (2018.gads tehniskās dokumentācijas izstrāde)</t>
    </r>
  </si>
  <si>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</si>
  <si>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</si>
  <si>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t xml:space="preserve">Ķemeru parka pārbūve un restaurācija                          </t>
    </r>
    <r>
      <rPr>
        <i/>
        <sz val="10"/>
        <rFont val="Times New Roman"/>
        <family val="1"/>
        <charset val="186"/>
      </rPr>
      <t xml:space="preserve">  (IP 8.pozīcija)</t>
    </r>
  </si>
  <si>
    <r>
      <t xml:space="preserve">2019                                                                                                                              </t>
    </r>
    <r>
      <rPr>
        <i/>
        <sz val="10"/>
        <rFont val="Times New Roman"/>
        <family val="1"/>
        <charset val="186"/>
      </rPr>
      <t xml:space="preserve"> (17mēneši)</t>
    </r>
  </si>
  <si>
    <r>
      <t xml:space="preserve">2018                                                             </t>
    </r>
    <r>
      <rPr>
        <i/>
        <sz val="10"/>
        <rFont val="Times New Roman"/>
        <family val="1"/>
        <charset val="186"/>
      </rPr>
      <t xml:space="preserve">         (2017.gads būvprojekta izstrāde)</t>
    </r>
  </si>
  <si>
    <r>
      <t xml:space="preserve">Ceļu infrastruktūras atjaunošana un autostāvvietas izbūve Ķemeros                      </t>
    </r>
    <r>
      <rPr>
        <i/>
        <sz val="10"/>
        <rFont val="Times New Roman"/>
        <family val="1"/>
        <charset val="186"/>
      </rPr>
      <t>(IP 14.pozīcija)</t>
    </r>
  </si>
  <si>
    <r>
      <t xml:space="preserve">2018                        </t>
    </r>
    <r>
      <rPr>
        <i/>
        <sz val="10"/>
        <rFont val="Times New Roman"/>
        <family val="1"/>
        <charset val="186"/>
      </rPr>
      <t>(8 mēneši)</t>
    </r>
  </si>
  <si>
    <t>Stāvvietas izbūve E.Dārziņa ielā 17 un Tūristu ielas atjaunošana (Tūristu iela 2B/Tūristu iela 3A) (t.sk.būvprojekts, autoruzraudzība, būvuzraudzība)</t>
  </si>
  <si>
    <r>
      <t xml:space="preserve">Daudzfunkcionāla, interaktīva dabas tūrisma objekta izveide Ķemeros                   </t>
    </r>
    <r>
      <rPr>
        <i/>
        <sz val="10"/>
        <rFont val="Times New Roman"/>
        <family val="1"/>
        <charset val="186"/>
      </rPr>
      <t>(IP 5.pozīcija)</t>
    </r>
  </si>
  <si>
    <r>
      <t xml:space="preserve">Ielu infrastruktūras atjaunošana  Ķemeros                                                                                 </t>
    </r>
    <r>
      <rPr>
        <i/>
        <sz val="10"/>
        <rFont val="Times New Roman"/>
        <family val="1"/>
        <charset val="186"/>
      </rPr>
      <t>(IP 13.pozīcija)</t>
    </r>
  </si>
  <si>
    <r>
      <t xml:space="preserve">2018                                          </t>
    </r>
    <r>
      <rPr>
        <i/>
        <sz val="10"/>
        <rFont val="Times New Roman"/>
        <family val="1"/>
        <charset val="186"/>
      </rPr>
      <t xml:space="preserve"> (2018.gads būvprojekta izstrāde)</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</si>
  <si>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Jūrmalas pilsētas Kauguru vidusskolas telpu atjaunošana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</si>
  <si>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Kauguru vidusskolas telpu atjaunošana (t.sk. autoruzraudzība, būvuzraudzība)</t>
    </r>
    <r>
      <rPr>
        <i/>
        <sz val="12"/>
        <rFont val="Times New Roman"/>
        <family val="1"/>
        <charset val="186"/>
      </rPr>
      <t xml:space="preserve">
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vienā skolas stāvā.</t>
    </r>
  </si>
  <si>
    <r>
      <t xml:space="preserve">Jūrmalas pilsētas Kauguru vidusskolas telpu atjaunošana                    </t>
    </r>
    <r>
      <rPr>
        <i/>
        <sz val="10"/>
        <rFont val="Times New Roman"/>
        <family val="1"/>
        <charset val="186"/>
      </rPr>
      <t>(IP 69.pozīcija)</t>
    </r>
  </si>
  <si>
    <t>Kauguru vidusskolas telpu atjaunošana (t.sk. autoruzraudzība, būvuzraudzība)</t>
  </si>
  <si>
    <r>
      <t xml:space="preserve">2018                                </t>
    </r>
    <r>
      <rPr>
        <i/>
        <sz val="10"/>
        <rFont val="Times New Roman"/>
        <family val="1"/>
        <charset val="186"/>
      </rPr>
      <t xml:space="preserve">    (2017.-2018.gads būvprojekta izstrāde)</t>
    </r>
  </si>
  <si>
    <r>
      <rPr>
        <b/>
        <sz val="12"/>
        <rFont val="Times New Roman"/>
        <family val="1"/>
        <charset val="186"/>
      </rPr>
      <t>Prioritārā projekta ideja Nr.3:</t>
    </r>
    <r>
      <rPr>
        <i/>
        <u/>
        <sz val="12"/>
        <rFont val="Times New Roman"/>
        <family val="1"/>
        <charset val="186"/>
      </rPr>
      <t xml:space="preserve"> </t>
    </r>
    <r>
      <rPr>
        <b/>
        <i/>
        <u/>
        <sz val="12"/>
        <rFont val="Times New Roman"/>
        <family val="1"/>
        <charset val="186"/>
      </rPr>
      <t>Jūrmalas pilsētas Kauguru vidusskolas infrastruktūras pilnveide</t>
    </r>
  </si>
  <si>
    <r>
      <t xml:space="preserve">Jūrmalas pilsētas Kauguru vidusskolas infrastruktūras pilnveide                                  </t>
    </r>
    <r>
      <rPr>
        <i/>
        <sz val="10"/>
        <rFont val="Times New Roman"/>
        <family val="1"/>
        <charset val="186"/>
      </rPr>
      <t>(IP 69.pozīcija)</t>
    </r>
  </si>
  <si>
    <r>
      <t xml:space="preserve">Infrastruktūras izveide bērnu un jauniešu aprūpei ģimeniskā vidē saskaņa ar Quality4Children standartiem                        </t>
    </r>
    <r>
      <rPr>
        <i/>
        <sz val="10"/>
        <rFont val="Times New Roman"/>
        <family val="1"/>
        <charset val="186"/>
      </rPr>
      <t>(IP 99.pozīcija)</t>
    </r>
  </si>
  <si>
    <r>
      <t xml:space="preserve">2019                                    </t>
    </r>
    <r>
      <rPr>
        <i/>
        <sz val="10"/>
        <rFont val="Times New Roman"/>
        <family val="1"/>
        <charset val="186"/>
      </rPr>
      <t xml:space="preserve">         (10 mēneši)</t>
    </r>
  </si>
  <si>
    <r>
      <rPr>
        <b/>
        <i/>
        <sz val="10"/>
        <rFont val="Times New Roman"/>
        <family val="1"/>
        <charset val="186"/>
      </rPr>
      <t xml:space="preserve">2018 </t>
    </r>
    <r>
      <rPr>
        <i/>
        <sz val="10"/>
        <rFont val="Times New Roman"/>
        <family val="1"/>
        <charset val="186"/>
      </rPr>
      <t xml:space="preserve">                                                       (2018.gads būvprojekta izstrāde)</t>
    </r>
  </si>
  <si>
    <r>
      <t xml:space="preserve">Grupu dzīvokļu pakalpojuma attīstība cilvēkiem ar garīga rakstura traucējumiem                  </t>
    </r>
    <r>
      <rPr>
        <i/>
        <sz val="10"/>
        <rFont val="Times New Roman"/>
        <family val="1"/>
        <charset val="186"/>
      </rPr>
      <t xml:space="preserve">                                    (IP 100.pozīcija)</t>
    </r>
  </si>
  <si>
    <r>
      <rPr>
        <b/>
        <u/>
        <sz val="12"/>
        <rFont val="Times New Roman"/>
        <family val="1"/>
        <charset val="186"/>
      </rPr>
      <t xml:space="preserve">Prioritārā projekta ideja Nr.6: </t>
    </r>
    <r>
      <rPr>
        <b/>
        <i/>
        <u/>
        <sz val="12"/>
        <rFont val="Times New Roman"/>
        <family val="1"/>
        <charset val="186"/>
      </rPr>
      <t>Jūrmalas pilsētas Kauguru vidusskolas energoefektivitātes paaugstināšana</t>
    </r>
  </si>
  <si>
    <r>
      <rPr>
        <b/>
        <sz val="12"/>
        <rFont val="Times New Roman"/>
        <family val="1"/>
        <charset val="186"/>
      </rPr>
      <t>Prioritārā projekta ideja Nr.7:</t>
    </r>
    <r>
      <rPr>
        <b/>
        <i/>
        <u/>
        <sz val="12"/>
        <rFont val="Times New Roman"/>
        <family val="1"/>
        <charset val="186"/>
      </rPr>
      <t xml:space="preserve"> Jūrmalas teātra ēkas energoefektivitātes paaugstināšana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</si>
  <si>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13.9 ha;
3)jaunizveidoto darba vietu skaits – 98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interaktīva dabas tūrisma objekta izveide Ķemeros".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</si>
  <si>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Nr.6 projektam "Majoru muižas kompleksa atjaunošana" - Pielikums Nr.2.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</si>
  <si>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</si>
  <si>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(2017.būvprojekta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</si>
  <si>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</si>
  <si>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Ēkai Rūpniecības ielā 19 - 213,65 kWh/m2 gadā , kas ir lielāks nekā Jūrmalas publisko ēku vidējais siltumenerģijas patēriņš. Ēka ir arī vizuāli nepievilcīga un līdz ar to degradē kopējo pilsētas ainavu. Veicot ēkas energoefektivitātes pasākumus, samazināsies ēkas siltumeneģijas patēriņš, ēkas apsaimniekošanas izmaksas un CO2 emisija.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</si>
  <si>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energoefektivitātes paaugstināšana (t.sk. autoruzraudziba,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pārbūvē, izmantojot atjaunojamos energoresursus.</t>
    </r>
  </si>
  <si>
    <r>
      <rPr>
        <i/>
        <u/>
        <sz val="12"/>
        <rFont val="Times New Roman"/>
        <family val="1"/>
        <charset val="186"/>
      </rPr>
      <t>Projekta idejas pamatojums:</t>
    </r>
    <r>
      <rPr>
        <i/>
        <sz val="12"/>
        <rFont val="Times New Roman"/>
        <family val="1"/>
        <charset val="186"/>
      </rPr>
      <t xml:space="preserve">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</si>
  <si>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(t.sk.būvprojekts, autoruzraudzība,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arī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</si>
  <si>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r>
      <rPr>
        <b/>
        <u/>
        <sz val="12"/>
        <rFont val="Times New Roman"/>
        <family val="1"/>
        <charset val="186"/>
      </rPr>
      <t xml:space="preserve">Alternatīvā projekta ideja Nr.1: </t>
    </r>
    <r>
      <rPr>
        <b/>
        <i/>
        <u/>
        <sz val="12"/>
        <rFont val="Times New Roman"/>
        <family val="1"/>
        <charset val="186"/>
      </rPr>
      <t>Majoru muižas kompleksa atjaunošana</t>
    </r>
  </si>
  <si>
    <t xml:space="preserve">Mācību vides infrastruktūras (ergonomiska mācību vide, IKT risinājumi) pilnveide. </t>
  </si>
  <si>
    <t>2018-2020</t>
  </si>
  <si>
    <r>
      <rPr>
        <b/>
        <sz val="12"/>
        <rFont val="Times New Roman"/>
        <family val="1"/>
        <charset val="186"/>
      </rPr>
      <t>Alternatīvā projekta ideja Nr.2:</t>
    </r>
    <r>
      <rPr>
        <b/>
        <i/>
        <sz val="12"/>
        <rFont val="Times New Roman"/>
        <family val="1"/>
        <charset val="186"/>
      </rPr>
      <t xml:space="preserve"> </t>
    </r>
    <r>
      <rPr>
        <b/>
        <i/>
        <u/>
        <sz val="12"/>
        <rFont val="Times New Roman"/>
        <family val="1"/>
        <charset val="186"/>
      </rPr>
      <t>Pilsētas centrālās daļas ceļu infrastruktūras atjaunošana</t>
    </r>
  </si>
  <si>
    <t>17.1.</t>
  </si>
  <si>
    <t>18.2.</t>
  </si>
  <si>
    <t>Alternatīvā projekta ideja Nr.2: Ķemeru pasta ēkas pārbūve</t>
  </si>
  <si>
    <t>17                     18                                            19</t>
  </si>
  <si>
    <t>16                               18                        19</t>
  </si>
  <si>
    <t>16                             17                         19</t>
  </si>
  <si>
    <t>16                            17                         19</t>
  </si>
  <si>
    <t>16                                 17                        18</t>
  </si>
  <si>
    <t>23                         24</t>
  </si>
  <si>
    <t>11                             24</t>
  </si>
  <si>
    <t>11                            24</t>
  </si>
  <si>
    <t>11                     23</t>
  </si>
  <si>
    <t>25.1.</t>
  </si>
  <si>
    <t>26.1.</t>
  </si>
  <si>
    <t>P 2.8.</t>
  </si>
  <si>
    <t>16                                  17                             18                          19</t>
  </si>
  <si>
    <t>Veikta Ķemeru pasta ēkas pārbūve un atjaunošana, labiekārtota teritorija.</t>
  </si>
  <si>
    <t>Ķemeru pasta ēkas pārbūve un teritorijas labiekārtošana  (t.sk.būvprojekts, autoruzraudzība, būvuzraudzība)</t>
  </si>
  <si>
    <t>Jūrmalas pilsētas investīciju plānam 2017.-2019.gadam</t>
  </si>
  <si>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2018.gadā,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2016.gada beigās Latvijā 15 072 jeb 19,2% no bezdarbnieku kopskaita bija jaunieši bezdarbnieki vecumā no 15 līdz 29 gadiem, bet Jūrmalā uz 2016.gada 31.decembri jaunieši bezdarbnieki vecumā no 15 līdz 29 gadiem bija 243 jeb 18,7%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</si>
  <si>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(t.sk.ēku) un autostāvvietas izbūve </t>
    </r>
    <r>
      <rPr>
        <i/>
        <sz val="12"/>
        <rFont val="Times New Roman"/>
        <family val="1"/>
        <charset val="186"/>
      </rPr>
      <t xml:space="preserve">
Izveidojot pilsētas atpūtas parku Kauguros, visblīvāk apdzīvotākajā pilsētas daļā, tiks sekmēta apkārt esošo mazo un vidējo komersantu darbība. Arī pilsētas atpūtas parka teritorijā paredzēta 1500m2 liela platība uzņēmējdarbības aktivitāšu īstenošanai – ēdināšanas un aktīvās atpūtas pakalpojumu sniegšanai. Papildu tiks izbūvēta 1000 m2 plaša autostāvvieta. Pilsētas atpūtas parka izveide un ieguldījumi infrastruktūrā veicinās  jaunu mazo un vidējo komersantu izveidi un esošo komersantu komercdarbības pilnveidi, kā rezultātā labumu guvušie komersanti nodrošinās jaunu darba vietu izveidi Kauguros un tai pieguļošās apdzīvotās teritorijās un veiks nefinanšu investīcijas pašu nemateriālajos ieguldījumos un pamatlīdzekļos;
</t>
    </r>
    <r>
      <rPr>
        <b/>
        <sz val="12"/>
        <rFont val="Times New Roman"/>
        <family val="1"/>
        <charset val="186"/>
      </rPr>
      <t>2. Jauniešu mājas un inženiertehnisko tīklu izbūve</t>
    </r>
    <r>
      <rPr>
        <i/>
        <sz val="12"/>
        <rFont val="Times New Roman"/>
        <family val="1"/>
        <charset val="186"/>
      </rPr>
      <t xml:space="preserve">
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ēku, kā arī inženiertehniskos tīklus, nodrošinot komercdarbības mērķiem paredzētās ēkas funkcionalitātes nodrošināšanai nepieciešamo sabiedrisko pakalpojumu pieslēgumu būvniecību.</t>
    </r>
  </si>
  <si>
    <r>
      <rPr>
        <b/>
        <i/>
        <sz val="10"/>
        <rFont val="Times New Roman"/>
        <family val="1"/>
        <charset val="186"/>
      </rPr>
      <t>2018</t>
    </r>
    <r>
      <rPr>
        <sz val="10"/>
        <rFont val="Times New Roman"/>
        <family val="1"/>
        <charset val="186"/>
      </rPr>
      <t xml:space="preserve">                                                                                                                                                                                                                                                                                                                                                                                                                                                                                                                                                                                                                                                                                                                                                                                                                                                                                                                                                                                                                                                                                                                                                                                                                                                                                                                                                                                                                                                                                                                                                                                                                                                                                                                                                                  </t>
    </r>
    <r>
      <rPr>
        <i/>
        <sz val="10"/>
        <rFont val="Times New Roman"/>
        <family val="1"/>
        <charset val="186"/>
      </rPr>
      <t xml:space="preserve">(2017.-2018.gads būvprojekta izstrāde)                         </t>
    </r>
    <r>
      <rPr>
        <sz val="10"/>
        <rFont val="Times New Roman"/>
        <family val="1"/>
        <charset val="186"/>
      </rPr>
      <t xml:space="preserve">                                                                                                                                                                                                                                                                                                                                                                                                                                                                                                            </t>
    </r>
  </si>
  <si>
    <r>
      <rPr>
        <b/>
        <i/>
        <sz val="10"/>
        <rFont val="Times New Roman"/>
        <family val="1"/>
        <charset val="186"/>
      </rPr>
      <t xml:space="preserve">2018 </t>
    </r>
    <r>
      <rPr>
        <b/>
        <sz val="10"/>
        <rFont val="Times New Roman"/>
        <family val="1"/>
        <charset val="186"/>
      </rPr>
      <t xml:space="preserve">                                                                                                                                                                                                                                                                                                                                                                                                                     </t>
    </r>
    <r>
      <rPr>
        <sz val="10"/>
        <rFont val="Times New Roman"/>
        <family val="1"/>
        <charset val="186"/>
      </rPr>
      <t xml:space="preserve">                                                                                                                                                                                                                                                                                                                                                                                                         </t>
    </r>
    <r>
      <rPr>
        <i/>
        <sz val="10"/>
        <rFont val="Times New Roman"/>
        <family val="1"/>
        <charset val="186"/>
      </rPr>
      <t>(2016.-2017.gads-būvprojekta izstrāde)</t>
    </r>
  </si>
  <si>
    <r>
      <rPr>
        <b/>
        <sz val="12"/>
        <rFont val="Times New Roman"/>
        <family val="1"/>
        <charset val="186"/>
      </rPr>
      <t>Prioritārā projekta ideja Nr.3:</t>
    </r>
    <r>
      <rPr>
        <b/>
        <i/>
        <sz val="12"/>
        <rFont val="Times New Roman"/>
        <family val="1"/>
        <charset val="186"/>
      </rPr>
      <t xml:space="preserve"> </t>
    </r>
    <r>
      <rPr>
        <b/>
        <i/>
        <u/>
        <sz val="12"/>
        <rFont val="Times New Roman"/>
        <family val="1"/>
        <charset val="186"/>
      </rPr>
      <t>Pilsētas centrālās daļas ielas brauktuvju un gājēju celiņu atjaunošana un autostāvvietu kabatu izbūve</t>
    </r>
  </si>
  <si>
    <r>
      <t xml:space="preserve">Pilsētas centrālās daļas ielas brauktuvju un gājēju celiņu atjaunošana un autostāvvietu kabatu izbūve               </t>
    </r>
    <r>
      <rPr>
        <i/>
        <sz val="10"/>
        <rFont val="Times New Roman"/>
        <family val="1"/>
        <charset val="186"/>
      </rPr>
      <t>(IP 16.pozīcija un IP 19.pozīcija)</t>
    </r>
  </si>
  <si>
    <r>
      <rPr>
        <b/>
        <i/>
        <sz val="10"/>
        <rFont val="Times New Roman"/>
        <family val="1"/>
        <charset val="186"/>
      </rPr>
      <t xml:space="preserve">2019    </t>
    </r>
    <r>
      <rPr>
        <sz val="10"/>
        <rFont val="Times New Roman"/>
        <family val="1"/>
        <charset val="186"/>
      </rPr>
      <t xml:space="preserve">                                                                                                                                                                                                                                                                                                                                                                                                                                                                                                                                                                                                                                                                                                                                                    </t>
    </r>
    <r>
      <rPr>
        <i/>
        <sz val="10"/>
        <rFont val="Times New Roman"/>
        <family val="1"/>
        <charset val="186"/>
      </rPr>
      <t>(2017.gads būvprojekta izstrāde)</t>
    </r>
  </si>
  <si>
    <r>
      <t xml:space="preserve">Alternatīvā projekta ideja Nr.1: </t>
    </r>
    <r>
      <rPr>
        <b/>
        <i/>
        <u/>
        <sz val="12"/>
        <rFont val="Times New Roman"/>
        <family val="1"/>
        <charset val="186"/>
      </rPr>
      <t>Lielupes kuģošanas infrastruktūras attīstība uzņēmējdarbības veicināšanai Jūrmalā</t>
    </r>
  </si>
  <si>
    <r>
      <t xml:space="preserve">2020                   </t>
    </r>
    <r>
      <rPr>
        <i/>
        <sz val="10"/>
        <rFont val="Times New Roman"/>
        <family val="1"/>
        <charset val="186"/>
      </rPr>
      <t>(18 mēneši)</t>
    </r>
  </si>
  <si>
    <r>
      <rPr>
        <b/>
        <i/>
        <sz val="10"/>
        <rFont val="Times New Roman"/>
        <family val="1"/>
        <charset val="186"/>
      </rPr>
      <t>2019</t>
    </r>
    <r>
      <rPr>
        <b/>
        <sz val="10"/>
        <rFont val="Times New Roman"/>
        <family val="1"/>
        <charset val="186"/>
      </rPr>
      <t xml:space="preserve">                                                                                                                                                                                                                                                                                                                                                                                                                     </t>
    </r>
    <r>
      <rPr>
        <sz val="10"/>
        <rFont val="Times New Roman"/>
        <family val="1"/>
        <charset val="186"/>
      </rPr>
      <t xml:space="preserve">                                                                                                                                                                                                                                                                                                                                                                                                         </t>
    </r>
    <r>
      <rPr>
        <i/>
        <sz val="10"/>
        <rFont val="Times New Roman"/>
        <family val="1"/>
        <charset val="186"/>
      </rPr>
      <t>(2018.gads -būvprojekta izstrāde)</t>
    </r>
  </si>
  <si>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</si>
  <si>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veselības veicināšanas un sociālo pakalpojumu centra infrastruktūras pilnveide un energoefektivitātes paaugstināšana</t>
    </r>
    <r>
      <rPr>
        <i/>
        <sz val="12"/>
        <rFont val="Times New Roman"/>
        <family val="1"/>
        <charset val="186"/>
      </rPr>
      <t xml:space="preserve">
Jūrmalas veselības veicināšanas un sociālo pakalpojumu centra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
</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</si>
  <si>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120.8  t/m2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</si>
  <si>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t xml:space="preserve">2020                                                 </t>
    </r>
    <r>
      <rPr>
        <i/>
        <sz val="10"/>
        <rFont val="Times New Roman"/>
        <family val="1"/>
        <charset val="186"/>
      </rPr>
      <t>(20 meneši)</t>
    </r>
  </si>
  <si>
    <r>
      <t xml:space="preserve">2018                                                                                                                                    </t>
    </r>
    <r>
      <rPr>
        <i/>
        <sz val="10"/>
        <rFont val="Times New Roman"/>
        <family val="1"/>
        <charset val="186"/>
      </rPr>
      <t xml:space="preserve">  (2017.-2018.gads  būvprojekta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</si>
  <si>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</si>
  <si>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ēkas baseinu pārbūve, energoefektivitātes paaugstināšana</t>
    </r>
    <r>
      <rPr>
        <i/>
        <sz val="12"/>
        <rFont val="Times New Roman"/>
        <family val="1"/>
        <charset val="186"/>
      </rPr>
      <t xml:space="preserve">
 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2018.gadā plāno veikt ēkas atjaunošanas darbus, kā arī ēkas tehniskā stāvokļa un energoefektivitātes rādītāju uzlabošanu ar ERAF līdzfinansējumu,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pēc būvprojekta izstrādes.</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</si>
  <si>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80,44 t/m2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</si>
  <si>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t xml:space="preserve">2019                         </t>
    </r>
    <r>
      <rPr>
        <i/>
        <sz val="10"/>
        <rFont val="Times New Roman"/>
        <family val="1"/>
        <charset val="186"/>
      </rPr>
      <t>(16 mēneši)</t>
    </r>
  </si>
  <si>
    <r>
      <rPr>
        <b/>
        <i/>
        <sz val="10"/>
        <rFont val="Times New Roman"/>
        <family val="1"/>
        <charset val="186"/>
      </rPr>
      <t xml:space="preserve">2018 </t>
    </r>
    <r>
      <rPr>
        <sz val="10"/>
        <rFont val="Times New Roman"/>
        <family val="1"/>
        <charset val="186"/>
      </rPr>
      <t xml:space="preserve">                                                                                           </t>
    </r>
    <r>
      <rPr>
        <i/>
        <sz val="10"/>
        <rFont val="Times New Roman"/>
        <family val="1"/>
        <charset val="186"/>
      </rPr>
      <t xml:space="preserve"> (2017.-2018.gadā būvprojekta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</si>
  <si>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</si>
  <si>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Valsts kultūras pieminekļu inspekcijas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
</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</si>
  <si>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69,15  kWh/m2 gadā;
3)aprēķinātais siltumnīcefekta gāzu samazinājums gadā (CO2 ekvivalents tonnās) –  40,14 t/m2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</si>
  <si>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b/>
        <i/>
        <sz val="10"/>
        <rFont val="Times New Roman"/>
        <family val="1"/>
        <charset val="186"/>
      </rPr>
      <t xml:space="preserve">2019               </t>
    </r>
    <r>
      <rPr>
        <i/>
        <sz val="10"/>
        <rFont val="Times New Roman"/>
        <family val="1"/>
        <charset val="186"/>
      </rPr>
      <t>(12 mēneši)</t>
    </r>
  </si>
  <si>
    <r>
      <rPr>
        <b/>
        <i/>
        <sz val="10"/>
        <rFont val="Times New Roman"/>
        <family val="1"/>
        <charset val="186"/>
      </rPr>
      <t xml:space="preserve">2018         </t>
    </r>
    <r>
      <rPr>
        <i/>
        <sz val="10"/>
        <rFont val="Times New Roman"/>
        <family val="1"/>
        <charset val="186"/>
      </rPr>
      <t xml:space="preserve">                                                                    (2017.-2018.gads būvprojekta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</si>
  <si>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</si>
  <si>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Jaundubultu vidusskolas ēkas energoefektivitātes paaugstināšana (t.sk.autoruzraudzība,būvuzraudzība) </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
</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</si>
  <si>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–127,78 t/m2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</si>
  <si>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t xml:space="preserve">2018                                </t>
    </r>
    <r>
      <rPr>
        <i/>
        <sz val="10"/>
        <rFont val="Times New Roman"/>
        <family val="1"/>
        <charset val="186"/>
      </rPr>
      <t xml:space="preserve">  (9 mēneši)</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</si>
  <si>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</si>
  <si>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</si>
  <si>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(t.sk.autoruzraudzība,būvuzraudzība)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</si>
  <si>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15,22 t/m2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</si>
  <si>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t xml:space="preserve">2018                               </t>
    </r>
    <r>
      <rPr>
        <i/>
        <sz val="10"/>
        <rFont val="Times New Roman"/>
        <family val="1"/>
        <charset val="186"/>
      </rPr>
      <t xml:space="preserve">  (9 mēneši)</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</si>
  <si>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</si>
  <si>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</si>
  <si>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būvprojekta izstrādes.</t>
    </r>
  </si>
  <si>
    <r>
      <rPr>
        <u/>
        <sz val="10"/>
        <rFont val="Times New Roman"/>
        <family val="1"/>
        <charset val="186"/>
      </rPr>
      <t>Rezultāta rādītāji:</t>
    </r>
    <r>
      <rPr>
        <sz val="10"/>
        <rFont val="Times New Roman"/>
        <family val="1"/>
        <charset val="186"/>
      </rPr>
      <t xml:space="preserve">
1)vidējais siltumenerģijas patēriņš apkurei pēc renovācijas –  66,01 kWh uz m2 gadā:
2)primārās enerģijas gada patēriņa samazinājums uz m2 pēc darbu pabeigšanas –  76,46  kWh/m2 gadā;
3)aprēķinātais siltumnīcefekta gāzu samazinājums gadā (CO2 ekvivalents tonnās) – 107,78 t/m2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</si>
  <si>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(14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</si>
  <si>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energoefektivitātes paaugstināšana (t.sk. autoruzraudziba,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</si>
  <si>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23.26  t/m2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</si>
  <si>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20,97 kWh/m2 gadā;
3)aprēķinātais siltumnīcefekta gāzu samazinājums gadā (CO2 ekvivalents tonnās) – 12,65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</si>
  <si>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122,71 kWh/m2 gadā;
3)aprēķinātais siltumnīcefekta gāzu samazinājums gadā (CO2 ekvivalents tonnās) –26,17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</si>
  <si>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61,52 kWh/m2 gadā;
3)aprēķinātais siltumnīcefekta gāzu samazinājums gadā (CO2 ekvivalents tonnās) –  7,4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</si>
  <si>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t>P 1.7.                                                   P 3.7.</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</si>
  <si>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25.9 ha;
3)jaunizveidoto darba vietu skaits – 82 darba vietas;
4)komersantu, kuri atrodas atbalstītajā teritorijā, nefinanšu investīcijas pašu nemateriālos ieguldījumos un pamatlīdzekļos – 5 172 369.34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</si>
  <si>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E.Dārziņa ielā 17 un Tūristu ielas atjaunošana (Tūristu iela 2B/Tūristu iela 3A) (t.sk.būvprojekts, autoruzraudzība, būvuzraudzība)</t>
    </r>
    <r>
      <rPr>
        <i/>
        <sz val="12"/>
        <rFont val="Times New Roman"/>
        <family val="1"/>
        <charset val="186"/>
      </rPr>
      <t xml:space="preserve">
Kompleksi sakārtojot Ķemeru uzņēmējdarbībai nepieciešamo vidi,   ir jānodrošina kvalitatīvu un sakārtotu publisko infrastruktūru. Būtisks teritorijas attīstības un uzņēmējdarbības vides uzlabošanas nosacījums ir publisko ceļu infrastruktūras atjaunošana, atjaunojot ceļa segumu un labiekārtojot to piegulušo teritoriju. Tostarp, ir nepieciešama arī inženiertehnisko tīklu atjaunošana, galvenokārt, atjaunojot publisko apgaismojumu un veicot nepieciešamo inženierkomunikāciju tīklu sakārtošanu turpmākajai pieslēgumu veikšanai. 
Būtisks teritorijas attīstības un uzņēmējdarbības vides uzlabošanas nosacījums ir autostāvvietas un to novietojums. Ķemeru parka teritorijā un tās tiešā tuvumā ir izteikts  autostāvvietu trūkums, tādēļ projekta ietvaros plānots izbūvēt publisko autostāvvietu ar jaunizveidotām 49 stāvvietām, kas tiks izmantota arī no uzņēmēju pakalpojuma saņēmēju puses.  Papildus, lai kompleksi sakārtotu Ķemeru degradēto teritoriju, veicot Tūristu ielas atjaunošanas darbus, tiks veikti ieguldījumi publiski pieejamās infrastruktūras atjaunošanā un pilnveidē  skvērā Tūristu ielā 2A.</t>
    </r>
  </si>
  <si>
    <t>P 1.7.               P 3.7.</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</si>
  <si>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2.5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</si>
  <si>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t>Veikta ceļu infrastruktūras E.Dārziņa, Tukuma ielā un Tūristu  sakārtošana un autostāvvietas izbūve 1.4 ha platībā, kā arī teritorijas Tūristu ielā atjaunošana un labiekārtošana 1,1 ha platībā.</t>
  </si>
  <si>
    <r>
      <t xml:space="preserve">2018                                                                </t>
    </r>
    <r>
      <rPr>
        <i/>
        <sz val="10"/>
        <rFont val="Times New Roman"/>
        <family val="1"/>
        <charset val="186"/>
      </rPr>
      <t xml:space="preserve">      (2017.gads tehniskās dokumentācijas izstrāde)</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</si>
  <si>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interaktīva dabas tūrisma objekta izveide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</si>
  <si>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interaktīva dabas tūrisma objekta  būvniecība, inženiertehnisko tīklu pilnveide un teritorijas labiekārtošana (t.sk.būvprojekts, autoruzraudzība,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interaktīva dabas tūrisma objekta papildinošās infrastruktūras būvniecība - teritorijas labiekārtošana (t.sk. būvprojekts, autoruzraudzība,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veloceliņu un apgaismojuma izbūvi, soliņu, atkritumu urnu un citu labiekārtojuma elementu uzstādīšanu, kā arī izveidot  dabas un putnu vērošanas vietas, izziņu takas, āra klasi (labiekārtotu grupu nodarbību vietu), bērnu rotaļu laukumu, aktīvās un pasīvās atpūtas vietas zemes gabalā Tūristu ielā 17, kadastra Nr.13000262615.</t>
    </r>
  </si>
  <si>
    <r>
      <t xml:space="preserve">2020                                                                     </t>
    </r>
    <r>
      <rPr>
        <i/>
        <sz val="10"/>
        <rFont val="Times New Roman"/>
        <family val="1"/>
        <charset val="186"/>
      </rPr>
      <t>(24 mēneši)</t>
    </r>
  </si>
  <si>
    <r>
      <t xml:space="preserve">2018                                                                                    </t>
    </r>
    <r>
      <rPr>
        <i/>
        <sz val="10"/>
        <rFont val="Times New Roman"/>
        <family val="1"/>
        <charset val="186"/>
      </rPr>
      <t xml:space="preserve"> (2016.-2018.gads tehniskās dokumentācijas izstrāde)</t>
    </r>
  </si>
  <si>
    <r>
      <t xml:space="preserve">2019                                                                                    </t>
    </r>
    <r>
      <rPr>
        <i/>
        <sz val="10"/>
        <rFont val="Times New Roman"/>
        <family val="1"/>
        <charset val="186"/>
      </rPr>
      <t xml:space="preserve"> (2016.-2018.gads tehniskās dokumentācijas izstrāde)</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</si>
  <si>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607 630.66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Nr.5 projektam "Ielu infrastruktūras atjaunošana  Ķemeros".                                                        </t>
    </r>
  </si>
  <si>
    <r>
      <rPr>
        <i/>
        <u/>
        <sz val="12"/>
        <rFont val="Times New Roman"/>
        <family val="1"/>
        <charset val="186"/>
      </rPr>
      <t>Projekta idejas pamatojums:</t>
    </r>
    <r>
      <rPr>
        <sz val="12"/>
        <rFont val="Times New Roman"/>
        <family val="1"/>
        <charset val="186"/>
      </rPr>
      <t xml:space="preserve">
</t>
    </r>
    <r>
      <rPr>
        <i/>
        <sz val="12"/>
        <rFont val="Times New Roman"/>
        <family val="1"/>
        <charset val="186"/>
      </rPr>
      <t>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Tiek plānots intensīvi attīstīt šo teritoriju un līdz 2020.gadam infrastruktūras attīstībā investēt aptuveni 15 milj. EUR ES fondu, pašvaldības un valsts budžeta līdzekļu, radot labvēlīgu sociālo vidi vietējai kopienai, kā arī jauniem uzņēmumiem, pilsētai un valstij kopumā t.i., plānots atjaunot Ķemeru parku un valsts aizsargājamos arhitektūras pieminekļus Mīlestības saliņu un sērūdens avotu “Ķirzaciņa”, atjaunot gājēju celiņus, apgaismojuma laternas, soliņus un lapenes, izveidot bērnu rotaļlaukumus. Tiks atjaunots arī valsts nozīmes kultūras piemineklis ūdenstornis, izveidojot tajā tūrisma informācijas punktu, skatu platformu un mākslas galeriju. Centrs būs otrs lielākais enkurobjekts Jūrmalā. Šie projekti attīstīs Ķemeru teritoriju kopumā un veidos labvēlīgāku sociālo vidi, taču, lai pilnvērtīgi notiktu Ķemeru teritorijas revitalizācija, nepieciešams izmantot teritorijā esošos dabas un dziednieciskos resursus un veidot priekšnoteikumus un vidi jaunu uzņēmumu veidošanai jaunu tūrisma produktu un pakalpojumu attīstībai, vietējo iedzīvotāju izglītošanai, izglītības sistēmas medicīnas un rehabilitācijas jomā attīstībai. Esošās teritorijas ilgtspējīgai attīstībai ir jāizveido vietējās kopienas inovāciju centrs - vieta, kurā notiks mijiedarbība starp vietējiem iedzīvotājiem/kopienu, zinātni, tehnoloģijām un uzņēmējdarbību. Lai šo ideju varētu realizēt, plānots veikt bijušās Ķemeru pasta ēkas Tukuma ielā 30 pārbūvi, lai pielāgotu to jaunu funkciju veikšanai.</t>
    </r>
  </si>
  <si>
    <r>
      <rPr>
        <i/>
        <u/>
        <sz val="12"/>
        <rFont val="Times New Roman"/>
        <family val="1"/>
        <charset val="186"/>
      </rPr>
      <t>Aktivitāšu pamatojums:</t>
    </r>
    <r>
      <rPr>
        <sz val="12"/>
        <rFont val="Times New Roman"/>
        <family val="1"/>
        <charset val="186"/>
      </rPr>
      <t xml:space="preserve">
</t>
    </r>
    <r>
      <rPr>
        <b/>
        <sz val="12"/>
        <rFont val="Times New Roman"/>
        <family val="1"/>
        <charset val="186"/>
      </rPr>
      <t>1. Ķemeru pasta ēkas pārbūve un teritorijas labiekārtošana  (t.sk.būvprojekts, autoruzraudzība, būvuzraudzība)</t>
    </r>
    <r>
      <rPr>
        <sz val="12"/>
        <rFont val="Times New Roman"/>
        <family val="1"/>
        <charset val="186"/>
      </rPr>
      <t xml:space="preserve">
Pasta ēka Tukuma ielā 30 ir ļoti sliktā tehniskajā stāvoklī un vizuāli nepievilcīga un līdz ar to degradē kopējo pilsētas ainavu. Projekta ietvaros plānots veikt ēkas pārbūvi un labiekārtot piegulošo teritoriju.</t>
    </r>
  </si>
  <si>
    <r>
      <t xml:space="preserve">Ķemeru pasta ēkas pārbūve                         </t>
    </r>
    <r>
      <rPr>
        <i/>
        <sz val="10"/>
        <rFont val="Times New Roman"/>
        <family val="1"/>
        <charset val="186"/>
      </rPr>
      <t xml:space="preserve"> (IP 48.pozīcija)</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</si>
  <si>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0.25 ha;
3)jaunizveidoto darba vietu skaits – 2 darba vietas;
4)komersantu, kuri atrodas atbalstītajā teritorijā, nefinanšu investīcijas pašu nemateriālos ieguldījumos un pamatlīdzekļos – 184 715.20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Nr.7 projektam "Ķemeru pasta ēkas pārbūve" - Pielikums Nr.2.    </t>
    </r>
  </si>
  <si>
    <r>
      <t xml:space="preserve">2020             </t>
    </r>
    <r>
      <rPr>
        <i/>
        <sz val="10"/>
        <rFont val="Times New Roman"/>
        <family val="1"/>
        <charset val="186"/>
      </rPr>
      <t>(20 mēneši)</t>
    </r>
  </si>
  <si>
    <r>
      <t xml:space="preserve">2019                          </t>
    </r>
    <r>
      <rPr>
        <i/>
        <sz val="10"/>
        <rFont val="Times New Roman"/>
        <family val="1"/>
        <charset val="186"/>
      </rPr>
      <t>(2018.gadā būvprojekta izstrāde)</t>
    </r>
  </si>
  <si>
    <r>
      <rPr>
        <i/>
        <u/>
        <sz val="12"/>
        <rFont val="Times New Roman"/>
        <family val="1"/>
        <charset val="186"/>
      </rPr>
      <t>Projekta idejas pamatojums:</t>
    </r>
    <r>
      <rPr>
        <i/>
        <sz val="12"/>
        <rFont val="Times New Roman"/>
        <family val="1"/>
        <charset val="186"/>
      </rPr>
      <t xml:space="preserve">
Jūrmalas pilsētas Kauguru vidusskolā saskaņā ar Jūrmalas pašvaldības vispārizglītojošo skolu telpu noslogojumuuz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t>
    </r>
  </si>
  <si>
    <r>
      <rPr>
        <u/>
        <sz val="10"/>
        <rFont val="Times New Roman"/>
        <family val="1"/>
        <charset val="186"/>
      </rPr>
      <t xml:space="preserve">Rezultāta rādītājs: </t>
    </r>
    <r>
      <rPr>
        <sz val="10"/>
        <rFont val="Times New Roman"/>
        <family val="1"/>
        <charset val="186"/>
      </rPr>
      <t xml:space="preserve">
Pilnībā modernizēta vispārējās izglītības iestādes vismaz 1 stāvs (ergonomiska mācību vide, IKT risinājumi).
</t>
    </r>
    <r>
      <rPr>
        <u/>
        <sz val="10"/>
        <rFont val="Times New Roman"/>
        <family val="1"/>
        <charset val="186"/>
      </rPr>
      <t xml:space="preserve">Iznākuma rādītājs:  </t>
    </r>
    <r>
      <rPr>
        <sz val="10"/>
        <rFont val="Times New Roman"/>
        <family val="1"/>
        <charset val="186"/>
      </rPr>
      <t xml:space="preserve">
1)izglītojamo skaits 7.-12. klasē ir 244 izglītojamie vienā mācību gadā;
2)tiek īstenotas vismaz divas vispārējās vidējās izglītības  programmas, no kurām viena ir STEM (matemātikas, dabaszinību un tehnikas virziena programma).</t>
    </r>
  </si>
  <si>
    <r>
      <rPr>
        <u/>
        <sz val="10"/>
        <rFont val="Times New Roman"/>
        <family val="1"/>
        <charset val="186"/>
      </rPr>
      <t xml:space="preserve">Rezultāta rādītājs: </t>
    </r>
    <r>
      <rPr>
        <sz val="10"/>
        <rFont val="Times New Roman"/>
        <family val="1"/>
        <charset val="186"/>
      </rPr>
      <t xml:space="preserve">
Pilnībā modernizēta vispārējās izglītības iestādes 1 stāvs (ergonomiska mācību vide, IKT risinājumi).
</t>
    </r>
    <r>
      <rPr>
        <u/>
        <sz val="10"/>
        <rFont val="Times New Roman"/>
        <family val="1"/>
        <charset val="186"/>
      </rPr>
      <t xml:space="preserve">Iznākuma rādītājs:  </t>
    </r>
    <r>
      <rPr>
        <sz val="10"/>
        <rFont val="Times New Roman"/>
        <family val="1"/>
        <charset val="186"/>
      </rPr>
      <t xml:space="preserve">
1)izglītojamo skaits 7.-12. klasē ir 244 izglītojamie vienā mācību gadā;
2)tiek īstenotas vismaz divas vispārējās vidējās izglītības  programmas, no kurām viena ir STEM (matemātikas, dabaszinību un tehnikas virziena programma).</t>
    </r>
  </si>
  <si>
    <r>
      <t xml:space="preserve">2019                     </t>
    </r>
    <r>
      <rPr>
        <i/>
        <sz val="10"/>
        <rFont val="Times New Roman"/>
        <family val="1"/>
        <charset val="186"/>
      </rPr>
      <t>(2017.-2018.gads būvprojekta izstrāde)</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</si>
  <si>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</si>
  <si>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</si>
  <si>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</si>
  <si>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rPr>
        <i/>
        <u/>
        <sz val="12"/>
        <rFont val="Times New Roman"/>
        <family val="1"/>
        <charset val="186"/>
      </rPr>
      <t>Projekta idejas pamatojums:</t>
    </r>
    <r>
      <rPr>
        <i/>
        <sz val="12"/>
        <rFont val="Times New Roman"/>
        <family val="1"/>
        <charset val="186"/>
      </rPr>
      <t xml:space="preserve">
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Valsts ģimnāzijas infrastruktūras pilnveidē, tai skaitā - reģionālā metodiskā centra attīstība sniegs būtiskas priekšrocības izglītības pakalpojumu kvalitātes paaugstināšanā.</t>
    </r>
  </si>
  <si>
    <r>
      <rPr>
        <b/>
        <sz val="12"/>
        <rFont val="Times New Roman"/>
        <family val="1"/>
        <charset val="186"/>
      </rPr>
      <t>Prioritārā projekta ideja Nr.1:</t>
    </r>
    <r>
      <rPr>
        <i/>
        <sz val="12"/>
        <rFont val="Times New Roman"/>
        <family val="1"/>
        <charset val="186"/>
      </rPr>
      <t xml:space="preserve"> </t>
    </r>
    <r>
      <rPr>
        <b/>
        <i/>
        <u/>
        <sz val="12"/>
        <rFont val="Times New Roman"/>
        <family val="1"/>
        <charset val="186"/>
      </rPr>
      <t>Jūrmalas Valsts ģimnāzijas pārbūve un infrastruktūras pilnveide Raiņa ielā 55</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</si>
  <si>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1.Jūrmalas Valsts ģimnāzijas ēkas pārbūve un infrastruktūras pilnveide, metodiskā centra izveide Raiņa ielā 55 (t.sk. autoruzraudzība, būvuzraudzība, būvprojekts)</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koncepsciju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 </t>
    </r>
  </si>
  <si>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Raiņa ielā 55 (ergonomiska mācību vide iestādē, IKT risinājumi, metodisko funkciju nodrošināšana).                                                                          
</t>
    </r>
    <r>
      <rPr>
        <u/>
        <sz val="10"/>
        <rFont val="Times New Roman"/>
        <family val="1"/>
        <charset val="186"/>
      </rPr>
      <t xml:space="preserve">Iznākuma rādītājs: </t>
    </r>
    <r>
      <rPr>
        <sz val="10"/>
        <rFont val="Times New Roman"/>
        <family val="1"/>
        <charset val="186"/>
      </rPr>
      <t xml:space="preserve"> 
1) plānotais audzēkņu skaits 7.-12.klasē ne mazāk kā 240 izglītojamie vienā mācību gadā;
2) tiek īstenotas vismaz divas vispārējās vidējās izglītības  programmas, no kurām viena ir STEM (matemātikas, dabaszinību un tehnikas virziena programma).                                                                 </t>
    </r>
  </si>
  <si>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(2018.gada aprīlis- izstrādāts būvprojekts)</t>
    </r>
  </si>
  <si>
    <t xml:space="preserve">Jūrmalas Valsts ģimnāzijas ēkas pārbūve un infrastruktūras pilnveide, metodiskā centra izveide Raiņa ielā 55 (t.sk. autoruzraudzība, būvuzraudzība, būvprojekts) </t>
  </si>
  <si>
    <r>
      <t xml:space="preserve">Jūrmalas Valsts ģimnāzijas ēkas pārbūve un infrastruktūras pilnveide, metodiskā centra izveide Raiņa ielā 55 </t>
    </r>
    <r>
      <rPr>
        <i/>
        <sz val="10"/>
        <rFont val="Times New Roman"/>
        <family val="1"/>
        <charset val="186"/>
      </rPr>
      <t xml:space="preserve"> (IP  71.pozīcija)</t>
    </r>
  </si>
  <si>
    <t xml:space="preserve">Būvprojekta izstrāde. Metodiskā centra izveide. Pilna apjoma skolas pārbūve un atjaunošana, modernas un ergonomiskas mācību vides izveide iestādē. </t>
  </si>
  <si>
    <t>Jūrmalas Valsts ģimnāzijas ēkas pārbūve un infrastruktūras pilnveide, metodiskā centra izveide Raiņa ielā 55  (IP  71.pozīcija)</t>
  </si>
  <si>
    <r>
      <rPr>
        <u/>
        <sz val="10"/>
        <rFont val="Times New Roman"/>
        <family val="1"/>
        <charset val="186"/>
      </rPr>
      <t>Iznākuma rādītājs:</t>
    </r>
    <r>
      <rPr>
        <sz val="10"/>
        <rFont val="Times New Roman"/>
        <family val="1"/>
        <charset val="186"/>
      </rPr>
      <t xml:space="preserve">
1) komersantu skaits, kuri guvuši labumu no projekta ietvaros izveidotās infrastruktūras  – 5 komersanti;
2) jaunizveidoto darba vietu skaits komersantos, kuri guvuši labumu no investīcijām infrastruktūrā – 23 darba vietas;
3) no projekta ietvaros veiktajām investīcijām infrastruktūrā labumu guvušo komersantu nefinanšu investīcijas pašu nemateriālajos ieguldījumos un pamatlīdzekļos – 1 500 000.00 EUR.</t>
    </r>
    <r>
      <rPr>
        <u/>
        <sz val="10"/>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</si>
</sst>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4"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79">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8"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17" fillId="0" borderId="0" xfId="0" applyFont="1"/>
    <xf numFmtId="0" fontId="17" fillId="0" borderId="0" xfId="0" applyFont="1" applyBorder="1"/>
    <xf numFmtId="0" fontId="3" fillId="0" borderId="3" xfId="0" applyFont="1" applyFill="1" applyBorder="1" applyAlignment="1">
      <alignment horizontal="center"/>
    </xf>
    <xf numFmtId="1" fontId="3" fillId="2" borderId="3" xfId="0" applyNumberFormat="1" applyFont="1" applyFill="1" applyBorder="1" applyAlignment="1">
      <alignment horizontal="center"/>
    </xf>
    <xf numFmtId="0" fontId="3" fillId="2" borderId="3" xfId="0" applyFont="1" applyFill="1" applyBorder="1" applyAlignment="1">
      <alignment horizontal="justify" wrapText="1"/>
    </xf>
    <xf numFmtId="4" fontId="3" fillId="2" borderId="3" xfId="0" applyNumberFormat="1" applyFont="1" applyFill="1" applyBorder="1"/>
    <xf numFmtId="0" fontId="3" fillId="2" borderId="3"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justify" wrapText="1"/>
    </xf>
    <xf numFmtId="4" fontId="3" fillId="0" borderId="3" xfId="0" applyNumberFormat="1" applyFont="1" applyFill="1" applyBorder="1"/>
    <xf numFmtId="3" fontId="3" fillId="0" borderId="0" xfId="0" applyNumberFormat="1" applyFont="1"/>
    <xf numFmtId="4" fontId="17" fillId="0" borderId="0" xfId="0" applyNumberFormat="1" applyFont="1"/>
    <xf numFmtId="4" fontId="7" fillId="0" borderId="3" xfId="0" applyNumberFormat="1" applyFont="1" applyFill="1" applyBorder="1" applyAlignment="1">
      <alignment horizontal="center" vertical="center" wrapText="1"/>
    </xf>
    <xf numFmtId="4" fontId="17" fillId="0" borderId="0" xfId="0" applyNumberFormat="1" applyFont="1" applyBorder="1" applyAlignment="1">
      <alignment horizontal="right"/>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4" fontId="17" fillId="0" borderId="0" xfId="0" applyNumberFormat="1" applyFont="1" applyBorder="1"/>
    <xf numFmtId="0" fontId="2" fillId="0" borderId="4" xfId="0" applyFont="1" applyFill="1" applyBorder="1" applyAlignment="1">
      <alignment horizontal="justify" vertical="top" wrapText="1"/>
    </xf>
    <xf numFmtId="4" fontId="17" fillId="0" borderId="0" xfId="0" applyNumberFormat="1" applyFont="1" applyFill="1"/>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5" fillId="0" borderId="3" xfId="0" applyFont="1" applyBorder="1" applyAlignment="1">
      <alignment horizontal="center" vertical="center" wrapText="1"/>
    </xf>
    <xf numFmtId="4" fontId="17" fillId="0" borderId="0" xfId="0" applyNumberFormat="1" applyFont="1" applyAlignment="1">
      <alignment horizontal="right"/>
    </xf>
    <xf numFmtId="0" fontId="11" fillId="0" borderId="3" xfId="0" applyFont="1" applyBorder="1" applyAlignment="1">
      <alignment horizontal="center" wrapText="1"/>
    </xf>
    <xf numFmtId="4" fontId="17" fillId="0" borderId="0" xfId="0" applyNumberFormat="1" applyFont="1" applyAlignment="1"/>
    <xf numFmtId="0" fontId="2" fillId="0" borderId="7" xfId="0" applyFont="1" applyFill="1" applyBorder="1" applyAlignment="1">
      <alignment horizontal="center" vertical="center" wrapText="1"/>
    </xf>
    <xf numFmtId="0" fontId="2" fillId="0" borderId="6" xfId="0" applyFont="1" applyFill="1" applyBorder="1" applyAlignment="1">
      <alignment horizontal="justify" vertical="center" wrapText="1"/>
    </xf>
    <xf numFmtId="4" fontId="17" fillId="0" borderId="0" xfId="0" applyNumberFormat="1" applyFont="1" applyBorder="1" applyAlignment="1"/>
    <xf numFmtId="4" fontId="2" fillId="3" borderId="3"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0" xfId="0" applyFont="1" applyAlignment="1">
      <alignment horizontal="right"/>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3" fillId="0" borderId="5"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Fill="1" applyBorder="1" applyAlignment="1">
      <alignment horizontal="justify" vertical="center" wrapText="1"/>
    </xf>
    <xf numFmtId="0" fontId="23" fillId="0" borderId="5" xfId="0" applyFont="1" applyBorder="1" applyAlignment="1">
      <alignment horizontal="justify" vertical="center" wrapText="1"/>
    </xf>
    <xf numFmtId="0" fontId="2" fillId="0" borderId="3" xfId="0" applyFont="1" applyFill="1" applyBorder="1" applyAlignment="1">
      <alignment horizontal="left" vertical="center" wrapText="1"/>
    </xf>
    <xf numFmtId="0" fontId="23" fillId="0" borderId="3" xfId="0" applyFont="1" applyBorder="1" applyAlignment="1">
      <alignment horizontal="left" vertical="center" wrapText="1"/>
    </xf>
    <xf numFmtId="0" fontId="2" fillId="0" borderId="12" xfId="0" applyFont="1" applyFill="1" applyBorder="1" applyAlignment="1">
      <alignment vertical="center" wrapText="1"/>
    </xf>
    <xf numFmtId="0" fontId="23" fillId="0" borderId="13" xfId="0" applyFont="1" applyBorder="1" applyAlignment="1">
      <alignment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0" fillId="2"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17" fillId="0"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2" fillId="0" borderId="5" xfId="0" applyFont="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4" fillId="2" borderId="6" xfId="0" applyFont="1" applyFill="1" applyBorder="1" applyAlignment="1">
      <alignment vertical="center"/>
    </xf>
    <xf numFmtId="0" fontId="14" fillId="2" borderId="5" xfId="0" applyFont="1" applyFill="1" applyBorder="1" applyAlignment="1">
      <alignment vertical="center"/>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 fillId="0" borderId="5" xfId="0" applyFont="1" applyFill="1" applyBorder="1" applyAlignment="1">
      <alignment horizontal="justify"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17" fillId="0" borderId="3" xfId="0" applyFont="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0" borderId="5" xfId="0" applyFont="1" applyBorder="1" applyAlignment="1">
      <alignment vertical="center" wrapText="1"/>
    </xf>
    <xf numFmtId="0" fontId="11"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2" fillId="0" borderId="3" xfId="0" applyFont="1" applyFill="1" applyBorder="1" applyAlignment="1">
      <alignment vertical="center" wrapText="1"/>
    </xf>
    <xf numFmtId="0" fontId="23" fillId="0" borderId="3" xfId="0" applyFont="1" applyBorder="1" applyAlignment="1">
      <alignment vertical="center" wrapText="1"/>
    </xf>
    <xf numFmtId="0" fontId="2" fillId="3"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4" fontId="17" fillId="0" borderId="0" xfId="0" applyNumberFormat="1" applyFont="1" applyAlignment="1">
      <alignment horizontal="center"/>
    </xf>
    <xf numFmtId="0" fontId="17" fillId="0" borderId="0" xfId="0" applyFont="1" applyAlignment="1">
      <alignment horizontal="center"/>
    </xf>
    <xf numFmtId="0" fontId="11" fillId="0" borderId="3" xfId="0" applyFont="1" applyFill="1" applyBorder="1" applyAlignment="1">
      <alignment horizontal="center" vertical="center"/>
    </xf>
    <xf numFmtId="0" fontId="3" fillId="0" borderId="3" xfId="0" applyFont="1" applyFill="1" applyBorder="1" applyAlignment="1">
      <alignment horizontal="center" vertical="center"/>
    </xf>
    <xf numFmtId="14" fontId="11" fillId="0" borderId="3" xfId="0" applyNumberFormat="1" applyFont="1" applyFill="1" applyBorder="1" applyAlignment="1">
      <alignment horizontal="center" vertical="center"/>
    </xf>
    <xf numFmtId="4" fontId="17" fillId="0" borderId="14" xfId="0" applyNumberFormat="1" applyFont="1" applyBorder="1" applyAlignment="1">
      <alignment horizontal="right"/>
    </xf>
    <xf numFmtId="4" fontId="17" fillId="0" borderId="0" xfId="0" applyNumberFormat="1" applyFont="1" applyAlignment="1">
      <alignment horizontal="right"/>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Border="1" applyAlignment="1">
      <alignment horizontal="center" wrapText="1"/>
    </xf>
    <xf numFmtId="0" fontId="4" fillId="0" borderId="0" xfId="0" applyFont="1" applyAlignment="1">
      <alignment horizontal="center"/>
    </xf>
    <xf numFmtId="0" fontId="4" fillId="0" borderId="0" xfId="0" applyFont="1" applyAlignment="1"/>
    <xf numFmtId="0" fontId="11" fillId="0" borderId="3" xfId="0" applyFont="1" applyBorder="1" applyAlignment="1">
      <alignment horizontal="center"/>
    </xf>
    <xf numFmtId="0" fontId="3" fillId="0" borderId="3" xfId="0" applyFont="1" applyBorder="1" applyAlignment="1">
      <alignment horizontal="center"/>
    </xf>
    <xf numFmtId="0" fontId="3" fillId="0" borderId="15" xfId="0" applyFont="1" applyFill="1" applyBorder="1" applyAlignment="1">
      <alignment horizontal="center" vertical="center"/>
    </xf>
    <xf numFmtId="4" fontId="17" fillId="0" borderId="14" xfId="0" applyNumberFormat="1" applyFont="1" applyBorder="1" applyAlignment="1"/>
    <xf numFmtId="4" fontId="17" fillId="0" borderId="0" xfId="0" applyNumberFormat="1" applyFont="1" applyAlignment="1"/>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
  <sheetViews>
    <sheetView tabSelected="1" showWhiteSpace="0" view="pageLayout" topLeftCell="B7" zoomScale="90" zoomScaleNormal="70" zoomScalePageLayoutView="90" workbookViewId="0">
      <selection activeCell="L11" sqref="L11"/>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78" t="s">
        <v>0</v>
      </c>
      <c r="M1" s="78"/>
      <c r="N1" s="78"/>
      <c r="O1" s="78"/>
    </row>
    <row r="2" spans="1:17" ht="15.75" x14ac:dyDescent="0.25">
      <c r="L2" s="78" t="s">
        <v>261</v>
      </c>
      <c r="M2" s="78"/>
      <c r="N2" s="78"/>
      <c r="O2" s="78"/>
    </row>
    <row r="3" spans="1:17" ht="18" customHeight="1" x14ac:dyDescent="0.25">
      <c r="L3" s="78"/>
      <c r="M3" s="78"/>
      <c r="N3" s="78"/>
      <c r="O3" s="78"/>
    </row>
    <row r="4" spans="1:17" ht="24.75" customHeight="1" x14ac:dyDescent="0.2">
      <c r="B4" s="96" t="s">
        <v>1</v>
      </c>
      <c r="C4" s="96"/>
      <c r="D4" s="96"/>
      <c r="E4" s="96"/>
      <c r="F4" s="96"/>
      <c r="G4" s="96"/>
      <c r="H4" s="96"/>
      <c r="I4" s="96"/>
      <c r="J4" s="96"/>
      <c r="K4" s="96"/>
      <c r="L4" s="96"/>
      <c r="M4" s="96"/>
      <c r="N4" s="96"/>
      <c r="O4" s="96"/>
    </row>
    <row r="5" spans="1:17" ht="22.5" customHeight="1" x14ac:dyDescent="0.2">
      <c r="A5" s="2"/>
      <c r="B5" s="97" t="s">
        <v>2</v>
      </c>
      <c r="C5" s="97" t="s">
        <v>3</v>
      </c>
      <c r="D5" s="97"/>
      <c r="E5" s="97" t="s">
        <v>4</v>
      </c>
      <c r="F5" s="97" t="s">
        <v>5</v>
      </c>
      <c r="G5" s="97" t="s">
        <v>6</v>
      </c>
      <c r="H5" s="97" t="s">
        <v>7</v>
      </c>
      <c r="I5" s="97"/>
      <c r="J5" s="97"/>
      <c r="K5" s="97"/>
      <c r="L5" s="97" t="s">
        <v>8</v>
      </c>
      <c r="M5" s="97" t="s">
        <v>9</v>
      </c>
      <c r="N5" s="97"/>
      <c r="O5" s="98" t="s">
        <v>10</v>
      </c>
    </row>
    <row r="6" spans="1:17" ht="83.25" customHeight="1" x14ac:dyDescent="0.2">
      <c r="A6" s="2"/>
      <c r="B6" s="97"/>
      <c r="C6" s="97"/>
      <c r="D6" s="97"/>
      <c r="E6" s="97"/>
      <c r="F6" s="97"/>
      <c r="G6" s="97"/>
      <c r="H6" s="16" t="s">
        <v>144</v>
      </c>
      <c r="I6" s="68" t="s">
        <v>11</v>
      </c>
      <c r="J6" s="68" t="s">
        <v>12</v>
      </c>
      <c r="K6" s="16" t="s">
        <v>145</v>
      </c>
      <c r="L6" s="97"/>
      <c r="M6" s="68" t="s">
        <v>13</v>
      </c>
      <c r="N6" s="68" t="s">
        <v>14</v>
      </c>
      <c r="O6" s="98"/>
    </row>
    <row r="7" spans="1:17" ht="52.5" customHeight="1" x14ac:dyDescent="0.2">
      <c r="A7" s="2"/>
      <c r="B7" s="99" t="s">
        <v>79</v>
      </c>
      <c r="C7" s="99"/>
      <c r="D7" s="99"/>
      <c r="E7" s="99"/>
      <c r="F7" s="99"/>
      <c r="G7" s="99"/>
      <c r="H7" s="99"/>
      <c r="I7" s="99"/>
      <c r="J7" s="99"/>
      <c r="K7" s="99"/>
      <c r="L7" s="99"/>
      <c r="M7" s="99"/>
      <c r="N7" s="99"/>
      <c r="O7" s="99"/>
    </row>
    <row r="8" spans="1:17" ht="22.5" customHeight="1" x14ac:dyDescent="0.2">
      <c r="A8" s="2"/>
      <c r="B8" s="100" t="s">
        <v>168</v>
      </c>
      <c r="C8" s="100"/>
      <c r="D8" s="100"/>
      <c r="E8" s="100"/>
      <c r="F8" s="100"/>
      <c r="G8" s="100"/>
      <c r="H8" s="100"/>
      <c r="I8" s="100"/>
      <c r="J8" s="100"/>
      <c r="K8" s="100"/>
      <c r="L8" s="100"/>
      <c r="M8" s="100"/>
      <c r="N8" s="100"/>
      <c r="O8" s="100"/>
    </row>
    <row r="9" spans="1:17" ht="216" customHeight="1" x14ac:dyDescent="0.2">
      <c r="A9" s="2"/>
      <c r="B9" s="82" t="s">
        <v>262</v>
      </c>
      <c r="C9" s="83"/>
      <c r="D9" s="83"/>
      <c r="E9" s="83"/>
      <c r="F9" s="83"/>
      <c r="G9" s="83"/>
      <c r="H9" s="83"/>
      <c r="I9" s="83"/>
      <c r="J9" s="83"/>
      <c r="K9" s="83"/>
      <c r="L9" s="83"/>
      <c r="M9" s="83"/>
      <c r="N9" s="83"/>
      <c r="O9" s="84"/>
    </row>
    <row r="10" spans="1:17" ht="159" customHeight="1" x14ac:dyDescent="0.2">
      <c r="A10" s="2"/>
      <c r="B10" s="82" t="s">
        <v>263</v>
      </c>
      <c r="C10" s="83"/>
      <c r="D10" s="83"/>
      <c r="E10" s="83"/>
      <c r="F10" s="83"/>
      <c r="G10" s="83"/>
      <c r="H10" s="83"/>
      <c r="I10" s="83"/>
      <c r="J10" s="83"/>
      <c r="K10" s="83"/>
      <c r="L10" s="83"/>
      <c r="M10" s="83"/>
      <c r="N10" s="83"/>
      <c r="O10" s="84"/>
    </row>
    <row r="11" spans="1:17" ht="175.5" customHeight="1" x14ac:dyDescent="0.2">
      <c r="A11" s="2"/>
      <c r="B11" s="7">
        <v>1</v>
      </c>
      <c r="C11" s="90" t="s">
        <v>169</v>
      </c>
      <c r="D11" s="102"/>
      <c r="E11" s="7" t="s">
        <v>115</v>
      </c>
      <c r="F11" s="7" t="s">
        <v>39</v>
      </c>
      <c r="G11" s="12">
        <f>SUM(G12:G13)</f>
        <v>5814962.8900000006</v>
      </c>
      <c r="H11" s="12">
        <f>SUM(H12:H13)</f>
        <v>2775257</v>
      </c>
      <c r="I11" s="12">
        <f>SUM(I12:I13)</f>
        <v>1500000</v>
      </c>
      <c r="J11" s="12">
        <f>SUM(J12:J13)</f>
        <v>1500000</v>
      </c>
      <c r="K11" s="12">
        <f>SUM(K12:K13)</f>
        <v>39705.89</v>
      </c>
      <c r="L11" s="66" t="s">
        <v>341</v>
      </c>
      <c r="M11" s="15">
        <v>2018</v>
      </c>
      <c r="N11" s="11" t="s">
        <v>170</v>
      </c>
      <c r="O11" s="66" t="s">
        <v>146</v>
      </c>
    </row>
    <row r="12" spans="1:17" ht="175.5" customHeight="1" x14ac:dyDescent="0.2">
      <c r="A12" s="2"/>
      <c r="B12" s="7" t="s">
        <v>15</v>
      </c>
      <c r="C12" s="90" t="s">
        <v>160</v>
      </c>
      <c r="D12" s="103"/>
      <c r="E12" s="7" t="s">
        <v>116</v>
      </c>
      <c r="F12" s="7" t="s">
        <v>39</v>
      </c>
      <c r="G12" s="12">
        <f>SUM(H12:K12)</f>
        <v>2370588.2400000002</v>
      </c>
      <c r="H12" s="32">
        <f>ROUND(((870588.24-400000)*0.1275),2)+1500000</f>
        <v>1560000</v>
      </c>
      <c r="I12" s="12">
        <v>400000</v>
      </c>
      <c r="J12" s="12">
        <v>400000</v>
      </c>
      <c r="K12" s="32">
        <f>ROUND(((870588.24-400000)*0.0225),2)</f>
        <v>10588.24</v>
      </c>
      <c r="L12" s="66" t="s">
        <v>171</v>
      </c>
      <c r="M12" s="7" t="s">
        <v>264</v>
      </c>
      <c r="N12" s="15">
        <v>2020</v>
      </c>
      <c r="O12" s="7" t="s">
        <v>104</v>
      </c>
    </row>
    <row r="13" spans="1:17" ht="147.75" customHeight="1" x14ac:dyDescent="0.2">
      <c r="A13" s="2"/>
      <c r="B13" s="7" t="s">
        <v>92</v>
      </c>
      <c r="C13" s="101" t="s">
        <v>161</v>
      </c>
      <c r="D13" s="101"/>
      <c r="E13" s="7" t="s">
        <v>93</v>
      </c>
      <c r="F13" s="7" t="s">
        <v>39</v>
      </c>
      <c r="G13" s="32">
        <f>SUM(H13:K13)</f>
        <v>3444374.65</v>
      </c>
      <c r="H13" s="32">
        <f>ROUND(((2394117.65-1100000)*0.1275),2)+1050257</f>
        <v>1215257</v>
      </c>
      <c r="I13" s="12">
        <v>1100000</v>
      </c>
      <c r="J13" s="12">
        <v>1100000</v>
      </c>
      <c r="K13" s="32">
        <f>ROUND(((2394117.65-1100000)*0.0225),2)</f>
        <v>29117.65</v>
      </c>
      <c r="L13" s="67" t="s">
        <v>172</v>
      </c>
      <c r="M13" s="7" t="s">
        <v>264</v>
      </c>
      <c r="N13" s="15">
        <v>2020</v>
      </c>
      <c r="O13" s="7" t="s">
        <v>104</v>
      </c>
      <c r="Q13" s="60"/>
    </row>
    <row r="14" spans="1:17" ht="22.5" customHeight="1" x14ac:dyDescent="0.2">
      <c r="A14" s="2"/>
      <c r="B14" s="118" t="s">
        <v>94</v>
      </c>
      <c r="C14" s="119"/>
      <c r="D14" s="119"/>
      <c r="E14" s="119"/>
      <c r="F14" s="119"/>
      <c r="G14" s="119"/>
      <c r="H14" s="119"/>
      <c r="I14" s="119"/>
      <c r="J14" s="119"/>
      <c r="K14" s="119"/>
      <c r="L14" s="119"/>
      <c r="M14" s="119"/>
      <c r="N14" s="119"/>
      <c r="O14" s="120"/>
    </row>
    <row r="15" spans="1:17" ht="157.5" customHeight="1" x14ac:dyDescent="0.2">
      <c r="A15" s="2"/>
      <c r="B15" s="82" t="s">
        <v>232</v>
      </c>
      <c r="C15" s="121"/>
      <c r="D15" s="121"/>
      <c r="E15" s="121"/>
      <c r="F15" s="121"/>
      <c r="G15" s="121"/>
      <c r="H15" s="121"/>
      <c r="I15" s="121"/>
      <c r="J15" s="121"/>
      <c r="K15" s="121"/>
      <c r="L15" s="121"/>
      <c r="M15" s="121"/>
      <c r="N15" s="121"/>
      <c r="O15" s="122"/>
    </row>
    <row r="16" spans="1:17" ht="81.75" customHeight="1" x14ac:dyDescent="0.2">
      <c r="A16" s="2"/>
      <c r="B16" s="82" t="s">
        <v>173</v>
      </c>
      <c r="C16" s="123"/>
      <c r="D16" s="123"/>
      <c r="E16" s="123"/>
      <c r="F16" s="123"/>
      <c r="G16" s="123"/>
      <c r="H16" s="123"/>
      <c r="I16" s="123"/>
      <c r="J16" s="123"/>
      <c r="K16" s="123"/>
      <c r="L16" s="123"/>
      <c r="M16" s="123"/>
      <c r="N16" s="123"/>
      <c r="O16" s="124"/>
    </row>
    <row r="17" spans="1:18" ht="193.5" customHeight="1" x14ac:dyDescent="0.2">
      <c r="A17" s="2"/>
      <c r="B17" s="33">
        <v>2</v>
      </c>
      <c r="C17" s="101" t="s">
        <v>174</v>
      </c>
      <c r="D17" s="101"/>
      <c r="E17" s="3" t="s">
        <v>59</v>
      </c>
      <c r="F17" s="3">
        <v>4</v>
      </c>
      <c r="G17" s="32">
        <f>SUM(H17:K17)</f>
        <v>1325842.31</v>
      </c>
      <c r="H17" s="32">
        <f>H18</f>
        <v>480004.02</v>
      </c>
      <c r="I17" s="32">
        <f>I18</f>
        <v>417394.8</v>
      </c>
      <c r="J17" s="12">
        <f>J18</f>
        <v>417394.8</v>
      </c>
      <c r="K17" s="32">
        <f>K18</f>
        <v>11048.69</v>
      </c>
      <c r="L17" s="67" t="s">
        <v>175</v>
      </c>
      <c r="M17" s="18">
        <v>2018</v>
      </c>
      <c r="N17" s="3" t="s">
        <v>176</v>
      </c>
      <c r="O17" s="24" t="s">
        <v>147</v>
      </c>
    </row>
    <row r="18" spans="1:18" ht="111.75" customHeight="1" x14ac:dyDescent="0.2">
      <c r="A18" s="2"/>
      <c r="B18" s="33" t="s">
        <v>17</v>
      </c>
      <c r="C18" s="125" t="s">
        <v>162</v>
      </c>
      <c r="D18" s="125"/>
      <c r="E18" s="7" t="s">
        <v>59</v>
      </c>
      <c r="F18" s="3">
        <v>4</v>
      </c>
      <c r="G18" s="32">
        <f>SUM(H18:K18)</f>
        <v>1325842.31</v>
      </c>
      <c r="H18" s="32">
        <f>SUM(ROUND(((908447.51-(400000+17394.8))*0.1275),2)+417394.8)</f>
        <v>480004.02</v>
      </c>
      <c r="I18" s="32">
        <f>400000+17394.8</f>
        <v>417394.8</v>
      </c>
      <c r="J18" s="12">
        <f>400000+17394.8</f>
        <v>417394.8</v>
      </c>
      <c r="K18" s="32">
        <f>ROUND(((908447.51-(400000+17394.8))*0.0225),2)</f>
        <v>11048.69</v>
      </c>
      <c r="L18" s="67" t="s">
        <v>95</v>
      </c>
      <c r="M18" s="3" t="s">
        <v>265</v>
      </c>
      <c r="N18" s="18">
        <v>2019</v>
      </c>
      <c r="O18" s="66" t="s">
        <v>147</v>
      </c>
      <c r="Q18" s="60"/>
      <c r="R18" s="60"/>
    </row>
    <row r="19" spans="1:18" ht="42.75" customHeight="1" x14ac:dyDescent="0.2">
      <c r="A19" s="2"/>
      <c r="B19" s="130" t="s">
        <v>266</v>
      </c>
      <c r="C19" s="123"/>
      <c r="D19" s="123"/>
      <c r="E19" s="123"/>
      <c r="F19" s="123"/>
      <c r="G19" s="123"/>
      <c r="H19" s="123"/>
      <c r="I19" s="123"/>
      <c r="J19" s="123"/>
      <c r="K19" s="123"/>
      <c r="L19" s="123"/>
      <c r="M19" s="123"/>
      <c r="N19" s="123"/>
      <c r="O19" s="124"/>
      <c r="Q19" s="60"/>
      <c r="R19" s="60"/>
    </row>
    <row r="20" spans="1:18" ht="123.75" customHeight="1" x14ac:dyDescent="0.2">
      <c r="A20" s="2"/>
      <c r="B20" s="82" t="s">
        <v>184</v>
      </c>
      <c r="C20" s="121"/>
      <c r="D20" s="121"/>
      <c r="E20" s="121"/>
      <c r="F20" s="121"/>
      <c r="G20" s="121"/>
      <c r="H20" s="121"/>
      <c r="I20" s="121"/>
      <c r="J20" s="121"/>
      <c r="K20" s="121"/>
      <c r="L20" s="121"/>
      <c r="M20" s="121"/>
      <c r="N20" s="121"/>
      <c r="O20" s="122"/>
      <c r="Q20" s="60"/>
      <c r="R20" s="60"/>
    </row>
    <row r="21" spans="1:18" ht="119.25" customHeight="1" x14ac:dyDescent="0.2">
      <c r="A21" s="2"/>
      <c r="B21" s="109" t="s">
        <v>139</v>
      </c>
      <c r="C21" s="123"/>
      <c r="D21" s="123"/>
      <c r="E21" s="123"/>
      <c r="F21" s="123"/>
      <c r="G21" s="123"/>
      <c r="H21" s="123"/>
      <c r="I21" s="123"/>
      <c r="J21" s="123"/>
      <c r="K21" s="123"/>
      <c r="L21" s="123"/>
      <c r="M21" s="123"/>
      <c r="N21" s="123"/>
      <c r="O21" s="124"/>
      <c r="Q21" s="60"/>
      <c r="R21" s="60"/>
    </row>
    <row r="22" spans="1:18" ht="170.25" customHeight="1" x14ac:dyDescent="0.2">
      <c r="A22" s="2"/>
      <c r="B22" s="33">
        <v>3</v>
      </c>
      <c r="C22" s="101" t="s">
        <v>267</v>
      </c>
      <c r="D22" s="101"/>
      <c r="E22" s="3" t="s">
        <v>101</v>
      </c>
      <c r="F22" s="3" t="s">
        <v>39</v>
      </c>
      <c r="G22" s="32">
        <f>SUM(H22:K22)</f>
        <v>179787.78999999998</v>
      </c>
      <c r="H22" s="32">
        <f>H23</f>
        <v>12390.78</v>
      </c>
      <c r="I22" s="32">
        <f>I23</f>
        <v>82605.2</v>
      </c>
      <c r="J22" s="12">
        <f>J23</f>
        <v>82605.2</v>
      </c>
      <c r="K22" s="32">
        <f>K23</f>
        <v>2186.61</v>
      </c>
      <c r="L22" s="67" t="s">
        <v>179</v>
      </c>
      <c r="M22" s="18">
        <v>2019</v>
      </c>
      <c r="N22" s="3" t="s">
        <v>180</v>
      </c>
      <c r="O22" s="24" t="s">
        <v>102</v>
      </c>
      <c r="Q22" s="60"/>
      <c r="R22" s="60"/>
    </row>
    <row r="23" spans="1:18" ht="111.75" customHeight="1" x14ac:dyDescent="0.2">
      <c r="A23" s="2"/>
      <c r="B23" s="33" t="s">
        <v>18</v>
      </c>
      <c r="C23" s="101" t="s">
        <v>117</v>
      </c>
      <c r="D23" s="101"/>
      <c r="E23" s="3" t="s">
        <v>101</v>
      </c>
      <c r="F23" s="3" t="s">
        <v>39</v>
      </c>
      <c r="G23" s="32">
        <f>SUM(H23:K23)</f>
        <v>179787.78999999998</v>
      </c>
      <c r="H23" s="32">
        <f>ROUND(((97182.59)*0.1275),2)</f>
        <v>12390.78</v>
      </c>
      <c r="I23" s="32">
        <f>100000-17394.8</f>
        <v>82605.2</v>
      </c>
      <c r="J23" s="12">
        <f>100000-17394.8</f>
        <v>82605.2</v>
      </c>
      <c r="K23" s="32">
        <f>ROUND(((97182.59)*0.0225),2)</f>
        <v>2186.61</v>
      </c>
      <c r="L23" s="67" t="s">
        <v>182</v>
      </c>
      <c r="M23" s="3" t="s">
        <v>268</v>
      </c>
      <c r="N23" s="18">
        <v>2020</v>
      </c>
      <c r="O23" s="24" t="s">
        <v>102</v>
      </c>
      <c r="Q23" s="60"/>
      <c r="R23" s="60"/>
    </row>
    <row r="24" spans="1:18" s="10" customFormat="1" ht="30.75" customHeight="1" x14ac:dyDescent="0.2">
      <c r="A24" s="23"/>
      <c r="B24" s="126" t="s">
        <v>269</v>
      </c>
      <c r="C24" s="123"/>
      <c r="D24" s="123"/>
      <c r="E24" s="123"/>
      <c r="F24" s="123"/>
      <c r="G24" s="123"/>
      <c r="H24" s="123"/>
      <c r="I24" s="123"/>
      <c r="J24" s="123"/>
      <c r="K24" s="123"/>
      <c r="L24" s="123"/>
      <c r="M24" s="123"/>
      <c r="N24" s="123"/>
      <c r="O24" s="124"/>
    </row>
    <row r="25" spans="1:18" s="10" customFormat="1" ht="147.75" customHeight="1" x14ac:dyDescent="0.2">
      <c r="A25" s="23"/>
      <c r="B25" s="109" t="s">
        <v>163</v>
      </c>
      <c r="C25" s="128"/>
      <c r="D25" s="128"/>
      <c r="E25" s="128"/>
      <c r="F25" s="128"/>
      <c r="G25" s="128"/>
      <c r="H25" s="128"/>
      <c r="I25" s="128"/>
      <c r="J25" s="128"/>
      <c r="K25" s="128"/>
      <c r="L25" s="128"/>
      <c r="M25" s="128"/>
      <c r="N25" s="128"/>
      <c r="O25" s="129"/>
    </row>
    <row r="26" spans="1:18" s="10" customFormat="1" ht="96" customHeight="1" x14ac:dyDescent="0.2">
      <c r="A26" s="23"/>
      <c r="B26" s="82" t="s">
        <v>177</v>
      </c>
      <c r="C26" s="131"/>
      <c r="D26" s="131"/>
      <c r="E26" s="131"/>
      <c r="F26" s="131"/>
      <c r="G26" s="131"/>
      <c r="H26" s="131"/>
      <c r="I26" s="131"/>
      <c r="J26" s="131"/>
      <c r="K26" s="131"/>
      <c r="L26" s="131"/>
      <c r="M26" s="131"/>
      <c r="N26" s="131"/>
      <c r="O26" s="132"/>
    </row>
    <row r="27" spans="1:18" s="14" customFormat="1" ht="219.75" customHeight="1" x14ac:dyDescent="0.2">
      <c r="A27" s="13"/>
      <c r="B27" s="7">
        <v>4</v>
      </c>
      <c r="C27" s="101" t="s">
        <v>178</v>
      </c>
      <c r="D27" s="101"/>
      <c r="E27" s="3" t="s">
        <v>59</v>
      </c>
      <c r="F27" s="41">
        <v>2</v>
      </c>
      <c r="G27" s="32">
        <f>SUM(H27:K27)</f>
        <v>179787.78999999998</v>
      </c>
      <c r="H27" s="32">
        <f>H28</f>
        <v>12390.78</v>
      </c>
      <c r="I27" s="32">
        <f>I28</f>
        <v>82605.2</v>
      </c>
      <c r="J27" s="12">
        <f>J28</f>
        <v>82605.2</v>
      </c>
      <c r="K27" s="32">
        <f>K28</f>
        <v>2186.61</v>
      </c>
      <c r="L27" s="67" t="s">
        <v>179</v>
      </c>
      <c r="M27" s="18">
        <v>2019</v>
      </c>
      <c r="N27" s="3" t="s">
        <v>180</v>
      </c>
      <c r="O27" s="24" t="s">
        <v>148</v>
      </c>
    </row>
    <row r="28" spans="1:18" s="14" customFormat="1" ht="115.5" customHeight="1" x14ac:dyDescent="0.2">
      <c r="A28" s="13"/>
      <c r="B28" s="7" t="s">
        <v>19</v>
      </c>
      <c r="C28" s="101" t="s">
        <v>181</v>
      </c>
      <c r="D28" s="101"/>
      <c r="E28" s="3" t="s">
        <v>59</v>
      </c>
      <c r="F28" s="41">
        <v>2</v>
      </c>
      <c r="G28" s="32">
        <f>SUM(H28:K28)</f>
        <v>179787.78999999998</v>
      </c>
      <c r="H28" s="32">
        <f>ROUND(((97182.59)*0.1275),2)</f>
        <v>12390.78</v>
      </c>
      <c r="I28" s="32">
        <f>100000-17394.8</f>
        <v>82605.2</v>
      </c>
      <c r="J28" s="12">
        <f>100000-17394.8</f>
        <v>82605.2</v>
      </c>
      <c r="K28" s="32">
        <f>ROUND(((97182.59)*0.0225),2)</f>
        <v>2186.61</v>
      </c>
      <c r="L28" s="67" t="s">
        <v>182</v>
      </c>
      <c r="M28" s="3" t="s">
        <v>183</v>
      </c>
      <c r="N28" s="18">
        <v>2020</v>
      </c>
      <c r="O28" s="24" t="s">
        <v>148</v>
      </c>
      <c r="R28" s="34"/>
    </row>
    <row r="29" spans="1:18" ht="31.5" customHeight="1" x14ac:dyDescent="0.2">
      <c r="A29" s="2"/>
      <c r="B29" s="130" t="s">
        <v>242</v>
      </c>
      <c r="C29" s="123"/>
      <c r="D29" s="123"/>
      <c r="E29" s="123"/>
      <c r="F29" s="123"/>
      <c r="G29" s="123"/>
      <c r="H29" s="123"/>
      <c r="I29" s="123"/>
      <c r="J29" s="123"/>
      <c r="K29" s="123"/>
      <c r="L29" s="123"/>
      <c r="M29" s="123"/>
      <c r="N29" s="123"/>
      <c r="O29" s="124"/>
    </row>
    <row r="30" spans="1:18" ht="120" customHeight="1" x14ac:dyDescent="0.2">
      <c r="A30" s="2"/>
      <c r="B30" s="82" t="s">
        <v>184</v>
      </c>
      <c r="C30" s="121"/>
      <c r="D30" s="121"/>
      <c r="E30" s="121"/>
      <c r="F30" s="121"/>
      <c r="G30" s="121"/>
      <c r="H30" s="121"/>
      <c r="I30" s="121"/>
      <c r="J30" s="121"/>
      <c r="K30" s="121"/>
      <c r="L30" s="121"/>
      <c r="M30" s="121"/>
      <c r="N30" s="121"/>
      <c r="O30" s="122"/>
    </row>
    <row r="31" spans="1:18" ht="118.5" customHeight="1" x14ac:dyDescent="0.2">
      <c r="A31" s="2"/>
      <c r="B31" s="109" t="s">
        <v>139</v>
      </c>
      <c r="C31" s="123"/>
      <c r="D31" s="123"/>
      <c r="E31" s="123"/>
      <c r="F31" s="123"/>
      <c r="G31" s="123"/>
      <c r="H31" s="123"/>
      <c r="I31" s="123"/>
      <c r="J31" s="123"/>
      <c r="K31" s="123"/>
      <c r="L31" s="123"/>
      <c r="M31" s="123"/>
      <c r="N31" s="123"/>
      <c r="O31" s="124"/>
    </row>
    <row r="32" spans="1:18" s="14" customFormat="1" ht="185.25" customHeight="1" x14ac:dyDescent="0.2">
      <c r="A32" s="13"/>
      <c r="B32" s="7">
        <v>5</v>
      </c>
      <c r="C32" s="101" t="s">
        <v>185</v>
      </c>
      <c r="D32" s="101"/>
      <c r="E32" s="3" t="s">
        <v>101</v>
      </c>
      <c r="F32" s="3" t="s">
        <v>39</v>
      </c>
      <c r="G32" s="32">
        <f>SUM(H32:K32)</f>
        <v>2176470.59</v>
      </c>
      <c r="H32" s="32">
        <f>H33</f>
        <v>150000</v>
      </c>
      <c r="I32" s="32">
        <v>1000000</v>
      </c>
      <c r="J32" s="12">
        <v>1000000</v>
      </c>
      <c r="K32" s="32">
        <f>K33</f>
        <v>26470.59</v>
      </c>
      <c r="L32" s="67" t="s">
        <v>105</v>
      </c>
      <c r="M32" s="18">
        <v>2019</v>
      </c>
      <c r="N32" s="18" t="s">
        <v>270</v>
      </c>
      <c r="O32" s="24" t="s">
        <v>102</v>
      </c>
      <c r="Q32" s="34"/>
    </row>
    <row r="33" spans="1:19" ht="96" customHeight="1" x14ac:dyDescent="0.2">
      <c r="A33" s="2"/>
      <c r="B33" s="7" t="s">
        <v>20</v>
      </c>
      <c r="C33" s="101" t="s">
        <v>117</v>
      </c>
      <c r="D33" s="101"/>
      <c r="E33" s="3" t="s">
        <v>101</v>
      </c>
      <c r="F33" s="3" t="s">
        <v>39</v>
      </c>
      <c r="G33" s="32">
        <f>SUM(H33:K33)</f>
        <v>2176470.59</v>
      </c>
      <c r="H33" s="32">
        <f>ROUND(((2176470.59-1000000)*0.1275),2)</f>
        <v>150000</v>
      </c>
      <c r="I33" s="32">
        <v>1000000</v>
      </c>
      <c r="J33" s="12">
        <v>1000000</v>
      </c>
      <c r="K33" s="32">
        <f>ROUND(((2176470.59-1000000)*0.0225),2)</f>
        <v>26470.59</v>
      </c>
      <c r="L33" s="67" t="s">
        <v>103</v>
      </c>
      <c r="M33" s="3" t="s">
        <v>271</v>
      </c>
      <c r="N33" s="18">
        <v>2020</v>
      </c>
      <c r="O33" s="24" t="s">
        <v>102</v>
      </c>
    </row>
    <row r="34" spans="1:19" ht="65.25" customHeight="1" x14ac:dyDescent="0.2">
      <c r="A34" s="2"/>
      <c r="B34" s="99" t="s">
        <v>126</v>
      </c>
      <c r="C34" s="127"/>
      <c r="D34" s="127"/>
      <c r="E34" s="127"/>
      <c r="F34" s="127"/>
      <c r="G34" s="127"/>
      <c r="H34" s="127"/>
      <c r="I34" s="127"/>
      <c r="J34" s="127"/>
      <c r="K34" s="127"/>
      <c r="L34" s="127"/>
      <c r="M34" s="127"/>
      <c r="N34" s="127"/>
      <c r="O34" s="127"/>
    </row>
    <row r="35" spans="1:19" s="10" customFormat="1" ht="20.25" customHeight="1" x14ac:dyDescent="0.2">
      <c r="A35" s="23"/>
      <c r="B35" s="100" t="s">
        <v>186</v>
      </c>
      <c r="C35" s="100"/>
      <c r="D35" s="100"/>
      <c r="E35" s="100"/>
      <c r="F35" s="100"/>
      <c r="G35" s="100"/>
      <c r="H35" s="100"/>
      <c r="I35" s="100"/>
      <c r="J35" s="100"/>
      <c r="K35" s="100"/>
      <c r="L35" s="100"/>
      <c r="M35" s="100"/>
      <c r="N35" s="100"/>
      <c r="O35" s="100"/>
    </row>
    <row r="36" spans="1:19" s="10" customFormat="1" ht="189.75" customHeight="1" x14ac:dyDescent="0.2">
      <c r="A36" s="23"/>
      <c r="B36" s="133" t="s">
        <v>272</v>
      </c>
      <c r="C36" s="133"/>
      <c r="D36" s="133"/>
      <c r="E36" s="133"/>
      <c r="F36" s="133"/>
      <c r="G36" s="133"/>
      <c r="H36" s="133"/>
      <c r="I36" s="133"/>
      <c r="J36" s="133"/>
      <c r="K36" s="133"/>
      <c r="L36" s="133"/>
      <c r="M36" s="133"/>
      <c r="N36" s="133"/>
      <c r="O36" s="133"/>
    </row>
    <row r="37" spans="1:19" s="10" customFormat="1" ht="242.25" customHeight="1" x14ac:dyDescent="0.2">
      <c r="A37" s="23"/>
      <c r="B37" s="134" t="s">
        <v>273</v>
      </c>
      <c r="C37" s="134"/>
      <c r="D37" s="134"/>
      <c r="E37" s="134"/>
      <c r="F37" s="134"/>
      <c r="G37" s="134"/>
      <c r="H37" s="134"/>
      <c r="I37" s="134"/>
      <c r="J37" s="134"/>
      <c r="K37" s="134"/>
      <c r="L37" s="134"/>
      <c r="M37" s="134"/>
      <c r="N37" s="134"/>
      <c r="O37" s="134"/>
    </row>
    <row r="38" spans="1:19" ht="219" customHeight="1" x14ac:dyDescent="0.2">
      <c r="A38" s="2"/>
      <c r="B38" s="7">
        <v>6</v>
      </c>
      <c r="C38" s="125" t="s">
        <v>187</v>
      </c>
      <c r="D38" s="135"/>
      <c r="E38" s="7" t="s">
        <v>60</v>
      </c>
      <c r="F38" s="7" t="s">
        <v>39</v>
      </c>
      <c r="G38" s="12">
        <f>SUM(H38:K38)</f>
        <v>2999999.9984999998</v>
      </c>
      <c r="H38" s="12">
        <f>H39</f>
        <v>2136969.9492250001</v>
      </c>
      <c r="I38" s="12">
        <f>I39</f>
        <v>840774.26</v>
      </c>
      <c r="J38" s="12" t="s">
        <v>39</v>
      </c>
      <c r="K38" s="12">
        <f>K39</f>
        <v>22255.789274999999</v>
      </c>
      <c r="L38" s="66" t="s">
        <v>274</v>
      </c>
      <c r="M38" s="15">
        <v>2018</v>
      </c>
      <c r="N38" s="15" t="s">
        <v>275</v>
      </c>
      <c r="O38" s="3" t="s">
        <v>16</v>
      </c>
    </row>
    <row r="39" spans="1:19" ht="120.75" customHeight="1" x14ac:dyDescent="0.2">
      <c r="A39" s="2"/>
      <c r="B39" s="7" t="s">
        <v>43</v>
      </c>
      <c r="C39" s="125" t="s">
        <v>188</v>
      </c>
      <c r="D39" s="135"/>
      <c r="E39" s="7" t="s">
        <v>60</v>
      </c>
      <c r="F39" s="7" t="s">
        <v>39</v>
      </c>
      <c r="G39" s="12">
        <f>SUM(H39:K39)</f>
        <v>2999999.9984999998</v>
      </c>
      <c r="H39" s="12">
        <f>ROUND((989146.19*0.1275),25)+2010853.81</f>
        <v>2136969.9492250001</v>
      </c>
      <c r="I39" s="12">
        <v>840774.26</v>
      </c>
      <c r="J39" s="12" t="s">
        <v>39</v>
      </c>
      <c r="K39" s="12">
        <f>ROUND((989146.19*0.0225),25)</f>
        <v>22255.789274999999</v>
      </c>
      <c r="L39" s="66" t="s">
        <v>80</v>
      </c>
      <c r="M39" s="15" t="s">
        <v>276</v>
      </c>
      <c r="N39" s="15">
        <v>2020</v>
      </c>
      <c r="O39" s="3" t="s">
        <v>16</v>
      </c>
      <c r="P39" s="60"/>
      <c r="Q39" s="60"/>
      <c r="R39" s="60"/>
      <c r="S39" s="60"/>
    </row>
    <row r="40" spans="1:19" s="10" customFormat="1" ht="19.5" customHeight="1" x14ac:dyDescent="0.2">
      <c r="A40" s="23"/>
      <c r="B40" s="140" t="s">
        <v>189</v>
      </c>
      <c r="C40" s="141"/>
      <c r="D40" s="141"/>
      <c r="E40" s="141"/>
      <c r="F40" s="141"/>
      <c r="G40" s="141"/>
      <c r="H40" s="141"/>
      <c r="I40" s="141"/>
      <c r="J40" s="141"/>
      <c r="K40" s="141"/>
      <c r="L40" s="141"/>
      <c r="M40" s="141"/>
      <c r="N40" s="141"/>
      <c r="O40" s="141"/>
    </row>
    <row r="41" spans="1:19" s="10" customFormat="1" ht="98.25" customHeight="1" x14ac:dyDescent="0.2">
      <c r="A41" s="23"/>
      <c r="B41" s="133" t="s">
        <v>277</v>
      </c>
      <c r="C41" s="133"/>
      <c r="D41" s="133"/>
      <c r="E41" s="133"/>
      <c r="F41" s="133"/>
      <c r="G41" s="133"/>
      <c r="H41" s="133"/>
      <c r="I41" s="133"/>
      <c r="J41" s="133"/>
      <c r="K41" s="133"/>
      <c r="L41" s="133"/>
      <c r="M41" s="133"/>
      <c r="N41" s="133"/>
      <c r="O41" s="133"/>
    </row>
    <row r="42" spans="1:19" s="10" customFormat="1" ht="222" customHeight="1" x14ac:dyDescent="0.2">
      <c r="A42" s="23"/>
      <c r="B42" s="133" t="s">
        <v>278</v>
      </c>
      <c r="C42" s="133"/>
      <c r="D42" s="133"/>
      <c r="E42" s="133"/>
      <c r="F42" s="133"/>
      <c r="G42" s="133"/>
      <c r="H42" s="133"/>
      <c r="I42" s="133"/>
      <c r="J42" s="133"/>
      <c r="K42" s="133"/>
      <c r="L42" s="133"/>
      <c r="M42" s="133"/>
      <c r="N42" s="133"/>
      <c r="O42" s="133"/>
    </row>
    <row r="43" spans="1:19" s="14" customFormat="1" ht="213" customHeight="1" x14ac:dyDescent="0.2">
      <c r="A43" s="13"/>
      <c r="B43" s="7">
        <v>7</v>
      </c>
      <c r="C43" s="76" t="s">
        <v>190</v>
      </c>
      <c r="D43" s="77"/>
      <c r="E43" s="7" t="s">
        <v>51</v>
      </c>
      <c r="F43" s="7" t="s">
        <v>39</v>
      </c>
      <c r="G43" s="12">
        <f>$G$44</f>
        <v>2604375.9200000004</v>
      </c>
      <c r="H43" s="19">
        <f>$H$44</f>
        <v>2120131.46</v>
      </c>
      <c r="I43" s="19">
        <f>$I$44</f>
        <v>471756.78</v>
      </c>
      <c r="J43" s="12" t="str">
        <f>$J$44</f>
        <v>-</v>
      </c>
      <c r="K43" s="19">
        <f>$K$44</f>
        <v>12487.68</v>
      </c>
      <c r="L43" s="66" t="s">
        <v>279</v>
      </c>
      <c r="M43" s="15">
        <v>2018</v>
      </c>
      <c r="N43" s="15" t="s">
        <v>280</v>
      </c>
      <c r="O43" s="7" t="s">
        <v>16</v>
      </c>
    </row>
    <row r="44" spans="1:19" s="14" customFormat="1" ht="111" customHeight="1" x14ac:dyDescent="0.2">
      <c r="A44" s="13"/>
      <c r="B44" s="3" t="s">
        <v>41</v>
      </c>
      <c r="C44" s="88" t="s">
        <v>191</v>
      </c>
      <c r="D44" s="89"/>
      <c r="E44" s="7" t="s">
        <v>51</v>
      </c>
      <c r="F44" s="3" t="s">
        <v>39</v>
      </c>
      <c r="G44" s="19">
        <f>SUM(H44:K44)</f>
        <v>2604375.9200000004</v>
      </c>
      <c r="H44" s="19">
        <f>ROUND((555007.98*0.1275),2)+2049367.94</f>
        <v>2120131.46</v>
      </c>
      <c r="I44" s="19">
        <v>471756.78</v>
      </c>
      <c r="J44" s="19" t="s">
        <v>39</v>
      </c>
      <c r="K44" s="19">
        <f>ROUND((555007.98*0.0225),2)</f>
        <v>12487.68</v>
      </c>
      <c r="L44" s="66" t="s">
        <v>80</v>
      </c>
      <c r="M44" s="3" t="s">
        <v>281</v>
      </c>
      <c r="N44" s="15">
        <v>2019</v>
      </c>
      <c r="O44" s="3" t="s">
        <v>16</v>
      </c>
      <c r="P44" s="34"/>
      <c r="Q44" s="34"/>
      <c r="R44" s="34"/>
    </row>
    <row r="45" spans="1:19" s="14" customFormat="1" ht="42" customHeight="1" x14ac:dyDescent="0.2">
      <c r="A45" s="13"/>
      <c r="B45" s="100" t="s">
        <v>157</v>
      </c>
      <c r="C45" s="141"/>
      <c r="D45" s="141"/>
      <c r="E45" s="141"/>
      <c r="F45" s="141"/>
      <c r="G45" s="141"/>
      <c r="H45" s="141"/>
      <c r="I45" s="141"/>
      <c r="J45" s="141"/>
      <c r="K45" s="141"/>
      <c r="L45" s="141"/>
      <c r="M45" s="141"/>
      <c r="N45" s="141"/>
      <c r="O45" s="141"/>
    </row>
    <row r="46" spans="1:19" s="14" customFormat="1" ht="91.5" customHeight="1" x14ac:dyDescent="0.2">
      <c r="A46" s="13"/>
      <c r="B46" s="133" t="s">
        <v>282</v>
      </c>
      <c r="C46" s="133"/>
      <c r="D46" s="133"/>
      <c r="E46" s="133"/>
      <c r="F46" s="133"/>
      <c r="G46" s="133"/>
      <c r="H46" s="133"/>
      <c r="I46" s="133"/>
      <c r="J46" s="133"/>
      <c r="K46" s="133"/>
      <c r="L46" s="133"/>
      <c r="M46" s="133"/>
      <c r="N46" s="133"/>
      <c r="O46" s="133"/>
    </row>
    <row r="47" spans="1:19" s="14" customFormat="1" ht="224.25" customHeight="1" x14ac:dyDescent="0.2">
      <c r="A47" s="13"/>
      <c r="B47" s="133" t="s">
        <v>283</v>
      </c>
      <c r="C47" s="133"/>
      <c r="D47" s="133"/>
      <c r="E47" s="133"/>
      <c r="F47" s="133"/>
      <c r="G47" s="133"/>
      <c r="H47" s="133"/>
      <c r="I47" s="133"/>
      <c r="J47" s="133"/>
      <c r="K47" s="133"/>
      <c r="L47" s="133"/>
      <c r="M47" s="133"/>
      <c r="N47" s="133"/>
      <c r="O47" s="133"/>
    </row>
    <row r="48" spans="1:19" s="36" customFormat="1" ht="190.5" customHeight="1" x14ac:dyDescent="0.2">
      <c r="A48" s="35"/>
      <c r="B48" s="7">
        <v>8</v>
      </c>
      <c r="C48" s="85" t="s">
        <v>192</v>
      </c>
      <c r="D48" s="86"/>
      <c r="E48" s="7" t="s">
        <v>51</v>
      </c>
      <c r="F48" s="37" t="s">
        <v>39</v>
      </c>
      <c r="G48" s="19">
        <v>858842.94</v>
      </c>
      <c r="H48" s="19">
        <f>ROUND((177190.35*0.1275),2)+681652.59</f>
        <v>704244.36</v>
      </c>
      <c r="I48" s="12">
        <f>I49</f>
        <v>150611.79999999999</v>
      </c>
      <c r="J48" s="58" t="s">
        <v>39</v>
      </c>
      <c r="K48" s="19">
        <f>ROUND((177190.35*0.0225),2)</f>
        <v>3986.78</v>
      </c>
      <c r="L48" s="64" t="s">
        <v>284</v>
      </c>
      <c r="M48" s="18">
        <v>2018</v>
      </c>
      <c r="N48" s="11" t="s">
        <v>285</v>
      </c>
      <c r="O48" s="3" t="s">
        <v>16</v>
      </c>
    </row>
    <row r="49" spans="1:18" s="14" customFormat="1" ht="90" customHeight="1" x14ac:dyDescent="0.2">
      <c r="A49" s="13"/>
      <c r="B49" s="3" t="s">
        <v>42</v>
      </c>
      <c r="C49" s="85" t="s">
        <v>164</v>
      </c>
      <c r="D49" s="86"/>
      <c r="E49" s="7" t="s">
        <v>51</v>
      </c>
      <c r="F49" s="3" t="s">
        <v>39</v>
      </c>
      <c r="G49" s="19">
        <f>SUM(H49:K49)</f>
        <v>858842.94</v>
      </c>
      <c r="H49" s="19">
        <f>ROUND((177190.35*0.1275),2)+681652.59</f>
        <v>704244.36</v>
      </c>
      <c r="I49" s="19">
        <v>150611.79999999999</v>
      </c>
      <c r="J49" s="19" t="s">
        <v>39</v>
      </c>
      <c r="K49" s="19">
        <f>ROUND((177190.35*0.0225),2)</f>
        <v>3986.78</v>
      </c>
      <c r="L49" s="66" t="s">
        <v>80</v>
      </c>
      <c r="M49" s="17" t="s">
        <v>286</v>
      </c>
      <c r="N49" s="15">
        <v>2019</v>
      </c>
      <c r="O49" s="3" t="s">
        <v>16</v>
      </c>
      <c r="P49" s="34"/>
      <c r="Q49" s="34"/>
      <c r="R49" s="34"/>
    </row>
    <row r="50" spans="1:18" s="10" customFormat="1" ht="29.25" customHeight="1" x14ac:dyDescent="0.2">
      <c r="A50" s="23"/>
      <c r="B50" s="79" t="s">
        <v>153</v>
      </c>
      <c r="C50" s="80"/>
      <c r="D50" s="80"/>
      <c r="E50" s="80"/>
      <c r="F50" s="80"/>
      <c r="G50" s="80"/>
      <c r="H50" s="80"/>
      <c r="I50" s="80"/>
      <c r="J50" s="80"/>
      <c r="K50" s="80"/>
      <c r="L50" s="80"/>
      <c r="M50" s="80"/>
      <c r="N50" s="80"/>
      <c r="O50" s="81"/>
    </row>
    <row r="51" spans="1:18" s="10" customFormat="1" ht="95.25" customHeight="1" x14ac:dyDescent="0.2">
      <c r="A51" s="23"/>
      <c r="B51" s="82" t="s">
        <v>287</v>
      </c>
      <c r="C51" s="83"/>
      <c r="D51" s="83"/>
      <c r="E51" s="83"/>
      <c r="F51" s="83"/>
      <c r="G51" s="83"/>
      <c r="H51" s="83"/>
      <c r="I51" s="83"/>
      <c r="J51" s="83"/>
      <c r="K51" s="83"/>
      <c r="L51" s="83"/>
      <c r="M51" s="83"/>
      <c r="N51" s="83"/>
      <c r="O51" s="84"/>
    </row>
    <row r="52" spans="1:18" s="10" customFormat="1" ht="152.25" customHeight="1" x14ac:dyDescent="0.2">
      <c r="A52" s="23"/>
      <c r="B52" s="82" t="s">
        <v>288</v>
      </c>
      <c r="C52" s="83"/>
      <c r="D52" s="83"/>
      <c r="E52" s="83"/>
      <c r="F52" s="83"/>
      <c r="G52" s="83"/>
      <c r="H52" s="83"/>
      <c r="I52" s="83"/>
      <c r="J52" s="83"/>
      <c r="K52" s="83"/>
      <c r="L52" s="83"/>
      <c r="M52" s="83"/>
      <c r="N52" s="83"/>
      <c r="O52" s="84"/>
    </row>
    <row r="53" spans="1:18" ht="229.5" customHeight="1" x14ac:dyDescent="0.2">
      <c r="A53" s="2"/>
      <c r="B53" s="3">
        <v>9</v>
      </c>
      <c r="C53" s="85" t="s">
        <v>193</v>
      </c>
      <c r="D53" s="139"/>
      <c r="E53" s="7" t="s">
        <v>51</v>
      </c>
      <c r="F53" s="3">
        <v>10</v>
      </c>
      <c r="G53" s="19">
        <f>SUM(G54)</f>
        <v>721740.52</v>
      </c>
      <c r="H53" s="19">
        <f>SUM(H54)</f>
        <v>92021.92</v>
      </c>
      <c r="I53" s="19">
        <f>SUM(I54)</f>
        <v>613479.43999999994</v>
      </c>
      <c r="J53" s="19" t="s">
        <v>39</v>
      </c>
      <c r="K53" s="19">
        <f>SUM(K54)</f>
        <v>16239.16</v>
      </c>
      <c r="L53" s="66" t="s">
        <v>289</v>
      </c>
      <c r="M53" s="18">
        <v>2018</v>
      </c>
      <c r="N53" s="18" t="s">
        <v>290</v>
      </c>
      <c r="O53" s="3" t="s">
        <v>16</v>
      </c>
    </row>
    <row r="54" spans="1:18" ht="104.25" customHeight="1" x14ac:dyDescent="0.2">
      <c r="A54" s="2"/>
      <c r="B54" s="7" t="s">
        <v>44</v>
      </c>
      <c r="C54" s="85" t="s">
        <v>133</v>
      </c>
      <c r="D54" s="86"/>
      <c r="E54" s="7" t="s">
        <v>51</v>
      </c>
      <c r="F54" s="3">
        <v>10</v>
      </c>
      <c r="G54" s="19">
        <f>SUM(H54:K54)</f>
        <v>721740.52</v>
      </c>
      <c r="H54" s="19">
        <f>ROUND((721740.52*0.1275),2)</f>
        <v>92021.92</v>
      </c>
      <c r="I54" s="42">
        <v>613479.43999999994</v>
      </c>
      <c r="J54" s="19" t="s">
        <v>39</v>
      </c>
      <c r="K54" s="19">
        <f>ROUND((721740.52*0.0225),2)</f>
        <v>16239.16</v>
      </c>
      <c r="L54" s="66" t="s">
        <v>80</v>
      </c>
      <c r="M54" s="17" t="s">
        <v>291</v>
      </c>
      <c r="N54" s="18">
        <v>2018</v>
      </c>
      <c r="O54" s="3" t="s">
        <v>16</v>
      </c>
      <c r="P54" s="60"/>
      <c r="Q54" s="60"/>
      <c r="R54" s="60"/>
    </row>
    <row r="55" spans="1:18" ht="28.5" customHeight="1" x14ac:dyDescent="0.2">
      <c r="A55" s="2"/>
      <c r="B55" s="79" t="s">
        <v>152</v>
      </c>
      <c r="C55" s="80"/>
      <c r="D55" s="80"/>
      <c r="E55" s="80"/>
      <c r="F55" s="80"/>
      <c r="G55" s="80"/>
      <c r="H55" s="80"/>
      <c r="I55" s="80"/>
      <c r="J55" s="80"/>
      <c r="K55" s="80"/>
      <c r="L55" s="80"/>
      <c r="M55" s="80"/>
      <c r="N55" s="80"/>
      <c r="O55" s="81"/>
    </row>
    <row r="56" spans="1:18" ht="100.5" customHeight="1" x14ac:dyDescent="0.2">
      <c r="A56" s="2"/>
      <c r="B56" s="82" t="s">
        <v>292</v>
      </c>
      <c r="C56" s="83"/>
      <c r="D56" s="83"/>
      <c r="E56" s="83"/>
      <c r="F56" s="83"/>
      <c r="G56" s="83"/>
      <c r="H56" s="83"/>
      <c r="I56" s="83"/>
      <c r="J56" s="83"/>
      <c r="K56" s="83"/>
      <c r="L56" s="83"/>
      <c r="M56" s="83"/>
      <c r="N56" s="83"/>
      <c r="O56" s="84"/>
    </row>
    <row r="57" spans="1:18" ht="132.75" customHeight="1" x14ac:dyDescent="0.2">
      <c r="A57" s="2"/>
      <c r="B57" s="82" t="s">
        <v>293</v>
      </c>
      <c r="C57" s="83"/>
      <c r="D57" s="83"/>
      <c r="E57" s="83"/>
      <c r="F57" s="83"/>
      <c r="G57" s="83"/>
      <c r="H57" s="83"/>
      <c r="I57" s="83"/>
      <c r="J57" s="83"/>
      <c r="K57" s="83"/>
      <c r="L57" s="83"/>
      <c r="M57" s="83"/>
      <c r="N57" s="83"/>
      <c r="O57" s="84"/>
    </row>
    <row r="58" spans="1:18" ht="214.5" customHeight="1" x14ac:dyDescent="0.2">
      <c r="A58" s="2"/>
      <c r="B58" s="7">
        <v>10</v>
      </c>
      <c r="C58" s="76" t="s">
        <v>194</v>
      </c>
      <c r="D58" s="77"/>
      <c r="E58" s="7" t="s">
        <v>51</v>
      </c>
      <c r="F58" s="7">
        <v>9</v>
      </c>
      <c r="G58" s="19">
        <f>G59</f>
        <v>93002.250000000015</v>
      </c>
      <c r="H58" s="19">
        <f>ROUND((92682.47*0.1275),2)+319.78</f>
        <v>12136.79</v>
      </c>
      <c r="I58" s="42">
        <f>I59</f>
        <v>78780.100000000006</v>
      </c>
      <c r="J58" s="19" t="s">
        <v>39</v>
      </c>
      <c r="K58" s="19">
        <f>ROUND((92682.47*0.0225),2)</f>
        <v>2085.36</v>
      </c>
      <c r="L58" s="66" t="s">
        <v>294</v>
      </c>
      <c r="M58" s="18">
        <v>2018</v>
      </c>
      <c r="N58" s="18" t="s">
        <v>295</v>
      </c>
      <c r="O58" s="3" t="s">
        <v>16</v>
      </c>
    </row>
    <row r="59" spans="1:18" ht="148.5" customHeight="1" x14ac:dyDescent="0.2">
      <c r="A59" s="2"/>
      <c r="B59" s="7" t="s">
        <v>46</v>
      </c>
      <c r="C59" s="76" t="s">
        <v>165</v>
      </c>
      <c r="D59" s="77"/>
      <c r="E59" s="7" t="s">
        <v>51</v>
      </c>
      <c r="F59" s="3">
        <v>9</v>
      </c>
      <c r="G59" s="19">
        <f>SUM(H59:K59)</f>
        <v>93002.250000000015</v>
      </c>
      <c r="H59" s="19">
        <f>ROUND((92682.47*0.1275),2)+319.78</f>
        <v>12136.79</v>
      </c>
      <c r="I59" s="42">
        <v>78780.100000000006</v>
      </c>
      <c r="J59" s="19" t="s">
        <v>39</v>
      </c>
      <c r="K59" s="19">
        <f>ROUND((92682.47*0.0225),2)</f>
        <v>2085.36</v>
      </c>
      <c r="L59" s="66" t="s">
        <v>80</v>
      </c>
      <c r="M59" s="17" t="s">
        <v>296</v>
      </c>
      <c r="N59" s="18">
        <v>2018</v>
      </c>
      <c r="O59" s="3" t="s">
        <v>16</v>
      </c>
      <c r="P59" s="60"/>
      <c r="Q59" s="60"/>
      <c r="R59" s="60"/>
    </row>
    <row r="60" spans="1:18" ht="26.25" customHeight="1" x14ac:dyDescent="0.2">
      <c r="A60" s="2"/>
      <c r="B60" s="79" t="s">
        <v>228</v>
      </c>
      <c r="C60" s="80"/>
      <c r="D60" s="80"/>
      <c r="E60" s="80"/>
      <c r="F60" s="80"/>
      <c r="G60" s="80"/>
      <c r="H60" s="80"/>
      <c r="I60" s="80"/>
      <c r="J60" s="80"/>
      <c r="K60" s="80"/>
      <c r="L60" s="80"/>
      <c r="M60" s="80"/>
      <c r="N60" s="80"/>
      <c r="O60" s="81"/>
      <c r="Q60" s="60"/>
    </row>
    <row r="61" spans="1:18" ht="73.5" customHeight="1" x14ac:dyDescent="0.2">
      <c r="A61" s="2"/>
      <c r="B61" s="82" t="s">
        <v>297</v>
      </c>
      <c r="C61" s="83"/>
      <c r="D61" s="83"/>
      <c r="E61" s="83"/>
      <c r="F61" s="83"/>
      <c r="G61" s="83"/>
      <c r="H61" s="83"/>
      <c r="I61" s="83"/>
      <c r="J61" s="83"/>
      <c r="K61" s="83"/>
      <c r="L61" s="83"/>
      <c r="M61" s="83"/>
      <c r="N61" s="83"/>
      <c r="O61" s="84"/>
    </row>
    <row r="62" spans="1:18" ht="164.25" customHeight="1" x14ac:dyDescent="0.2">
      <c r="A62" s="2"/>
      <c r="B62" s="82" t="s">
        <v>298</v>
      </c>
      <c r="C62" s="83"/>
      <c r="D62" s="83"/>
      <c r="E62" s="83"/>
      <c r="F62" s="83"/>
      <c r="G62" s="83"/>
      <c r="H62" s="83"/>
      <c r="I62" s="83"/>
      <c r="J62" s="83"/>
      <c r="K62" s="83"/>
      <c r="L62" s="83"/>
      <c r="M62" s="83"/>
      <c r="N62" s="83"/>
      <c r="O62" s="84"/>
    </row>
    <row r="63" spans="1:18" ht="214.5" customHeight="1" x14ac:dyDescent="0.2">
      <c r="A63" s="2"/>
      <c r="B63" s="7">
        <v>11</v>
      </c>
      <c r="C63" s="85" t="s">
        <v>195</v>
      </c>
      <c r="D63" s="86"/>
      <c r="E63" s="7" t="s">
        <v>51</v>
      </c>
      <c r="F63" s="3" t="s">
        <v>251</v>
      </c>
      <c r="G63" s="19">
        <v>615889.05000000005</v>
      </c>
      <c r="H63" s="19">
        <f>ROUND((603082.82*0.1275),2)+12806.23</f>
        <v>89699.29</v>
      </c>
      <c r="I63" s="19">
        <f>I64</f>
        <v>512620.4</v>
      </c>
      <c r="J63" s="19" t="s">
        <v>39</v>
      </c>
      <c r="K63" s="19">
        <f>ROUND((603082.82*0.0225),2)</f>
        <v>13569.36</v>
      </c>
      <c r="L63" s="29" t="s">
        <v>299</v>
      </c>
      <c r="M63" s="18">
        <v>2018</v>
      </c>
      <c r="N63" s="17" t="s">
        <v>300</v>
      </c>
      <c r="O63" s="3" t="s">
        <v>16</v>
      </c>
    </row>
    <row r="64" spans="1:18" s="14" customFormat="1" ht="132.75" customHeight="1" x14ac:dyDescent="0.2">
      <c r="A64" s="13"/>
      <c r="B64" s="3">
        <v>11.1</v>
      </c>
      <c r="C64" s="85" t="s">
        <v>166</v>
      </c>
      <c r="D64" s="86"/>
      <c r="E64" s="7" t="s">
        <v>51</v>
      </c>
      <c r="F64" s="3" t="s">
        <v>251</v>
      </c>
      <c r="G64" s="19">
        <f>SUM(H64:K64)</f>
        <v>615889.05000000005</v>
      </c>
      <c r="H64" s="19">
        <f>ROUND((603082.82*0.1275),2)+12806.23</f>
        <v>89699.29</v>
      </c>
      <c r="I64" s="19">
        <v>512620.4</v>
      </c>
      <c r="J64" s="19" t="s">
        <v>39</v>
      </c>
      <c r="K64" s="19">
        <f>ROUND((603082.82*0.0225),2)</f>
        <v>13569.36</v>
      </c>
      <c r="L64" s="66" t="s">
        <v>80</v>
      </c>
      <c r="M64" s="17" t="s">
        <v>233</v>
      </c>
      <c r="N64" s="18">
        <v>2019</v>
      </c>
      <c r="O64" s="3" t="s">
        <v>16</v>
      </c>
      <c r="P64" s="34"/>
      <c r="Q64" s="34"/>
      <c r="R64" s="34"/>
    </row>
    <row r="65" spans="1:18" s="10" customFormat="1" ht="24" customHeight="1" x14ac:dyDescent="0.2">
      <c r="A65" s="23"/>
      <c r="B65" s="79" t="s">
        <v>229</v>
      </c>
      <c r="C65" s="80"/>
      <c r="D65" s="80"/>
      <c r="E65" s="80"/>
      <c r="F65" s="80"/>
      <c r="G65" s="80"/>
      <c r="H65" s="80"/>
      <c r="I65" s="80"/>
      <c r="J65" s="80"/>
      <c r="K65" s="80"/>
      <c r="L65" s="80"/>
      <c r="M65" s="80"/>
      <c r="N65" s="80"/>
      <c r="O65" s="81"/>
    </row>
    <row r="66" spans="1:18" s="10" customFormat="1" ht="117" customHeight="1" x14ac:dyDescent="0.2">
      <c r="A66" s="23"/>
      <c r="B66" s="82" t="s">
        <v>234</v>
      </c>
      <c r="C66" s="83"/>
      <c r="D66" s="83"/>
      <c r="E66" s="83"/>
      <c r="F66" s="83"/>
      <c r="G66" s="83"/>
      <c r="H66" s="83"/>
      <c r="I66" s="83"/>
      <c r="J66" s="83"/>
      <c r="K66" s="83"/>
      <c r="L66" s="83"/>
      <c r="M66" s="83"/>
      <c r="N66" s="83"/>
      <c r="O66" s="84"/>
    </row>
    <row r="67" spans="1:18" s="10" customFormat="1" ht="104.25" customHeight="1" x14ac:dyDescent="0.2">
      <c r="A67" s="23"/>
      <c r="B67" s="82" t="s">
        <v>301</v>
      </c>
      <c r="C67" s="83"/>
      <c r="D67" s="83"/>
      <c r="E67" s="83"/>
      <c r="F67" s="83"/>
      <c r="G67" s="83"/>
      <c r="H67" s="83"/>
      <c r="I67" s="83"/>
      <c r="J67" s="83"/>
      <c r="K67" s="83"/>
      <c r="L67" s="83"/>
      <c r="M67" s="83"/>
      <c r="N67" s="83"/>
      <c r="O67" s="84"/>
    </row>
    <row r="68" spans="1:18" s="14" customFormat="1" ht="234.75" customHeight="1" x14ac:dyDescent="0.2">
      <c r="A68" s="13"/>
      <c r="B68" s="7">
        <v>12</v>
      </c>
      <c r="C68" s="85" t="s">
        <v>196</v>
      </c>
      <c r="D68" s="87"/>
      <c r="E68" s="7" t="s">
        <v>61</v>
      </c>
      <c r="F68" s="7" t="s">
        <v>39</v>
      </c>
      <c r="G68" s="12">
        <f>SUM(G69:G69)</f>
        <v>154972.13</v>
      </c>
      <c r="H68" s="12">
        <f>SUM(H69:H69)</f>
        <v>68555.399999999994</v>
      </c>
      <c r="I68" s="12">
        <f>SUM(I69:I69)</f>
        <v>84188.22</v>
      </c>
      <c r="J68" s="12" t="s">
        <v>39</v>
      </c>
      <c r="K68" s="12">
        <f>SUM(K69:K69)</f>
        <v>2228.5100000000002</v>
      </c>
      <c r="L68" s="66" t="s">
        <v>302</v>
      </c>
      <c r="M68" s="15">
        <v>2019</v>
      </c>
      <c r="N68" s="11" t="s">
        <v>197</v>
      </c>
      <c r="O68" s="3" t="s">
        <v>16</v>
      </c>
    </row>
    <row r="69" spans="1:18" s="14" customFormat="1" ht="86.25" customHeight="1" x14ac:dyDescent="0.2">
      <c r="A69" s="13"/>
      <c r="B69" s="7">
        <v>12.1</v>
      </c>
      <c r="C69" s="85" t="s">
        <v>84</v>
      </c>
      <c r="D69" s="87"/>
      <c r="E69" s="7" t="s">
        <v>61</v>
      </c>
      <c r="F69" s="7" t="s">
        <v>39</v>
      </c>
      <c r="G69" s="12">
        <f>SUM(H69:K69)</f>
        <v>154972.13</v>
      </c>
      <c r="H69" s="12">
        <f>ROUND((99044.96*0.1275),2)+55927.17</f>
        <v>68555.399999999994</v>
      </c>
      <c r="I69" s="12">
        <v>84188.22</v>
      </c>
      <c r="J69" s="12" t="s">
        <v>39</v>
      </c>
      <c r="K69" s="12">
        <f>ROUND((99044.96*0.0225),2)</f>
        <v>2228.5100000000002</v>
      </c>
      <c r="L69" s="66" t="s">
        <v>81</v>
      </c>
      <c r="M69" s="15" t="s">
        <v>198</v>
      </c>
      <c r="N69" s="15">
        <v>2020</v>
      </c>
      <c r="O69" s="3" t="s">
        <v>16</v>
      </c>
      <c r="P69" s="34"/>
      <c r="Q69" s="34"/>
      <c r="R69" s="34"/>
    </row>
    <row r="70" spans="1:18" s="10" customFormat="1" ht="20.25" customHeight="1" x14ac:dyDescent="0.2">
      <c r="A70" s="23"/>
      <c r="B70" s="79" t="s">
        <v>127</v>
      </c>
      <c r="C70" s="80"/>
      <c r="D70" s="80"/>
      <c r="E70" s="80"/>
      <c r="F70" s="80"/>
      <c r="G70" s="80"/>
      <c r="H70" s="80"/>
      <c r="I70" s="80"/>
      <c r="J70" s="80"/>
      <c r="K70" s="80"/>
      <c r="L70" s="80"/>
      <c r="M70" s="80"/>
      <c r="N70" s="80"/>
      <c r="O70" s="81"/>
    </row>
    <row r="71" spans="1:18" s="10" customFormat="1" ht="88.5" customHeight="1" x14ac:dyDescent="0.2">
      <c r="A71" s="23"/>
      <c r="B71" s="82" t="s">
        <v>156</v>
      </c>
      <c r="C71" s="83"/>
      <c r="D71" s="83"/>
      <c r="E71" s="83"/>
      <c r="F71" s="83"/>
      <c r="G71" s="83"/>
      <c r="H71" s="83"/>
      <c r="I71" s="83"/>
      <c r="J71" s="83"/>
      <c r="K71" s="83"/>
      <c r="L71" s="83"/>
      <c r="M71" s="83"/>
      <c r="N71" s="83"/>
      <c r="O71" s="84"/>
    </row>
    <row r="72" spans="1:18" s="10" customFormat="1" ht="56.25" customHeight="1" x14ac:dyDescent="0.2">
      <c r="A72" s="23"/>
      <c r="B72" s="114" t="s">
        <v>134</v>
      </c>
      <c r="C72" s="115"/>
      <c r="D72" s="115"/>
      <c r="E72" s="115"/>
      <c r="F72" s="115"/>
      <c r="G72" s="115"/>
      <c r="H72" s="115"/>
      <c r="I72" s="115"/>
      <c r="J72" s="115"/>
      <c r="K72" s="115"/>
      <c r="L72" s="115"/>
      <c r="M72" s="115"/>
      <c r="N72" s="115"/>
      <c r="O72" s="116"/>
    </row>
    <row r="73" spans="1:18" ht="225.75" customHeight="1" x14ac:dyDescent="0.2">
      <c r="A73" s="2"/>
      <c r="B73" s="7">
        <v>13</v>
      </c>
      <c r="C73" s="90" t="s">
        <v>199</v>
      </c>
      <c r="D73" s="91"/>
      <c r="E73" s="7" t="s">
        <v>62</v>
      </c>
      <c r="F73" s="7" t="s">
        <v>39</v>
      </c>
      <c r="G73" s="12">
        <f>G74</f>
        <v>27651.98</v>
      </c>
      <c r="H73" s="12">
        <f>H74</f>
        <v>3525.63</v>
      </c>
      <c r="I73" s="12">
        <v>23504.18</v>
      </c>
      <c r="J73" s="12" t="s">
        <v>39</v>
      </c>
      <c r="K73" s="12">
        <f>K74</f>
        <v>622.16999999999996</v>
      </c>
      <c r="L73" s="66" t="s">
        <v>303</v>
      </c>
      <c r="M73" s="15">
        <v>2019</v>
      </c>
      <c r="N73" s="11" t="s">
        <v>54</v>
      </c>
      <c r="O73" s="3" t="s">
        <v>16</v>
      </c>
    </row>
    <row r="74" spans="1:18" ht="96.75" customHeight="1" x14ac:dyDescent="0.2">
      <c r="A74" s="2"/>
      <c r="B74" s="7" t="s">
        <v>118</v>
      </c>
      <c r="C74" s="90" t="s">
        <v>135</v>
      </c>
      <c r="D74" s="91"/>
      <c r="E74" s="7" t="s">
        <v>62</v>
      </c>
      <c r="F74" s="7" t="s">
        <v>39</v>
      </c>
      <c r="G74" s="12">
        <f>SUM(H74:K74)</f>
        <v>27651.98</v>
      </c>
      <c r="H74" s="12">
        <f>ROUND((27651.98*0.1275),2)</f>
        <v>3525.63</v>
      </c>
      <c r="I74" s="12">
        <v>23504.18</v>
      </c>
      <c r="J74" s="12" t="s">
        <v>39</v>
      </c>
      <c r="K74" s="12">
        <f>ROUND((27651.98*0.0225),2)</f>
        <v>622.16999999999996</v>
      </c>
      <c r="L74" s="66" t="s">
        <v>80</v>
      </c>
      <c r="M74" s="11" t="s">
        <v>200</v>
      </c>
      <c r="N74" s="15">
        <v>2019</v>
      </c>
      <c r="O74" s="3" t="s">
        <v>16</v>
      </c>
    </row>
    <row r="75" spans="1:18" ht="32.25" customHeight="1" x14ac:dyDescent="0.2">
      <c r="A75" s="2"/>
      <c r="B75" s="79" t="s">
        <v>128</v>
      </c>
      <c r="C75" s="80"/>
      <c r="D75" s="80"/>
      <c r="E75" s="80"/>
      <c r="F75" s="80"/>
      <c r="G75" s="80"/>
      <c r="H75" s="80"/>
      <c r="I75" s="80"/>
      <c r="J75" s="80"/>
      <c r="K75" s="80"/>
      <c r="L75" s="80"/>
      <c r="M75" s="80"/>
      <c r="N75" s="80"/>
      <c r="O75" s="81"/>
    </row>
    <row r="76" spans="1:18" ht="68.25" customHeight="1" x14ac:dyDescent="0.2">
      <c r="A76" s="2"/>
      <c r="B76" s="82" t="s">
        <v>235</v>
      </c>
      <c r="C76" s="83"/>
      <c r="D76" s="83"/>
      <c r="E76" s="83"/>
      <c r="F76" s="83"/>
      <c r="G76" s="83"/>
      <c r="H76" s="83"/>
      <c r="I76" s="83"/>
      <c r="J76" s="83"/>
      <c r="K76" s="83"/>
      <c r="L76" s="83"/>
      <c r="M76" s="83"/>
      <c r="N76" s="83"/>
      <c r="O76" s="84"/>
    </row>
    <row r="77" spans="1:18" ht="64.5" customHeight="1" x14ac:dyDescent="0.2">
      <c r="A77" s="2"/>
      <c r="B77" s="114" t="s">
        <v>140</v>
      </c>
      <c r="C77" s="115"/>
      <c r="D77" s="115"/>
      <c r="E77" s="115"/>
      <c r="F77" s="115"/>
      <c r="G77" s="115"/>
      <c r="H77" s="115"/>
      <c r="I77" s="115"/>
      <c r="J77" s="115"/>
      <c r="K77" s="115"/>
      <c r="L77" s="115"/>
      <c r="M77" s="115"/>
      <c r="N77" s="115"/>
      <c r="O77" s="116"/>
    </row>
    <row r="78" spans="1:18" ht="242.25" customHeight="1" x14ac:dyDescent="0.2">
      <c r="A78" s="2"/>
      <c r="B78" s="7">
        <v>14</v>
      </c>
      <c r="C78" s="90" t="s">
        <v>201</v>
      </c>
      <c r="D78" s="91"/>
      <c r="E78" s="7" t="s">
        <v>62</v>
      </c>
      <c r="F78" s="37" t="str">
        <f>$F$79</f>
        <v>-</v>
      </c>
      <c r="G78" s="19">
        <v>170768.12</v>
      </c>
      <c r="H78" s="19">
        <v>34860.44</v>
      </c>
      <c r="I78" s="19">
        <v>132402.9</v>
      </c>
      <c r="J78" s="19" t="s">
        <v>39</v>
      </c>
      <c r="K78" s="19">
        <v>3504.78</v>
      </c>
      <c r="L78" s="66" t="s">
        <v>304</v>
      </c>
      <c r="M78" s="15">
        <v>2019</v>
      </c>
      <c r="N78" s="11" t="s">
        <v>55</v>
      </c>
      <c r="O78" s="3" t="s">
        <v>16</v>
      </c>
    </row>
    <row r="79" spans="1:18" ht="102" customHeight="1" x14ac:dyDescent="0.2">
      <c r="A79" s="2"/>
      <c r="B79" s="7" t="s">
        <v>47</v>
      </c>
      <c r="C79" s="90" t="s">
        <v>136</v>
      </c>
      <c r="D79" s="91"/>
      <c r="E79" s="7" t="s">
        <v>62</v>
      </c>
      <c r="F79" s="7" t="s">
        <v>39</v>
      </c>
      <c r="G79" s="12">
        <f>SUM(H79:K79)</f>
        <v>170768.12</v>
      </c>
      <c r="H79" s="12">
        <f>ROUND((155768.12*0.1275),2)+15000</f>
        <v>34860.44</v>
      </c>
      <c r="I79" s="12">
        <v>132402.9</v>
      </c>
      <c r="J79" s="12" t="s">
        <v>39</v>
      </c>
      <c r="K79" s="12">
        <f>ROUND((155768.12*0.0225),2)</f>
        <v>3504.78</v>
      </c>
      <c r="L79" s="66" t="s">
        <v>80</v>
      </c>
      <c r="M79" s="11" t="s">
        <v>202</v>
      </c>
      <c r="N79" s="15">
        <v>2019</v>
      </c>
      <c r="O79" s="3" t="s">
        <v>16</v>
      </c>
    </row>
    <row r="80" spans="1:18" ht="27" customHeight="1" x14ac:dyDescent="0.2">
      <c r="A80" s="2"/>
      <c r="B80" s="126" t="s">
        <v>129</v>
      </c>
      <c r="C80" s="80"/>
      <c r="D80" s="80"/>
      <c r="E80" s="80"/>
      <c r="F80" s="80"/>
      <c r="G80" s="80"/>
      <c r="H80" s="80"/>
      <c r="I80" s="80"/>
      <c r="J80" s="80"/>
      <c r="K80" s="80"/>
      <c r="L80" s="80"/>
      <c r="M80" s="80"/>
      <c r="N80" s="80"/>
      <c r="O80" s="81"/>
    </row>
    <row r="81" spans="1:18" ht="64.5" customHeight="1" x14ac:dyDescent="0.2">
      <c r="A81" s="2"/>
      <c r="B81" s="82" t="s">
        <v>155</v>
      </c>
      <c r="C81" s="83"/>
      <c r="D81" s="83"/>
      <c r="E81" s="83"/>
      <c r="F81" s="83"/>
      <c r="G81" s="83"/>
      <c r="H81" s="83"/>
      <c r="I81" s="83"/>
      <c r="J81" s="83"/>
      <c r="K81" s="83"/>
      <c r="L81" s="83"/>
      <c r="M81" s="83"/>
      <c r="N81" s="83"/>
      <c r="O81" s="84"/>
    </row>
    <row r="82" spans="1:18" ht="75" customHeight="1" x14ac:dyDescent="0.2">
      <c r="A82" s="2"/>
      <c r="B82" s="156" t="s">
        <v>236</v>
      </c>
      <c r="C82" s="157"/>
      <c r="D82" s="157"/>
      <c r="E82" s="157"/>
      <c r="F82" s="157"/>
      <c r="G82" s="157"/>
      <c r="H82" s="157"/>
      <c r="I82" s="157"/>
      <c r="J82" s="157"/>
      <c r="K82" s="157"/>
      <c r="L82" s="157"/>
      <c r="M82" s="157"/>
      <c r="N82" s="157"/>
      <c r="O82" s="158"/>
    </row>
    <row r="83" spans="1:18" s="26" customFormat="1" ht="213.75" customHeight="1" x14ac:dyDescent="0.2">
      <c r="B83" s="7">
        <v>15</v>
      </c>
      <c r="C83" s="142" t="s">
        <v>203</v>
      </c>
      <c r="D83" s="143"/>
      <c r="E83" s="7" t="s">
        <v>204</v>
      </c>
      <c r="F83" s="37" t="s">
        <v>39</v>
      </c>
      <c r="G83" s="38">
        <v>115487.81</v>
      </c>
      <c r="H83" s="38">
        <v>41306.83</v>
      </c>
      <c r="I83" s="38">
        <v>72268</v>
      </c>
      <c r="J83" s="38" t="s">
        <v>39</v>
      </c>
      <c r="K83" s="38">
        <v>1912.98</v>
      </c>
      <c r="L83" s="66" t="s">
        <v>305</v>
      </c>
      <c r="M83" s="40">
        <v>2019</v>
      </c>
      <c r="N83" s="39" t="s">
        <v>149</v>
      </c>
      <c r="O83" s="25" t="s">
        <v>16</v>
      </c>
    </row>
    <row r="84" spans="1:18" s="14" customFormat="1" ht="160.5" customHeight="1" x14ac:dyDescent="0.2">
      <c r="A84" s="13"/>
      <c r="B84" s="72" t="s">
        <v>53</v>
      </c>
      <c r="C84" s="94" t="s">
        <v>137</v>
      </c>
      <c r="D84" s="95"/>
      <c r="E84" s="7" t="s">
        <v>204</v>
      </c>
      <c r="F84" s="38" t="s">
        <v>39</v>
      </c>
      <c r="G84" s="38">
        <f>SUM(H84:K84)</f>
        <v>115487.81</v>
      </c>
      <c r="H84" s="38">
        <f>ROUND((85021.18*0.1275),2)+19967.74+10498.89</f>
        <v>41306.83</v>
      </c>
      <c r="I84" s="38">
        <v>72268</v>
      </c>
      <c r="J84" s="38" t="s">
        <v>39</v>
      </c>
      <c r="K84" s="38">
        <f>ROUND((85021.18*0.0225),2)</f>
        <v>1912.98</v>
      </c>
      <c r="L84" s="66" t="s">
        <v>138</v>
      </c>
      <c r="M84" s="39" t="s">
        <v>205</v>
      </c>
      <c r="N84" s="40">
        <v>2019</v>
      </c>
      <c r="O84" s="25" t="s">
        <v>16</v>
      </c>
    </row>
    <row r="85" spans="1:18" s="10" customFormat="1" ht="42.75" customHeight="1" x14ac:dyDescent="0.2">
      <c r="A85" s="23"/>
      <c r="B85" s="106" t="s">
        <v>125</v>
      </c>
      <c r="C85" s="107"/>
      <c r="D85" s="107"/>
      <c r="E85" s="107"/>
      <c r="F85" s="107"/>
      <c r="G85" s="107"/>
      <c r="H85" s="107"/>
      <c r="I85" s="107"/>
      <c r="J85" s="107"/>
      <c r="K85" s="107"/>
      <c r="L85" s="107"/>
      <c r="M85" s="107"/>
      <c r="N85" s="107"/>
      <c r="O85" s="108"/>
    </row>
    <row r="86" spans="1:18" s="10" customFormat="1" ht="27" customHeight="1" x14ac:dyDescent="0.2">
      <c r="A86" s="23"/>
      <c r="B86" s="126" t="s">
        <v>206</v>
      </c>
      <c r="C86" s="151"/>
      <c r="D86" s="151"/>
      <c r="E86" s="151"/>
      <c r="F86" s="151"/>
      <c r="G86" s="151"/>
      <c r="H86" s="151"/>
      <c r="I86" s="151"/>
      <c r="J86" s="151"/>
      <c r="K86" s="151"/>
      <c r="L86" s="151"/>
      <c r="M86" s="151"/>
      <c r="N86" s="151"/>
      <c r="O86" s="152"/>
    </row>
    <row r="87" spans="1:18" s="10" customFormat="1" ht="178.5" customHeight="1" x14ac:dyDescent="0.2">
      <c r="A87" s="23"/>
      <c r="B87" s="82" t="s">
        <v>207</v>
      </c>
      <c r="C87" s="83"/>
      <c r="D87" s="83"/>
      <c r="E87" s="83"/>
      <c r="F87" s="83"/>
      <c r="G87" s="83"/>
      <c r="H87" s="83"/>
      <c r="I87" s="83"/>
      <c r="J87" s="83"/>
      <c r="K87" s="83"/>
      <c r="L87" s="83"/>
      <c r="M87" s="83"/>
      <c r="N87" s="83"/>
      <c r="O87" s="84"/>
    </row>
    <row r="88" spans="1:18" s="10" customFormat="1" ht="112.5" customHeight="1" x14ac:dyDescent="0.2">
      <c r="A88" s="26"/>
      <c r="B88" s="82" t="s">
        <v>91</v>
      </c>
      <c r="C88" s="83"/>
      <c r="D88" s="83"/>
      <c r="E88" s="83"/>
      <c r="F88" s="83"/>
      <c r="G88" s="83"/>
      <c r="H88" s="83"/>
      <c r="I88" s="83"/>
      <c r="J88" s="83"/>
      <c r="K88" s="83"/>
      <c r="L88" s="83"/>
      <c r="M88" s="83"/>
      <c r="N88" s="83"/>
      <c r="O88" s="84"/>
    </row>
    <row r="89" spans="1:18" ht="235.5" customHeight="1" x14ac:dyDescent="0.2">
      <c r="A89" s="6"/>
      <c r="B89" s="7">
        <v>16</v>
      </c>
      <c r="C89" s="92" t="s">
        <v>208</v>
      </c>
      <c r="D89" s="93"/>
      <c r="E89" s="7" t="s">
        <v>306</v>
      </c>
      <c r="F89" s="7" t="s">
        <v>246</v>
      </c>
      <c r="G89" s="12">
        <f>SUM(H89:K89)</f>
        <v>11257509.74</v>
      </c>
      <c r="H89" s="12">
        <f>H90</f>
        <v>775855.4</v>
      </c>
      <c r="I89" s="12">
        <f>I90</f>
        <v>5172369.34</v>
      </c>
      <c r="J89" s="12">
        <f>J90</f>
        <v>5172369.34</v>
      </c>
      <c r="K89" s="12">
        <f>K90</f>
        <v>136915.66</v>
      </c>
      <c r="L89" s="30" t="s">
        <v>307</v>
      </c>
      <c r="M89" s="15">
        <v>2018</v>
      </c>
      <c r="N89" s="15" t="s">
        <v>209</v>
      </c>
      <c r="O89" s="67" t="s">
        <v>113</v>
      </c>
    </row>
    <row r="90" spans="1:18" ht="147.75" customHeight="1" x14ac:dyDescent="0.2">
      <c r="A90" s="6"/>
      <c r="B90" s="7" t="s">
        <v>48</v>
      </c>
      <c r="C90" s="92" t="s">
        <v>74</v>
      </c>
      <c r="D90" s="93"/>
      <c r="E90" s="7" t="s">
        <v>306</v>
      </c>
      <c r="F90" s="7" t="s">
        <v>246</v>
      </c>
      <c r="G90" s="12">
        <f>SUM(H90:K90)</f>
        <v>11257509.74</v>
      </c>
      <c r="H90" s="12">
        <f>ROUND((6085140.4*0.1275),2)</f>
        <v>775855.4</v>
      </c>
      <c r="I90" s="12">
        <f>5000000+172369.34</f>
        <v>5172369.34</v>
      </c>
      <c r="J90" s="12">
        <f>5000000+172369.34</f>
        <v>5172369.34</v>
      </c>
      <c r="K90" s="12">
        <f>ROUND((6085140.4*0.0225),2)</f>
        <v>136915.66</v>
      </c>
      <c r="L90" s="30" t="s">
        <v>82</v>
      </c>
      <c r="M90" s="15" t="s">
        <v>210</v>
      </c>
      <c r="N90" s="15">
        <v>2019</v>
      </c>
      <c r="O90" s="67" t="s">
        <v>113</v>
      </c>
      <c r="P90" s="60"/>
      <c r="Q90" s="60"/>
      <c r="R90" s="60"/>
    </row>
    <row r="91" spans="1:18" s="10" customFormat="1" ht="36.75" customHeight="1" x14ac:dyDescent="0.2">
      <c r="A91" s="26"/>
      <c r="B91" s="136" t="s">
        <v>72</v>
      </c>
      <c r="C91" s="137"/>
      <c r="D91" s="137"/>
      <c r="E91" s="137"/>
      <c r="F91" s="137"/>
      <c r="G91" s="137"/>
      <c r="H91" s="137"/>
      <c r="I91" s="137"/>
      <c r="J91" s="137"/>
      <c r="K91" s="137"/>
      <c r="L91" s="137"/>
      <c r="M91" s="137"/>
      <c r="N91" s="137"/>
      <c r="O91" s="138"/>
    </row>
    <row r="92" spans="1:18" s="10" customFormat="1" ht="150" customHeight="1" x14ac:dyDescent="0.2">
      <c r="A92" s="26"/>
      <c r="B92" s="82" t="s">
        <v>158</v>
      </c>
      <c r="C92" s="83"/>
      <c r="D92" s="83"/>
      <c r="E92" s="83"/>
      <c r="F92" s="83"/>
      <c r="G92" s="83"/>
      <c r="H92" s="83"/>
      <c r="I92" s="83"/>
      <c r="J92" s="83"/>
      <c r="K92" s="83"/>
      <c r="L92" s="83"/>
      <c r="M92" s="83"/>
      <c r="N92" s="83"/>
      <c r="O92" s="84"/>
    </row>
    <row r="93" spans="1:18" s="10" customFormat="1" ht="126" customHeight="1" x14ac:dyDescent="0.2">
      <c r="A93" s="26"/>
      <c r="B93" s="82" t="s">
        <v>308</v>
      </c>
      <c r="C93" s="83"/>
      <c r="D93" s="83"/>
      <c r="E93" s="83"/>
      <c r="F93" s="83"/>
      <c r="G93" s="83"/>
      <c r="H93" s="83"/>
      <c r="I93" s="83"/>
      <c r="J93" s="83"/>
      <c r="K93" s="83"/>
      <c r="L93" s="83"/>
      <c r="M93" s="83"/>
      <c r="N93" s="83"/>
      <c r="O93" s="84"/>
    </row>
    <row r="94" spans="1:18" s="14" customFormat="1" ht="260.25" customHeight="1" x14ac:dyDescent="0.2">
      <c r="A94" s="20"/>
      <c r="B94" s="7">
        <v>17</v>
      </c>
      <c r="C94" s="90" t="s">
        <v>211</v>
      </c>
      <c r="D94" s="103"/>
      <c r="E94" s="7" t="s">
        <v>309</v>
      </c>
      <c r="F94" s="7" t="s">
        <v>247</v>
      </c>
      <c r="G94" s="12">
        <f>SUM(H94:K94)</f>
        <v>2655294.11</v>
      </c>
      <c r="H94" s="12">
        <f>H95</f>
        <v>183000</v>
      </c>
      <c r="I94" s="12">
        <v>1220000</v>
      </c>
      <c r="J94" s="12">
        <v>1220000</v>
      </c>
      <c r="K94" s="12">
        <f>K95</f>
        <v>32294.11</v>
      </c>
      <c r="L94" s="30" t="s">
        <v>310</v>
      </c>
      <c r="M94" s="15">
        <v>2018</v>
      </c>
      <c r="N94" s="15" t="s">
        <v>212</v>
      </c>
      <c r="O94" s="67" t="s">
        <v>108</v>
      </c>
    </row>
    <row r="95" spans="1:18" s="14" customFormat="1" ht="247.5" customHeight="1" x14ac:dyDescent="0.2">
      <c r="A95" s="20"/>
      <c r="B95" s="7" t="s">
        <v>243</v>
      </c>
      <c r="C95" s="90" t="s">
        <v>213</v>
      </c>
      <c r="D95" s="103"/>
      <c r="E95" s="7" t="s">
        <v>309</v>
      </c>
      <c r="F95" s="7" t="s">
        <v>247</v>
      </c>
      <c r="G95" s="12">
        <f>SUM(H95:K95)</f>
        <v>2655294.11</v>
      </c>
      <c r="H95" s="12">
        <f>ROUND((1435294.12*0.1275),2)</f>
        <v>183000</v>
      </c>
      <c r="I95" s="12">
        <v>1220000</v>
      </c>
      <c r="J95" s="12">
        <v>1220000</v>
      </c>
      <c r="K95" s="12">
        <f>ROUND((1435294.12*0.0225),2)-0.01</f>
        <v>32294.11</v>
      </c>
      <c r="L95" s="30" t="s">
        <v>311</v>
      </c>
      <c r="M95" s="15" t="s">
        <v>312</v>
      </c>
      <c r="N95" s="15">
        <v>2018</v>
      </c>
      <c r="O95" s="67" t="s">
        <v>108</v>
      </c>
    </row>
    <row r="96" spans="1:18" s="10" customFormat="1" ht="36.75" customHeight="1" x14ac:dyDescent="0.2">
      <c r="A96" s="26"/>
      <c r="B96" s="136" t="s">
        <v>106</v>
      </c>
      <c r="C96" s="137"/>
      <c r="D96" s="137"/>
      <c r="E96" s="137"/>
      <c r="F96" s="137"/>
      <c r="G96" s="137"/>
      <c r="H96" s="137"/>
      <c r="I96" s="137"/>
      <c r="J96" s="137"/>
      <c r="K96" s="137"/>
      <c r="L96" s="137"/>
      <c r="M96" s="137"/>
      <c r="N96" s="137"/>
      <c r="O96" s="138"/>
    </row>
    <row r="97" spans="1:18" s="10" customFormat="1" ht="266.25" customHeight="1" x14ac:dyDescent="0.2">
      <c r="A97" s="26"/>
      <c r="B97" s="82" t="s">
        <v>313</v>
      </c>
      <c r="C97" s="83"/>
      <c r="D97" s="83"/>
      <c r="E97" s="83"/>
      <c r="F97" s="83"/>
      <c r="G97" s="83"/>
      <c r="H97" s="83"/>
      <c r="I97" s="83"/>
      <c r="J97" s="83"/>
      <c r="K97" s="83"/>
      <c r="L97" s="83"/>
      <c r="M97" s="83"/>
      <c r="N97" s="83"/>
      <c r="O97" s="84"/>
    </row>
    <row r="98" spans="1:18" s="10" customFormat="1" ht="150" customHeight="1" x14ac:dyDescent="0.2">
      <c r="A98" s="26"/>
      <c r="B98" s="114" t="s">
        <v>314</v>
      </c>
      <c r="C98" s="115"/>
      <c r="D98" s="115"/>
      <c r="E98" s="115"/>
      <c r="F98" s="115"/>
      <c r="G98" s="115"/>
      <c r="H98" s="115"/>
      <c r="I98" s="115"/>
      <c r="J98" s="115"/>
      <c r="K98" s="115"/>
      <c r="L98" s="115"/>
      <c r="M98" s="115"/>
      <c r="N98" s="115"/>
      <c r="O98" s="116"/>
    </row>
    <row r="99" spans="1:18" s="14" customFormat="1" ht="266.25" customHeight="1" x14ac:dyDescent="0.2">
      <c r="A99" s="20"/>
      <c r="B99" s="7">
        <v>18</v>
      </c>
      <c r="C99" s="90" t="s">
        <v>214</v>
      </c>
      <c r="D99" s="103"/>
      <c r="E99" s="7" t="s">
        <v>329</v>
      </c>
      <c r="F99" s="7" t="s">
        <v>248</v>
      </c>
      <c r="G99" s="12">
        <f>SUM(H99:K99)</f>
        <v>13058823.529999999</v>
      </c>
      <c r="H99" s="12">
        <f>H100+H101</f>
        <v>900000</v>
      </c>
      <c r="I99" s="12">
        <f t="shared" ref="I99:K99" si="0">I100+I101</f>
        <v>6000000</v>
      </c>
      <c r="J99" s="12">
        <f t="shared" si="0"/>
        <v>6000000</v>
      </c>
      <c r="K99" s="12">
        <f t="shared" si="0"/>
        <v>158823.53</v>
      </c>
      <c r="L99" s="66" t="s">
        <v>230</v>
      </c>
      <c r="M99" s="15">
        <v>2018</v>
      </c>
      <c r="N99" s="15" t="s">
        <v>315</v>
      </c>
      <c r="O99" s="67" t="s">
        <v>107</v>
      </c>
    </row>
    <row r="100" spans="1:18" s="14" customFormat="1" ht="102.75" customHeight="1" x14ac:dyDescent="0.2">
      <c r="A100" s="20"/>
      <c r="B100" s="7" t="s">
        <v>119</v>
      </c>
      <c r="C100" s="90" t="s">
        <v>96</v>
      </c>
      <c r="D100" s="103"/>
      <c r="E100" s="7" t="s">
        <v>330</v>
      </c>
      <c r="F100" s="7" t="s">
        <v>249</v>
      </c>
      <c r="G100" s="12">
        <f>SUM(H100:K100)</f>
        <v>10838823.529999999</v>
      </c>
      <c r="H100" s="12">
        <f>ROUND((5858823.53*0.1275),2)</f>
        <v>747000</v>
      </c>
      <c r="I100" s="12">
        <f>ROUND((6000000*0.83),2)</f>
        <v>4980000</v>
      </c>
      <c r="J100" s="12">
        <f>ROUND((6000000*0.83),2)</f>
        <v>4980000</v>
      </c>
      <c r="K100" s="12">
        <f>ROUND((5858823.53*0.0225),2)</f>
        <v>131823.53</v>
      </c>
      <c r="L100" s="66" t="s">
        <v>97</v>
      </c>
      <c r="M100" s="15" t="s">
        <v>316</v>
      </c>
      <c r="N100" s="15">
        <v>2020</v>
      </c>
      <c r="O100" s="3" t="s">
        <v>104</v>
      </c>
    </row>
    <row r="101" spans="1:18" s="14" customFormat="1" ht="137.25" customHeight="1" x14ac:dyDescent="0.2">
      <c r="A101" s="20"/>
      <c r="B101" s="7" t="s">
        <v>244</v>
      </c>
      <c r="C101" s="90" t="s">
        <v>98</v>
      </c>
      <c r="D101" s="103"/>
      <c r="E101" s="7" t="s">
        <v>331</v>
      </c>
      <c r="F101" s="7" t="s">
        <v>249</v>
      </c>
      <c r="G101" s="12">
        <f>SUM(H101:K101)</f>
        <v>2220000</v>
      </c>
      <c r="H101" s="12">
        <f>ROUND((1200000*0.1275),2)</f>
        <v>153000</v>
      </c>
      <c r="I101" s="12">
        <f>ROUND((6000000*0.17),2)</f>
        <v>1020000</v>
      </c>
      <c r="J101" s="12">
        <f>ROUND((6000000*0.17),2)</f>
        <v>1020000</v>
      </c>
      <c r="K101" s="12">
        <f>ROUND((1200000*0.0225),2)</f>
        <v>27000</v>
      </c>
      <c r="L101" s="66" t="s">
        <v>99</v>
      </c>
      <c r="M101" s="15" t="s">
        <v>317</v>
      </c>
      <c r="N101" s="15">
        <v>2020</v>
      </c>
      <c r="O101" s="3" t="s">
        <v>104</v>
      </c>
    </row>
    <row r="102" spans="1:18" s="10" customFormat="1" ht="27" customHeight="1" x14ac:dyDescent="0.2">
      <c r="A102" s="26"/>
      <c r="B102" s="136" t="s">
        <v>112</v>
      </c>
      <c r="C102" s="137"/>
      <c r="D102" s="137"/>
      <c r="E102" s="137"/>
      <c r="F102" s="137"/>
      <c r="G102" s="137"/>
      <c r="H102" s="137"/>
      <c r="I102" s="137"/>
      <c r="J102" s="137"/>
      <c r="K102" s="137"/>
      <c r="L102" s="137"/>
      <c r="M102" s="137"/>
      <c r="N102" s="137"/>
      <c r="O102" s="138"/>
    </row>
    <row r="103" spans="1:18" s="10" customFormat="1" ht="108" customHeight="1" x14ac:dyDescent="0.2">
      <c r="A103" s="26"/>
      <c r="B103" s="82" t="s">
        <v>167</v>
      </c>
      <c r="C103" s="83"/>
      <c r="D103" s="83"/>
      <c r="E103" s="83"/>
      <c r="F103" s="83"/>
      <c r="G103" s="83"/>
      <c r="H103" s="83"/>
      <c r="I103" s="83"/>
      <c r="J103" s="83"/>
      <c r="K103" s="83"/>
      <c r="L103" s="83"/>
      <c r="M103" s="83"/>
      <c r="N103" s="83"/>
      <c r="O103" s="84"/>
    </row>
    <row r="104" spans="1:18" s="10" customFormat="1" ht="74.25" customHeight="1" x14ac:dyDescent="0.2">
      <c r="A104" s="26"/>
      <c r="B104" s="114" t="s">
        <v>114</v>
      </c>
      <c r="C104" s="115"/>
      <c r="D104" s="115"/>
      <c r="E104" s="115"/>
      <c r="F104" s="115"/>
      <c r="G104" s="115"/>
      <c r="H104" s="115"/>
      <c r="I104" s="115"/>
      <c r="J104" s="115"/>
      <c r="K104" s="115"/>
      <c r="L104" s="115"/>
      <c r="M104" s="115"/>
      <c r="N104" s="115"/>
      <c r="O104" s="116"/>
    </row>
    <row r="105" spans="1:18" ht="250.5" customHeight="1" x14ac:dyDescent="0.2">
      <c r="A105" s="6"/>
      <c r="B105" s="7">
        <v>19</v>
      </c>
      <c r="C105" s="76" t="s">
        <v>215</v>
      </c>
      <c r="D105" s="89"/>
      <c r="E105" s="7" t="s">
        <v>50</v>
      </c>
      <c r="F105" s="7" t="s">
        <v>250</v>
      </c>
      <c r="G105" s="12">
        <f>SUM(H105:K105)</f>
        <v>1322490.26</v>
      </c>
      <c r="H105" s="12">
        <f>H106</f>
        <v>91144.6</v>
      </c>
      <c r="I105" s="12">
        <f>I106</f>
        <v>607630.66</v>
      </c>
      <c r="J105" s="12">
        <f>J106</f>
        <v>607630.66</v>
      </c>
      <c r="K105" s="12">
        <f>K106</f>
        <v>16084.34</v>
      </c>
      <c r="L105" s="66" t="s">
        <v>318</v>
      </c>
      <c r="M105" s="15">
        <v>2019</v>
      </c>
      <c r="N105" s="15" t="s">
        <v>76</v>
      </c>
      <c r="O105" s="67" t="s">
        <v>109</v>
      </c>
    </row>
    <row r="106" spans="1:18" ht="83.25" customHeight="1" x14ac:dyDescent="0.2">
      <c r="A106" s="6"/>
      <c r="B106" s="7" t="s">
        <v>120</v>
      </c>
      <c r="C106" s="76" t="s">
        <v>110</v>
      </c>
      <c r="D106" s="89"/>
      <c r="E106" s="7" t="s">
        <v>50</v>
      </c>
      <c r="F106" s="7" t="s">
        <v>250</v>
      </c>
      <c r="G106" s="12">
        <f>SUM(H106:K106)</f>
        <v>1322490.26</v>
      </c>
      <c r="H106" s="12">
        <f>ROUND((714859.6*0.1275),2)</f>
        <v>91144.6</v>
      </c>
      <c r="I106" s="12">
        <f>780000-172369.34</f>
        <v>607630.66</v>
      </c>
      <c r="J106" s="12">
        <f>780000-172369.34</f>
        <v>607630.66</v>
      </c>
      <c r="K106" s="12">
        <f>ROUND((714859.6*0.0225),2)</f>
        <v>16084.34</v>
      </c>
      <c r="L106" s="66" t="s">
        <v>100</v>
      </c>
      <c r="M106" s="15" t="s">
        <v>77</v>
      </c>
      <c r="N106" s="15">
        <v>2020</v>
      </c>
      <c r="O106" s="3" t="s">
        <v>104</v>
      </c>
      <c r="Q106" s="60"/>
      <c r="R106" s="60"/>
    </row>
    <row r="107" spans="1:18" ht="42.75" customHeight="1" x14ac:dyDescent="0.2">
      <c r="A107" s="6"/>
      <c r="B107" s="136" t="s">
        <v>239</v>
      </c>
      <c r="C107" s="137"/>
      <c r="D107" s="137"/>
      <c r="E107" s="137"/>
      <c r="F107" s="137"/>
      <c r="G107" s="137"/>
      <c r="H107" s="137"/>
      <c r="I107" s="137"/>
      <c r="J107" s="137"/>
      <c r="K107" s="137"/>
      <c r="L107" s="137"/>
      <c r="M107" s="137"/>
      <c r="N107" s="137"/>
      <c r="O107" s="138"/>
    </row>
    <row r="108" spans="1:18" ht="100.5" customHeight="1" x14ac:dyDescent="0.2">
      <c r="A108" s="6"/>
      <c r="B108" s="82" t="s">
        <v>237</v>
      </c>
      <c r="C108" s="83"/>
      <c r="D108" s="83"/>
      <c r="E108" s="83"/>
      <c r="F108" s="83"/>
      <c r="G108" s="83"/>
      <c r="H108" s="83"/>
      <c r="I108" s="83"/>
      <c r="J108" s="83"/>
      <c r="K108" s="83"/>
      <c r="L108" s="83"/>
      <c r="M108" s="83"/>
      <c r="N108" s="83"/>
      <c r="O108" s="84"/>
    </row>
    <row r="109" spans="1:18" ht="120" customHeight="1" x14ac:dyDescent="0.2">
      <c r="A109" s="6"/>
      <c r="B109" s="114" t="s">
        <v>238</v>
      </c>
      <c r="C109" s="115"/>
      <c r="D109" s="115"/>
      <c r="E109" s="115"/>
      <c r="F109" s="115"/>
      <c r="G109" s="115"/>
      <c r="H109" s="115"/>
      <c r="I109" s="115"/>
      <c r="J109" s="115"/>
      <c r="K109" s="115"/>
      <c r="L109" s="115"/>
      <c r="M109" s="115"/>
      <c r="N109" s="115"/>
      <c r="O109" s="116"/>
    </row>
    <row r="110" spans="1:18" ht="245.25" customHeight="1" x14ac:dyDescent="0.2">
      <c r="A110" s="6"/>
      <c r="B110" s="7">
        <v>20</v>
      </c>
      <c r="C110" s="90" t="s">
        <v>73</v>
      </c>
      <c r="D110" s="117"/>
      <c r="E110" s="7" t="s">
        <v>58</v>
      </c>
      <c r="F110" s="7" t="s">
        <v>39</v>
      </c>
      <c r="G110" s="12">
        <f>SUM(H110:K110)</f>
        <v>10882352.949999999</v>
      </c>
      <c r="H110" s="12">
        <f>H111</f>
        <v>750000</v>
      </c>
      <c r="I110" s="12">
        <v>5000000</v>
      </c>
      <c r="J110" s="12">
        <v>5000000</v>
      </c>
      <c r="K110" s="12">
        <f>K111</f>
        <v>132352.95000000001</v>
      </c>
      <c r="L110" s="66" t="s">
        <v>231</v>
      </c>
      <c r="M110" s="15">
        <v>2018</v>
      </c>
      <c r="N110" s="15" t="s">
        <v>141</v>
      </c>
      <c r="O110" s="67" t="s">
        <v>111</v>
      </c>
    </row>
    <row r="111" spans="1:18" ht="87.75" customHeight="1" x14ac:dyDescent="0.2">
      <c r="A111" s="6"/>
      <c r="B111" s="7" t="s">
        <v>130</v>
      </c>
      <c r="C111" s="90" t="s">
        <v>70</v>
      </c>
      <c r="D111" s="117"/>
      <c r="E111" s="7" t="s">
        <v>58</v>
      </c>
      <c r="F111" s="7" t="s">
        <v>39</v>
      </c>
      <c r="G111" s="12">
        <f>SUM(H111:K111)</f>
        <v>10882352.949999999</v>
      </c>
      <c r="H111" s="12">
        <f>ROUND((5882352.94*0.1275),2)</f>
        <v>750000</v>
      </c>
      <c r="I111" s="12">
        <v>5000000</v>
      </c>
      <c r="J111" s="12">
        <v>5000000</v>
      </c>
      <c r="K111" s="12">
        <f>ROUND((5882352.94*0.0225),2)+0.01</f>
        <v>132352.95000000001</v>
      </c>
      <c r="L111" s="66" t="s">
        <v>83</v>
      </c>
      <c r="M111" s="15" t="s">
        <v>216</v>
      </c>
      <c r="N111" s="15">
        <v>2019</v>
      </c>
      <c r="O111" s="3" t="s">
        <v>104</v>
      </c>
    </row>
    <row r="112" spans="1:18" ht="26.25" customHeight="1" x14ac:dyDescent="0.2">
      <c r="A112" s="6"/>
      <c r="B112" s="136" t="s">
        <v>245</v>
      </c>
      <c r="C112" s="137"/>
      <c r="D112" s="137"/>
      <c r="E112" s="137"/>
      <c r="F112" s="137"/>
      <c r="G112" s="137"/>
      <c r="H112" s="137"/>
      <c r="I112" s="137"/>
      <c r="J112" s="137"/>
      <c r="K112" s="137"/>
      <c r="L112" s="137"/>
      <c r="M112" s="137"/>
      <c r="N112" s="137"/>
      <c r="O112" s="138"/>
    </row>
    <row r="113" spans="1:18" ht="144.75" customHeight="1" x14ac:dyDescent="0.2">
      <c r="A113" s="6"/>
      <c r="B113" s="153" t="s">
        <v>319</v>
      </c>
      <c r="C113" s="154"/>
      <c r="D113" s="154"/>
      <c r="E113" s="154"/>
      <c r="F113" s="154"/>
      <c r="G113" s="154"/>
      <c r="H113" s="154"/>
      <c r="I113" s="154"/>
      <c r="J113" s="154"/>
      <c r="K113" s="154"/>
      <c r="L113" s="154"/>
      <c r="M113" s="154"/>
      <c r="N113" s="154"/>
      <c r="O113" s="155"/>
    </row>
    <row r="114" spans="1:18" ht="54.75" customHeight="1" x14ac:dyDescent="0.2">
      <c r="A114" s="6"/>
      <c r="B114" s="153" t="s">
        <v>320</v>
      </c>
      <c r="C114" s="154"/>
      <c r="D114" s="154"/>
      <c r="E114" s="154"/>
      <c r="F114" s="154"/>
      <c r="G114" s="154"/>
      <c r="H114" s="154"/>
      <c r="I114" s="154"/>
      <c r="J114" s="154"/>
      <c r="K114" s="154"/>
      <c r="L114" s="154"/>
      <c r="M114" s="154"/>
      <c r="N114" s="154"/>
      <c r="O114" s="155"/>
    </row>
    <row r="115" spans="1:18" ht="259.5" customHeight="1" x14ac:dyDescent="0.2">
      <c r="A115" s="6"/>
      <c r="B115" s="33">
        <v>21</v>
      </c>
      <c r="C115" s="125" t="s">
        <v>321</v>
      </c>
      <c r="D115" s="125"/>
      <c r="E115" s="7" t="s">
        <v>257</v>
      </c>
      <c r="F115" s="7" t="s">
        <v>258</v>
      </c>
      <c r="G115" s="12">
        <v>217312</v>
      </c>
      <c r="H115" s="12">
        <v>27707.279999999999</v>
      </c>
      <c r="I115" s="12">
        <v>184715.2</v>
      </c>
      <c r="J115" s="12">
        <v>184715.2</v>
      </c>
      <c r="K115" s="12">
        <v>4889.5200000000004</v>
      </c>
      <c r="L115" s="73" t="s">
        <v>322</v>
      </c>
      <c r="M115" s="15">
        <v>2019</v>
      </c>
      <c r="N115" s="15" t="s">
        <v>323</v>
      </c>
      <c r="O115" s="67" t="s">
        <v>111</v>
      </c>
    </row>
    <row r="116" spans="1:18" ht="125.25" customHeight="1" x14ac:dyDescent="0.2">
      <c r="A116" s="6"/>
      <c r="B116" s="33">
        <v>21.1</v>
      </c>
      <c r="C116" s="125" t="s">
        <v>260</v>
      </c>
      <c r="D116" s="125"/>
      <c r="E116" s="7" t="s">
        <v>257</v>
      </c>
      <c r="F116" s="7" t="s">
        <v>258</v>
      </c>
      <c r="G116" s="12">
        <v>217312</v>
      </c>
      <c r="H116" s="12">
        <v>27707.279999999999</v>
      </c>
      <c r="I116" s="12">
        <v>184715.2</v>
      </c>
      <c r="J116" s="12">
        <v>184715.2</v>
      </c>
      <c r="K116" s="12">
        <v>4889.5200000000004</v>
      </c>
      <c r="L116" s="73" t="s">
        <v>259</v>
      </c>
      <c r="M116" s="15" t="s">
        <v>324</v>
      </c>
      <c r="N116" s="15">
        <v>2020</v>
      </c>
      <c r="O116" s="67" t="s">
        <v>111</v>
      </c>
    </row>
    <row r="117" spans="1:18" ht="41.25" customHeight="1" x14ac:dyDescent="0.2">
      <c r="B117" s="106" t="s">
        <v>124</v>
      </c>
      <c r="C117" s="107"/>
      <c r="D117" s="107"/>
      <c r="E117" s="107"/>
      <c r="F117" s="107"/>
      <c r="G117" s="107"/>
      <c r="H117" s="107"/>
      <c r="I117" s="107"/>
      <c r="J117" s="107"/>
      <c r="K117" s="107"/>
      <c r="L117" s="107"/>
      <c r="M117" s="107"/>
      <c r="N117" s="107"/>
      <c r="O117" s="108"/>
    </row>
    <row r="118" spans="1:18" ht="27" customHeight="1" x14ac:dyDescent="0.2">
      <c r="B118" s="109" t="s">
        <v>333</v>
      </c>
      <c r="C118" s="110"/>
      <c r="D118" s="110"/>
      <c r="E118" s="110"/>
      <c r="F118" s="110"/>
      <c r="G118" s="110"/>
      <c r="H118" s="110"/>
      <c r="I118" s="110"/>
      <c r="J118" s="110"/>
      <c r="K118" s="110"/>
      <c r="L118" s="110"/>
      <c r="M118" s="110"/>
      <c r="N118" s="110"/>
      <c r="O118" s="111"/>
    </row>
    <row r="119" spans="1:18" s="22" customFormat="1" ht="132" customHeight="1" x14ac:dyDescent="0.25">
      <c r="B119" s="148" t="s">
        <v>332</v>
      </c>
      <c r="C119" s="149"/>
      <c r="D119" s="149"/>
      <c r="E119" s="149"/>
      <c r="F119" s="149"/>
      <c r="G119" s="149"/>
      <c r="H119" s="149"/>
      <c r="I119" s="149"/>
      <c r="J119" s="149"/>
      <c r="K119" s="149"/>
      <c r="L119" s="149"/>
      <c r="M119" s="149"/>
      <c r="N119" s="149"/>
      <c r="O119" s="150"/>
    </row>
    <row r="120" spans="1:18" ht="108" customHeight="1" x14ac:dyDescent="0.2">
      <c r="B120" s="82" t="s">
        <v>334</v>
      </c>
      <c r="C120" s="83"/>
      <c r="D120" s="83"/>
      <c r="E120" s="83"/>
      <c r="F120" s="83"/>
      <c r="G120" s="83"/>
      <c r="H120" s="83"/>
      <c r="I120" s="83"/>
      <c r="J120" s="83"/>
      <c r="K120" s="83"/>
      <c r="L120" s="83"/>
      <c r="M120" s="83"/>
      <c r="N120" s="83"/>
      <c r="O120" s="84"/>
    </row>
    <row r="121" spans="1:18" s="14" customFormat="1" ht="195" customHeight="1" x14ac:dyDescent="0.2">
      <c r="B121" s="7">
        <v>22</v>
      </c>
      <c r="C121" s="125" t="s">
        <v>338</v>
      </c>
      <c r="D121" s="135"/>
      <c r="E121" s="7" t="s">
        <v>56</v>
      </c>
      <c r="F121" s="5" t="s">
        <v>39</v>
      </c>
      <c r="G121" s="75">
        <v>6826933.5700000003</v>
      </c>
      <c r="H121" s="75">
        <f>ROUND((G121*0.1275),2)</f>
        <v>870434.03</v>
      </c>
      <c r="I121" s="75">
        <f>G121*0.85</f>
        <v>5802893.5345000001</v>
      </c>
      <c r="J121" s="75" t="s">
        <v>39</v>
      </c>
      <c r="K121" s="75">
        <f>G121*0.0225</f>
        <v>153606.00532500001</v>
      </c>
      <c r="L121" s="4" t="s">
        <v>335</v>
      </c>
      <c r="M121" s="7" t="s">
        <v>336</v>
      </c>
      <c r="N121" s="15">
        <v>2019</v>
      </c>
      <c r="O121" s="7" t="s">
        <v>16</v>
      </c>
      <c r="P121" s="34"/>
      <c r="Q121" s="34"/>
      <c r="R121" s="34"/>
    </row>
    <row r="122" spans="1:18" s="14" customFormat="1" ht="107.25" customHeight="1" x14ac:dyDescent="0.2">
      <c r="B122" s="7" t="s">
        <v>131</v>
      </c>
      <c r="C122" s="76" t="s">
        <v>337</v>
      </c>
      <c r="D122" s="77"/>
      <c r="E122" s="7" t="s">
        <v>57</v>
      </c>
      <c r="F122" s="5" t="s">
        <v>39</v>
      </c>
      <c r="G122" s="75">
        <v>6826933.5700000003</v>
      </c>
      <c r="H122" s="75">
        <f>ROUND((G122*0.1275),2)</f>
        <v>870434.03</v>
      </c>
      <c r="I122" s="75">
        <f>G122*0.85</f>
        <v>5802893.5345000001</v>
      </c>
      <c r="J122" s="75" t="s">
        <v>39</v>
      </c>
      <c r="K122" s="75">
        <f>G122*0.0225</f>
        <v>153606.00532500001</v>
      </c>
      <c r="L122" s="4" t="s">
        <v>339</v>
      </c>
      <c r="M122" s="7" t="s">
        <v>336</v>
      </c>
      <c r="N122" s="15">
        <v>2019</v>
      </c>
      <c r="O122" s="7" t="s">
        <v>16</v>
      </c>
      <c r="P122" s="34"/>
      <c r="Q122" s="34"/>
      <c r="R122" s="34"/>
    </row>
    <row r="123" spans="1:18" ht="45" customHeight="1" x14ac:dyDescent="0.2">
      <c r="B123" s="79" t="s">
        <v>217</v>
      </c>
      <c r="C123" s="80"/>
      <c r="D123" s="80"/>
      <c r="E123" s="80"/>
      <c r="F123" s="80"/>
      <c r="G123" s="80"/>
      <c r="H123" s="80"/>
      <c r="I123" s="80"/>
      <c r="J123" s="80"/>
      <c r="K123" s="80"/>
      <c r="L123" s="80"/>
      <c r="M123" s="80"/>
      <c r="N123" s="80"/>
      <c r="O123" s="81"/>
    </row>
    <row r="124" spans="1:18" ht="78.75" customHeight="1" x14ac:dyDescent="0.2">
      <c r="B124" s="82" t="s">
        <v>325</v>
      </c>
      <c r="C124" s="83"/>
      <c r="D124" s="83"/>
      <c r="E124" s="83"/>
      <c r="F124" s="83"/>
      <c r="G124" s="83"/>
      <c r="H124" s="83"/>
      <c r="I124" s="83"/>
      <c r="J124" s="83"/>
      <c r="K124" s="83"/>
      <c r="L124" s="83"/>
      <c r="M124" s="83"/>
      <c r="N124" s="83"/>
      <c r="O124" s="84"/>
      <c r="R124" s="60"/>
    </row>
    <row r="125" spans="1:18" ht="104.25" customHeight="1" x14ac:dyDescent="0.2">
      <c r="B125" s="82" t="s">
        <v>218</v>
      </c>
      <c r="C125" s="83"/>
      <c r="D125" s="83"/>
      <c r="E125" s="83"/>
      <c r="F125" s="83"/>
      <c r="G125" s="83"/>
      <c r="H125" s="83"/>
      <c r="I125" s="83"/>
      <c r="J125" s="83"/>
      <c r="K125" s="83"/>
      <c r="L125" s="83"/>
      <c r="M125" s="83"/>
      <c r="N125" s="83"/>
      <c r="O125" s="84"/>
    </row>
    <row r="126" spans="1:18" s="14" customFormat="1" ht="176.25" customHeight="1" x14ac:dyDescent="0.2">
      <c r="B126" s="7">
        <v>23</v>
      </c>
      <c r="C126" s="90" t="s">
        <v>219</v>
      </c>
      <c r="D126" s="117"/>
      <c r="E126" s="7" t="s">
        <v>57</v>
      </c>
      <c r="F126" s="7" t="s">
        <v>252</v>
      </c>
      <c r="G126" s="12">
        <f>SUM(H126:K126)</f>
        <v>352941.18</v>
      </c>
      <c r="H126" s="12">
        <f>H127</f>
        <v>45000</v>
      </c>
      <c r="I126" s="12">
        <v>300000</v>
      </c>
      <c r="J126" s="12" t="s">
        <v>39</v>
      </c>
      <c r="K126" s="12">
        <f>K127</f>
        <v>7941.18</v>
      </c>
      <c r="L126" s="66" t="s">
        <v>326</v>
      </c>
      <c r="M126" s="15">
        <v>2018</v>
      </c>
      <c r="N126" s="15" t="s">
        <v>142</v>
      </c>
      <c r="O126" s="7" t="s">
        <v>16</v>
      </c>
      <c r="R126" s="34"/>
    </row>
    <row r="127" spans="1:18" s="14" customFormat="1" ht="135" customHeight="1" x14ac:dyDescent="0.2">
      <c r="B127" s="7" t="s">
        <v>132</v>
      </c>
      <c r="C127" s="90" t="s">
        <v>220</v>
      </c>
      <c r="D127" s="103"/>
      <c r="E127" s="7" t="s">
        <v>57</v>
      </c>
      <c r="F127" s="7" t="s">
        <v>253</v>
      </c>
      <c r="G127" s="12">
        <f>SUM(H127:K127)</f>
        <v>352941.18</v>
      </c>
      <c r="H127" s="12">
        <f>ROUND((352941.18*0.1275),2)</f>
        <v>45000</v>
      </c>
      <c r="I127" s="12">
        <f>I126</f>
        <v>300000</v>
      </c>
      <c r="J127" s="12" t="s">
        <v>39</v>
      </c>
      <c r="K127" s="12">
        <f>ROUND((352941.18*0.0225),2)</f>
        <v>7941.18</v>
      </c>
      <c r="L127" s="66" t="s">
        <v>85</v>
      </c>
      <c r="M127" s="15" t="s">
        <v>221</v>
      </c>
      <c r="N127" s="15">
        <v>2019</v>
      </c>
      <c r="O127" s="7" t="s">
        <v>16</v>
      </c>
      <c r="P127" s="34"/>
    </row>
    <row r="128" spans="1:18" ht="33" customHeight="1" x14ac:dyDescent="0.2">
      <c r="B128" s="109" t="s">
        <v>222</v>
      </c>
      <c r="C128" s="110"/>
      <c r="D128" s="110"/>
      <c r="E128" s="110"/>
      <c r="F128" s="110"/>
      <c r="G128" s="110"/>
      <c r="H128" s="110"/>
      <c r="I128" s="110"/>
      <c r="J128" s="110"/>
      <c r="K128" s="110"/>
      <c r="L128" s="110"/>
      <c r="M128" s="110"/>
      <c r="N128" s="110"/>
      <c r="O128" s="111"/>
    </row>
    <row r="129" spans="1:18" ht="108" customHeight="1" x14ac:dyDescent="0.2">
      <c r="B129" s="82" t="s">
        <v>325</v>
      </c>
      <c r="C129" s="83"/>
      <c r="D129" s="83"/>
      <c r="E129" s="83"/>
      <c r="F129" s="83"/>
      <c r="G129" s="83"/>
      <c r="H129" s="83"/>
      <c r="I129" s="83"/>
      <c r="J129" s="83"/>
      <c r="K129" s="83"/>
      <c r="L129" s="83"/>
      <c r="M129" s="83"/>
      <c r="N129" s="83"/>
      <c r="O129" s="84"/>
    </row>
    <row r="130" spans="1:18" ht="135.75" customHeight="1" x14ac:dyDescent="0.2">
      <c r="B130" s="82" t="s">
        <v>218</v>
      </c>
      <c r="C130" s="83"/>
      <c r="D130" s="83"/>
      <c r="E130" s="83"/>
      <c r="F130" s="83"/>
      <c r="G130" s="83"/>
      <c r="H130" s="83"/>
      <c r="I130" s="83"/>
      <c r="J130" s="83"/>
      <c r="K130" s="83"/>
      <c r="L130" s="83"/>
      <c r="M130" s="83"/>
      <c r="N130" s="83"/>
      <c r="O130" s="84"/>
      <c r="P130" s="43"/>
    </row>
    <row r="131" spans="1:18" s="14" customFormat="1" ht="175.5" customHeight="1" x14ac:dyDescent="0.2">
      <c r="B131" s="7">
        <v>24</v>
      </c>
      <c r="C131" s="90" t="s">
        <v>223</v>
      </c>
      <c r="D131" s="105"/>
      <c r="E131" s="7" t="s">
        <v>56</v>
      </c>
      <c r="F131" s="7" t="s">
        <v>254</v>
      </c>
      <c r="G131" s="12">
        <f>G132</f>
        <v>433835.85</v>
      </c>
      <c r="H131" s="12">
        <f>H132</f>
        <v>55314.07</v>
      </c>
      <c r="I131" s="12">
        <f>I132</f>
        <v>368760.47</v>
      </c>
      <c r="J131" s="12" t="s">
        <v>39</v>
      </c>
      <c r="K131" s="12">
        <f>K132</f>
        <v>9761.31</v>
      </c>
      <c r="L131" s="66" t="s">
        <v>327</v>
      </c>
      <c r="M131" s="15">
        <v>2019</v>
      </c>
      <c r="N131" s="15" t="s">
        <v>69</v>
      </c>
      <c r="O131" s="7" t="s">
        <v>16</v>
      </c>
      <c r="P131" s="44"/>
    </row>
    <row r="132" spans="1:18" s="14" customFormat="1" ht="192.75" customHeight="1" x14ac:dyDescent="0.2">
      <c r="B132" s="7" t="s">
        <v>154</v>
      </c>
      <c r="C132" s="90" t="s">
        <v>159</v>
      </c>
      <c r="D132" s="105"/>
      <c r="E132" s="7" t="s">
        <v>56</v>
      </c>
      <c r="F132" s="7" t="s">
        <v>254</v>
      </c>
      <c r="G132" s="12">
        <f>SUM(H132:K132)</f>
        <v>433835.85</v>
      </c>
      <c r="H132" s="12">
        <f>ROUND((433835.85*0.1275),2)</f>
        <v>55314.07</v>
      </c>
      <c r="I132" s="12">
        <f>388299.24-19538.77</f>
        <v>368760.47</v>
      </c>
      <c r="J132" s="12" t="s">
        <v>39</v>
      </c>
      <c r="K132" s="12">
        <f>ROUND((433835.85*0.0225),2)</f>
        <v>9761.31</v>
      </c>
      <c r="L132" s="66" t="s">
        <v>240</v>
      </c>
      <c r="M132" s="15" t="s">
        <v>328</v>
      </c>
      <c r="N132" s="15">
        <v>2020</v>
      </c>
      <c r="O132" s="7" t="s">
        <v>16</v>
      </c>
      <c r="P132" s="61"/>
      <c r="Q132" s="34"/>
      <c r="R132" s="34"/>
    </row>
    <row r="133" spans="1:18" ht="37.5" customHeight="1" x14ac:dyDescent="0.2">
      <c r="A133" s="2"/>
      <c r="B133" s="106" t="s">
        <v>121</v>
      </c>
      <c r="C133" s="107"/>
      <c r="D133" s="107"/>
      <c r="E133" s="107"/>
      <c r="F133" s="107"/>
      <c r="G133" s="107"/>
      <c r="H133" s="107"/>
      <c r="I133" s="107"/>
      <c r="J133" s="107"/>
      <c r="K133" s="107"/>
      <c r="L133" s="107"/>
      <c r="M133" s="107"/>
      <c r="N133" s="107"/>
      <c r="O133" s="108"/>
    </row>
    <row r="134" spans="1:18" ht="22.5" customHeight="1" x14ac:dyDescent="0.2">
      <c r="A134" s="2"/>
      <c r="B134" s="31" t="s">
        <v>87</v>
      </c>
      <c r="C134" s="27"/>
      <c r="D134" s="27"/>
      <c r="E134" s="27"/>
      <c r="F134" s="27"/>
      <c r="G134" s="27"/>
      <c r="H134" s="27"/>
      <c r="I134" s="27"/>
      <c r="J134" s="27"/>
      <c r="K134" s="27"/>
      <c r="L134" s="27"/>
      <c r="M134" s="27"/>
      <c r="N134" s="27"/>
      <c r="O134" s="28"/>
    </row>
    <row r="135" spans="1:18" ht="89.25" customHeight="1" x14ac:dyDescent="0.2">
      <c r="A135" s="2"/>
      <c r="B135" s="82" t="s">
        <v>63</v>
      </c>
      <c r="C135" s="83"/>
      <c r="D135" s="83"/>
      <c r="E135" s="83"/>
      <c r="F135" s="83"/>
      <c r="G135" s="83"/>
      <c r="H135" s="83"/>
      <c r="I135" s="83"/>
      <c r="J135" s="83"/>
      <c r="K135" s="83"/>
      <c r="L135" s="83"/>
      <c r="M135" s="83"/>
      <c r="N135" s="83"/>
      <c r="O135" s="84"/>
    </row>
    <row r="136" spans="1:18" ht="132" customHeight="1" x14ac:dyDescent="0.2">
      <c r="B136" s="145" t="s">
        <v>86</v>
      </c>
      <c r="C136" s="146"/>
      <c r="D136" s="146"/>
      <c r="E136" s="146"/>
      <c r="F136" s="146"/>
      <c r="G136" s="146"/>
      <c r="H136" s="146"/>
      <c r="I136" s="146"/>
      <c r="J136" s="146"/>
      <c r="K136" s="146"/>
      <c r="L136" s="146"/>
      <c r="M136" s="146"/>
      <c r="N136" s="146"/>
      <c r="O136" s="147"/>
    </row>
    <row r="137" spans="1:18" ht="123" customHeight="1" x14ac:dyDescent="0.2">
      <c r="B137" s="5">
        <v>25</v>
      </c>
      <c r="C137" s="104" t="s">
        <v>224</v>
      </c>
      <c r="D137" s="144"/>
      <c r="E137" s="3" t="s">
        <v>52</v>
      </c>
      <c r="F137" s="5" t="s">
        <v>39</v>
      </c>
      <c r="G137" s="21">
        <f>G138</f>
        <v>1326429.2799999998</v>
      </c>
      <c r="H137" s="21">
        <f>H138</f>
        <v>169119.73</v>
      </c>
      <c r="I137" s="21">
        <f>I138</f>
        <v>1127464.8899999999</v>
      </c>
      <c r="J137" s="21" t="s">
        <v>39</v>
      </c>
      <c r="K137" s="21">
        <f>K138</f>
        <v>29844.66</v>
      </c>
      <c r="L137" s="66" t="s">
        <v>67</v>
      </c>
      <c r="M137" s="15">
        <v>2018</v>
      </c>
      <c r="N137" s="15" t="s">
        <v>225</v>
      </c>
      <c r="O137" s="25" t="s">
        <v>16</v>
      </c>
      <c r="P137" s="43"/>
    </row>
    <row r="138" spans="1:18" ht="77.25" customHeight="1" x14ac:dyDescent="0.2">
      <c r="B138" s="5" t="s">
        <v>255</v>
      </c>
      <c r="C138" s="104" t="s">
        <v>49</v>
      </c>
      <c r="D138" s="103"/>
      <c r="E138" s="3" t="s">
        <v>52</v>
      </c>
      <c r="F138" s="5" t="s">
        <v>39</v>
      </c>
      <c r="G138" s="21">
        <f>SUM(H138:K138)</f>
        <v>1326429.2799999998</v>
      </c>
      <c r="H138" s="21">
        <f>ROUND((1326429.28*0.1275),2)</f>
        <v>169119.73</v>
      </c>
      <c r="I138" s="21">
        <f>1128659.88-1194.99</f>
        <v>1127464.8899999999</v>
      </c>
      <c r="J138" s="21" t="s">
        <v>39</v>
      </c>
      <c r="K138" s="21">
        <f>ROUND((1326429.28*0.0225),2)</f>
        <v>29844.66</v>
      </c>
      <c r="L138" s="4" t="s">
        <v>68</v>
      </c>
      <c r="M138" s="11" t="s">
        <v>226</v>
      </c>
      <c r="N138" s="15">
        <v>2019</v>
      </c>
      <c r="O138" s="25" t="s">
        <v>16</v>
      </c>
      <c r="P138" s="62"/>
      <c r="Q138" s="60"/>
    </row>
    <row r="139" spans="1:18" ht="37.5" customHeight="1" x14ac:dyDescent="0.2">
      <c r="B139" s="112" t="s">
        <v>71</v>
      </c>
      <c r="C139" s="112"/>
      <c r="D139" s="112"/>
      <c r="E139" s="112"/>
      <c r="F139" s="112"/>
      <c r="G139" s="112"/>
      <c r="H139" s="112"/>
      <c r="I139" s="112"/>
      <c r="J139" s="112"/>
      <c r="K139" s="112"/>
      <c r="L139" s="112"/>
      <c r="M139" s="112"/>
      <c r="N139" s="112"/>
      <c r="O139" s="113"/>
      <c r="P139" s="43"/>
    </row>
    <row r="140" spans="1:18" ht="81.75" customHeight="1" x14ac:dyDescent="0.2">
      <c r="B140" s="83" t="s">
        <v>64</v>
      </c>
      <c r="C140" s="83"/>
      <c r="D140" s="83"/>
      <c r="E140" s="83"/>
      <c r="F140" s="83"/>
      <c r="G140" s="83"/>
      <c r="H140" s="83"/>
      <c r="I140" s="83"/>
      <c r="J140" s="83"/>
      <c r="K140" s="83"/>
      <c r="L140" s="83"/>
      <c r="M140" s="83"/>
      <c r="N140" s="83"/>
      <c r="O140" s="84"/>
      <c r="P140" s="43"/>
    </row>
    <row r="141" spans="1:18" ht="120" customHeight="1" x14ac:dyDescent="0.2">
      <c r="B141" s="114" t="s">
        <v>75</v>
      </c>
      <c r="C141" s="115"/>
      <c r="D141" s="115"/>
      <c r="E141" s="115"/>
      <c r="F141" s="115"/>
      <c r="G141" s="115"/>
      <c r="H141" s="115"/>
      <c r="I141" s="115"/>
      <c r="J141" s="115"/>
      <c r="K141" s="115"/>
      <c r="L141" s="115"/>
      <c r="M141" s="115"/>
      <c r="N141" s="115"/>
      <c r="O141" s="116"/>
      <c r="P141" s="43"/>
    </row>
    <row r="142" spans="1:18" s="14" customFormat="1" ht="90" customHeight="1" x14ac:dyDescent="0.2">
      <c r="B142" s="7">
        <v>26</v>
      </c>
      <c r="C142" s="90" t="s">
        <v>227</v>
      </c>
      <c r="D142" s="91"/>
      <c r="E142" s="3" t="s">
        <v>52</v>
      </c>
      <c r="F142" s="7" t="s">
        <v>39</v>
      </c>
      <c r="G142" s="12">
        <f>SUM(H142:K142)</f>
        <v>86161.31</v>
      </c>
      <c r="H142" s="12">
        <f>H143</f>
        <v>10985.57</v>
      </c>
      <c r="I142" s="12">
        <f>I143</f>
        <v>73237.11</v>
      </c>
      <c r="J142" s="12" t="s">
        <v>39</v>
      </c>
      <c r="K142" s="12">
        <f>K143</f>
        <v>1938.63</v>
      </c>
      <c r="L142" s="66" t="s">
        <v>65</v>
      </c>
      <c r="M142" s="15">
        <v>2019</v>
      </c>
      <c r="N142" s="15" t="s">
        <v>143</v>
      </c>
      <c r="O142" s="25" t="s">
        <v>16</v>
      </c>
      <c r="P142" s="44"/>
    </row>
    <row r="143" spans="1:18" s="14" customFormat="1" ht="63.75" customHeight="1" x14ac:dyDescent="0.2">
      <c r="B143" s="5" t="s">
        <v>256</v>
      </c>
      <c r="C143" s="104" t="s">
        <v>49</v>
      </c>
      <c r="D143" s="103"/>
      <c r="E143" s="3" t="s">
        <v>52</v>
      </c>
      <c r="F143" s="5" t="s">
        <v>39</v>
      </c>
      <c r="G143" s="12">
        <f>SUM(H143:K143)</f>
        <v>86161.31</v>
      </c>
      <c r="H143" s="12">
        <f>ROUND((86161.31*0.1275),2)</f>
        <v>10985.57</v>
      </c>
      <c r="I143" s="12">
        <f>72042.12+1194.99</f>
        <v>73237.11</v>
      </c>
      <c r="J143" s="19" t="s">
        <v>39</v>
      </c>
      <c r="K143" s="12">
        <f>ROUND((86161.31*0.0225),2)</f>
        <v>1938.63</v>
      </c>
      <c r="L143" s="4" t="s">
        <v>66</v>
      </c>
      <c r="M143" s="15" t="s">
        <v>78</v>
      </c>
      <c r="N143" s="15">
        <v>2020</v>
      </c>
      <c r="O143" s="25" t="s">
        <v>16</v>
      </c>
      <c r="P143" s="61"/>
    </row>
    <row r="144" spans="1:18" ht="12.75" customHeight="1" x14ac:dyDescent="0.2">
      <c r="B144" s="9" t="s">
        <v>40</v>
      </c>
      <c r="C144" s="9"/>
      <c r="D144" s="9"/>
      <c r="E144" s="9"/>
      <c r="F144" s="9"/>
      <c r="G144" s="9"/>
      <c r="H144" s="8"/>
      <c r="I144" s="8"/>
      <c r="J144" s="8"/>
      <c r="K144" s="8"/>
      <c r="L144" s="8"/>
      <c r="M144" s="8"/>
      <c r="N144" s="8"/>
      <c r="O144" s="8"/>
    </row>
    <row r="145" spans="2:15" x14ac:dyDescent="0.2">
      <c r="B145" s="9" t="s">
        <v>21</v>
      </c>
      <c r="C145" s="9"/>
      <c r="D145" s="9"/>
      <c r="E145" s="9"/>
      <c r="F145" s="9"/>
      <c r="G145" s="10"/>
      <c r="H145" s="10"/>
      <c r="I145" s="10"/>
      <c r="J145" s="10"/>
      <c r="K145" s="10"/>
      <c r="L145" s="10"/>
      <c r="M145" s="10"/>
      <c r="N145" s="10"/>
      <c r="O145" s="10"/>
    </row>
    <row r="146" spans="2:15" x14ac:dyDescent="0.2">
      <c r="B146" s="10" t="s">
        <v>123</v>
      </c>
      <c r="C146" s="9"/>
      <c r="D146" s="9"/>
      <c r="E146" s="9"/>
      <c r="F146" s="9"/>
      <c r="G146" s="10"/>
      <c r="H146" s="10"/>
      <c r="I146" s="10"/>
      <c r="J146" s="10"/>
      <c r="K146" s="10"/>
      <c r="L146" s="10"/>
      <c r="M146" s="10"/>
      <c r="N146" s="10"/>
      <c r="O146" s="10"/>
    </row>
    <row r="147" spans="2:15" x14ac:dyDescent="0.2">
      <c r="B147" s="10" t="s">
        <v>122</v>
      </c>
      <c r="C147" s="10"/>
      <c r="D147" s="10"/>
      <c r="E147" s="10"/>
      <c r="F147" s="10"/>
      <c r="G147" s="10"/>
      <c r="H147" s="10"/>
      <c r="I147" s="10"/>
      <c r="J147" s="10"/>
      <c r="K147" s="10"/>
      <c r="L147" s="10"/>
      <c r="M147" s="10"/>
      <c r="N147" s="10"/>
      <c r="O147" s="10"/>
    </row>
  </sheetData>
  <mergeCells count="149">
    <mergeCell ref="B80:O80"/>
    <mergeCell ref="B81:O81"/>
    <mergeCell ref="B82:O82"/>
    <mergeCell ref="B62:O62"/>
    <mergeCell ref="C48:D48"/>
    <mergeCell ref="B45:O45"/>
    <mergeCell ref="C63:D63"/>
    <mergeCell ref="B75:O75"/>
    <mergeCell ref="B76:O76"/>
    <mergeCell ref="B77:O77"/>
    <mergeCell ref="C78:D78"/>
    <mergeCell ref="B55:O55"/>
    <mergeCell ref="B56:O56"/>
    <mergeCell ref="B57:O57"/>
    <mergeCell ref="C58:D58"/>
    <mergeCell ref="C59:D59"/>
    <mergeCell ref="B118:O118"/>
    <mergeCell ref="B117:O117"/>
    <mergeCell ref="B97:O97"/>
    <mergeCell ref="B96:O96"/>
    <mergeCell ref="B93:O93"/>
    <mergeCell ref="B86:O86"/>
    <mergeCell ref="B87:O87"/>
    <mergeCell ref="B88:O88"/>
    <mergeCell ref="C106:D106"/>
    <mergeCell ref="C101:D101"/>
    <mergeCell ref="B112:O112"/>
    <mergeCell ref="B113:O113"/>
    <mergeCell ref="B114:O114"/>
    <mergeCell ref="C115:D115"/>
    <mergeCell ref="C116:D116"/>
    <mergeCell ref="C121:D121"/>
    <mergeCell ref="C43:D43"/>
    <mergeCell ref="C127:D127"/>
    <mergeCell ref="C131:D131"/>
    <mergeCell ref="C138:D138"/>
    <mergeCell ref="C142:D142"/>
    <mergeCell ref="C137:D137"/>
    <mergeCell ref="B98:O98"/>
    <mergeCell ref="B102:O102"/>
    <mergeCell ref="C94:D94"/>
    <mergeCell ref="C95:D95"/>
    <mergeCell ref="B109:O109"/>
    <mergeCell ref="C110:D110"/>
    <mergeCell ref="C111:D111"/>
    <mergeCell ref="C99:D99"/>
    <mergeCell ref="C100:D100"/>
    <mergeCell ref="B107:O107"/>
    <mergeCell ref="B108:O108"/>
    <mergeCell ref="B103:O103"/>
    <mergeCell ref="B104:O104"/>
    <mergeCell ref="C105:D105"/>
    <mergeCell ref="B136:O136"/>
    <mergeCell ref="B120:O120"/>
    <mergeCell ref="B119:O119"/>
    <mergeCell ref="B35:O35"/>
    <mergeCell ref="B36:O36"/>
    <mergeCell ref="B37:O37"/>
    <mergeCell ref="C38:D38"/>
    <mergeCell ref="C39:D39"/>
    <mergeCell ref="B71:O71"/>
    <mergeCell ref="B72:O72"/>
    <mergeCell ref="B91:O91"/>
    <mergeCell ref="B92:O92"/>
    <mergeCell ref="B50:O50"/>
    <mergeCell ref="B51:O51"/>
    <mergeCell ref="B52:O52"/>
    <mergeCell ref="C53:D53"/>
    <mergeCell ref="C54:D54"/>
    <mergeCell ref="C64:D64"/>
    <mergeCell ref="B40:O40"/>
    <mergeCell ref="B41:O41"/>
    <mergeCell ref="B42:O42"/>
    <mergeCell ref="B85:O85"/>
    <mergeCell ref="C83:D83"/>
    <mergeCell ref="B46:O46"/>
    <mergeCell ref="B47:O47"/>
    <mergeCell ref="B60:O60"/>
    <mergeCell ref="B61:O61"/>
    <mergeCell ref="B14:O14"/>
    <mergeCell ref="B15:O15"/>
    <mergeCell ref="B16:O16"/>
    <mergeCell ref="C18:D18"/>
    <mergeCell ref="C17:D17"/>
    <mergeCell ref="B24:O24"/>
    <mergeCell ref="B34:O34"/>
    <mergeCell ref="B25:O25"/>
    <mergeCell ref="B29:O29"/>
    <mergeCell ref="B26:O26"/>
    <mergeCell ref="B30:O30"/>
    <mergeCell ref="B31:O31"/>
    <mergeCell ref="C28:D28"/>
    <mergeCell ref="C27:D27"/>
    <mergeCell ref="C32:D32"/>
    <mergeCell ref="C33:D33"/>
    <mergeCell ref="B19:O19"/>
    <mergeCell ref="B20:O20"/>
    <mergeCell ref="B21:O21"/>
    <mergeCell ref="C22:D22"/>
    <mergeCell ref="C23:D23"/>
    <mergeCell ref="C143:D143"/>
    <mergeCell ref="C132:D132"/>
    <mergeCell ref="B133:O133"/>
    <mergeCell ref="B135:O135"/>
    <mergeCell ref="B123:O123"/>
    <mergeCell ref="B124:O124"/>
    <mergeCell ref="B125:O125"/>
    <mergeCell ref="B128:O128"/>
    <mergeCell ref="B129:O129"/>
    <mergeCell ref="B130:O130"/>
    <mergeCell ref="B139:O139"/>
    <mergeCell ref="B140:O140"/>
    <mergeCell ref="B141:O141"/>
    <mergeCell ref="C126:D126"/>
    <mergeCell ref="H5:K5"/>
    <mergeCell ref="L5:L6"/>
    <mergeCell ref="M5:N5"/>
    <mergeCell ref="O5:O6"/>
    <mergeCell ref="B7:O7"/>
    <mergeCell ref="B8:O8"/>
    <mergeCell ref="C13:D13"/>
    <mergeCell ref="B9:O9"/>
    <mergeCell ref="B10:O10"/>
    <mergeCell ref="C11:D11"/>
    <mergeCell ref="C12:D12"/>
    <mergeCell ref="C122:D122"/>
    <mergeCell ref="L1:O1"/>
    <mergeCell ref="L2:O2"/>
    <mergeCell ref="L3:O3"/>
    <mergeCell ref="B65:O65"/>
    <mergeCell ref="B66:O66"/>
    <mergeCell ref="B67:O67"/>
    <mergeCell ref="B70:O70"/>
    <mergeCell ref="C49:D49"/>
    <mergeCell ref="C68:D68"/>
    <mergeCell ref="C69:D69"/>
    <mergeCell ref="C44:D44"/>
    <mergeCell ref="C73:D73"/>
    <mergeCell ref="C74:D74"/>
    <mergeCell ref="C79:D79"/>
    <mergeCell ref="C89:D89"/>
    <mergeCell ref="C90:D90"/>
    <mergeCell ref="C84:D84"/>
    <mergeCell ref="B4:O4"/>
    <mergeCell ref="B5:B6"/>
    <mergeCell ref="C5:D6"/>
    <mergeCell ref="E5:E6"/>
    <mergeCell ref="F5:F6"/>
    <mergeCell ref="G5:G6"/>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D3" sqref="D3:I3"/>
    </sheetView>
  </sheetViews>
  <sheetFormatPr defaultColWidth="9.140625" defaultRowHeight="15" x14ac:dyDescent="0.25"/>
  <cols>
    <col min="1" max="1" width="10" style="46" customWidth="1"/>
    <col min="2" max="3" width="14" style="46" customWidth="1"/>
    <col min="4" max="4" width="39.5703125" style="46" customWidth="1"/>
    <col min="5" max="5" width="17.42578125" style="46" customWidth="1"/>
    <col min="6" max="6" width="14.42578125" style="46" customWidth="1"/>
    <col min="7" max="7" width="18.5703125" style="46" customWidth="1"/>
    <col min="8" max="8" width="17" style="46" customWidth="1"/>
    <col min="9" max="9" width="17.42578125" style="46" customWidth="1"/>
    <col min="10" max="10" width="15.28515625" style="46" customWidth="1"/>
    <col min="11" max="11" width="21.5703125" style="46" customWidth="1"/>
    <col min="12" max="12" width="19.7109375" style="46" customWidth="1"/>
    <col min="13" max="13" width="14.42578125" style="46" customWidth="1"/>
    <col min="14" max="14" width="18" style="46" customWidth="1"/>
    <col min="15" max="15" width="10.5703125" style="46" bestFit="1" customWidth="1"/>
    <col min="16" max="16" width="9.5703125" style="46" bestFit="1" customWidth="1"/>
    <col min="17" max="16384" width="9.140625" style="46"/>
  </cols>
  <sheetData>
    <row r="1" spans="1:15" ht="15.75" x14ac:dyDescent="0.25">
      <c r="A1" s="45"/>
      <c r="B1" s="45"/>
      <c r="C1" s="45"/>
      <c r="D1" s="45"/>
      <c r="E1" s="45"/>
      <c r="F1" s="45"/>
      <c r="G1" s="45"/>
      <c r="H1" s="78" t="s">
        <v>89</v>
      </c>
      <c r="I1" s="78"/>
      <c r="J1" s="78"/>
    </row>
    <row r="2" spans="1:15" ht="15.75" x14ac:dyDescent="0.25">
      <c r="A2" s="45"/>
      <c r="B2" s="45"/>
      <c r="C2" s="45"/>
      <c r="D2" s="45"/>
      <c r="E2" s="45"/>
      <c r="F2" s="45"/>
      <c r="G2" s="45"/>
      <c r="H2" s="78" t="s">
        <v>90</v>
      </c>
      <c r="I2" s="78"/>
      <c r="J2" s="78"/>
    </row>
    <row r="3" spans="1:15" ht="27" customHeight="1" x14ac:dyDescent="0.3">
      <c r="A3" s="45"/>
      <c r="B3" s="45"/>
      <c r="C3" s="45"/>
      <c r="D3" s="172" t="s">
        <v>88</v>
      </c>
      <c r="E3" s="172"/>
      <c r="F3" s="172"/>
      <c r="G3" s="172"/>
      <c r="H3" s="172"/>
      <c r="I3" s="173"/>
      <c r="J3" s="45"/>
    </row>
    <row r="4" spans="1:15" ht="15.75" x14ac:dyDescent="0.25">
      <c r="A4" s="45"/>
      <c r="B4" s="45"/>
      <c r="C4" s="45"/>
      <c r="D4" s="45"/>
      <c r="E4" s="45"/>
      <c r="F4" s="45"/>
      <c r="G4" s="45"/>
      <c r="H4" s="45"/>
      <c r="I4" s="45"/>
      <c r="J4" s="45"/>
    </row>
    <row r="5" spans="1:15" ht="16.5" customHeight="1" x14ac:dyDescent="0.25">
      <c r="A5" s="174" t="s">
        <v>22</v>
      </c>
      <c r="B5" s="174" t="s">
        <v>32</v>
      </c>
      <c r="C5" s="174" t="s">
        <v>23</v>
      </c>
      <c r="D5" s="174" t="s">
        <v>3</v>
      </c>
      <c r="E5" s="174" t="s">
        <v>24</v>
      </c>
      <c r="F5" s="174"/>
      <c r="G5" s="174"/>
      <c r="H5" s="174"/>
      <c r="I5" s="174"/>
      <c r="J5" s="171" t="s">
        <v>26</v>
      </c>
    </row>
    <row r="6" spans="1:15" ht="81.75" customHeight="1" x14ac:dyDescent="0.25">
      <c r="A6" s="174"/>
      <c r="B6" s="174"/>
      <c r="C6" s="175"/>
      <c r="D6" s="174"/>
      <c r="E6" s="70" t="s">
        <v>28</v>
      </c>
      <c r="F6" s="70" t="s">
        <v>29</v>
      </c>
      <c r="G6" s="70" t="s">
        <v>45</v>
      </c>
      <c r="H6" s="70" t="s">
        <v>150</v>
      </c>
      <c r="I6" s="70" t="s">
        <v>151</v>
      </c>
      <c r="J6" s="171"/>
      <c r="K6" s="47"/>
    </row>
    <row r="7" spans="1:15" ht="47.25" x14ac:dyDescent="0.25">
      <c r="A7" s="161" t="s">
        <v>27</v>
      </c>
      <c r="B7" s="166" t="s">
        <v>25</v>
      </c>
      <c r="C7" s="49">
        <v>1</v>
      </c>
      <c r="D7" s="50" t="str">
        <f>ITI!C11</f>
        <v>Pilsētas atpūtas parka un jauniešu mājas izveide Kauguros
(IP 43.pozīcija)</v>
      </c>
      <c r="E7" s="51">
        <f>SUM(F7:I7)</f>
        <v>5814962.8899999997</v>
      </c>
      <c r="F7" s="51">
        <f>ITI!I11</f>
        <v>1500000</v>
      </c>
      <c r="G7" s="51">
        <f>ITI!J11</f>
        <v>1500000</v>
      </c>
      <c r="H7" s="51">
        <f>ITI!H11</f>
        <v>2775257</v>
      </c>
      <c r="I7" s="51">
        <f>ITI!K11</f>
        <v>39705.89</v>
      </c>
      <c r="J7" s="52" t="s">
        <v>241</v>
      </c>
      <c r="K7" s="164"/>
      <c r="L7" s="165"/>
    </row>
    <row r="8" spans="1:15" ht="64.5" customHeight="1" x14ac:dyDescent="0.25">
      <c r="A8" s="161"/>
      <c r="B8" s="176"/>
      <c r="C8" s="49">
        <v>2</v>
      </c>
      <c r="D8" s="50" t="str">
        <f>ITI!C17</f>
        <v>Jūrmalas ūdenstūrisma pakalpojumu infrastruktūras attīstība atbilstoši pilsētas ekonomiskajai specializācijai (IP 30.pozīcija)</v>
      </c>
      <c r="E8" s="51">
        <f>ITI!G17</f>
        <v>1325842.31</v>
      </c>
      <c r="F8" s="51">
        <f>ITI!I17</f>
        <v>417394.8</v>
      </c>
      <c r="G8" s="51">
        <f>ITI!J17</f>
        <v>417394.8</v>
      </c>
      <c r="H8" s="51">
        <f>ITI!H17</f>
        <v>480004.02</v>
      </c>
      <c r="I8" s="51">
        <f>ITI!K17</f>
        <v>11048.69</v>
      </c>
      <c r="J8" s="52" t="s">
        <v>35</v>
      </c>
      <c r="K8" s="164"/>
      <c r="L8" s="165"/>
    </row>
    <row r="9" spans="1:15" ht="71.25" customHeight="1" x14ac:dyDescent="0.25">
      <c r="A9" s="161"/>
      <c r="B9" s="167"/>
      <c r="C9" s="49">
        <v>3</v>
      </c>
      <c r="D9" s="50" t="str">
        <f>ITI!C22</f>
        <v>Pilsētas centrālās daļas ielas brauktuvju un gājēju celiņu atjaunošana un autostāvvietu kabatu izbūve               (IP 16.pozīcija un IP 19.pozīcija)</v>
      </c>
      <c r="E9" s="51">
        <f>ITI!G22</f>
        <v>179787.78999999998</v>
      </c>
      <c r="F9" s="51">
        <f>ITI!I22</f>
        <v>82605.2</v>
      </c>
      <c r="G9" s="51">
        <f>ITI!J22</f>
        <v>82605.2</v>
      </c>
      <c r="H9" s="51">
        <f>ITI!H22</f>
        <v>12390.78</v>
      </c>
      <c r="I9" s="51">
        <f>ITI!K22</f>
        <v>2186.61</v>
      </c>
      <c r="J9" s="52" t="s">
        <v>36</v>
      </c>
      <c r="K9" s="59"/>
      <c r="L9" s="69"/>
    </row>
    <row r="10" spans="1:15" ht="48" customHeight="1" x14ac:dyDescent="0.25">
      <c r="A10" s="161"/>
      <c r="B10" s="166" t="s">
        <v>30</v>
      </c>
      <c r="C10" s="53">
        <v>4</v>
      </c>
      <c r="D10" s="54" t="str">
        <f>ITI!C27</f>
        <v>Lielupes kuģošanas infrastruktūras attīstība uzņēmējdarbības veicināšanai Jūrmalā (IP 31.pozīcija)</v>
      </c>
      <c r="E10" s="55">
        <f>SUM(F10:I10)</f>
        <v>179787.78999999998</v>
      </c>
      <c r="F10" s="55">
        <f>ITI!I27</f>
        <v>82605.2</v>
      </c>
      <c r="G10" s="55">
        <f>ITI!J27</f>
        <v>82605.2</v>
      </c>
      <c r="H10" s="55">
        <f>ITI!H27</f>
        <v>12390.78</v>
      </c>
      <c r="I10" s="55">
        <f>ITI!K28</f>
        <v>2186.61</v>
      </c>
      <c r="J10" s="48" t="s">
        <v>36</v>
      </c>
      <c r="K10" s="59"/>
      <c r="L10" s="69"/>
      <c r="M10" s="57"/>
    </row>
    <row r="11" spans="1:15" ht="51" customHeight="1" x14ac:dyDescent="0.25">
      <c r="A11" s="161"/>
      <c r="B11" s="167"/>
      <c r="C11" s="53">
        <v>5</v>
      </c>
      <c r="D11" s="54" t="str">
        <f>ITI!C32</f>
        <v>Pilsētas centrālās daļas ceļu infrastruktūras atjaunošana                    (IP 16.pozīcija un IP 19.pozīcija)</v>
      </c>
      <c r="E11" s="55">
        <f>SUM(F11:I11)</f>
        <v>2176470.59</v>
      </c>
      <c r="F11" s="55">
        <f>ITI!I32</f>
        <v>1000000</v>
      </c>
      <c r="G11" s="55">
        <f>ITI!J32</f>
        <v>1000000</v>
      </c>
      <c r="H11" s="55">
        <f>ITI!H32</f>
        <v>150000</v>
      </c>
      <c r="I11" s="55">
        <f>ITI!K32</f>
        <v>26470.59</v>
      </c>
      <c r="J11" s="48" t="s">
        <v>35</v>
      </c>
      <c r="K11" s="47"/>
    </row>
    <row r="12" spans="1:15" ht="66" customHeight="1" x14ac:dyDescent="0.25">
      <c r="A12" s="161" t="s">
        <v>31</v>
      </c>
      <c r="B12" s="162" t="s">
        <v>25</v>
      </c>
      <c r="C12" s="49">
        <v>6</v>
      </c>
      <c r="D12" s="50" t="str">
        <f>ITI!C38</f>
        <v>Jūrmalas veselības veicināšanas un sociālo pakalpojumu centra infrastruktūras pilnveide un energoefektivitātes paaugstināšana           (IP 101.pozīcija)</v>
      </c>
      <c r="E12" s="51">
        <f>ITI!G38</f>
        <v>2999999.9984999998</v>
      </c>
      <c r="F12" s="51">
        <f>ITI!I38</f>
        <v>840774.26</v>
      </c>
      <c r="G12" s="51">
        <v>0</v>
      </c>
      <c r="H12" s="51">
        <f>ITI!H38</f>
        <v>2136969.9492250001</v>
      </c>
      <c r="I12" s="51">
        <f>ITI!K38</f>
        <v>22255.789274999999</v>
      </c>
      <c r="J12" s="52" t="s">
        <v>241</v>
      </c>
      <c r="K12" s="177"/>
      <c r="L12" s="178"/>
      <c r="M12" s="57"/>
      <c r="N12" s="159"/>
      <c r="O12" s="57"/>
    </row>
    <row r="13" spans="1:15" ht="47.25" x14ac:dyDescent="0.25">
      <c r="A13" s="161"/>
      <c r="B13" s="162"/>
      <c r="C13" s="52">
        <v>7</v>
      </c>
      <c r="D13" s="50" t="str">
        <f>ITI!C43</f>
        <v>Jūrmalas Sporta skolas ēkas baseinu pārbūve, energoefektivitātes paaugstināšana         (IP 70.pozīcija)</v>
      </c>
      <c r="E13" s="51">
        <f>ITI!G44</f>
        <v>2604375.9200000004</v>
      </c>
      <c r="F13" s="51">
        <f>ITI!I44</f>
        <v>471756.78</v>
      </c>
      <c r="G13" s="51">
        <v>0</v>
      </c>
      <c r="H13" s="51">
        <f>ITI!H44</f>
        <v>2120131.46</v>
      </c>
      <c r="I13" s="51">
        <f>ITI!K44</f>
        <v>12487.68</v>
      </c>
      <c r="J13" s="52" t="s">
        <v>35</v>
      </c>
      <c r="K13" s="177"/>
      <c r="L13" s="178"/>
      <c r="M13" s="57"/>
      <c r="N13" s="160"/>
      <c r="O13" s="57"/>
    </row>
    <row r="14" spans="1:15" ht="47.25" x14ac:dyDescent="0.25">
      <c r="A14" s="161"/>
      <c r="B14" s="162"/>
      <c r="C14" s="52">
        <v>8</v>
      </c>
      <c r="D14" s="50" t="str">
        <f>ITI!C48</f>
        <v>Jūrmala pilsētas Ķemeru pamatskolas ēkas pārbūve un energoefektivitātes paaugstināšana (IP 64.pozīcija)</v>
      </c>
      <c r="E14" s="51">
        <f>ITI!G49</f>
        <v>858842.94</v>
      </c>
      <c r="F14" s="51">
        <f>ITI!I49</f>
        <v>150611.79999999999</v>
      </c>
      <c r="G14" s="51">
        <v>0</v>
      </c>
      <c r="H14" s="51">
        <f>ITI!H49</f>
        <v>704244.36</v>
      </c>
      <c r="I14" s="51">
        <f>ITI!K49</f>
        <v>3986.78</v>
      </c>
      <c r="J14" s="52" t="s">
        <v>35</v>
      </c>
      <c r="K14" s="177"/>
      <c r="L14" s="178"/>
      <c r="M14" s="57"/>
      <c r="N14" s="160"/>
      <c r="O14" s="57"/>
    </row>
    <row r="15" spans="1:15" ht="54" customHeight="1" x14ac:dyDescent="0.25">
      <c r="A15" s="161"/>
      <c r="B15" s="162"/>
      <c r="C15" s="52">
        <v>9</v>
      </c>
      <c r="D15" s="50" t="str">
        <f>ITI!C53</f>
        <v>Jūrmalas pilsētas Jaundubultu vidusskolas ēkas energoefektivitātes paaugstināšana  (IP 65.pozīcija)</v>
      </c>
      <c r="E15" s="51">
        <f>ITI!G53</f>
        <v>721740.52</v>
      </c>
      <c r="F15" s="51">
        <f>ITI!I53</f>
        <v>613479.43999999994</v>
      </c>
      <c r="G15" s="51">
        <v>0</v>
      </c>
      <c r="H15" s="51">
        <f>ITI!H53</f>
        <v>92021.92</v>
      </c>
      <c r="I15" s="51">
        <f>ITI!K53</f>
        <v>16239.16</v>
      </c>
      <c r="J15" s="52">
        <v>2018</v>
      </c>
      <c r="K15" s="177"/>
      <c r="L15" s="178"/>
      <c r="M15" s="57"/>
      <c r="N15" s="160"/>
      <c r="O15" s="57"/>
    </row>
    <row r="16" spans="1:15" ht="64.5" customHeight="1" x14ac:dyDescent="0.25">
      <c r="A16" s="161"/>
      <c r="B16" s="162"/>
      <c r="C16" s="52">
        <v>10</v>
      </c>
      <c r="D16" s="50" t="str">
        <f>ITI!C58</f>
        <v>Jūrmalas pilsētas Jaundubultu vidusskolas ēkas k-1 (autoskolas ēka) energoefektivitātes paaugstināšana 
 (IP 66.pozīcija)</v>
      </c>
      <c r="E16" s="51">
        <f>ITI!G58</f>
        <v>93002.250000000015</v>
      </c>
      <c r="F16" s="51">
        <f>ITI!I58</f>
        <v>78780.100000000006</v>
      </c>
      <c r="G16" s="51">
        <v>0</v>
      </c>
      <c r="H16" s="51">
        <f>ITI!H58</f>
        <v>12136.79</v>
      </c>
      <c r="I16" s="51">
        <f>ITI!K58</f>
        <v>2085.36</v>
      </c>
      <c r="J16" s="52">
        <v>2018</v>
      </c>
      <c r="K16" s="177"/>
      <c r="L16" s="178"/>
      <c r="M16" s="57"/>
      <c r="N16" s="160"/>
      <c r="O16" s="57"/>
    </row>
    <row r="17" spans="1:16" ht="48" customHeight="1" x14ac:dyDescent="0.25">
      <c r="A17" s="161"/>
      <c r="B17" s="162"/>
      <c r="C17" s="52">
        <v>11</v>
      </c>
      <c r="D17" s="50" t="str">
        <f>ITI!C63</f>
        <v>Jūrmalas pilsētas Kauguru vidusskolas energoefektivitātes paaugstināšana          (IP 69.pozīcija)</v>
      </c>
      <c r="E17" s="51">
        <f>ITI!G64</f>
        <v>615889.05000000005</v>
      </c>
      <c r="F17" s="51">
        <f>ITI!I64</f>
        <v>512620.4</v>
      </c>
      <c r="G17" s="51">
        <v>0</v>
      </c>
      <c r="H17" s="51">
        <f>ITI!H64</f>
        <v>89699.29</v>
      </c>
      <c r="I17" s="51">
        <f>ITI!K64</f>
        <v>13569.36</v>
      </c>
      <c r="J17" s="52" t="s">
        <v>35</v>
      </c>
      <c r="K17" s="177"/>
      <c r="L17" s="178"/>
      <c r="M17" s="57"/>
      <c r="N17" s="160"/>
      <c r="O17" s="57"/>
    </row>
    <row r="18" spans="1:16" ht="48" customHeight="1" x14ac:dyDescent="0.25">
      <c r="A18" s="161"/>
      <c r="B18" s="162"/>
      <c r="C18" s="52">
        <v>12</v>
      </c>
      <c r="D18" s="50" t="str">
        <f>ITI!C68</f>
        <v>Jūrmalas teātra ēkas energoefektivitātes paaugstināšana        (IP 95.pozīcija)</v>
      </c>
      <c r="E18" s="51">
        <f>ITI!G68</f>
        <v>154972.13</v>
      </c>
      <c r="F18" s="51">
        <f>ITI!I68</f>
        <v>84188.22</v>
      </c>
      <c r="G18" s="51">
        <v>0</v>
      </c>
      <c r="H18" s="51">
        <f>ITI!H68</f>
        <v>68555.399999999994</v>
      </c>
      <c r="I18" s="51">
        <f>ITI!K68</f>
        <v>2228.5100000000002</v>
      </c>
      <c r="J18" s="52" t="s">
        <v>36</v>
      </c>
      <c r="K18" s="74"/>
      <c r="L18" s="71"/>
      <c r="M18" s="57"/>
      <c r="N18" s="65"/>
      <c r="O18" s="57"/>
      <c r="P18" s="57"/>
    </row>
    <row r="19" spans="1:16" ht="66" customHeight="1" x14ac:dyDescent="0.25">
      <c r="A19" s="161"/>
      <c r="B19" s="162" t="s">
        <v>30</v>
      </c>
      <c r="C19" s="48">
        <v>13</v>
      </c>
      <c r="D19" s="54" t="str">
        <f>ITI!C73</f>
        <v>Jūrmalas pilsētas domes administratīvās ēkas energoefektivitātes paaugstināšana Dubultu prospektā 1, lit.1.                         (IP 42.pozīcija)</v>
      </c>
      <c r="E19" s="55">
        <f t="shared" ref="E19" si="0">SUM(F19:I19)</f>
        <v>27651.98</v>
      </c>
      <c r="F19" s="55">
        <f>ITI!I73</f>
        <v>23504.18</v>
      </c>
      <c r="G19" s="55">
        <v>0</v>
      </c>
      <c r="H19" s="55">
        <f>ITI!H73</f>
        <v>3525.63</v>
      </c>
      <c r="I19" s="55">
        <f>ITI!K73</f>
        <v>622.16999999999996</v>
      </c>
      <c r="J19" s="48">
        <v>2019</v>
      </c>
      <c r="K19" s="63"/>
      <c r="N19" s="57"/>
    </row>
    <row r="20" spans="1:16" ht="65.25" customHeight="1" x14ac:dyDescent="0.25">
      <c r="A20" s="161"/>
      <c r="B20" s="162"/>
      <c r="C20" s="48">
        <v>14</v>
      </c>
      <c r="D20" s="54" t="str">
        <f>ITI!C78</f>
        <v>Jūrmalas pilsētas domes administratīvās ēkas energoefektivitātes paaugstināšana Rūpniecības ielā 19                                         (IP 54.pozīcija)</v>
      </c>
      <c r="E20" s="55">
        <f t="shared" ref="E20:E25" si="1">SUM(F20:I20)</f>
        <v>170768.12</v>
      </c>
      <c r="F20" s="55">
        <f>ITI!I79</f>
        <v>132402.9</v>
      </c>
      <c r="G20" s="55">
        <v>0</v>
      </c>
      <c r="H20" s="55">
        <f>ITI!H79</f>
        <v>34860.44</v>
      </c>
      <c r="I20" s="55">
        <f>ITI!K79</f>
        <v>3504.78</v>
      </c>
      <c r="J20" s="48">
        <v>2019</v>
      </c>
    </row>
    <row r="21" spans="1:16" ht="45.75" customHeight="1" x14ac:dyDescent="0.25">
      <c r="A21" s="161"/>
      <c r="B21" s="162"/>
      <c r="C21" s="48">
        <v>15</v>
      </c>
      <c r="D21" s="54" t="str">
        <f>ITI!C83</f>
        <v>Ķemeru pasta ēkas energoefektivitātes paaugstināšana (IP 48.pozīcija)</v>
      </c>
      <c r="E21" s="55">
        <f t="shared" si="1"/>
        <v>115487.81</v>
      </c>
      <c r="F21" s="55">
        <f>ITI!I84</f>
        <v>72268</v>
      </c>
      <c r="G21" s="55">
        <v>0</v>
      </c>
      <c r="H21" s="55">
        <f>ITI!H84</f>
        <v>41306.83</v>
      </c>
      <c r="I21" s="55">
        <f>ITI!K84</f>
        <v>1912.98</v>
      </c>
      <c r="J21" s="48">
        <v>2019</v>
      </c>
      <c r="N21" s="57"/>
    </row>
    <row r="22" spans="1:16" ht="37.5" customHeight="1" x14ac:dyDescent="0.25">
      <c r="A22" s="168" t="s">
        <v>34</v>
      </c>
      <c r="B22" s="162" t="s">
        <v>25</v>
      </c>
      <c r="C22" s="52">
        <v>16</v>
      </c>
      <c r="D22" s="50" t="str">
        <f>ITI!C89</f>
        <v>Ķemeru parka pārbūve un restaurācija                            (IP 8.pozīcija)</v>
      </c>
      <c r="E22" s="51">
        <f t="shared" si="1"/>
        <v>11257509.74</v>
      </c>
      <c r="F22" s="51">
        <f>ITI!I89</f>
        <v>5172369.34</v>
      </c>
      <c r="G22" s="51">
        <f>ITI!J89</f>
        <v>5172369.34</v>
      </c>
      <c r="H22" s="51">
        <f>ITI!H89</f>
        <v>775855.4</v>
      </c>
      <c r="I22" s="51">
        <f>ITI!K89</f>
        <v>136915.66</v>
      </c>
      <c r="J22" s="52" t="s">
        <v>35</v>
      </c>
      <c r="K22" s="164"/>
      <c r="L22" s="165"/>
    </row>
    <row r="23" spans="1:16" ht="51.75" customHeight="1" x14ac:dyDescent="0.25">
      <c r="A23" s="169"/>
      <c r="B23" s="162"/>
      <c r="C23" s="52">
        <v>17</v>
      </c>
      <c r="D23" s="50" t="str">
        <f>ITI!C94</f>
        <v>Ceļu infrastruktūras atjaunošana un autostāvvietas izbūve Ķemeros                      (IP 14.pozīcija)</v>
      </c>
      <c r="E23" s="51">
        <f t="shared" si="1"/>
        <v>2655294.11</v>
      </c>
      <c r="F23" s="51">
        <f>ITI!I94</f>
        <v>1220000</v>
      </c>
      <c r="G23" s="51">
        <f>ITI!J94</f>
        <v>1220000</v>
      </c>
      <c r="H23" s="51">
        <f>ITI!H94</f>
        <v>183000</v>
      </c>
      <c r="I23" s="51">
        <f>ITI!K94</f>
        <v>32294.11</v>
      </c>
      <c r="J23" s="52">
        <v>2018</v>
      </c>
      <c r="K23" s="164"/>
      <c r="L23" s="165"/>
    </row>
    <row r="24" spans="1:16" ht="53.25" customHeight="1" x14ac:dyDescent="0.25">
      <c r="A24" s="169"/>
      <c r="B24" s="162"/>
      <c r="C24" s="52">
        <v>18</v>
      </c>
      <c r="D24" s="50" t="str">
        <f>ITI!C99</f>
        <v>Daudzfunkcionāla, interaktīva dabas tūrisma objekta izveide Ķemeros                   (IP 5.pozīcija)</v>
      </c>
      <c r="E24" s="51">
        <f t="shared" si="1"/>
        <v>13058823.529999999</v>
      </c>
      <c r="F24" s="51">
        <f>ITI!I99</f>
        <v>6000000</v>
      </c>
      <c r="G24" s="51">
        <f>ITI!J99</f>
        <v>6000000</v>
      </c>
      <c r="H24" s="51">
        <f>ITI!H99</f>
        <v>900000</v>
      </c>
      <c r="I24" s="51">
        <f>ITI!K99</f>
        <v>158823.53</v>
      </c>
      <c r="J24" s="52" t="s">
        <v>241</v>
      </c>
      <c r="K24" s="164"/>
      <c r="L24" s="165"/>
    </row>
    <row r="25" spans="1:16" ht="31.5" x14ac:dyDescent="0.25">
      <c r="A25" s="169"/>
      <c r="B25" s="162"/>
      <c r="C25" s="52">
        <v>19</v>
      </c>
      <c r="D25" s="50" t="str">
        <f>ITI!C105</f>
        <v>Ielu infrastruktūras atjaunošana  Ķemeros                                                                                 (IP 13.pozīcija)</v>
      </c>
      <c r="E25" s="51">
        <f t="shared" si="1"/>
        <v>1322490.2600000002</v>
      </c>
      <c r="F25" s="51">
        <f>ITI!I105</f>
        <v>607630.66</v>
      </c>
      <c r="G25" s="51">
        <f>ITI!J105</f>
        <v>607630.66</v>
      </c>
      <c r="H25" s="51">
        <f>ITI!H105</f>
        <v>91144.6</v>
      </c>
      <c r="I25" s="51">
        <f>ITI!K105</f>
        <v>16084.34</v>
      </c>
      <c r="J25" s="52" t="s">
        <v>36</v>
      </c>
      <c r="K25" s="69"/>
      <c r="L25" s="69"/>
      <c r="M25" s="57"/>
    </row>
    <row r="26" spans="1:16" ht="33.75" customHeight="1" x14ac:dyDescent="0.25">
      <c r="A26" s="169"/>
      <c r="B26" s="166" t="s">
        <v>30</v>
      </c>
      <c r="C26" s="48">
        <v>20</v>
      </c>
      <c r="D26" s="54" t="str">
        <f>ITI!C110</f>
        <v xml:space="preserve">Majoru muižas kompleksa atjaunošana                                     (IP 62.pozīcija) </v>
      </c>
      <c r="E26" s="55">
        <f>ITI!G110</f>
        <v>10882352.949999999</v>
      </c>
      <c r="F26" s="55">
        <f>ITI!I110</f>
        <v>5000000</v>
      </c>
      <c r="G26" s="55">
        <f>ITI!J110</f>
        <v>5000000</v>
      </c>
      <c r="H26" s="55">
        <f>ITI!H110</f>
        <v>750000</v>
      </c>
      <c r="I26" s="55">
        <f>ITI!K110</f>
        <v>132352.95000000001</v>
      </c>
      <c r="J26" s="48" t="s">
        <v>35</v>
      </c>
    </row>
    <row r="27" spans="1:16" ht="33.75" customHeight="1" x14ac:dyDescent="0.25">
      <c r="A27" s="170"/>
      <c r="B27" s="167"/>
      <c r="C27" s="48">
        <v>21</v>
      </c>
      <c r="D27" s="54" t="str">
        <f>ITI!C115</f>
        <v>Ķemeru pasta ēkas pārbūve                          (IP 48.pozīcija)</v>
      </c>
      <c r="E27" s="55">
        <f>ITI!G115</f>
        <v>217312</v>
      </c>
      <c r="F27" s="55">
        <f>ITI!I115</f>
        <v>184715.2</v>
      </c>
      <c r="G27" s="55">
        <f>ITI!J115</f>
        <v>184715.2</v>
      </c>
      <c r="H27" s="55">
        <f>ITI!H115</f>
        <v>27707.279999999999</v>
      </c>
      <c r="I27" s="55">
        <f>ITI!K115</f>
        <v>4889.5200000000004</v>
      </c>
      <c r="J27" s="48" t="s">
        <v>36</v>
      </c>
    </row>
    <row r="28" spans="1:16" ht="47.25" customHeight="1" x14ac:dyDescent="0.25">
      <c r="A28" s="163" t="s">
        <v>37</v>
      </c>
      <c r="B28" s="162" t="s">
        <v>25</v>
      </c>
      <c r="C28" s="52">
        <v>22</v>
      </c>
      <c r="D28" s="50" t="s">
        <v>340</v>
      </c>
      <c r="E28" s="51">
        <f>ITI!G121</f>
        <v>6826933.5700000003</v>
      </c>
      <c r="F28" s="51">
        <f>ITI!I121</f>
        <v>5802893.5345000001</v>
      </c>
      <c r="G28" s="51">
        <v>0</v>
      </c>
      <c r="H28" s="51">
        <f>ITI!H121</f>
        <v>870434.03</v>
      </c>
      <c r="I28" s="51">
        <f>ITI!K121</f>
        <v>153606.00532500001</v>
      </c>
      <c r="J28" s="52" t="s">
        <v>35</v>
      </c>
      <c r="K28" s="164"/>
      <c r="L28" s="165"/>
    </row>
    <row r="29" spans="1:16" ht="31.5" x14ac:dyDescent="0.25">
      <c r="A29" s="161"/>
      <c r="B29" s="162"/>
      <c r="C29" s="52">
        <v>23</v>
      </c>
      <c r="D29" s="50" t="str">
        <f>ITI!C126</f>
        <v>Jūrmalas pilsētas Kauguru vidusskolas telpu atjaunošana                    (IP 69.pozīcija)</v>
      </c>
      <c r="E29" s="51">
        <f t="shared" ref="E29:E32" si="2">SUM(F29:I29)</f>
        <v>352941.18</v>
      </c>
      <c r="F29" s="51">
        <f>ITI!I126</f>
        <v>300000</v>
      </c>
      <c r="G29" s="51">
        <v>0</v>
      </c>
      <c r="H29" s="51">
        <f>ITI!H126</f>
        <v>45000</v>
      </c>
      <c r="I29" s="51">
        <f>ITI!K126</f>
        <v>7941.18</v>
      </c>
      <c r="J29" s="52" t="s">
        <v>35</v>
      </c>
      <c r="K29" s="164"/>
      <c r="L29" s="165"/>
    </row>
    <row r="30" spans="1:16" ht="47.25" x14ac:dyDescent="0.25">
      <c r="A30" s="161"/>
      <c r="B30" s="162"/>
      <c r="C30" s="52">
        <v>24</v>
      </c>
      <c r="D30" s="50" t="str">
        <f>ITI!C131</f>
        <v>Jūrmalas pilsētas Kauguru vidusskolas infrastruktūras pilnveide                                  (IP 69.pozīcija)</v>
      </c>
      <c r="E30" s="51">
        <f t="shared" si="2"/>
        <v>433835.85</v>
      </c>
      <c r="F30" s="51">
        <f>ITI!I131</f>
        <v>368760.47</v>
      </c>
      <c r="G30" s="51">
        <v>0</v>
      </c>
      <c r="H30" s="51">
        <f>ITI!H131</f>
        <v>55314.07</v>
      </c>
      <c r="I30" s="51">
        <f>ITI!K131</f>
        <v>9761.31</v>
      </c>
      <c r="J30" s="52" t="s">
        <v>36</v>
      </c>
      <c r="K30" s="69"/>
      <c r="L30" s="69"/>
      <c r="M30" s="57"/>
    </row>
    <row r="31" spans="1:16" ht="63" x14ac:dyDescent="0.25">
      <c r="A31" s="161" t="s">
        <v>38</v>
      </c>
      <c r="B31" s="162" t="s">
        <v>25</v>
      </c>
      <c r="C31" s="52">
        <v>25</v>
      </c>
      <c r="D31" s="50" t="str">
        <f>ITI!C137</f>
        <v>Infrastruktūras izveide bērnu un jauniešu aprūpei ģimeniskā vidē saskaņa ar Quality4Children standartiem                        (IP 99.pozīcija)</v>
      </c>
      <c r="E31" s="51">
        <f t="shared" si="2"/>
        <v>1326429.2799999998</v>
      </c>
      <c r="F31" s="51">
        <f>ITI!I137</f>
        <v>1127464.8899999999</v>
      </c>
      <c r="G31" s="51">
        <v>0</v>
      </c>
      <c r="H31" s="51">
        <f>ITI!H137</f>
        <v>169119.73</v>
      </c>
      <c r="I31" s="51">
        <f>ITI!K137</f>
        <v>29844.66</v>
      </c>
      <c r="J31" s="52" t="s">
        <v>35</v>
      </c>
      <c r="K31" s="57"/>
      <c r="L31" s="57"/>
    </row>
    <row r="32" spans="1:16" ht="47.25" x14ac:dyDescent="0.25">
      <c r="A32" s="161"/>
      <c r="B32" s="162"/>
      <c r="C32" s="52">
        <v>26</v>
      </c>
      <c r="D32" s="50" t="str">
        <f>ITI!C142</f>
        <v>Grupu dzīvokļu pakalpojuma attīstība cilvēkiem ar garīga rakstura traucējumiem                                                      (IP 100.pozīcija)</v>
      </c>
      <c r="E32" s="51">
        <f t="shared" si="2"/>
        <v>86161.31</v>
      </c>
      <c r="F32" s="51">
        <f>ITI!I143</f>
        <v>73237.11</v>
      </c>
      <c r="G32" s="51">
        <v>0</v>
      </c>
      <c r="H32" s="51">
        <f>ITI!H143</f>
        <v>10985.57</v>
      </c>
      <c r="I32" s="51">
        <f>ITI!K143</f>
        <v>1938.63</v>
      </c>
      <c r="J32" s="52" t="s">
        <v>36</v>
      </c>
      <c r="K32" s="57"/>
      <c r="L32" s="57"/>
      <c r="M32" s="57"/>
    </row>
    <row r="33" spans="1:10" ht="13.5" customHeight="1" x14ac:dyDescent="0.25">
      <c r="A33" s="45"/>
      <c r="B33" s="45" t="s">
        <v>33</v>
      </c>
      <c r="C33" s="45"/>
      <c r="D33" s="45"/>
      <c r="E33" s="45"/>
      <c r="F33" s="56"/>
      <c r="G33" s="56"/>
      <c r="H33" s="45"/>
      <c r="I33" s="45"/>
      <c r="J33" s="45"/>
    </row>
    <row r="34" spans="1:10" x14ac:dyDescent="0.25">
      <c r="E34" s="57"/>
      <c r="F34" s="57"/>
      <c r="G34" s="57"/>
      <c r="H34" s="57"/>
      <c r="I34" s="57"/>
    </row>
    <row r="37" spans="1:10" x14ac:dyDescent="0.25">
      <c r="F37" s="57"/>
    </row>
  </sheetData>
  <mergeCells count="31">
    <mergeCell ref="K7:K8"/>
    <mergeCell ref="L7:L8"/>
    <mergeCell ref="K12:K17"/>
    <mergeCell ref="L12:L17"/>
    <mergeCell ref="H1:J1"/>
    <mergeCell ref="H2:J2"/>
    <mergeCell ref="A7:A11"/>
    <mergeCell ref="J5:J6"/>
    <mergeCell ref="D3:I3"/>
    <mergeCell ref="C5:C6"/>
    <mergeCell ref="E5:I5"/>
    <mergeCell ref="A5:A6"/>
    <mergeCell ref="B5:B6"/>
    <mergeCell ref="D5:D6"/>
    <mergeCell ref="B10:B11"/>
    <mergeCell ref="B7:B9"/>
    <mergeCell ref="N12:N17"/>
    <mergeCell ref="A31:A32"/>
    <mergeCell ref="B19:B21"/>
    <mergeCell ref="A28:A30"/>
    <mergeCell ref="B22:B25"/>
    <mergeCell ref="A12:A21"/>
    <mergeCell ref="B12:B18"/>
    <mergeCell ref="B28:B30"/>
    <mergeCell ref="B31:B32"/>
    <mergeCell ref="K22:K24"/>
    <mergeCell ref="L22:L24"/>
    <mergeCell ref="K28:K29"/>
    <mergeCell ref="L28:L29"/>
    <mergeCell ref="B26:B27"/>
    <mergeCell ref="A22:A27"/>
  </mergeCells>
  <pageMargins left="0.15748031496062992" right="0.16" top="0.15748031496062992" bottom="0.15748031496062992" header="0.31496062992125984" footer="0.16"/>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vt:lpstr>
      <vt:lpstr>ITI kopsavilkums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Liene Zalkovska</cp:lastModifiedBy>
  <cp:lastPrinted>2017-07-18T13:18:57Z</cp:lastPrinted>
  <dcterms:created xsi:type="dcterms:W3CDTF">2015-12-03T10:23:45Z</dcterms:created>
  <dcterms:modified xsi:type="dcterms:W3CDTF">2017-07-20T11:46:27Z</dcterms:modified>
</cp:coreProperties>
</file>