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7\Lemumi\"/>
    </mc:Choice>
  </mc:AlternateContent>
  <bookViews>
    <workbookView xWindow="0" yWindow="0" windowWidth="25230" windowHeight="11880"/>
  </bookViews>
  <sheets>
    <sheet name="ITI" sheetId="1" r:id="rId1"/>
    <sheet name="ITI kopsavilkum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H6" i="3"/>
  <c r="F6" i="3"/>
  <c r="H130" i="1"/>
  <c r="K130" i="1"/>
  <c r="I130" i="1"/>
  <c r="H27" i="3"/>
  <c r="H21" i="3"/>
  <c r="H20" i="3"/>
  <c r="G31" i="3"/>
  <c r="G30" i="3"/>
  <c r="G29" i="3"/>
  <c r="G28" i="3"/>
  <c r="G26" i="3"/>
  <c r="G21" i="3"/>
  <c r="G20" i="3"/>
  <c r="G19" i="3"/>
  <c r="F27" i="3"/>
  <c r="F26" i="3"/>
  <c r="F21" i="3"/>
  <c r="F20" i="3"/>
  <c r="I20" i="3"/>
  <c r="I21" i="3"/>
  <c r="I27" i="3"/>
  <c r="E21" i="3"/>
  <c r="E20" i="3"/>
  <c r="F19" i="3"/>
  <c r="G18" i="3"/>
  <c r="G17" i="3"/>
  <c r="G16" i="3"/>
  <c r="G15" i="3"/>
  <c r="G14" i="3"/>
  <c r="E14" i="3"/>
  <c r="G12" i="3"/>
  <c r="H123" i="1"/>
  <c r="H141" i="1"/>
  <c r="H140" i="1" s="1"/>
  <c r="H31" i="3" s="1"/>
  <c r="K141" i="1"/>
  <c r="K140" i="1" s="1"/>
  <c r="I31" i="3" s="1"/>
  <c r="I141" i="1"/>
  <c r="K142" i="1"/>
  <c r="I142" i="1"/>
  <c r="I140" i="1" s="1"/>
  <c r="F31" i="3" s="1"/>
  <c r="H142" i="1"/>
  <c r="H131" i="1"/>
  <c r="H136" i="1"/>
  <c r="K136" i="1"/>
  <c r="I136" i="1"/>
  <c r="H129" i="1"/>
  <c r="H29" i="3" s="1"/>
  <c r="I129" i="1"/>
  <c r="F29" i="3" s="1"/>
  <c r="K129" i="1"/>
  <c r="I29" i="3" s="1"/>
  <c r="K131" i="1"/>
  <c r="I131" i="1"/>
  <c r="G141" i="1" l="1"/>
  <c r="G140" i="1" s="1"/>
  <c r="E31" i="3" s="1"/>
  <c r="G142" i="1"/>
  <c r="G136" i="1"/>
  <c r="K135" i="1" l="1"/>
  <c r="I30" i="3" s="1"/>
  <c r="I135" i="1"/>
  <c r="F30" i="3" s="1"/>
  <c r="H135" i="1"/>
  <c r="H30" i="3" s="1"/>
  <c r="G135" i="1" l="1"/>
  <c r="E30" i="3" s="1"/>
  <c r="G130" i="1" l="1"/>
  <c r="H124" i="1"/>
  <c r="K124" i="1"/>
  <c r="I124" i="1"/>
  <c r="G123" i="1"/>
  <c r="I123" i="1"/>
  <c r="K123" i="1"/>
  <c r="G124" i="1" l="1"/>
  <c r="H90" i="1" l="1"/>
  <c r="H95" i="1"/>
  <c r="K95" i="1"/>
  <c r="I95" i="1"/>
  <c r="J95" i="1" s="1"/>
  <c r="H96" i="1"/>
  <c r="K96" i="1"/>
  <c r="I96" i="1"/>
  <c r="K90" i="1"/>
  <c r="K89" i="1" s="1"/>
  <c r="I22" i="3" s="1"/>
  <c r="I90" i="1"/>
  <c r="I89" i="1" s="1"/>
  <c r="F22" i="3" s="1"/>
  <c r="I117" i="1"/>
  <c r="J117" i="1" s="1"/>
  <c r="J116" i="1" s="1"/>
  <c r="G27" i="3" s="1"/>
  <c r="K117" i="1"/>
  <c r="H117" i="1"/>
  <c r="H69" i="1"/>
  <c r="H79" i="1"/>
  <c r="I69" i="1"/>
  <c r="K69" i="1"/>
  <c r="K64" i="1"/>
  <c r="K63" i="1" s="1"/>
  <c r="I17" i="3" s="1"/>
  <c r="I64" i="1"/>
  <c r="H64" i="1"/>
  <c r="H63" i="1" s="1"/>
  <c r="H17" i="3" s="1"/>
  <c r="H59" i="1"/>
  <c r="K59" i="1"/>
  <c r="I59" i="1"/>
  <c r="I54" i="1"/>
  <c r="H54" i="1"/>
  <c r="K54" i="1"/>
  <c r="H39" i="1"/>
  <c r="I94" i="1" l="1"/>
  <c r="F23" i="3" s="1"/>
  <c r="H94" i="1"/>
  <c r="H23" i="3" s="1"/>
  <c r="J90" i="1"/>
  <c r="J89" i="1" s="1"/>
  <c r="G22" i="3" s="1"/>
  <c r="J96" i="1"/>
  <c r="J94" i="1" s="1"/>
  <c r="G23" i="3" s="1"/>
  <c r="G95" i="1"/>
  <c r="K94" i="1"/>
  <c r="I23" i="3" s="1"/>
  <c r="H89" i="1"/>
  <c r="G117" i="1"/>
  <c r="G116" i="1" s="1"/>
  <c r="E27" i="3" s="1"/>
  <c r="G69" i="1"/>
  <c r="G64" i="1"/>
  <c r="G63" i="1" s="1"/>
  <c r="E17" i="3" s="1"/>
  <c r="G89" i="1" l="1"/>
  <c r="E22" i="3" s="1"/>
  <c r="H22" i="3"/>
  <c r="G90" i="1"/>
  <c r="K33" i="1" l="1"/>
  <c r="J33" i="1"/>
  <c r="H33" i="1"/>
  <c r="G33" i="1" s="1"/>
  <c r="H23" i="1"/>
  <c r="I18" i="1"/>
  <c r="I17" i="1" s="1"/>
  <c r="F8" i="3" s="1"/>
  <c r="I12" i="1"/>
  <c r="H12" i="1" s="1"/>
  <c r="K18" i="1" l="1"/>
  <c r="K17" i="1" s="1"/>
  <c r="I8" i="3" s="1"/>
  <c r="H18" i="1"/>
  <c r="H17" i="1" s="1"/>
  <c r="H8" i="3" s="1"/>
  <c r="I13" i="1"/>
  <c r="J12" i="1"/>
  <c r="J13" i="1" l="1"/>
  <c r="H13" i="1"/>
  <c r="H11" i="1" s="1"/>
  <c r="H7" i="3" s="1"/>
  <c r="I11" i="1"/>
  <c r="F7" i="3" s="1"/>
  <c r="J11" i="1"/>
  <c r="G7" i="3" s="1"/>
  <c r="K58" i="1" l="1"/>
  <c r="I16" i="3" s="1"/>
  <c r="H58" i="1"/>
  <c r="H16" i="3" s="1"/>
  <c r="H38" i="1" l="1"/>
  <c r="H12" i="3" s="1"/>
  <c r="I32" i="1" l="1"/>
  <c r="F11" i="3" s="1"/>
  <c r="J32" i="1"/>
  <c r="G11" i="3" s="1"/>
  <c r="H32" i="1"/>
  <c r="H11" i="3" s="1"/>
  <c r="J18" i="1"/>
  <c r="J17" i="1" s="1"/>
  <c r="G17" i="1" l="1"/>
  <c r="E8" i="3" s="1"/>
  <c r="G8" i="3"/>
  <c r="G32" i="1"/>
  <c r="E11" i="3" s="1"/>
  <c r="K23" i="1" l="1"/>
  <c r="J23" i="1"/>
  <c r="K12" i="1" l="1"/>
  <c r="G12" i="1" l="1"/>
  <c r="K13" i="1"/>
  <c r="K11" i="1" s="1"/>
  <c r="I7" i="3" s="1"/>
  <c r="K22" i="1" l="1"/>
  <c r="I9" i="3" s="1"/>
  <c r="H22" i="1"/>
  <c r="H9" i="3" s="1"/>
  <c r="J22" i="1"/>
  <c r="G9" i="3" s="1"/>
  <c r="I22" i="1"/>
  <c r="F9" i="3" s="1"/>
  <c r="G23" i="1" l="1"/>
  <c r="G22" i="1"/>
  <c r="E9" i="3" s="1"/>
  <c r="K74" i="1"/>
  <c r="K73" i="1" s="1"/>
  <c r="I19" i="3" s="1"/>
  <c r="H74" i="1"/>
  <c r="H73" i="1" s="1"/>
  <c r="H19" i="3" s="1"/>
  <c r="K48" i="1" l="1"/>
  <c r="I14" i="3" s="1"/>
  <c r="H48" i="1"/>
  <c r="H14" i="3" s="1"/>
  <c r="I63" i="1" l="1"/>
  <c r="F17" i="3" s="1"/>
  <c r="I58" i="1"/>
  <c r="F16" i="3" s="1"/>
  <c r="H49" i="1"/>
  <c r="K49" i="1"/>
  <c r="I48" i="1"/>
  <c r="F14" i="3" s="1"/>
  <c r="H44" i="1"/>
  <c r="K44" i="1"/>
  <c r="K39" i="1"/>
  <c r="I38" i="1"/>
  <c r="F12" i="3" s="1"/>
  <c r="K107" i="1" l="1"/>
  <c r="H107" i="1"/>
  <c r="J107" i="1"/>
  <c r="I107" i="1"/>
  <c r="I106" i="1" s="1"/>
  <c r="F25" i="3" s="1"/>
  <c r="K28" i="1"/>
  <c r="K27" i="1" s="1"/>
  <c r="I10" i="3" s="1"/>
  <c r="H28" i="1"/>
  <c r="H27" i="1" s="1"/>
  <c r="H10" i="3" s="1"/>
  <c r="J28" i="1"/>
  <c r="J27" i="1" s="1"/>
  <c r="G10" i="3" s="1"/>
  <c r="I28" i="1"/>
  <c r="I27" i="1" s="1"/>
  <c r="F10" i="3" s="1"/>
  <c r="G28" i="1" l="1"/>
  <c r="G27" i="1"/>
  <c r="E10" i="3" s="1"/>
  <c r="H53" i="1" l="1"/>
  <c r="H15" i="3" s="1"/>
  <c r="K53" i="1"/>
  <c r="I15" i="3" s="1"/>
  <c r="I53" i="1"/>
  <c r="F15" i="3" s="1"/>
  <c r="G59" i="1"/>
  <c r="G58" i="1" s="1"/>
  <c r="E16" i="3" s="1"/>
  <c r="F78" i="1"/>
  <c r="J43" i="1"/>
  <c r="G13" i="3" s="1"/>
  <c r="I43" i="1"/>
  <c r="F13" i="3" s="1"/>
  <c r="K43" i="1"/>
  <c r="I13" i="3" s="1"/>
  <c r="G44" i="1"/>
  <c r="H43" i="1"/>
  <c r="H13" i="3" s="1"/>
  <c r="G49" i="1"/>
  <c r="K112" i="1"/>
  <c r="K111" i="1" s="1"/>
  <c r="I26" i="3" s="1"/>
  <c r="H112" i="1"/>
  <c r="H111" i="1" s="1"/>
  <c r="H26" i="3" s="1"/>
  <c r="K106" i="1"/>
  <c r="I25" i="3" s="1"/>
  <c r="H106" i="1"/>
  <c r="H25" i="3" s="1"/>
  <c r="K102" i="1"/>
  <c r="H102" i="1"/>
  <c r="K101" i="1"/>
  <c r="H101" i="1"/>
  <c r="K84" i="1"/>
  <c r="H84" i="1"/>
  <c r="K79" i="1"/>
  <c r="G74" i="1"/>
  <c r="G73" i="1" s="1"/>
  <c r="E19" i="3" s="1"/>
  <c r="I68" i="1"/>
  <c r="F18" i="3" s="1"/>
  <c r="H68" i="1"/>
  <c r="H18" i="3" s="1"/>
  <c r="G39" i="1"/>
  <c r="G18" i="1"/>
  <c r="K38" i="1"/>
  <c r="I12" i="3" s="1"/>
  <c r="G131" i="1"/>
  <c r="G129" i="1" s="1"/>
  <c r="E29" i="3" s="1"/>
  <c r="K68" i="1"/>
  <c r="I18" i="3" s="1"/>
  <c r="J106" i="1"/>
  <c r="G25" i="3" s="1"/>
  <c r="J102" i="1"/>
  <c r="J101" i="1"/>
  <c r="I102" i="1"/>
  <c r="I101" i="1"/>
  <c r="G13" i="1"/>
  <c r="G11" i="1" s="1"/>
  <c r="E7" i="3" s="1"/>
  <c r="G54" i="1"/>
  <c r="G53" i="1" s="1"/>
  <c r="E15" i="3" s="1"/>
  <c r="G107" i="1"/>
  <c r="H100" i="1" l="1"/>
  <c r="H24" i="3" s="1"/>
  <c r="K100" i="1"/>
  <c r="I24" i="3" s="1"/>
  <c r="G84" i="1"/>
  <c r="G96" i="1"/>
  <c r="G94" i="1" s="1"/>
  <c r="E23" i="3" s="1"/>
  <c r="I100" i="1"/>
  <c r="F24" i="3" s="1"/>
  <c r="G79" i="1"/>
  <c r="G112" i="1"/>
  <c r="G101" i="1"/>
  <c r="G102" i="1"/>
  <c r="J100" i="1"/>
  <c r="G24" i="3" s="1"/>
  <c r="G111" i="1"/>
  <c r="E26" i="3" s="1"/>
  <c r="G106" i="1"/>
  <c r="E25" i="3" s="1"/>
  <c r="G38" i="1"/>
  <c r="E12" i="3" s="1"/>
  <c r="G68" i="1"/>
  <c r="E18" i="3" s="1"/>
  <c r="G43" i="1"/>
  <c r="E13" i="3" s="1"/>
  <c r="G100" i="1" l="1"/>
  <c r="E24" i="3" s="1"/>
  <c r="K32" i="1"/>
  <c r="I11" i="3" s="1"/>
  <c r="G122" i="1" l="1"/>
  <c r="E28" i="3" s="1"/>
  <c r="I122" i="1"/>
  <c r="F28" i="3" s="1"/>
  <c r="K122" i="1"/>
  <c r="I28" i="3" s="1"/>
  <c r="H122" i="1"/>
  <c r="H28" i="3" s="1"/>
</calcChain>
</file>

<file path=xl/sharedStrings.xml><?xml version="1.0" encoding="utf-8"?>
<sst xmlns="http://schemas.openxmlformats.org/spreadsheetml/2006/main" count="565" uniqueCount="365">
  <si>
    <t>Integrētās teritoriju investīcijas</t>
  </si>
  <si>
    <t>N.p.k.</t>
  </si>
  <si>
    <t>Projekta nosaukums</t>
  </si>
  <si>
    <t>Atbilstība vidēja termiņa prioritātēm</t>
  </si>
  <si>
    <t>Papildinātība ar citiem projektiem (norādīt projekta N.p.k.)</t>
  </si>
  <si>
    <t>Indikatīvā summa (EUR)</t>
  </si>
  <si>
    <t>Finanšu instruments, (EUR)</t>
  </si>
  <si>
    <t>Projekta plānotie darbības rezultāti un to rezultatīvie rādītāji</t>
  </si>
  <si>
    <t>Plānotais laika posms</t>
  </si>
  <si>
    <t>Atbildīgais par projekta īstenošanu (sadarbības partneris)</t>
  </si>
  <si>
    <t>Privātais sektors*</t>
  </si>
  <si>
    <t>Projekta uzsākšanas datums / aktivitāšu īstenošanas laika grafiks</t>
  </si>
  <si>
    <t>Projekta realizācijas ilgums</t>
  </si>
  <si>
    <t>1.1.</t>
  </si>
  <si>
    <t>Jūrmalas pilsētas dome</t>
  </si>
  <si>
    <t>2.1.</t>
  </si>
  <si>
    <t>3.1.</t>
  </si>
  <si>
    <t>4.1.</t>
  </si>
  <si>
    <t>5.1.</t>
  </si>
  <si>
    <t>*Piesaistītās nefinanšu investīcijas konkrētās aktivitātes ietvaros</t>
  </si>
  <si>
    <t>SAM</t>
  </si>
  <si>
    <t>Nr.</t>
  </si>
  <si>
    <t>Kopējās projekta izmaksas</t>
  </si>
  <si>
    <t>P</t>
  </si>
  <si>
    <t>Īstenošanas laiks</t>
  </si>
  <si>
    <t>3.3.1.</t>
  </si>
  <si>
    <t>Indikatīvā kopsumma (EUR)</t>
  </si>
  <si>
    <t>A</t>
  </si>
  <si>
    <t>4.2.2.</t>
  </si>
  <si>
    <t>5.6.2.</t>
  </si>
  <si>
    <t>2018-2019</t>
  </si>
  <si>
    <t>2019-2020</t>
  </si>
  <si>
    <t>8.1.2.</t>
  </si>
  <si>
    <t>9.3.1.</t>
  </si>
  <si>
    <t>-</t>
  </si>
  <si>
    <t>7.1.</t>
  </si>
  <si>
    <t>8.1.</t>
  </si>
  <si>
    <t>6.1.</t>
  </si>
  <si>
    <t>9.1.</t>
  </si>
  <si>
    <t>Nefinanšu investīcijas</t>
  </si>
  <si>
    <t>10.1.</t>
  </si>
  <si>
    <t>14.1.</t>
  </si>
  <si>
    <t>16.1.</t>
  </si>
  <si>
    <t>P 2.1.                 P 3.7.</t>
  </si>
  <si>
    <t>P 2.6.                        P 3.2.</t>
  </si>
  <si>
    <t>P 3.5.</t>
  </si>
  <si>
    <t>15.1.</t>
  </si>
  <si>
    <t>P 3.2.</t>
  </si>
  <si>
    <t>P.3.2.</t>
  </si>
  <si>
    <t xml:space="preserve">P 1.2.                    P 3.7.            </t>
  </si>
  <si>
    <t>P 2.4.                    P 3.7.</t>
  </si>
  <si>
    <t>P 2.6.                      P 3.5.</t>
  </si>
  <si>
    <t>P 2.6.                      P 3.3.</t>
  </si>
  <si>
    <t>P 2.6.                    P 3.1.</t>
  </si>
  <si>
    <r>
      <rPr>
        <i/>
        <u/>
        <sz val="12"/>
        <rFont val="Times New Roman"/>
        <family val="1"/>
        <charset val="186"/>
      </rPr>
      <t>Projekta idejas pamatojums:</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bez vecāku gādības palikušiem  bērniem un jauniešiem nav pilnībā  attīstīti  sociālie pakalpojumi ierobežotā finansējuma dēļ. </t>
    </r>
  </si>
  <si>
    <t>Ķemeru parka pārbūve un restaurācija (t.sk.inženiertehnisko tīklu pārbūve, ielu un ceļa infrastruktūras atjaunošana, labiekārtošana, būvprojekts, autoruzraudzība un būvuzraudzība)</t>
  </si>
  <si>
    <t>Specifiskais atbalsta mērķis  (SAM) 3.3.1.                                                                                                                                                                                                                                                                                                                                                                                                             "Palielināt privāto investīciju apjomu reģionos, veicot ieguldījumus uzņēmējdarbības attīstībai atbilstoši pašvaldību attīstības programmās noteiktajai teritoriju ekonomiskajai specializācijai un balstoties uz vietējo uzņēmēju vajadzībām"</t>
  </si>
  <si>
    <t>Integrēto teritoriju investīciju  projektu ideju kopsavilkums</t>
  </si>
  <si>
    <t>1.pielikums</t>
  </si>
  <si>
    <t>"Integrētās teritoriju investīcijas"</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</si>
  <si>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parka pārbūve un restaurācija (t.sk.inženiertehnisko tīklu pārbūve, ielu un ceļa infrastruktūras atjaunošana, labiekārtošana, būvprojekts, autoruzraudzība un būvuzraudzība)</t>
    </r>
    <r>
      <rPr>
        <i/>
        <sz val="12"/>
        <rFont val="Times New Roman"/>
        <family val="1"/>
        <charset val="186"/>
      </rPr>
      <t xml:space="preserve">
Viesnīcas saimnieciskās darbības trūkuma dēļ, ir nepieciešama Ķemeru parka un parka arhitektūras pārbūve un restaurācija, jo parka teritorija un kultūrvēsturiskie objekti ir pilnībā vai daļēji pamesti, nolaisti, un parks daļēji piesārņots. Parka celiņi nolietoti, apgaismojums nedarbojas, parka arhitektūra un labiekārtojuma elementi nolietojušies un nepilda savu funkciju. Ir nepieciešama arī parka teritorijā esošo inženiertehnisko tīklu pārbūve un atjaunošana, lai nodrošinātu viesnīcas ēkas saimniecisko darbību. Lai kompleksi attīstītu parka teritoriju un apmierinātu komersanta vajadzības pēc sakārtotas uzņēmējdarbības vides Ķemeros, ir nepieciešams veikt arī ielu un ceļa infrastruktūras atjaunošanu, jo  parka teritorijā esošās ielas un ceļi ir nolietojušies. Atjaunojot tos, ielas un ceļi būs publiski pieejami, tos izmantos gan vietējie iedzīvotāji, gan viesi, kā arī tie kalpos kā pievedceļi Ķemeru uzņēmumiem.</t>
    </r>
  </si>
  <si>
    <t>1.2.</t>
  </si>
  <si>
    <t xml:space="preserve"> P 3.2.                          P 3.7.</t>
  </si>
  <si>
    <t>P 2.1.                    P 3.7.</t>
  </si>
  <si>
    <t xml:space="preserve">Jūrmalas pilsētas pašvaldība                                  
</t>
  </si>
  <si>
    <t>Jūrmalas pilsētas pašvaldība</t>
  </si>
  <si>
    <t xml:space="preserve">Jūrmalas pilsētas pašvaldība                                         
</t>
  </si>
  <si>
    <t xml:space="preserve">Jūrmalas pilsētas pašvaldība                                          
</t>
  </si>
  <si>
    <t xml:space="preserve">Jūrmalas pilsētas pašvaldība                                       
</t>
  </si>
  <si>
    <t xml:space="preserve">Jūrmalas pilsētas pašvaldība
</t>
  </si>
  <si>
    <t xml:space="preserve">Jūrmalas pilsētas pašvaldība                                              
</t>
  </si>
  <si>
    <t>P 2.8.                 P 3.2.                          P 3.7.</t>
  </si>
  <si>
    <t>P 2.8.                     P 3.7.</t>
  </si>
  <si>
    <t>13.1.</t>
  </si>
  <si>
    <t>18.1.</t>
  </si>
  <si>
    <t>19.1.</t>
  </si>
  <si>
    <t>Specifiskais atbalsta mērķis  (SAM)  9.3.1.                                                                                                                                                                                                                                                                                                                                                                                                                        "Attīstīt pakalpojumu infrastruktūru bērnu aprūpei ģimeniskā vidē un personu ar invaliditāti neatkarīgai dzīvei un integrācijai sabiedrībā"***</t>
  </si>
  <si>
    <t>***Aktivitates šī SAM ietvaros var tikt precizētas pēc Rīgas plānošanas reģiona Deinstitucionalizācijas plāna izstrādes</t>
  </si>
  <si>
    <t>**Atbilstoši Vides aizsardzības un reģionālās attīstības ministrijas noteiktajam "Pašvaldību budžeta kapacitātes rādītājam 2016.gadā" (MK 27.01.2015. noteikumi Nr.42.)</t>
  </si>
  <si>
    <t>Specifiskais atbalsta mērķis  (SAM) 8.1.2.SAM                                                                                                                                                                                                                                                                                                                                                                                                "Uzlabot vispārējās izglītības iestāžu mācību vidi"</t>
  </si>
  <si>
    <t>Specifiskais atbalsta mērķis (SAM) 5.6.2.                                                                                                                                                                                                                                                                                                                                                                                                     “Teritoriju revitalizācija, reģenerējot degradētās teritorijas atbilstoši pašvaldību integrētajām attīstības programmām”</t>
  </si>
  <si>
    <t xml:space="preserve">Specifiskais atbalsta mērķis (SAM) 4.2.2.                                                                                                                                                                                                                                                                                                                                                                                                                   "Atbilstoši pašvaldības integrētajām attīstības programmām sekmēt energoefektivitātes paaugstināšanu un AER izmantošanu pašvaldību ēkās" </t>
  </si>
  <si>
    <r>
      <rPr>
        <b/>
        <sz val="12"/>
        <rFont val="Times New Roman"/>
        <family val="1"/>
        <charset val="186"/>
      </rPr>
      <t>Alternatīvā projekta ideja Nr.1 :</t>
    </r>
    <r>
      <rPr>
        <b/>
        <i/>
        <u/>
        <sz val="12"/>
        <rFont val="Times New Roman"/>
        <family val="1"/>
        <charset val="186"/>
      </rPr>
      <t>Jūrmalas pilsētas domes administratīvās ēkas energoefektivitātes paaugstināšana Dubultu prospektā 1, lit.1</t>
    </r>
  </si>
  <si>
    <r>
      <rPr>
        <b/>
        <sz val="12"/>
        <rFont val="Times New Roman"/>
        <family val="1"/>
        <charset val="186"/>
      </rPr>
      <t>Alternatīvā projekta ideja Nr.2:</t>
    </r>
    <r>
      <rPr>
        <b/>
        <i/>
        <u/>
        <sz val="12"/>
        <rFont val="Times New Roman"/>
        <family val="1"/>
        <charset val="186"/>
      </rPr>
      <t>Jūrmalas pilsētas domes administratīvās ēkas energoefektivitātes paaugstināšana Rūpniecības ielā 19</t>
    </r>
  </si>
  <si>
    <t>20.1.</t>
  </si>
  <si>
    <t>22.1.</t>
  </si>
  <si>
    <t xml:space="preserve">Jūrmalas pilsētas pašvaldība                                          
</t>
  </si>
  <si>
    <t xml:space="preserve">Jūrmalas pilsētas pašvaldība                                      
</t>
  </si>
  <si>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Ķemeru pasta ēkai Tukuma ielā 30 kopējais enerģijas  patēriņa novērtējums ir vērtējams kā augsts jeb 127,70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</si>
  <si>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Ēkas Dubultu prospektā 1 kopējais enerģijas  patēriņa novērtējums ir 208,28  kWh/m2. Ēka ir arī vizuāli nepievilcīga un līdz ar to degradē kopējo pilsētas ainavu. Veicot ēkai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</si>
  <si>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Tematiskā plānojuma „Ķemeru attīstības vīzija” ietvaros tika veikta Ķemeru teritorijas daudzpusīgā izpēte, tostarp apskatīta Ķemeru satiksmes infrastruktūra,  tika norādīts, ka Ķemeru ielu sarkano līniju un ielu zemes vienību platumu ietvaros Tūristu ielā un  E.Dārziņa ielā ir nepieciešams un ir iespējams veidot vai attīstīt dažāda veida satiksmes infrastruktūru –gājēju ietves, veloceliņus, autobusu pieturas, autostāvvietas u.c. Šobrīd ietvju un ceļa seguma kvalitāte ir vērtējama kā slikta. Arī satiksmes drošība uz abām minētām centrālām ielām ir uzlabojama, jo tur jau šobrīd ir novērojama vislielākā satiksmes intensitāte.  Attīstoties kūrortam,  pieaugs cilvēku un automašīnu plūsma, tāpēc būtu nepieciešams izveidot papildu gājēju pāreju, lai uzlabotu iedzīvotāju drošību, šķērsojot ielas. Arī inženiertīklu pieejamība Ķemeros ir pilnveidojama, jo šobrīd nav nodrošināti publiskās infrastruktūras pieslēgumi uzņēmējdarbības objektiem (elektroenerģijas, ūdens un kanalizācijas un gāzes pieslēgumi, kā arī pievadošā ceļu infrastruktūra - īpaši E.Dārziņa ielā.</t>
    </r>
  </si>
  <si>
    <r>
      <rPr>
        <b/>
        <sz val="12"/>
        <rFont val="Times New Roman"/>
        <family val="1"/>
        <charset val="186"/>
      </rPr>
      <t>Prioritārā projekta ideja Nr.1:</t>
    </r>
    <r>
      <rPr>
        <b/>
        <i/>
        <sz val="12"/>
        <rFont val="Times New Roman"/>
        <family val="1"/>
        <charset val="186"/>
      </rPr>
      <t xml:space="preserve"> </t>
    </r>
    <r>
      <rPr>
        <b/>
        <i/>
        <u/>
        <sz val="12"/>
        <rFont val="Times New Roman"/>
        <family val="1"/>
        <charset val="186"/>
      </rPr>
      <t xml:space="preserve">Pilsētas atpūtas parka un jauniešu mājas izveide Kauguros </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</si>
  <si>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- 1 līdz 2 komersanti;
2)jaunizveidoto darba vietu skaits komersantos, kuri guvuši labumu no investīcijām infrastruktūrā – 2 darba vietas;
3)no projekta ietvaros veiktajām investīcijām infrastruktūrā labumu guvušo komersantu nefinanšu investīcijas pašu nemateriālajos ieguldījumos un pamatlīdzekļos – 82 605.20 EUR.</t>
    </r>
  </si>
  <si>
    <r>
      <t xml:space="preserve">2019              </t>
    </r>
    <r>
      <rPr>
        <i/>
        <sz val="10"/>
        <rFont val="Times New Roman"/>
        <family val="1"/>
        <charset val="186"/>
      </rPr>
      <t>(2018.gads tehniskās dokumentācijas izstrāde)</t>
    </r>
  </si>
  <si>
    <t>P 2.6.            P2.8.</t>
  </si>
  <si>
    <r>
      <t xml:space="preserve">Prioritārā projekta ideja Nr.1: </t>
    </r>
    <r>
      <rPr>
        <b/>
        <i/>
        <u/>
        <sz val="12"/>
        <rFont val="Times New Roman"/>
        <family val="1"/>
        <charset val="186"/>
      </rPr>
      <t>Ķemeru parka pārbūve un restaurācija</t>
    </r>
  </si>
  <si>
    <r>
      <rPr>
        <i/>
        <u/>
        <sz val="12"/>
        <rFont val="Times New Roman"/>
        <family val="1"/>
        <charset val="186"/>
      </rPr>
      <t xml:space="preserve">Projekta idejas pamatojums: </t>
    </r>
    <r>
      <rPr>
        <i/>
        <sz val="12"/>
        <rFont val="Times New Roman"/>
        <family val="1"/>
        <charset val="186"/>
      </rPr>
      <t xml:space="preserve">
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Ķemeru kūrorta dibināšana notika 1838.gadā. Laika gaitā Ķemeru kā kūrorta nozīme  pieauga un kūrorta dzīve strauji attīstījās. Ķemeros tika izbūvēta infrastruktūra - ceļi, moderna peldiestāde ar dūņu vannām, sporta un atpūtas komplekss, kā arī 1936.gadā atklāta tā laika prestižākā celtne - viesnīca "Ķemeri". Pastiprinātais pieprasījums pēc kūrorta pakalpojumiem nodrošināja darbavietas ne tikai vietējiem iedzīvotājiem, bet arī iebraucējiem. Pēc Latvijas Republikas neatkarības atgūšanas, samazinoties kūrorta pakalpojuma izmantotāju skaitam, proporcionāli mazinājās arī šajā sfērā nodarbināto personu skaits, kas beigās rezumējās ar kūrortu saistītās uzņēmējdarbības pārtraukšanu un teritorijas degradēšanos.
"Ķemeru kūrorts” ir viens no pieciem valsts nozīmes pilsētbūvniecības pieminekļiem Jūrmalā,  Ķemeru parks ar parka arhitektūru ir viens no septiņiem Ķemeros sastopamajiem valsts nozīmes arhitektūras pieminekļiem. Ķemeru unikālās kultūrvēsturiskās vērtības ir Latvijas vēstures nozīmīga daļa, kas tiek novērtēta ne tikai Latvijas sabiedrības, bet arī ārvalstu tūristu vidū. 
Ķemeru parks ir viesnīcai " Ķemeri" cieši pieguļoša teritorija. Parks ir identificēts kā degradēta teritorija, kurai steidzami nepieciešama teritorijas revitalizācija, kas tiks panākta gan veicot parka pārbūvi un restaurāciju, gan piesaistot nefinanšu investīcijas Jūrmalai, kas savukārt veidos videi draudzīgu un vides ilgtspēju veicinošu teritoriālo izaugsmi, uzņēmējdarbības attīstību un jaunu darba vietu radīšanu Jūrmalā.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</si>
  <si>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2.5 ha;
3)jaunizveidoto darba vietu skaits – 20 darba vietas;
4)komersantu, kuri atrodas atbalstītajā teritorijā, nefinanšu investīcijas pašu nemateriālos ieguldījumos un pamatlīdzekļos – 5 000 000.00EUR.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Nr.6 projektam "Majoru muižas kompleksa atjaunošana" - Pielikums Nr.2.    </t>
    </r>
  </si>
  <si>
    <r>
      <rPr>
        <i/>
        <u/>
        <sz val="12"/>
        <rFont val="Times New Roman"/>
        <family val="1"/>
        <charset val="186"/>
      </rPr>
      <t>Projekta idejas pamatojums:</t>
    </r>
    <r>
      <rPr>
        <i/>
        <sz val="12"/>
        <rFont val="Times New Roman"/>
        <family val="1"/>
        <charset val="186"/>
      </rPr>
      <t xml:space="preserve">
Jūrmalas pilsētas Attīstības programmā 2014.-2020.gadam, viena no pašvaldības definētajām prioritārajām rīcībām ir kuģošanas infrastruktūras attīstība Lielupē un saskaņā ar Jūrmalas ostas attīstības programmā 2015.-2022.gadam definēto, lai noturētu ilgāk tūristus Jūrmalā ir jāattīsta tūrisma veidi, kuri papildina un dažādo tūrisma iespējas. Jānorāda, ka Jūrmalai ir milzīgs potenciāls ūdenstūrisma un jahtu tūrisma attīstībā, jau šobrīd tūristi Jūrmalā uzturas vidēji 3,5 dienas, ilgāk kā vidēji Latvijā. Jūrmalā ūdenstūrismu ir iespējams apvienot ar kūrorta, eko tūrisma un kultūras pasākumiem, arī ūdenstilpņu dažādība un pieejamība (ezeri, Lielupe, Rīgas jūras līcis un mazās upītes Ķemeru nacionālā parka teritorijā) un neskartā daba, veido lielisku sinerģiju, lai Jūrmala būtu konkurētspējīga ar citām Baltijas jūras reģiona pilsētām dažādās tūrisma jomās. Ja Jūrmalas pilsētā gar Lielupes piekrasti būtu labiekārtota vide ar modernu tūrisma infrastruktūru – viesu mājām, viesnīcām, restorāniem un arī visu jahtošanai nepieciešamo papildu infrastruktūru (degvielas uzpilde, kanalizācijas novadīšana, serviss), tas būtu nozīmīgs resurss papildu tūristu piesaistīšanai no Vācijas, Dānijas, Somijas un Zviedrijas.
Projekta “Jūrmalas ūdenstūrisma pakalpojuma infrastruktūras attīstība atbilstoši pilsētas ekonomiskajai specializācijai”  plānots attīstīt papildu infrastruktūru, kas uzlabos pilsētas ekonomisko aktivitāti un palielinās nodarbinātību. Ēkas pārbūvei tiks izdalītas projekta attiecināmās un neattiecināmās izmaksas, tādējādi  nodalot telpas komersantiem un atsevišķi izdalot telpas pašvaldības vajadzībām. Telpas, kas tiks būvētas no projekta attiecināmām izmaksām, tiks nodotas komersantam nomā saimnieciskās darbības veikšanai atbilstoši Ministru kabineta 2015.gada 13.oktobra noteikumu Nr.593 19.2. apakšpunkta nosacījumiem. </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</si>
  <si>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pilsētā teātra ēka Muižas ielā 7 ir ar zemu energoefektivitāti - kopējais enerģijas patēriņa novērtējums ir 198,66 kWh/m2 gadā. Ēka ir arī vizuāli nepievilcīga un līdz ar to degradē kopējo pilsētas ainavu. 
Veicot ēkai energoefektivitātes pasākumus, samazināsies ēkas siltumenerģijas patēriņš, ēkas apsaimniekošanas izmaksas un CO2 emisija, uzlabosies ēkas vizuālais izskats. 
Ēka ir Jūrmalas pilsētas pašvaldības īpašums. Jūrmalas teātris ir pašvaldības iestādes "Jūrmalas kultūras centrs" struktūrvienība. Jūrmalas teātra materiāli tehniskās apgādes jautājumus nodrošina Jūrmalas kultūras centrs. Šobrīd telpas neizmanto citas juridiskās personas un telpās sniegtajiem pakalpojumiem ir izteikti vietējs raksturs.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</si>
  <si>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domes ēkas ir ar zemu energoefektivitāti. Ēkai Rūpniecības ielā 19 - 213,65 kWh/m2 gadā , kas ir lielāks nekā Jūrmalas publisko ēku vidējais siltumenerģijas patēriņš. Ēka ir arī vizuāli nepievilcīga un līdz ar to degradē kopējo pilsētas ainavu. Veicot ēkas energoefektivitātes pasākumus, samazināsies ēkas siltumeneģijas patēriņš, ēkas apsaimniekošanas izmaksas un CO2 emisija.</t>
    </r>
  </si>
  <si>
    <r>
      <rPr>
        <i/>
        <u/>
        <sz val="12"/>
        <rFont val="Times New Roman"/>
        <family val="1"/>
        <charset val="186"/>
      </rPr>
      <t>Projekta idejas pamatojums:</t>
    </r>
    <r>
      <rPr>
        <i/>
        <sz val="12"/>
        <rFont val="Times New Roman"/>
        <family val="1"/>
        <charset val="186"/>
      </rPr>
      <t xml:space="preserve">
Atbilstoši Jūrmalas pilsētas vidējā termiņa mērķiem, kas definēti Jūrmalas pilsētas Attīstības programmā 2014.-2020.gadam, viena no pašvaldības definētajām prioritārajām rīcībām ir Kultūras tūrisma attīstība, kā arī Atbalsts uzņēmējdarbības iniciatīvām un uzņēmēju sadarbības veicināšana.  Majoru muižas galvenā ēka ir valsts nozīmes arhitektūras piemineklis (Aizsardzības Nr.5554). Majoru muižas komplekss atrodas Jūrmalas pilsētas centrālā daļā, to veido 2,5 hektāri zemes un 13 būvju. Teritorija ir pamesta un muižas ēka iekonservēta. Teritorijas revitalizācijai ir svarīgi definēt muižas kompleksa turpmāko attīstības scenāriju un uzsākt sistemātisku un pilsētas profilam atbilstošu kompleksa attīstību, pielāgojot degradēto teritoriju komersantu saimnieciskās darbības attīstībai, un sekmējot nodarbinātību un ekonomisko aktivitāti Jūrmalā. </t>
    </r>
  </si>
  <si>
    <t>2018-2020</t>
  </si>
  <si>
    <t>17.1.</t>
  </si>
  <si>
    <t>18.2.</t>
  </si>
  <si>
    <t>17                     18                                            19</t>
  </si>
  <si>
    <t>16                               18                        19</t>
  </si>
  <si>
    <t>16                             17                         19</t>
  </si>
  <si>
    <t>16                            17                         19</t>
  </si>
  <si>
    <t>16                                 17                        18</t>
  </si>
  <si>
    <t>23                         24</t>
  </si>
  <si>
    <t>25.1.</t>
  </si>
  <si>
    <t>16                                  17                             18                          19</t>
  </si>
  <si>
    <r>
      <rPr>
        <i/>
        <u/>
        <sz val="12"/>
        <rFont val="Times New Roman"/>
        <family val="1"/>
        <charset val="186"/>
      </rPr>
      <t xml:space="preserve">Projekta idejas pamatojums: </t>
    </r>
    <r>
      <rPr>
        <i/>
        <sz val="12"/>
        <rFont val="Times New Roman"/>
        <family val="1"/>
        <charset val="186"/>
      </rPr>
      <t xml:space="preserve">
Pašvaldības iestādes „Veselības veicināšanas un sociālo pakalpojumu centrs” ēkas Strēlnieku prospektā 38 un 38 k-1 un zeme atrodas Jūrmalas pilsētas pašvaldības īpašumā. Abām ēkām ir kopīga enerģijas uzskaite.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veselības veicināšanas un sociālo pakalpojumu centra ēkas Strēlnieku prospektā 38 un 38 k-1 šobrīd ir ar zemu energoefektivitāti. Ēkai Strēlnieku prospektā 38 un 38 k-1 kopējais enerģijas  patēriņa novērtējums ir 342,51 kWh/m2 gadā, kas ir augstāks nekā Jūrmalas publisko ēku vidējais siltumenerģijas patēriņš. Ēkas ir vizuāli nepievilcīgas un līdz ar to degradē kopējo pilsētas ainavu. Veicot ēkām energoefektivitātes pasākumus, samazināsies ēku siltumeneģijas patēriņš, ēku apsaimniekošanas izmaksas un CO2 emisija, ēkā uzlabosies vispārējais komforta līmenis un vizuālais izskats.
Lai ekonomiski un funkcionāli izmantotu infrastruktūru, realizējot veselības un sociālā aprūpes centra mērķi - veicināt iedzīvotāju veselīgu dzīvesveidu, nodrošināt sociālās aprūpes un sociālās rehabilitācijas pakalpojumus, normatīvajos aktos noteiktajos gadījumos, nodrošināt veselības aprūpes pieejamību, kā arī īstenot profesionālās pilnveides, tālākizglītības un kvalifikācijas paaugstināšanas programmas un apmācības pieaugušām personām. Lai kvalitatīvi varētu realizēt iestādes mērķi, tiek plānotas infrastruktūras pilnveides aktivitātes, kas ietver  ēkās funkcionālus uzlabojumus un telpu pārplānošanu atbilstoši to nozīmei un izmantošanai. 
Plānotie infrastruktūras pilnveides pasākumi tiks iekļauti projekta neattiecināmajās izmaksās un aktivitātes tiks īstenotas par pašvaldības finanšu līdzekļiem. Minētās izmaksas tiks precizētas pēc būvprojekta izstrādes.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</si>
  <si>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Sporta skolas ēkai Rūpniecības ielā 13 kopējais enerģijas  patēriņa novērtējums ir 481,15 kWh/m2 gadā, kas ir augstāks nekā Jūrmalas publisko ēku vidējais siltumenerģijas patēriņš. Jūrmalas Sporta skola ir Jūrmalas pilsētas domes dibināta un pakļautībā esoša profesionālās sporta ievirzes izglītības iestāde, kura īsteno bērnu un jauniešu profesionālās ievirzes un interešu izglītības programmas sportā, kā arī vada sporta metodisko darbu vispārizglītojošajās izglītības iestādēs. Saskaņā ar Jūrmalas Sporta skolas datiem 2015.-2016.mācību gadā profesionālās ievirzes mācību - treniņu grupās bija 972 izglītojamie.  Gan iestādes ēka, gan zeme ir pašvaldības īpašums. Veicot ēkai energoefektivitātes pasākumus, samazināsies ēkas siltumeneģijas patēriņš, ēkas apsaimniekošanas izmaksas un CO2 emisija, uzlabosies ēkas vizuālais izskats.</t>
    </r>
  </si>
  <si>
    <r>
      <t xml:space="preserve">2019                         </t>
    </r>
    <r>
      <rPr>
        <i/>
        <sz val="10"/>
        <rFont val="Times New Roman"/>
        <family val="1"/>
        <charset val="186"/>
      </rPr>
      <t>(16 mēneši)</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</si>
  <si>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Tostarp, Jūrmalas pilsētas Ķemeru pamatskolas kopējais enerģijas  patēriņa novērtējums ir 230,43 kWh/m2 gadā,kas ir augstāks nekā Jūrmalas publisko ēku vidējais siltumenerģijas patēriņš. Ķemeri ir viena no Jūrmalas primāri attīstāmām teritorijām, 2014.gadā ir atklāts jaunizbūvētais bērnudārzs "Austras koks", bet sākot ar 2017.gadu ir plānots īstenot virkni projektu degradētās teritorijas revitalizācijai. Tādējādi, nozīmīgs ieguldījums Ķemeru attīstībā un izglītības pieejamībai ir arī Ķemeru pamatskolas pārbūves un energoefektivātes pasākumu īstenošana. Ķemeru pamatskola ir nozīmīgs Jūrmalas vēstures un arhitektūras piemineklis. Tāda veida bagātais alegorisko tēlu apjoms skolas fasādē un interjerā ir vienīgais Latvijā. Veicot ēkai energoefektivitātes pasākumus, samazināsies ēkas siltumeneģijas patēriņš, ēkas apsaimniekošanas izmaksas un CO2 emisijas.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</si>
  <si>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mērķtiecīgi un jēgpilni attīstītu izglītības iestāžu tīklu pilsētā, padarot to pieejamu un energoefektīvu, ir jāveic skolu  energoefektivitātes paaugstināšanas pasākumus. Jūrmalas pilsētas Jaundubultu vidusskolas ēkai Lielupes ielā 21 kopējais enerģijas patēriņa novērtējums ir 177,94 kWh/m2 gadā.  Projekta īstenošanas rezultātā samazināsies ēkas siltumenerģijas patēriņš, ēkas apsaimniekošanas izmaksas un CO2 emisija gaisā. Gan ēka, gan zeme ir pašvaldības īpašumā. 
</t>
    </r>
  </si>
  <si>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(2017.gads tehniskās dokumentācijas izstrāde)</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</si>
  <si>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Lai kompleksi attīstītu Jaundubultu vidusskolu un tās teritorijā esošās ēkas, ir jāveic energoefektivitāti paaugstinošus pasākumus arī Jaundubultu vidusskolas ēkai Lielupes ielā 21 k-1 (autoskolas ēka). Ēkas kopējais enerģijas patēriņa novērtējums ir 260,44 kWh/m2 gadā. Projekta īstenošanas rezultātā samazināsies ēkas siltumeneģijas patēriņš, ēkas apsaimniekošanas izmaksas un CO2 emisija gaisā. Gan ēka, gan zeme ir pašvaldības  īpašums. Ēkā darbojas Jūrmalas pašvaldības iestādes "Jūrmalas bērnu un jauniešu interešu centrs" organizētie interešu izglītības pulciņi. Šobrīd ēku neizmanto citas juridiskas personas.</t>
    </r>
  </si>
  <si>
    <r>
      <rPr>
        <i/>
        <u/>
        <sz val="12"/>
        <rFont val="Times New Roman"/>
        <family val="1"/>
        <charset val="186"/>
      </rPr>
      <t xml:space="preserve">Projekta idejas pamatojums: </t>
    </r>
    <r>
      <rPr>
        <i/>
        <sz val="12"/>
        <rFont val="Times New Roman"/>
        <family val="1"/>
        <charset val="186"/>
      </rPr>
      <t xml:space="preserve">
Jūrmalas pilsētas publisko ēku vidējais siltumenerģijas patēriņš 2012.gadā bija 202 kWh/m2 gadā (ar karstā ūdens apgādi), kas nozīmē, ka Jūrmalas pilsētā ir augsts enerģijas  ietaupījuma potenciāls (datu avots: Jūrmalas pilsētas ilgtspējīgas enerģētikas rīcības programma 2013.-2020. gadam). Jūrmalas pilsētas Kauguru vidusskolas ēka Raiņa ielā 118 atrodas pašvaldības īpašumā, tā ir lielākā Jūrmalas skola (2016.gada 1.septembrī bija 724 izglītojamie) un tās kopējais enerģijas  patēriņa novērtējums ir 189,00 kWh/m2 gadā. Projekta īstenošanas rezultātā samazināsies ēku siltumeneģijas patēriņš, ēkas apsaimniekošanas izmaksas un CO2 emisijas gaisā. 
</t>
    </r>
  </si>
  <si>
    <r>
      <rPr>
        <u/>
        <sz val="10"/>
        <rFont val="Times New Roman"/>
        <family val="1"/>
        <charset val="186"/>
      </rPr>
      <t>Rezultāta rādītāji:</t>
    </r>
    <r>
      <rPr>
        <sz val="10"/>
        <rFont val="Times New Roman"/>
        <family val="1"/>
        <charset val="186"/>
      </rPr>
      <t xml:space="preserve">
1)vidējais siltumenerģijas patēriņš apkurei pēc renovācijas – 86.57 kWh uz m2 gadā:
2)primārās enerģijas gada patēriņa samazinājums uz m2 pēc darbu pabeigšanas –  20,97 kWh/m2 gadā;
3)aprēķinātais siltumnīcefekta gāzu samazinājums gadā (CO2 ekvivalents tonnās) – 12,65 t/m2 gadā.
</t>
    </r>
    <r>
      <rPr>
        <u/>
        <sz val="10"/>
        <rFont val="Times New Roman"/>
        <family val="1"/>
        <charset val="186"/>
      </rPr>
      <t>Iznākuma rādītājs:</t>
    </r>
    <r>
      <rPr>
        <sz val="10"/>
        <rFont val="Times New Roman"/>
        <family val="1"/>
        <charset val="186"/>
      </rPr>
      <t xml:space="preserve"> veikta ēkas  ar kopējo aprēķina platību 491.60m2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</si>
  <si>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93.93 kWh uz m2 gadā:
2)primārās enerģijas gada patēriņa samazinājums uz m2 pēc darbu pabeigšanas –   122,71 kWh/m2 gadā;
3)aprēķinātais siltumnīcefekta gāzu samazinājums gadā (CO2 ekvivalents tonnās) –26,17 t/m2 gadā.
</t>
    </r>
    <r>
      <rPr>
        <u/>
        <sz val="10"/>
        <rFont val="Times New Roman"/>
        <family val="1"/>
        <charset val="186"/>
      </rPr>
      <t>Iznākuma rādītājs:</t>
    </r>
    <r>
      <rPr>
        <sz val="10"/>
        <rFont val="Times New Roman"/>
        <family val="1"/>
        <charset val="186"/>
      </rPr>
      <t xml:space="preserve"> veikta ēkas  ar kopējo aprēķina platību 900.70m2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</si>
  <si>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71.02 kWh uz m2 gadā:
2)primārās enerģijas gada patēriņa samazinājums uz m2 pēc darbu pabeigšanas –   61,52 kWh/m2 gadā;
3)aprēķinātais siltumnīcefekta gāzu samazinājums gadā (CO2 ekvivalents tonnās) –  7,4 t/m2 gadā.
</t>
    </r>
    <r>
      <rPr>
        <u/>
        <sz val="10"/>
        <rFont val="Times New Roman"/>
        <family val="1"/>
        <charset val="186"/>
      </rPr>
      <t>Iznākuma rādītājs:</t>
    </r>
    <r>
      <rPr>
        <sz val="10"/>
        <rFont val="Times New Roman"/>
        <family val="1"/>
        <charset val="186"/>
      </rPr>
      <t xml:space="preserve"> veikta ēkas  ar kopējo aprēķina platību 516.20m2 energoefektivitātes paaugstināšana. Projekta rezultatīvie un indikatīvie rādītāji tiks precizēti pēc tehniskās dokumentācijas izstrādes.</t>
    </r>
  </si>
  <si>
    <t>P 1.7.                                                   P 3.7.</t>
  </si>
  <si>
    <t>P 1.7.               P 3.7.</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</si>
  <si>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2.5 ha;
3)jaunizveidoto darba vietu skaits – 20 darba vietas;
4)komersantu, kuri atrodas atbalstītajā teritorijā, nefinanšu investīcijas pašu nemateriālos ieguldījumos un pamatlīdzekļos – 1 220 000.00 EUR. 
Projekta rezultatīvie un indikatīvie rādītāji tiks precizēti pēc tehniskās dokumentācijas izstrādes.
</t>
    </r>
    <r>
      <rPr>
        <i/>
        <sz val="10"/>
        <rFont val="Times New Roman"/>
        <family val="1"/>
        <charset val="186"/>
      </rPr>
      <t>Pielikumā:Kartogrāfiskais materiāls 5.6.2.SAM Ķemeros - Pielikums Nr.2.; Kartogrāfiskais materiāls Nr.3 projektam "Ceļu infrastruktūras atjaunošana un autostāvvietas izbūve Ķemeros".</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</si>
  <si>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1-3 komersanti;
2)degradētas teritorijas revitalizācija – 0.8 ha;
3)jaunizveidoto darba vietu skaits – 13 darba vietas;
4)komersantu, kuri atrodas atbalstītajā teritorijā, nefinanšu investīcijas pašu nemateriālos ieguldījumos un pamatlīdzekļos – 607 630.66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Nr.5 projektam "Ielu infrastruktūras atjaunošana  Ķemeros".                                                        </t>
    </r>
  </si>
  <si>
    <r>
      <rPr>
        <i/>
        <u/>
        <sz val="12"/>
        <rFont val="Times New Roman"/>
        <family val="1"/>
        <charset val="186"/>
      </rPr>
      <t>Projekta idejas pamatojums:</t>
    </r>
    <r>
      <rPr>
        <sz val="12"/>
        <rFont val="Times New Roman"/>
        <family val="1"/>
        <charset val="186"/>
      </rPr>
      <t xml:space="preserve">
</t>
    </r>
    <r>
      <rPr>
        <i/>
        <sz val="12"/>
        <rFont val="Times New Roman"/>
        <family val="1"/>
        <charset val="186"/>
      </rPr>
      <t>Jūrmalas pašvaldība 2014.-2020.gada plānošanas perioda ietvaros iekš SAM 5.6.2. plāno veikt kompleksu ES fondu finanšu līdzekļu ieguldījumu Ķemeros, teritorijā, kas ir identificēta kā viena no Jūrmalas teritoriālām prioritātēm un nostiprināta Jūrmalas pilsētas attīstības stratēģijā 2010.-2030.gadam, Jūrmalas pilsētas attīstības programmā 2014.-2020.gadam, kā arī Jūrmalas pilsētas domes izstrādātajā Ķemeru attīstības vīzijā. Tiek plānots intensīvi attīstīt šo teritoriju un līdz 2020.gadam infrastruktūras attīstībā investēt aptuveni 15 milj. EUR ES fondu, pašvaldības un valsts budžeta līdzekļu, radot labvēlīgu sociālo vidi vietējai kopienai, kā arī jauniem uzņēmumiem, pilsētai un valstij kopumā t.i., plānots atjaunot Ķemeru parku un valsts aizsargājamos arhitektūras pieminekļus Mīlestības saliņu un sērūdens avotu “Ķirzaciņa”, atjaunot gājēju celiņus, apgaismojuma laternas, soliņus un lapenes, izveidot bērnu rotaļlaukumus. Tiks atjaunots arī valsts nozīmes kultūras piemineklis ūdenstornis, izveidojot tajā tūrisma informācijas punktu, skatu platformu un mākslas galeriju. Centrs būs otrs lielākais enkurobjekts Jūrmalā. Šie projekti attīstīs Ķemeru teritoriju kopumā un veidos labvēlīgāku sociālo vidi, taču, lai pilnvērtīgi notiktu Ķemeru teritorijas revitalizācija, nepieciešams izmantot teritorijā esošos dabas un dziednieciskos resursus un veidot priekšnoteikumus un vidi jaunu uzņēmumu veidošanai jaunu tūrisma produktu un pakalpojumu attīstībai, vietējo iedzīvotāju izglītošanai, izglītības sistēmas medicīnas un rehabilitācijas jomā attīstībai. Esošās teritorijas ilgtspējīgai attīstībai ir jāizveido vietējās kopienas inovāciju centrs - vieta, kurā notiks mijiedarbība starp vietējiem iedzīvotājiem/kopienu, zinātni, tehnoloģijām un uzņēmējdarbību. Lai šo ideju varētu realizēt, plānots veikt bijušās Ķemeru pasta ēkas Tukuma ielā 30 pārbūvi, lai pielāgotu to jaunu funkciju veikšanai.</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</si>
  <si>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</si>
  <si>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</si>
  <si>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t xml:space="preserve">P 1.6.                     </t>
    </r>
    <r>
      <rPr>
        <strike/>
        <sz val="10"/>
        <rFont val="Times New Roman"/>
        <family val="1"/>
        <charset val="186"/>
      </rPr>
      <t xml:space="preserve"> </t>
    </r>
    <r>
      <rPr>
        <sz val="10"/>
        <rFont val="Times New Roman"/>
        <family val="1"/>
        <charset val="186"/>
      </rPr>
      <t xml:space="preserve">                     </t>
    </r>
  </si>
  <si>
    <r>
      <rPr>
        <b/>
        <sz val="12"/>
        <rFont val="Times New Roman"/>
        <family val="1"/>
        <charset val="186"/>
      </rPr>
      <t>Prioritārā projekta ideja Nr.3:</t>
    </r>
    <r>
      <rPr>
        <b/>
        <i/>
        <sz val="12"/>
        <rFont val="Times New Roman"/>
        <family val="1"/>
        <charset val="186"/>
      </rPr>
      <t xml:space="preserve"> </t>
    </r>
    <r>
      <rPr>
        <b/>
        <i/>
        <u/>
        <sz val="12"/>
        <rFont val="Times New Roman"/>
        <family val="1"/>
        <charset val="186"/>
      </rPr>
      <t>Pilsētas centrālās daļas ielu brauktuvju un gājēju celiņu atjaunošana un autostāvvietu izbūve</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</si>
  <si>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Par pilsētas centrālo ielu ir kļuvusi Jomas iela, tādējādi pilsētas centrālā daļa no Majoriem līdz Dzintariem ir uzņēmējdarbībai pievilcīga un uzņēmumu strauja attīstība notiek tieši šīs pilsētas daļā. Tomēr, ņemot vērā Majoru atrašanās vietu starp jūru un upi - Lielupi (šaurākā daļa Dubultos 320m),  uzņēmējdarbības vides pilnveidei Jomas ielas apkārtnē, viens no aktuālajiem diskusiju jautājumiem ir ceļu infrastruktūras sakārtošana  Jomas ielas tuvumā esošajās  ielās un stāvvietu trūkums pilsētas centrālajā daļā. Ir nepieciešams īstenot projektu, lai sekmētu Jūrmalas attīstības programmā 2014.-2020.gadam definētās prioritātes - ceļu un ielu kvalitātes uzlabošana, satiksmes drošības uzlabojumi, veloceliņu un gājēju celiņu attīstība, sasniegšanu un apmierinot komersantu pieprasījumu pēc sakārtotas ceļu infrastruktūras un pietiekamu stāvvietu skaitu pilsētas centrālajā daļā.</t>
    </r>
  </si>
  <si>
    <r>
      <rPr>
        <b/>
        <i/>
        <sz val="10"/>
        <rFont val="Times New Roman"/>
        <family val="1"/>
        <charset val="186"/>
      </rPr>
      <t>2019</t>
    </r>
    <r>
      <rPr>
        <sz val="10"/>
        <rFont val="Times New Roman"/>
        <family val="1"/>
        <charset val="186"/>
      </rPr>
      <t xml:space="preserve">                 </t>
    </r>
    <r>
      <rPr>
        <i/>
        <sz val="10"/>
        <rFont val="Times New Roman"/>
        <family val="1"/>
        <charset val="186"/>
      </rPr>
      <t>(12 mēneši)</t>
    </r>
  </si>
  <si>
    <r>
      <rPr>
        <b/>
        <i/>
        <sz val="10"/>
        <rFont val="Times New Roman"/>
        <family val="1"/>
        <charset val="186"/>
      </rPr>
      <t>2021</t>
    </r>
    <r>
      <rPr>
        <sz val="10"/>
        <rFont val="Times New Roman"/>
        <family val="1"/>
        <charset val="186"/>
      </rPr>
      <t xml:space="preserve">                 </t>
    </r>
    <r>
      <rPr>
        <i/>
        <sz val="10"/>
        <rFont val="Times New Roman"/>
        <family val="1"/>
        <charset val="186"/>
      </rPr>
      <t>(12 mēneši)</t>
    </r>
  </si>
  <si>
    <r>
      <rPr>
        <b/>
        <sz val="12"/>
        <rFont val="Times New Roman"/>
        <family val="1"/>
        <charset val="186"/>
      </rPr>
      <t>Alternatīvā projekta ideja Nr.2:</t>
    </r>
    <r>
      <rPr>
        <b/>
        <i/>
        <sz val="12"/>
        <rFont val="Times New Roman"/>
        <family val="1"/>
        <charset val="186"/>
      </rPr>
      <t xml:space="preserve"> </t>
    </r>
    <r>
      <rPr>
        <b/>
        <i/>
        <u/>
        <sz val="12"/>
        <rFont val="Times New Roman"/>
        <family val="1"/>
        <charset val="186"/>
      </rPr>
      <t>Jaunu autostāvvietu izbūve pilsētas satiksmes infrastruktūras pilnveidei</t>
    </r>
  </si>
  <si>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Atbilstoši Jūrmalas pilsētas kultūrvides attīstības plānā 2017.-2020.gadam noteiktajam, viena no pilsētas attīstības prioritātēm ir nodrošināt Jūrmalas pilsētas unikālā materiālā un nemateriālā kultūras mantojuma saglabāšanu, izcilu kultūras pasākumu un augstvērtīga kultūras tūrisma piedāvājuma pieejamību pilsētas iedzīvotājiem un viesiem. Līdz ar kultūras pasākumu klāsta dažādošanu tiek plānots veikt ieguldījumus materiālā kultūras mantojuma – Mellužu brīvdabas estrādes, infrastruktūras atjaunošanā un saistītā infrastruktūras, t.sk. satiksmes infrastruktūras pilnveidē. Vaivaru – Pumpuru apkaimē esošā uzņēmējdarbība ir saistīta ar nakšņošanas un ēdināšanas pakalpojumu sniegšanu, un, tā pat kā pilsētas centrālajā daļā, arī šajā apkaimē, sezonas laikā, ir vērojams stāvvietu trūkums. Projekta īstenošana sekmēs Jūrmalas attīstības programmā 2014.-2020.gadam definētās prioritātes - ceļu un ielu kvalitātes uzlabošana, satiksmes drošības uzlabojumi, veloceliņu un gājēju celiņu attīstība, sasniegšanu un, balstoties uz vietējo uzņēmēju vajadzībām -apmierinot komersantu pieprasījumu pēc sakārtotas satiksmes infrastruktūras un pieejamām auto stāvvietām, veicinās uzņēmējdarbības vides pilnveidi pilsētā.</t>
    </r>
  </si>
  <si>
    <r>
      <t xml:space="preserve">Projekta aktivitāšu pamatojums:
</t>
    </r>
    <r>
      <rPr>
        <b/>
        <sz val="12"/>
        <rFont val="Times New Roman"/>
        <family val="1"/>
        <charset val="186"/>
      </rPr>
      <t>1.Ielu infrastruktūras atjaunošana un autostāvvietu izbūve (t.sk. būvprojekta izstrāde, būvdarbi, autoruzraudzība un būvuzraudzība)</t>
    </r>
    <r>
      <rPr>
        <i/>
        <sz val="12"/>
        <rFont val="Times New Roman"/>
        <family val="1"/>
        <charset val="186"/>
      </rPr>
      <t xml:space="preserve">
Ņemot vērā pilsētas ekonomisko specializāciju – Jūrmala ir otrs iecīnītākais Latvijas un ārzemju tūristu galamērķis, pēc Rīgas, un pilsētas centrālā daļa jeb Jomas iela ir populārākais pilsētas viesu galamērķis (2016.gadā Jūrmalā reģistrēto tūristu skaits 171 tūkstotis). Ņemot vērā Jūrmalas pilsētā un galvenokārt tās centrālajā daļā (Majoros-Dzintaros) pieejamo plašo pakalpojumu klāstu (kultūras, tūrisma, veselības, ēdināšanas, izmitināšanas, u.c. pakalpojumi) un pieaugošo tendenci tūristiem pārvietoties ar privātām automašīnām, sezonas laikā pilsētas centrālajā daļā ir izteikts stāvvietu trūkums un pie Jomas ielas tiešā tuvumā esošo pakalpojumu sniedzēju objektiem nav iespējams nokļūt. Par stāvvietām tiek izmantotas pilsētas zaļās zonas vai privātīpašumu teritorijas, kas rada virkni domstarpību pilsētas viesu un iedzīvotāju starpā. Projekta ietvaros plānots veikt divu pilsētas centrālās daļas ielu – Teātra ielas un Viktorijas ielas (posmā no Jomas ielas līdz Lienes ielai) infrastruktūras atjaunošanu un pilnveidi, t.sk. ielu brauktuvju, gājēju celiņu un ielu apgaismojuma atjaunošanu, un lietus ūdens kanalizācijas un autostāvvietu izbūvi ielu malās.</t>
    </r>
  </si>
  <si>
    <t>Daudzfunkcionālā laukuma (t.sk. ēku) un autostāvvietas izbūve (būvdarbi)</t>
  </si>
  <si>
    <t>Jauniešu mājas un inženiertehnisko tīklu izbūve (būvdarbi)</t>
  </si>
  <si>
    <r>
      <rPr>
        <b/>
        <i/>
        <sz val="10"/>
        <rFont val="Times New Roman"/>
        <family val="1"/>
        <charset val="186"/>
      </rPr>
      <t>2019</t>
    </r>
    <r>
      <rPr>
        <sz val="10"/>
        <rFont val="Times New Roman"/>
        <family val="1"/>
        <charset val="186"/>
      </rPr>
      <t xml:space="preserve">                                                                                                                                                                                                                                                                                                                                                                                                                                                                                                                                                                                                                                                                                                                                                                                                                                                                                                                                                                                                                                                                                                                                                                                                                                                                                                                                                                                                                                                                                                                                                                                                                                                                                                                                                                  </t>
    </r>
    <r>
      <rPr>
        <i/>
        <sz val="10"/>
        <rFont val="Times New Roman"/>
        <family val="1"/>
        <charset val="186"/>
      </rPr>
      <t xml:space="preserve">(2017.-2018.gads būvprojekta izstrāde)                         </t>
    </r>
    <r>
      <rPr>
        <sz val="10"/>
        <rFont val="Times New Roman"/>
        <family val="1"/>
        <charset val="186"/>
      </rPr>
      <t xml:space="preserve">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</si>
  <si>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servisa centra jaunbūve (t.sk. būvprojekta izstrāde, būvdarbi, autoruzraudzība un būvuzraudzība)</t>
    </r>
    <r>
      <rPr>
        <i/>
        <sz val="12"/>
        <rFont val="Times New Roman"/>
        <family val="1"/>
        <charset val="186"/>
      </rPr>
      <t xml:space="preserve">
Pilsētā pietrūkst Lielupes kuģošanas infrastruktūras, tāpēc ir plānots Vikingu ielā 40a veikt servisa centra izbūvi, tādējādi, dažādojot uzņēmējdarbības vidi, apmierinot vietējo un Pierīgas pašvaldību kuģošanas transportlīdzekļu īpašnieku pieprasījumu pēc telpām, kurās iespējams remontēt un uzglabāt savu kustamo mantu arī ziemas laikā. Ir nepieciešama arī inženiertehnisko tīklu izbūve, lai nodrošinātu servisa centra efektīvu funkcionēšanu un tajā esošo komersantu saimniecisko darbību.</t>
    </r>
  </si>
  <si>
    <r>
      <t xml:space="preserve">Alternatīvā projekta ideja Nr.1: </t>
    </r>
    <r>
      <rPr>
        <b/>
        <i/>
        <u/>
        <sz val="12"/>
        <rFont val="Times New Roman"/>
        <family val="1"/>
        <charset val="186"/>
      </rPr>
      <t>Lielupes kuģošanas infrastruktūras attīstība uzņēmējdarbības veicināšanai</t>
    </r>
  </si>
  <si>
    <r>
      <rPr>
        <b/>
        <i/>
        <sz val="10"/>
        <rFont val="Times New Roman"/>
        <family val="1"/>
        <charset val="186"/>
      </rPr>
      <t>2021</t>
    </r>
    <r>
      <rPr>
        <i/>
        <sz val="10"/>
        <rFont val="Times New Roman"/>
        <family val="1"/>
        <charset val="186"/>
      </rPr>
      <t xml:space="preserve">                                                                                                                                                                                                                                                                                                                                                                                                                                                                (30 mēneši)</t>
    </r>
  </si>
  <si>
    <r>
      <rPr>
        <b/>
        <i/>
        <sz val="10"/>
        <rFont val="Times New Roman"/>
        <family val="1"/>
        <charset val="186"/>
      </rPr>
      <t>2019</t>
    </r>
    <r>
      <rPr>
        <sz val="10"/>
        <rFont val="Times New Roman"/>
        <family val="1"/>
        <charset val="186"/>
      </rPr>
      <t xml:space="preserve">                                           </t>
    </r>
    <r>
      <rPr>
        <i/>
        <sz val="10"/>
        <rFont val="Times New Roman"/>
        <family val="1"/>
        <charset val="186"/>
      </rPr>
      <t>(14 mēneši)</t>
    </r>
  </si>
  <si>
    <r>
      <t xml:space="preserve">Prioritārā projekta ideja Nr.2: </t>
    </r>
    <r>
      <rPr>
        <b/>
        <i/>
        <u/>
        <sz val="12"/>
        <rFont val="Times New Roman"/>
        <family val="1"/>
        <charset val="186"/>
      </rPr>
      <t>Jūrmalas ūdenstūrisma pakalpojumu infrastruktūras attīstība atbilstoši pilsētas ekonomiskajai specializācijai</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</si>
  <si>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13 darba vietas;
3)no projekta ietvaros veiktajām investīcijām infrastruktūrā labumu guvušo komersantu nefinanšu investīcijas pašu nemateriālajos ieguldījumos un pamatlīdzekļos – 764 307.56 EUR.</t>
    </r>
  </si>
  <si>
    <t>Ūdenstūrisma pakalpojumu centra ''Majori'' izveide  (t.sk. būvprojekta izstrāde, būvdarbi, autoruzraudzība un būvuzraudzība)</t>
  </si>
  <si>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</si>
  <si>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rPr>
        <u/>
        <sz val="10"/>
        <rFont val="Times New Roman"/>
        <family val="1"/>
        <charset val="186"/>
      </rPr>
      <t xml:space="preserve">Iznākuma rādītājs:
</t>
    </r>
    <r>
      <rPr>
        <sz val="10"/>
        <rFont val="Times New Roman"/>
        <family val="1"/>
        <charset val="186"/>
      </rPr>
      <t>1)komersantu skaits, kuri guvuši labumu no projekta ietvaros izveidotās infrastruktūras  - 2 līdz 3 komersanti;
2)jaunizveidoto darba vietu skaits komersantos, kuri guvuši labumu no investīcijām infrastruktūrā – 5 darba vietas;
3)no projekta ietvaros veiktajām investīcijām infrastruktūrā labumu guvušo komersantu nefinanšu investīcijas pašu nemateriālajos ieguldījumos un pamatlīdzekļos – 279 110.31 EUR.</t>
    </r>
  </si>
  <si>
    <r>
      <t xml:space="preserve">2021                   </t>
    </r>
    <r>
      <rPr>
        <i/>
        <sz val="10"/>
        <rFont val="Times New Roman"/>
        <family val="1"/>
        <charset val="186"/>
      </rPr>
      <t>(14 mēneši)</t>
    </r>
  </si>
  <si>
    <t>Jaunu autostāvvietu izbūve (t.sk. būvprojekta izstrāde, būvdarbi, autoruzraudzība un būvuzraudzība)</t>
  </si>
  <si>
    <r>
      <t>Ūdenstūrisma servisa centra jaunbūve</t>
    </r>
    <r>
      <rPr>
        <strike/>
        <sz val="10"/>
        <rFont val="Times New Roman"/>
        <family val="1"/>
        <charset val="186"/>
      </rPr>
      <t xml:space="preserve"> </t>
    </r>
    <r>
      <rPr>
        <sz val="10"/>
        <rFont val="Times New Roman"/>
        <family val="1"/>
        <charset val="186"/>
      </rPr>
      <t>(t.sk. būvprojekta izstrāde, būvdarbi, autoruzraudzība un būvuzraudzība)</t>
    </r>
  </si>
  <si>
    <t>Ielu infrastruktūras atjaunošana un autostāvvietu izbūve (t.sk. būvprojekta izstrāde, būvdarbi, autoruzraudzība un būvuzraudzība)</t>
  </si>
  <si>
    <r>
      <t xml:space="preserve">Projekta idejas pamatojums:
</t>
    </r>
    <r>
      <rPr>
        <i/>
        <sz val="12"/>
        <rFont val="Times New Roman"/>
        <family val="1"/>
        <charset val="186"/>
      </rPr>
      <t xml:space="preserve">Jūrmalas pilsētas Attīstības programmā 2014.-2020.gadam, viena no pašvaldības definētajām prioritārajām rīcībām ir kuģošanas infrastruktūras attīstība Lielupē. Saskaņā ar Jūrmalas ostas attīstības programmā 2015.-2022.gadam definēto, Lielupes krastos Jūrmalas pilsētas teritorijā izvietotas ap 20 (Jūrmalas ostas teritorijā – divas) laivu piestātnes, kas pieder privātām personām, jahtklubiem un uzņēmumiem. Lielāko daļu upes krastmalas pilsētā aizņem aizsargājamās dabas teritorijas, piekraste ir applūstoša, daudzviet pieeju krastam ierobežo privātie zemes īpašumi. 
Jūrmalai attīstot ūdenstūrismu un jahtu tūrismam nepieciešamo infrastruktūru, ir svarīgi to veidot atbilstoši pieprasījumam. Saskaņā ar Ceļu satiksmes drošības direkcijas datiem, Jūrmalā reģistrēto mazizmēra kuģošanas līdzekļu skaits ir strauji palielinājies – laikā no 2009.gada līdz 2016.gadam to skaits ir palielinājies no 532 līdz 837 vienībām. Tādējādi, šo kuģošanas līdzekļu īpašniekiem ir nepieciešamas telpas/teritorijas jeb serviss, lai tos uzglabātu ziemas laikā. Ņemot vērā, ka jahtošanas  un kuģošanas popularitāte Latvijā pieaug, funkcionējošām Pierīgas ostām laivu un jahtu skaita palielināšanās varētu būt liels slogs, tāpēc, ņemot vērā pilsētas ekonomisko specializāciju un, lai mazinātu sezonalitāti un attīstītu konkurētspējigu uzņēmējdarbību Jūrmalā, vienlaicīgi nodrošinot pilsētas iedzīvotājus ar darba vietām, nepieciešams veidot kuģošanas transporta servisa centru Jūrmalā, kas būtu pieejams vietējiem iedzīvotājiem, bet vienlaicīgi pietiekami tuvu Pierīgas pašvaldībām, lai ūdenstransporta īpašnieki izvēlētos to par sava kuģošanas līdzekļa ziemas galamērķi. Servisa centrs sniegs pakalpojumu kompleksu, kas attīstīs uzņēmējdarbības vidi pilsētā un mazinās šīs jomas sezonalitāti Jūrmalā. </t>
    </r>
  </si>
  <si>
    <r>
      <t xml:space="preserve">Prioritārā projekta ideja Nr.1: </t>
    </r>
    <r>
      <rPr>
        <b/>
        <i/>
        <u/>
        <sz val="12"/>
        <rFont val="Times New Roman"/>
        <family val="1"/>
        <charset val="186"/>
      </rPr>
      <t>Jūrmalas veselības veicināšanas un sociālo pakalpojumu centra ēku pārbūve un energoefektivitātes paaugstināšana</t>
    </r>
  </si>
  <si>
    <t>Jūrmalas pilsētas pašvaldības iestādes “Jūrmalas veselības veicināšanas un sociālo pakalpojumu centrs” ēku pārbūve un energoefektivitātes paaugstināšanas (t.sk. būvprojekta izstrāde, būvdarbi, autoruzraudzība un būvuzraudzība)</t>
  </si>
  <si>
    <r>
      <t xml:space="preserve">2020                                                 </t>
    </r>
    <r>
      <rPr>
        <i/>
        <sz val="10"/>
        <rFont val="Times New Roman"/>
        <family val="1"/>
        <charset val="186"/>
      </rPr>
      <t>(16 meneši)</t>
    </r>
  </si>
  <si>
    <r>
      <t xml:space="preserve">2019                                                                                                                                    </t>
    </r>
    <r>
      <rPr>
        <i/>
        <sz val="10"/>
        <rFont val="Times New Roman"/>
        <family val="1"/>
        <charset val="186"/>
      </rPr>
      <t xml:space="preserve">  (2017.-2018.gads  būvprojekta izstrāde)</t>
    </r>
  </si>
  <si>
    <t>Jūrmalas Sporta skolas peldbaseina ēkas pārbūve un energoefektivitātes paaugstināšana  (t.sk. būvprojekta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</si>
  <si>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Ķemeru pamatskolas ēkas pārbūve un energoefektivitātes paaugstināšana (t.sk. būvprojekta izstrāde, būvdarbi, autoruzraudzība un būvuzraudzība)</t>
    </r>
    <r>
      <rPr>
        <i/>
        <sz val="12"/>
        <rFont val="Times New Roman"/>
        <family val="1"/>
        <charset val="186"/>
      </rPr>
      <t xml:space="preserve">
Tā kā viena no Jūrmalas pilsētas prioritātēm ir izglītības pakalpojumu kvalitātes paaugstināšana un ņemot vērā Jūrmalas publisko ēku augsto siltumenerģijas patēriņa rādītājus, kā arī Jūrmalas izglītības attīstības koncepcijā 2015.-2020.gadam veikto Jūrmalas izglītības iestāžu infrastruktūras izvērtējumu, kurā Jūrmalas pilsētas Ķemeru pamatskolas ēku tehniskais stāvoklis ir novērtēts kā daļēji apmierinošs, Jūrmalas pilsētas dome 2018.-2019.gadā veiks skolas ēkas pārbūves darbus no pašvaldības budžeta un ieguldot ERAF finanšu līdzekļus, veiks ēkas energoefektivitātes paaugstināšanas pasākumus. 
Saskaņā ar energosertifikātā norādītajiem pasākumiem, projekta ietvaros plānota kāpņu telpas bēniņu daļas sienu, pagraba pārseguma un augšējā pārseguma siltināšana, logu, durvju un bēniņu durvju nomaiņa, nomainot esošos logus un durvis pret jauniem energoefektīviem logiem un durvīm, mehāniskās ventilācijas ierīkošana ēkā, apkures sistēmas pārbūve un apgaismojuma nomaiņa pret LED apgaismojumu. Pagrabā plānota siltuma patēriņa uzskaites uzstādīšana, jo šobrīd tā atrodas katlu mājā, kas nodrošina apkuri vairākām ēkām.
Ēkai paredzēta kompleksa atjaunošana, veicot ēkas pamatu stiprināšanu un ārsienu atjaunošanu.
Minētie darbi tiks veikti atbilstoši Valsts kultūras pieminekļu inspekcijas nosacījumiem.
Aktivitātes, kas nodrošinās ēkas energoefektivitātes paaugstināšanu, projektā tiks iekļautas attiecināmajās izmaksās.
Aktivitātes, kas ietver kompleksu atjaunošanu – pamatu stiprināšanu, ārsienu atjaunošanu, projektā tiks iekļautas neattiecināmajās izmaksās. 
Minēto aktivitāšu izmaksas tiks precizētas pēc būvprojekta izstrādes.</t>
    </r>
  </si>
  <si>
    <r>
      <rPr>
        <b/>
        <i/>
        <sz val="10"/>
        <rFont val="Times New Roman"/>
        <family val="1"/>
        <charset val="186"/>
      </rPr>
      <t xml:space="preserve">2018         </t>
    </r>
    <r>
      <rPr>
        <i/>
        <sz val="10"/>
        <rFont val="Times New Roman"/>
        <family val="1"/>
        <charset val="186"/>
      </rPr>
      <t xml:space="preserve">                                                                    (2017.-2018.gads būvprojekta izstrāde)</t>
    </r>
  </si>
  <si>
    <r>
      <rPr>
        <b/>
        <i/>
        <sz val="10"/>
        <rFont val="Times New Roman"/>
        <family val="1"/>
        <charset val="186"/>
      </rPr>
      <t xml:space="preserve">2020               </t>
    </r>
    <r>
      <rPr>
        <i/>
        <sz val="10"/>
        <rFont val="Times New Roman"/>
        <family val="1"/>
        <charset val="186"/>
      </rPr>
      <t>(14 mēneši)</t>
    </r>
  </si>
  <si>
    <r>
      <t xml:space="preserve">2019                                </t>
    </r>
    <r>
      <rPr>
        <i/>
        <sz val="10"/>
        <rFont val="Times New Roman"/>
        <family val="1"/>
        <charset val="186"/>
      </rPr>
      <t xml:space="preserve">  (10 mēneši)</t>
    </r>
  </si>
  <si>
    <t>Jūrmalas pilsētas Jaundubultu vidusskolas ēkas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</si>
  <si>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Jaundubultu vidusskolas ēkas energoefektivitātes paaugstināšana (t.sk. tehniskās dokumentācijas izstrāde, būvdarbi, autoruzraudzība un būvuzraudzība)</t>
    </r>
    <r>
      <rPr>
        <i/>
        <sz val="12"/>
        <rFont val="Times New Roman"/>
        <family val="1"/>
        <charset val="186"/>
      </rPr>
      <t xml:space="preserve">
Viena no Jūrmalas pilsētas prioritātēm ir izglītības pakalpojumu kvalitātes paaugstināšana un ņemot vērā Jūrmalas publisko ēku augsto siltumenerģijas patēriņa rādītāju, kā arī Jūrmalas izglītības attīstības koncepcijā 2015.-2020.gadam veikto Jūrmalas izglītības iestāžu infrastruktūras izvērtējumu, Jūrmalas pilsētas Jaundubultu vidusskolas ēkas tehniskais stāvoklis ir novērtēts kā daļēji apmierinošs.
Veicot ēkas apsekošanu, konstatēts, ka ēkas pamati veidoti no saliekamiem dzelsbetona blokiem. Vietām cokola daļā lietus un sala ietekmē pamata bloku virsma sākusi atšķelties. Ēkas nesošās ārsienas mūrētas no silikāta ķieģeļiem, kas no fasādes puses vietām ir stipri izmirkušas. Ne ārsienas, ne ēkas pamatu sienas nav siltinātas.
Lai samazinātu siltumenerģijas patēriņu ēkā un ēkas apsaimniekošanas izmaksas, Jūrmalas pilsētas dome plāno 2018.gadā veikt ēkai energoefektivitāti paaugstinošus pasākumus saskaņā ar energosertifikātā norādītiem pasākumiem, projekta ietvaros veicot ārsienu un augšējā pārseguma siltināšanu, veco koka un metāla durvju nomaiņu uz jauniem, blīviem logiem un durvīm, nomainot apgaismojumu pret apgaismojumu ar LED spuldzēm, apkures sistēmas pārbūvi vai atjaunošanu t.sk.siltummezgla modernizāciju, zibensaizsardzības sistēmas atjaunošanu.</t>
    </r>
  </si>
  <si>
    <r>
      <rPr>
        <i/>
        <u/>
        <sz val="12"/>
        <rFont val="Times New Roman"/>
        <family val="1"/>
        <charset val="186"/>
      </rPr>
      <t>Aktivitāšu pamatojums:</t>
    </r>
    <r>
      <rPr>
        <i/>
        <sz val="12"/>
        <rFont val="Times New Roman"/>
        <family val="1"/>
        <charset val="186"/>
      </rPr>
      <t xml:space="preserve">
1. </t>
    </r>
    <r>
      <rPr>
        <b/>
        <sz val="12"/>
        <rFont val="Times New Roman"/>
        <family val="1"/>
        <charset val="186"/>
      </rPr>
      <t>Jūrmalas pilsētas Jaundubultu vidusskolas ēkas k-1 (autoskolas ēka) energoefektivitātes paaugstināšana (t.sk. tehniskās dokumentācijas izstrāde, būvdarbi, autoruzraudzība un būvuzraudzība)</t>
    </r>
    <r>
      <rPr>
        <i/>
        <sz val="12"/>
        <rFont val="Times New Roman"/>
        <family val="1"/>
        <charset val="186"/>
      </rPr>
      <t xml:space="preserve">
Jūrmalas pilsētas Jaundubultu vidusskolas ēkas k-1 tehniskais stāvoklis ir novērtēts kā daļēji apmierinošs. Ēkas pamati veidoti no saliekamiem dzelzsbetona blokiem. Vietām cokola daļā lietus un sala ietekmē pamata bloku virsma sākusi atšķelties. Ēkas nesošās ārsienas mūrētas no silikāta ķieģeļiem, kas no fasādes puses vietām ir stipri izmirkušas. Ne ārsienas, ne ēkas pamatu sienas nav siltinātas. 
Veicot siltināšanas darbus blakus esošajā vidusskolas ēkā, kvalitatīvas izglītības infrastruktūras attīstībai Jūrmalas pilsētā, ir svarīgi veikt kompleksu siltināšanas aktivitāšu ieviešanu. Ņemot vērā Jūrmalas pilsētas Jaundubultu vidusskolas autoskolas ēkas kopējo enerģijas patēriņa novērtējumu (260,44 kWh/m2 gadā), saskaņā ar energosertifikātā norādīto, lai samazinātu siltumenerģijas patēriņu ēkā un ēkas apsaimniekošanas izmaksas, Jūrmalas pilsētas dome plāno veikt minētās ēkas siltināšanas darbus 2018.gadā, veicot ārsienu, cokola, pamatu un augšējā pārseguma siltināšanu, zibensaizsardzības sistēmas atjaunošanu.
Energoefektivitātes pasākumu īstenošanas rezultātā tiks ne tikai samazināts ēku siltumenerģijas patēriņš, ēkas apsaimniekošanas izmaksas un CO2 emisijas, bet arī estētiski tiks uzlabota vidusskolas apkārtne un pilsētas vide kopumā.</t>
    </r>
  </si>
  <si>
    <t>Jūrmalas pilsētas Jaundubultu vidusskolass ēkas k-1 (autoskolas ēka) energoefektivitātes paaugstināšana (t.sk. tehniskās dokumentācijas izstrāde, būvdarbi, autoruzraudzība un būvuzraudzība)</t>
  </si>
  <si>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t>
    </r>
    <r>
      <rPr>
        <sz val="12"/>
        <rFont val="Times New Roman"/>
        <family val="1"/>
        <charset val="186"/>
      </rPr>
      <t xml:space="preserve">as </t>
    </r>
    <r>
      <rPr>
        <b/>
        <sz val="12"/>
        <rFont val="Times New Roman"/>
        <family val="1"/>
        <charset val="186"/>
      </rPr>
      <t>pilsētas Kauguru vidusskolas energoefektivitātes paaugstināšana (t.sk. būvprojekta izstrāde, būvdarbi, autoruzraudzība un būvuzraudzība)</t>
    </r>
    <r>
      <rPr>
        <i/>
        <sz val="12"/>
        <rFont val="Times New Roman"/>
        <family val="1"/>
        <charset val="186"/>
      </rPr>
      <t xml:space="preserve">
Lai sekmētu lielākās Jūrmalas skolas - Kauguru vidusskolas ilgstpējīgu attīstību un saskaņā ar SAM 8.1.2. definēto mērķi vidusskolai nodrošināt pilnībā modernizētu mācību vidi, kā arī ņemot vērā Jūrmalas izglītības attīstības koncepcijā 2015.-2020.gadam veikto Jūrmalas izglītības iestāžu infrastruktūras izvērtējumu, kurā Jūrmalas pilsētas Kauguru vidusskolas ēkas tehniskais stāvoklis ir novērtēts kā daļēji apmierinošs, Jūrmalas pilsētas dome paralēli SAM 8.1.2. plānotajām aktivitātēm 2018.-2020.gadā, plāno veikt arī skolas siltināšanas pasākumus. 
Ēkai konstatēts, ka dzelzsbetona bloku pamati nav siltināti, vietām pamatu cokola daļā bloku virsmas apmetums sācis atšķelties. Siltināts nav arī ēkas cokola stāvs un nesošās ārsienas. Ēkas ārsienās konstatētas vertikāla virziena plaisas.
Projekta ietvaros saskaņā ar energosertifikātā norādītiem pasākumiem, plānots veikt ēkas ārsienu, cokolstāva, pamata un augšējā pārseguma siltināšanu, veco koka un metāla durvju nomaiņu uz jaunām blīvām durvīm, apkures sistēmas pārbūvi vai atjaunošanu, apgaismojuma nomaiņu uz LED spuldzēm un zibensaizsardzības sistēmas atjaunošanu.
Minēto aktivitāšu izmaksas tiks precizētas pēc būvprojekta izstrādes.</t>
    </r>
  </si>
  <si>
    <t>Jūrmalas pilsētas Kauguru vidusskolas ēkas  energoefektivitātes paaugstināšana (t.sk. būvprojekta izstrāde, būvdarbi, autoruzraudzība un būvuzraudzība)</t>
  </si>
  <si>
    <r>
      <rPr>
        <b/>
        <i/>
        <sz val="10"/>
        <rFont val="Times New Roman"/>
        <family val="1"/>
        <charset val="186"/>
      </rPr>
      <t>2019</t>
    </r>
    <r>
      <rPr>
        <sz val="11"/>
        <rFont val="Calibri"/>
        <family val="2"/>
        <charset val="186"/>
        <scheme val="minor"/>
      </rPr>
      <t xml:space="preserve">     </t>
    </r>
    <r>
      <rPr>
        <i/>
        <sz val="10"/>
        <rFont val="Times New Roman"/>
        <family val="1"/>
        <charset val="186"/>
      </rPr>
      <t xml:space="preserve">                                                                    (12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</si>
  <si>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teātra ēkas energoefektivitātes paaugstināšana (t.sk. tehniskās dokumentācijas izstrāde, būvdarbi, autoruzraudzība un būvuzraudzība)</t>
    </r>
    <r>
      <rPr>
        <i/>
        <sz val="12"/>
        <rFont val="Times New Roman"/>
        <family val="1"/>
        <charset val="186"/>
      </rPr>
      <t xml:space="preserve">
Jūrmalas teātra ēka Muižas ielā 7 ir ļoti sliktā tehniskajā stāvoklī, ar zemu energoefektivitātes līmeni. Ēkas nesošajām ārsienām ir veikta konstruktīva pastiprināšana un daudzviet sienām novērojamas plaisas. Ēkas nesošās sienas veidotas no māla ķieģeļu mūra ar gāzbetona paneļiem ārsienu daļā. Ārsienas nav siltinātas. 
Piesaistot ERAF finansējumu 2019.-2020.gadā tiek plānots uzlabot ēkas energoefektivitāti,veicot energoefektivitātes paaugstināšanas pasākumus, saskaņā ar energosertifikātā noteikto - ārsienu gāzbetona paneļu un ķieģeļu mūra, dzelzsbetona pārseguma un paneļu pārseguma siltināšanu, apgaismojuma nomaiņu pret apgaismojumu ar LED spuldzēm.</t>
    </r>
    <r>
      <rPr>
        <b/>
        <sz val="12"/>
        <rFont val="Times New Roman"/>
        <family val="1"/>
        <charset val="186"/>
      </rPr>
      <t/>
    </r>
  </si>
  <si>
    <r>
      <rPr>
        <b/>
        <i/>
        <sz val="10"/>
        <rFont val="Times New Roman"/>
        <family val="1"/>
        <charset val="186"/>
      </rPr>
      <t xml:space="preserve">2021 </t>
    </r>
    <r>
      <rPr>
        <i/>
        <sz val="10"/>
        <rFont val="Times New Roman"/>
        <family val="1"/>
        <charset val="186"/>
      </rPr>
      <t xml:space="preserve">                 (12 mēneši)</t>
    </r>
  </si>
  <si>
    <r>
      <rPr>
        <b/>
        <i/>
        <sz val="10"/>
        <rFont val="Times New Roman"/>
        <family val="1"/>
        <charset val="186"/>
      </rPr>
      <t xml:space="preserve">2020   </t>
    </r>
    <r>
      <rPr>
        <i/>
        <sz val="10"/>
        <rFont val="Times New Roman"/>
        <family val="1"/>
        <charset val="186"/>
      </rPr>
      <t xml:space="preserve">                                                                       (2019.gads būvprojekta izstrāde)</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</si>
  <si>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Dubultu prospektā 1, lit.1. (t.sk.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t>
    </r>
    <r>
      <rPr>
        <b/>
        <sz val="12"/>
        <rFont val="Times New Roman"/>
        <family val="1"/>
        <charset val="186"/>
      </rPr>
      <t/>
    </r>
  </si>
  <si>
    <t xml:space="preserve">Jūrmalas pilsētas domes administratīvās ēkas energoefektivitātes paaugstināšana Dubultu prospektā 1, lit.1. (t.sk. autoruzraudzība un būvuzraudzība)      </t>
  </si>
  <si>
    <r>
      <rPr>
        <b/>
        <i/>
        <sz val="10"/>
        <rFont val="Times New Roman"/>
        <family val="1"/>
        <charset val="186"/>
      </rPr>
      <t>2018</t>
    </r>
    <r>
      <rPr>
        <sz val="11"/>
        <rFont val="Calibri"/>
        <family val="2"/>
        <charset val="186"/>
        <scheme val="minor"/>
      </rPr>
      <t xml:space="preserve">      </t>
    </r>
    <r>
      <rPr>
        <i/>
        <sz val="10"/>
        <rFont val="Times New Roman"/>
        <family val="1"/>
        <charset val="186"/>
      </rPr>
      <t xml:space="preserve">                                                                    (2017.-2018.gads būvprojekta izstrāde)</t>
    </r>
  </si>
  <si>
    <r>
      <rPr>
        <b/>
        <i/>
        <sz val="10"/>
        <rFont val="Times New Roman"/>
        <family val="1"/>
        <charset val="186"/>
      </rPr>
      <t xml:space="preserve">2018 </t>
    </r>
    <r>
      <rPr>
        <sz val="10"/>
        <rFont val="Times New Roman"/>
        <family val="1"/>
        <charset val="186"/>
      </rPr>
      <t xml:space="preserve">                                                                                           </t>
    </r>
    <r>
      <rPr>
        <i/>
        <sz val="10"/>
        <rFont val="Times New Roman"/>
        <family val="1"/>
        <charset val="186"/>
      </rPr>
      <t xml:space="preserve"> (2017.-2018.gads būvprojekta izstrāde)</t>
    </r>
  </si>
  <si>
    <r>
      <rPr>
        <b/>
        <i/>
        <sz val="10"/>
        <rFont val="Times New Roman"/>
        <family val="1"/>
        <charset val="186"/>
      </rPr>
      <t>2020</t>
    </r>
    <r>
      <rPr>
        <b/>
        <sz val="10"/>
        <rFont val="Times New Roman"/>
        <family val="1"/>
        <charset val="186"/>
      </rPr>
      <t xml:space="preserve">                                                                                                                                                                                                                                                                                                                                                                                                                     </t>
    </r>
    <r>
      <rPr>
        <sz val="10"/>
        <rFont val="Times New Roman"/>
        <family val="1"/>
        <charset val="186"/>
      </rPr>
      <t xml:space="preserve">                                                                                                                                                                                                                                                                                                                                                                                                         </t>
    </r>
    <r>
      <rPr>
        <i/>
        <sz val="10"/>
        <rFont val="Times New Roman"/>
        <family val="1"/>
        <charset val="186"/>
      </rPr>
      <t>(2019.gads būvprojekta izstrāde)</t>
    </r>
  </si>
  <si>
    <r>
      <rPr>
        <b/>
        <i/>
        <sz val="10"/>
        <rFont val="Times New Roman"/>
        <family val="1"/>
        <charset val="186"/>
      </rPr>
      <t>2020</t>
    </r>
    <r>
      <rPr>
        <sz val="10"/>
        <rFont val="Times New Roman"/>
        <family val="1"/>
        <charset val="186"/>
      </rPr>
      <t xml:space="preserve">                                                                                                                                                                                                                                                                                                                                                                                                                                                                                                                                                                                                                                                                                                                                                    </t>
    </r>
    <r>
      <rPr>
        <i/>
        <sz val="10"/>
        <rFont val="Times New Roman"/>
        <family val="1"/>
        <charset val="186"/>
      </rPr>
      <t>(2019.gads  būvprojekta izstrāde)</t>
    </r>
  </si>
  <si>
    <r>
      <rPr>
        <b/>
        <i/>
        <sz val="10"/>
        <rFont val="Times New Roman"/>
        <family val="1"/>
        <charset val="186"/>
      </rPr>
      <t xml:space="preserve">2018    </t>
    </r>
    <r>
      <rPr>
        <sz val="10"/>
        <rFont val="Times New Roman"/>
        <family val="1"/>
        <charset val="186"/>
      </rPr>
      <t xml:space="preserve">                                                                                                                                                                                                                                                                                                                                                                                                                                                                                                                                                                                                                                                                                                                                                    </t>
    </r>
    <r>
      <rPr>
        <i/>
        <sz val="10"/>
        <rFont val="Times New Roman"/>
        <family val="1"/>
        <charset val="186"/>
      </rPr>
      <t>(2017.- 2018.gads  būvprojekta izstrāde)</t>
    </r>
  </si>
  <si>
    <r>
      <rPr>
        <b/>
        <i/>
        <sz val="10"/>
        <rFont val="Times New Roman"/>
        <family val="1"/>
        <charset val="186"/>
      </rPr>
      <t xml:space="preserve">2018 </t>
    </r>
    <r>
      <rPr>
        <b/>
        <sz val="10"/>
        <rFont val="Times New Roman"/>
        <family val="1"/>
        <charset val="186"/>
      </rPr>
      <t xml:space="preserve">                                                                                                                                                                                                                                                                                                                                                                                                                     </t>
    </r>
    <r>
      <rPr>
        <sz val="10"/>
        <rFont val="Times New Roman"/>
        <family val="1"/>
        <charset val="186"/>
      </rPr>
      <t xml:space="preserve">                                                                                                                                                                                                                                                                                                                                                                                                         </t>
    </r>
    <r>
      <rPr>
        <i/>
        <sz val="10"/>
        <rFont val="Times New Roman"/>
        <family val="1"/>
        <charset val="186"/>
      </rPr>
      <t>(2016.-2017.gads būvprojekta izstrāde)</t>
    </r>
  </si>
  <si>
    <r>
      <rPr>
        <b/>
        <i/>
        <sz val="10"/>
        <rFont val="Times New Roman"/>
        <family val="1"/>
        <charset val="186"/>
      </rPr>
      <t xml:space="preserve">2021  </t>
    </r>
    <r>
      <rPr>
        <i/>
        <sz val="10"/>
        <rFont val="Times New Roman"/>
        <family val="1"/>
        <charset val="186"/>
      </rPr>
      <t xml:space="preserve">              (12 mēneši)</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</si>
  <si>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domes administratīvās ēkas energoefektivitātes paaugstināšana Rūpniecības ielā 19 (t.sk. būvprojekta izstrāde, būvdarbi, autoruzraudzība un būvuzraudzība)</t>
    </r>
    <r>
      <rPr>
        <i/>
        <sz val="12"/>
        <rFont val="Times New Roman"/>
        <family val="1"/>
        <charset val="186"/>
      </rPr>
      <t xml:space="preserve">
Jūrmalas pilsētas domes ēka  ir ļoti sliktā tehniskajā stāvoklī, ar zemu energoefektivitātes līmeni. Piesaistot ERAF finansējumu Jūrmalas pilsētas dome 2019.gadā plāno uzlabot ēkas energoefektivitāti.                                                                                                                                                              </t>
    </r>
    <r>
      <rPr>
        <b/>
        <sz val="12"/>
        <rFont val="Times New Roman"/>
        <family val="1"/>
        <charset val="186"/>
      </rPr>
      <t/>
    </r>
  </si>
  <si>
    <t xml:space="preserve">Jūrmalas pilsētas domes administratīvās ēkas energoefektivitātes paaugstināšana Rūpniecības ielā 19 (t.sk. būvprojekta izstrāde, būvdarbi, autoruzraudzība un būvuzraudzība)      </t>
  </si>
  <si>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(2019.gads būvprojekta izstrāde)</t>
    </r>
  </si>
  <si>
    <r>
      <t xml:space="preserve">Alternatīvā projekta ideja Nr.3. </t>
    </r>
    <r>
      <rPr>
        <b/>
        <i/>
        <u/>
        <sz val="12"/>
        <rFont val="Times New Roman"/>
        <family val="1"/>
        <charset val="186"/>
      </rPr>
      <t>Ķemeru pasta ēkas pārbūve un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</si>
  <si>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1.Ķemeru pasta ēkas pārbūve un energoefektivitātes paaugstināšana (t.sk. būvprojekta izstrāde, būvdarbi, autoruzraudzība un būvuzraudzība)</t>
    </r>
    <r>
      <rPr>
        <i/>
        <sz val="12"/>
        <rFont val="Times New Roman"/>
        <family val="1"/>
        <charset val="186"/>
      </rPr>
      <t xml:space="preserve">                                                                                                                                                                                                                                    Ķemeru Pasta ēka Tukuma ielā 30 ir ļoti sliktā tehniskajā stāvoklī, ar zemu energoefektivitātes līmeni. Piesaistot ERAF finansējumu 2019.gadā tiek plānots uzlabot ēkas energoefektivitāti, veicot siltināšanas pasākumus un ieguldījumus apkures sistēmas pārbūvē, izmantojot atjaunojamos energoresursus.</t>
    </r>
  </si>
  <si>
    <t>Ķemeru pasta ēkas pārbūve un energoefektivitātes paaugstināšana (t.sk. būvprojekta izstrāde, būvdarbi, autoruzraudzība un būvuzraudzība)</t>
  </si>
  <si>
    <r>
      <rPr>
        <b/>
        <i/>
        <sz val="10"/>
        <rFont val="Times New Roman"/>
        <family val="1"/>
        <charset val="186"/>
      </rPr>
      <t>2020</t>
    </r>
    <r>
      <rPr>
        <i/>
        <sz val="10"/>
        <rFont val="Times New Roman"/>
        <family val="1"/>
        <charset val="186"/>
      </rPr>
      <t xml:space="preserve">                                                                     (2019.gads būvprojekta izstrāde)</t>
    </r>
  </si>
  <si>
    <r>
      <rPr>
        <b/>
        <i/>
        <sz val="10"/>
        <rFont val="Times New Roman"/>
        <family val="1"/>
        <charset val="186"/>
      </rPr>
      <t>2021</t>
    </r>
    <r>
      <rPr>
        <sz val="11"/>
        <rFont val="Calibri"/>
        <family val="2"/>
        <charset val="186"/>
        <scheme val="minor"/>
      </rPr>
      <t xml:space="preserve"> </t>
    </r>
    <r>
      <rPr>
        <i/>
        <sz val="10"/>
        <rFont val="Times New Roman"/>
        <family val="1"/>
        <charset val="186"/>
      </rPr>
      <t xml:space="preserve">              (12 mēneši)</t>
    </r>
  </si>
  <si>
    <r>
      <t xml:space="preserve">2018                                                             </t>
    </r>
    <r>
      <rPr>
        <i/>
        <sz val="10"/>
        <rFont val="Times New Roman"/>
        <family val="1"/>
        <charset val="186"/>
      </rPr>
      <t xml:space="preserve">         (2017.-2018gads būvprojekta izstrāde)</t>
    </r>
  </si>
  <si>
    <r>
      <t xml:space="preserve">2020                                                                                                                              </t>
    </r>
    <r>
      <rPr>
        <i/>
        <sz val="10"/>
        <rFont val="Times New Roman"/>
        <family val="1"/>
        <charset val="186"/>
      </rPr>
      <t xml:space="preserve"> (24 mēneši)</t>
    </r>
  </si>
  <si>
    <r>
      <rPr>
        <u/>
        <sz val="10"/>
        <rFont val="Times New Roman"/>
        <family val="1"/>
        <charset val="186"/>
      </rPr>
      <t>Darbības rezultāts</t>
    </r>
    <r>
      <rPr>
        <sz val="10"/>
        <rFont val="Times New Roman"/>
        <family val="1"/>
        <charset val="186"/>
      </rPr>
      <t xml:space="preserve"> - sabiedriskā objekta teritorijā izbūvēta jauniešu māja, pārbūvēti un izbūvēti inženiertehniskie tīkli. Kopumā objektam izdalītā teritorija ir 4000m2.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</si>
  <si>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atjaunotas Teātra ielas un Viktorijas ielas (posmā no Lienes ielas līdz Jomas ielai) brauktuves, gājēju ietves un apgaismojums, izbūvēta lietus ūdens kanalizācija un automašīnu stāvvietas, tai skaitā stāvvietas, kas pielāgotas personām ar pārvietošanās grūtībām.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</si>
  <si>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izbūvēts ūdenstūrisma servisa centrs Vikingu ielā 40a un izbūvēta kuģošanai nepieciešamā infrastruktūra, t.sk. inženiertīklu izbūve.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</si>
  <si>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autostāvvietas un ar to saistīto gājēju ietvju, velo celiņu, apgaismojuma un lietus ūdens kanalizācijas infrastruktūras izbūve pie Mellužu estrādes.
Projekta detalizēts sadalījums darbību griezumā, darbību rezultāti, precīzas izmaksas un rezultatīvie rādītāji tiks precizēti pēc būvprojekta izstrādes.</t>
    </r>
  </si>
  <si>
    <t>Projekta detalizēts sadalījums darbību griezumā, darbību rezultāti, precīzas izmaksas un rezultatīvie rādītāji tiks precizēti pēc būvprojekta izstrādes.</t>
  </si>
  <si>
    <r>
      <rPr>
        <u/>
        <sz val="10"/>
        <rFont val="Times New Roman"/>
        <family val="1"/>
        <charset val="186"/>
      </rPr>
      <t>Darbību rezultāts</t>
    </r>
    <r>
      <rPr>
        <sz val="10"/>
        <rFont val="Times New Roman"/>
        <family val="1"/>
        <charset val="186"/>
      </rPr>
      <t xml:space="preserve"> - īstenoti pasākumi energoefektivitātes paaugstināšanai, paredzot ēkas norobežoto konstrukciju siltināšanu, t.sk. ārsienu, augšējā pārseguma, logu un durvju ailu siltināšana, veco koka durvju un logu nomaiņa, apkures sistēmas pārbūve, jaunas elektroinstalācijas sistēmas izbūve, zibens aizsardzības sistēmas atjaunošana.</t>
    </r>
  </si>
  <si>
    <r>
      <rPr>
        <u/>
        <sz val="10"/>
        <rFont val="Times New Roman"/>
        <family val="1"/>
        <charset val="186"/>
      </rPr>
      <t>Darbības rezultāts</t>
    </r>
    <r>
      <rPr>
        <sz val="10"/>
        <rFont val="Times New Roman"/>
        <family val="1"/>
        <charset val="186"/>
      </rPr>
      <t xml:space="preserve"> - veikta Ķemeru parka pārbūve un restaurācija t.sk. veikta ielu un ceļa infrastruktūras atjaunošana, teritorijas labiekārtošana,  inženiertehnisko tīklu pārbūve saimnieciskās darbības veikšanai, u.c. 
Projekta detalizēts sadalījums darbību griezumā, darbību rezultāti, precīzas izmaksas un rezultatīvie rādītāji tiks precizēti pēc būvprojekta izstrādes.</t>
    </r>
  </si>
  <si>
    <r>
      <t xml:space="preserve">2019                        </t>
    </r>
    <r>
      <rPr>
        <i/>
        <sz val="10"/>
        <rFont val="Times New Roman"/>
        <family val="1"/>
        <charset val="186"/>
      </rPr>
      <t>(14 mēneši)</t>
    </r>
  </si>
  <si>
    <r>
      <t xml:space="preserve">2018                                                                </t>
    </r>
    <r>
      <rPr>
        <i/>
        <sz val="10"/>
        <rFont val="Times New Roman"/>
        <family val="1"/>
        <charset val="186"/>
      </rPr>
      <t xml:space="preserve">      (2017.gads būvprojekta izstrāde)</t>
    </r>
  </si>
  <si>
    <t>Stāvvietas izbūve Emīla Dārziņa ielā 17 un Tūristu ielas posma atjaunošana (t.sk. būvprojekta izstrāde, būvdarbi, autoruzraudzība un būvuzraudzība)</t>
  </si>
  <si>
    <t xml:space="preserve">Skvēra Tūristu ielā 2A atjaunošana (t.sk. būvprojekta izstrāde, būvdarbi, autoruzraudzība un būvuzraudzība)   </t>
  </si>
  <si>
    <r>
      <rPr>
        <i/>
        <u/>
        <sz val="12"/>
        <rFont val="Times New Roman"/>
        <family val="1"/>
        <charset val="186"/>
      </rPr>
      <t>Projekta idejas pamatojums:</t>
    </r>
    <r>
      <rPr>
        <i/>
        <sz val="12"/>
        <rFont val="Times New Roman"/>
        <family val="1"/>
        <charset val="186"/>
      </rPr>
      <t xml:space="preserve">
Jūrmalas pilsēta jau vēsturiski ir veidojusies kā atpūtnieku iecienīts gala mērķis. Pilsētas ekonomika pamatā ir balstīta uz tūrismu un ar to saistītajiem pakalpojumiem, tāpēc šī sfēra ir attīstāma un nostiprināta ar Jūrmalas pilsētas Attīstības stratēģijas 2010-2030.gadam Jūrmalas stratēģisko mērķi - viens no vadošajiem Baltijas jūras reģiona kūrorta, darījumu tūrisma,  aktīvās atpūtas un kultūras centriem.
Ķemeru teritorijas sociālekonomiskās attīstības un uzņēmējdarbības Ķemeru kūrortpoliklīnikā un Ķemeru kūrortviesnīcā nodrošināšanai, kā arī eko tūrisma attīstībai, kas saistīts gan ar Ķemeru parku, gan ar Ķemeru Nacionālā parka tiešo tuvumu, prioritāri jāveic teritorijas centrālo objektu sakārtošana. Galvenie publiskās infrastruktūras trūkumi - nav nodrošināti publiskās infrastruktūras pieslēgumi uzņēmējdarbības objektiem (elektroenerģijas, ūdens un kanalizācijas un gāzes pieslēgumi, kā arī pievadošā ceļu infrastruktūra Tūristu ielā un autostāvvietas Ķemeros). Saskaņā ar tematiskā plānojuma „Ķemeru attīstības vīzija” ietvaros analizēto Ķemeru ielu sarkano līniju un ielu zemes vienību platumus, secināts, ka gājēju ietvju, veloceliņu un autostāvvietu veidošana ir atbalstāma gan Tūristu ielā, gan arī  E.Dārziņa ielā. Attīstoties kūrorta teritorijām, ir nepieciešams palielināt autostāvvietu skaitu. Šobrīd Ķemeros ir izveidotas četras autostāvvietas - pie dzelzceļa stacijas, Senatnes ielas un Tukuma ielas krustojumā, pretī bijušajai poliklīnikas ēkai un netālu no sēravotiņa. Kopā šajās autostāvvietās var izvietot aptuveni 65 automašīnas, ņemot vērā, ka divas no četrām stāvvietām neatrodas tiešā attīstāmo degradēto teritoriju tuvumā, ir nepieciešams izveidot jaunu autostāvvietu, lai apmierinātu augošo nepieciešamību pēc tām, proporcionāli uzņēmējdarbības attīstībai, veselības un atpūtas tūristu skaita pieaugumam.</t>
    </r>
  </si>
  <si>
    <r>
      <rPr>
        <u/>
        <sz val="10"/>
        <rFont val="Times New Roman"/>
        <family val="1"/>
        <charset val="186"/>
      </rPr>
      <t>Darbības rezultāt</t>
    </r>
    <r>
      <rPr>
        <sz val="10"/>
        <rFont val="Times New Roman"/>
        <family val="1"/>
        <charset val="186"/>
      </rPr>
      <t>s - veikta Emīla Dārziņa, Tukuma un Tūristu ielas posma, t.sk. šo ielu krustojuma, virszemes un pazemes komunikāciju infrastruktūras atjaunošana un pārbūve, izbūvēta jauna publiski pieejama autostāvvieta 49 automašīnu novietošanai un stāvvieta autobusu novietošanai. Atjaunota degradēta teritorija 1.4ha platībā.</t>
    </r>
  </si>
  <si>
    <r>
      <rPr>
        <u/>
        <sz val="10"/>
        <rFont val="Times New Roman"/>
        <family val="1"/>
        <charset val="186"/>
      </rPr>
      <t>Darbības rezultāts</t>
    </r>
    <r>
      <rPr>
        <sz val="10"/>
        <rFont val="Times New Roman"/>
        <family val="1"/>
        <charset val="186"/>
      </rPr>
      <t xml:space="preserve"> - veikta publiski pieejamas, degradētas teritorijas atjaunošana 1.1 ha platībā. Izveidota publiska infrastruktūra uzņēmējdarbības vides attīstībai, t.sk. jaunu tūrisma pakalpojumu sniegšanai.</t>
    </r>
  </si>
  <si>
    <r>
      <rPr>
        <b/>
        <sz val="12"/>
        <rFont val="Times New Roman"/>
        <family val="1"/>
        <charset val="186"/>
      </rPr>
      <t xml:space="preserve">Prioritārā projekta ideja Nr.3: </t>
    </r>
    <r>
      <rPr>
        <b/>
        <i/>
        <u/>
        <sz val="12"/>
        <rFont val="Times New Roman"/>
        <family val="1"/>
        <charset val="186"/>
      </rPr>
      <t>Daudzfunkcionāla dabas tūrisma centra jaunbūve un meža parka labiekārtojums Ķemeros</t>
    </r>
  </si>
  <si>
    <r>
      <rPr>
        <i/>
        <u/>
        <sz val="12"/>
        <rFont val="Times New Roman"/>
        <family val="1"/>
        <charset val="186"/>
      </rPr>
      <t>Projekta idejas pamatojums:</t>
    </r>
    <r>
      <rPr>
        <i/>
        <sz val="12"/>
        <rFont val="Times New Roman"/>
        <family val="1"/>
        <charset val="186"/>
      </rPr>
      <t xml:space="preserve">
Jūrmalas pilsēta ir vienīgā kūrortpilsēta Latvijā ar vairāk nekā 200 gadus senu vēsturi. Oficiālu kūrortpilsētas statusu Jūrmala ieguva 1959.gadā, bet 2005.gadā Pasaules Veselības organizācija (PVO) pilsētai piešķīra Veselīgas pilsētas („Healthy City”) statusu. Jūrmala ir arī pirmā pilsēta Latvijā, kas uzņemta Eiropas Kūrortu asociācijā. Pašlaik Jūrmalā dzīvo aptuveni 57 000 iedzīvotāju un pēc platības (100 km2) tā ir otra lielākā Latvijas pilsēta pēc Rīgas. 
Jūrmala no 9 republikas pilsētām atrodas otrajā vietā (objektīvi – pirmajā vietā ir tikai Rīga) ne vien pēc tūrisma mītņu skaita – 41 (3.vietā - Ventspils ar 20 tūrisma mītnēm), gultas vietu skaita – 4087 (3.vietā - Ventspils ar 1321), kā arī pēc tūrisma mītnēs apkalpoto tūristu skaita – Jūrmala 2016.gadā tūrisma mītnēs ir apkalpotas 171 366 personas (CSP dati par 2016.gadu). 
 Jūrmalas pilsēta jau vēsturiski ir veidojusies kā atpūtnieku iecienīts gala mērķis, kura kūrortoloģijas saknes ir meklējamas Ķemeros. Ņemot vērā Ķemeros esošo infrastruktūru un dabas resursu pieejamību, Ķemeru un Ķemeru nacionālā parka teritorija ir radīta dabas un ekotūrismam. Pēc pasaules tūrisma organizācijas (PTO) prognozēm tūrisms Baltijas jūras reģionā līdz 2020.gadam piedzīvos vislielāko pieaugumu Eiropā. Šī gadsimta pirmajās dekādēs parādīsies jauni virzieni tūrisma produktu attīstībā, un viens no tiem būs dabas un ekotūrisms, kurš veicinās vides aizsardzību, esošo dabas vērtību saglabāšanu, ietvers ierobežota skaita iedzīvotāju un tūristu mācību ekskursijas, kā arī lielu atpūtas tūristu skaitu. Visā pasaulē dabas un ekotūristu iecienīts mērķis ir aizsargājamās dabas teritorijas, kuras piedāvā iespēju apskatīt augu un dzīvnieku valsti to dabiskajā dzīves vidē. 
Par projekta “Daudzfunkcionāla dabas tūrisma centra jaunbūve un meža parka labiekārtojums Ķemeros” īstenošanas vietu izvēlēti Ķemeri daudzu iemeslu dēļ:
1)lielākā daļa Ķemeru teritorijas ir degradēta.
2)Ķemeri atrodas tikai 45 km attālumā no Rīgas centra un ir sasniedzams ar autotransportu braucot pa valsts nozīmes autoceļu Rīga – Ventspils (A 10), vai arī caur Jūrmalu, kā arī ar vilcienu. 
3)Ķemeri ir pilsētas vēsturiskais kūrorts, to ieskauj Ķemeru Nacionālais parks. Jau šobrīd Ķemeros ir iespējams piesaistīt tūristu plūsmu aptuveni 70 000 cilvēku apmērā, kas katru gadu apmeklē Lielo Ķemeru tīreļa laipu. 
Vienlaicīgi, attīstot jaunu tūrisma un izglītības pakalpojumu Ķemeros būs iespēja dažādot Jūrmalas atpūtas un izklaides iespējas, pagarinot uzturēšanās laiku un novirzot tūrisma plūsmu no pilsētas centra uz Ķemeriem. Jaunais tūrisma un uzņēmējdarbības veicināšanas pakalpojums būs unikāls Jūrmalas “enkurobjekts” - interaktīvs, izglītojošs, informējošs dabas tūrisma objekts, kura īstenošana palīdzēs revitalizēt degradēto teritoriju un veicināt uzņēmējdarbības vides attīstību, sekmēs nodarbinātību un tūrisma plūsmas palielināšanos Jūrmalā, kas ir svarīgi Jūrmalas turpmākās attīstības sekmētāji.</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</si>
  <si>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1.Daudzfunkcionāla dabas tūrisma centra jaunbūve (t.sk. būvprojekta izstrāde, būvdarbi, autoruzraudzība un būvuzraudzība) 
</t>
    </r>
    <r>
      <rPr>
        <i/>
        <sz val="12"/>
        <rFont val="Times New Roman"/>
        <family val="1"/>
        <charset val="186"/>
      </rPr>
      <t>Lai revitalizētu degradēto  teritoriju, aktivizētu un attīstītu uzņēmējdarbības vidi Ķemeros, palielinātu nodarbinātību un tūrisma plūsmu pilsētā, ir nepieciešams veikt komercdarbības mērķiem paredzētas jaunas ēkas - daudzfunkcionāla, interaktīva dabas tūrisma objekta, un tās funkcionalitātes nodrošināšanai nepieciešamās infrastruktūras, t.sk. ūdensapgādes, siltumapgādes, gāzes, elektroenerģijas izbūvi, kā arī ēkai piegulošās teritorijas apzaļumošanu, labiekārtojuma elementu uzstādīšanu, gājēju celiņu, veloceliņu un cietā seguma laukuma – autostāvvietas izbūvi Ķemeru degradētajā teritorijā, zemes gabalā Emīla Dārziņa ielā 28, kadastra Nr.13000260093.</t>
    </r>
    <r>
      <rPr>
        <b/>
        <sz val="12"/>
        <rFont val="Times New Roman"/>
        <family val="1"/>
        <charset val="186"/>
      </rPr>
      <t xml:space="preserve">
2.Daudzfunkcionāla dabas tūrisma centra jaunbūves papildinošās infrastruktūras būvniecība - meža parka labiekārtojums (t.sk. būvprojekta izstrāde, būvdarbi, autoruzraudzība un būvuzraudzība)</t>
    </r>
    <r>
      <rPr>
        <sz val="12"/>
        <rFont val="Times New Roman"/>
        <family val="1"/>
        <charset val="186"/>
      </rPr>
      <t xml:space="preserve">
</t>
    </r>
    <r>
      <rPr>
        <i/>
        <sz val="12"/>
        <rFont val="Times New Roman"/>
        <family val="1"/>
        <charset val="186"/>
      </rPr>
      <t>Lai veicinātu potenciālo komersantu interesi un vēlmi veikt komercdarbību ēkā - daudzfunkcionālā, interaktīvā dabas tūrisma objektā, kā arī sniegtu iespēju komersantiem piedāvāt kompleksu pakalpojumu klāstu klientiem atbilstoši Jūrmalas pilsētas noteiktajai ekonomiskajai specializācijai - tūrisms un  kūrorts, ir nepieciešams veikt teritorijas labiekārtošanu – gājēju celiņu, veloceliņu un apgaismojuma izbūvi, soliņu, atkritumu urnu un citu labiekārtojuma elementu uzstādīšanu, kā arī izveidot  dabas un putnu vērošanas vietas, izziņu takas, āra klasi (labiekārtotu grupu nodarbību vietu), bērnu rotaļu laukumu, aktīvās un pasīvās atpūtas vietas zemes gabalā Tūristu ielā 17, kadastra Nr.13000262615.</t>
    </r>
  </si>
  <si>
    <t xml:space="preserve">Daudzfunkcionāla dabas tūrisma centra jaunbūve (t.sk. būvprojekta izstrāde, būvdarbi, autoruzraudzība un būvuzraudzība) </t>
  </si>
  <si>
    <t>Daudzfunkcionāla dabas tūrisma centra jaunbūves papildinošās infrastruktūras būvniecība - meža parka labiekārtojums (t.sk. būvprojekta izstrāde, būvdarbi, autoruzraudzība un būvuzraudzība)</t>
  </si>
  <si>
    <r>
      <rPr>
        <b/>
        <sz val="12"/>
        <rFont val="Times New Roman"/>
        <family val="1"/>
        <charset val="186"/>
      </rPr>
      <t xml:space="preserve">Alternatīvā projekta ideja Nr.1: </t>
    </r>
    <r>
      <rPr>
        <b/>
        <i/>
        <u/>
        <sz val="12"/>
        <rFont val="Times New Roman"/>
        <family val="1"/>
        <charset val="186"/>
      </rPr>
      <t>Ielu infrastruktūras atjaunošana Ķemeros</t>
    </r>
  </si>
  <si>
    <r>
      <t xml:space="preserve">2021                                                                     </t>
    </r>
    <r>
      <rPr>
        <i/>
        <sz val="10"/>
        <rFont val="Times New Roman"/>
        <family val="1"/>
        <charset val="186"/>
      </rPr>
      <t>(25 mēneši)</t>
    </r>
  </si>
  <si>
    <r>
      <t xml:space="preserve">2019                                                                                    </t>
    </r>
    <r>
      <rPr>
        <i/>
        <sz val="10"/>
        <rFont val="Times New Roman"/>
        <family val="1"/>
        <charset val="186"/>
      </rPr>
      <t xml:space="preserve"> (2017.-2018.gads būvprojekta izstrāde)</t>
    </r>
  </si>
  <si>
    <t>Daudzfunkcionāla dabas tūrisma centra jaunbūve un meža parka labiekārtojums Ķemeros
(ES fondu finansējums 85%)
(IP 5.pozīcija)</t>
  </si>
  <si>
    <r>
      <rPr>
        <b/>
        <i/>
        <sz val="12"/>
        <rFont val="Times New Roman"/>
        <family val="1"/>
        <charset val="186"/>
      </rPr>
      <t xml:space="preserve">Alternatīvā projekta ideja Nr.3: </t>
    </r>
    <r>
      <rPr>
        <b/>
        <i/>
        <u/>
        <sz val="12"/>
        <rFont val="Times New Roman"/>
        <family val="1"/>
        <charset val="186"/>
      </rPr>
      <t>Ķemeru pasta ēkas pārbūve un energoefektivitātes paaugstināšana</t>
    </r>
  </si>
  <si>
    <r>
      <rPr>
        <b/>
        <sz val="12"/>
        <rFont val="Times New Roman"/>
        <family val="1"/>
        <charset val="186"/>
      </rPr>
      <t>Alternatīvā projekta ideja Nr.2:</t>
    </r>
    <r>
      <rPr>
        <b/>
        <u/>
        <sz val="12"/>
        <rFont val="Times New Roman"/>
        <family val="1"/>
        <charset val="186"/>
      </rPr>
      <t xml:space="preserve"> </t>
    </r>
    <r>
      <rPr>
        <b/>
        <i/>
        <u/>
        <sz val="12"/>
        <rFont val="Times New Roman"/>
        <family val="1"/>
        <charset val="186"/>
      </rPr>
      <t>Majoru muižas kompleksa atjaunošana, t.sk. teritorijas labiekārtošana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</si>
  <si>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1.E.Dārziņa ielas inženierkomunikāciju, ielas seguma, publiskā apgaismojuma atjaunošana, teritorijas labiekārtošana (t.sk. būvprojekta izstrāde, būvdarbi, autoruzraudzība un būvuzraudzība)</t>
    </r>
    <r>
      <rPr>
        <i/>
        <sz val="12"/>
        <rFont val="Times New Roman"/>
        <family val="1"/>
        <charset val="186"/>
      </rPr>
      <t xml:space="preserve">
E.Dārziņa ielā ir nolietojies ceļa segums un inženiertehniskie tīkli. Lai nodrošinātu kvalitatīvu un sakārtotu publisko infrastruktūru, būtisku teritorijas attīstības un uzņēmējdarbības vides uzlabošanas nosacījumu, nepieciešams atjaunot  ceļu infrastruktūru - nodrošināt elektroenerģijas, ūdens, kanalizācijas un gāzes pieslēgumus uzņēmējiem, kā arī atjaunot publisko apgaismojumu, labiekārtot teritoriju.</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</si>
  <si>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1.Majoru muižas kompleksa pārbūve, restaurācija un labiekārtošana (t.sk. būvprojekta izstrāde, būvdarbi, autoruzraudzība un būvuzraudzība)</t>
    </r>
    <r>
      <rPr>
        <i/>
        <sz val="12"/>
        <rFont val="Times New Roman"/>
        <family val="1"/>
        <charset val="186"/>
      </rPr>
      <t xml:space="preserve">
Muižas ēka netiek pienācīgi apsaimniekota jau kopš bērnu nama slēgšanas 2007.gadā. Šobrīd tā ir iekonservēta un tās stāvoklis ar katru gadu pasliktinās, jo tā netiek apkurināta. Pašvaldība 2011.gadā bija uzsākusi darbu pie muižas kompleksa attīstības ideju ģenerēšanas, kurā bija iesaistīta arī sabiedrība, tomēr pašvaldības budžeta ietvaros muižas kompleksa ilgstpējīga attīstība nebija iespējama. Projekta ietvaros plānotās aktivitātes SAM 5.6.2. mērķa ietvaros ir iespējams ne tikai glābt valsts nozīmes arhitektūras pieminekli un labiekārtot pilsētvidi, bet arī attīstīt pilsētai svarīgās kūrortoloģijas un tūrisma uzņēmējdarbības jomu, dažādojot uzņēmējdarbības vidi un sekmējot nodarbinātību. 
Projekta ietvaros ir nepieciešams veikt muižas ēkas restaurācijas un pārbūves darbus, inženiertīklu atjaunošanu, kā arī teritorijas labiekārtošanu.</t>
    </r>
  </si>
  <si>
    <t>Majoru muižas kompleksa atjaunošana, t.sk. teritorijas labiekārtošana (t.sk. būvprojekta izstrāde, būvdarbi, autoruzraudzība un būvuzraudzība)</t>
  </si>
  <si>
    <r>
      <rPr>
        <u/>
        <sz val="10"/>
        <rFont val="Times New Roman"/>
        <family val="1"/>
        <charset val="186"/>
      </rPr>
      <t>Darbības rezultāts</t>
    </r>
    <r>
      <rPr>
        <sz val="10"/>
        <rFont val="Times New Roman"/>
        <family val="1"/>
        <charset val="186"/>
      </rPr>
      <t xml:space="preserve"> – veikta Ķemeru pasta ēkas pārbūve, īstenoti pasākumi ēkas energoefektivitātes uzlabošanai, labiekārtota piegulošā teritorija.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</si>
  <si>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Majoru muižas kompleksa atjaunošana, t.sk. teritorijas labiekārtošana. Atjaunota degradēta teritorija 2.5 ha platībā.
Projekta detalizēts sadalījums darbību griezumā, darbību rezultāti, precīzas izmaksas un rezultatīvie rādītāji tiks precizēti pēc būvprojekta izstrādes.</t>
    </r>
  </si>
  <si>
    <t>Emīla Dārziņa ielas atjaunošana (t.sk. būvprojekta izstrāde, būvdarbi, autoruzraudzība un būvuzraudzība)</t>
  </si>
  <si>
    <r>
      <rPr>
        <u/>
        <sz val="10"/>
        <rFont val="Times New Roman"/>
        <family val="1"/>
        <charset val="186"/>
      </rPr>
      <t>Darbības rezultāts:</t>
    </r>
    <r>
      <rPr>
        <sz val="10"/>
        <rFont val="Times New Roman"/>
        <family val="1"/>
        <charset val="186"/>
      </rPr>
      <t xml:space="preserve"> atjaunota degradēta teritorija Emīla Dārziņa ielā 28, 4.7 ha platībā. Izbūvēta uzņēmējdarbībai paredzēta jauna publiska infrastruktūra.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</si>
  <si>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atjaunota degradēta teritorija Tūristu ielā 17, 9.2 ha platībā. Izveidota publiska infrastruktūra uzņēmējdarbības vides attīstībai, t.sk. jaunu tūrisma pakalpojumu sniegšanai.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</si>
  <si>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veikta Emīla Dārziņa ielas infrastruktūras atjaunošana, t.sk. inženierkomunikāciju, ielas seguma, publiskā apgaismojuma atjaunošana, teritorijas labiekārtošana. Atjaunota degradēta teritorija 0.8 ha platībā.
Projekta detalizēts sadalījums darbību griezumā, darbību rezultāti, precīzas izmaksas un rezultatīvie rādītāji tiks precizēti pēc būvprojekta izstrādes.</t>
    </r>
  </si>
  <si>
    <r>
      <t xml:space="preserve">2021              </t>
    </r>
    <r>
      <rPr>
        <i/>
        <sz val="10"/>
        <rFont val="Times New Roman"/>
        <family val="1"/>
        <charset val="186"/>
      </rPr>
      <t>(2020.gads būvprojekta izstrāde)</t>
    </r>
  </si>
  <si>
    <r>
      <t xml:space="preserve">2022                    </t>
    </r>
    <r>
      <rPr>
        <i/>
        <sz val="10"/>
        <rFont val="Times New Roman"/>
        <family val="1"/>
        <charset val="186"/>
      </rPr>
      <t>(18 mēneši)</t>
    </r>
  </si>
  <si>
    <r>
      <t xml:space="preserve">2021                                          </t>
    </r>
    <r>
      <rPr>
        <i/>
        <sz val="10"/>
        <rFont val="Times New Roman"/>
        <family val="1"/>
        <charset val="186"/>
      </rPr>
      <t xml:space="preserve"> (2020.gads būvprojekta izstrāde)</t>
    </r>
  </si>
  <si>
    <r>
      <t xml:space="preserve">2022              </t>
    </r>
    <r>
      <rPr>
        <i/>
        <sz val="10"/>
        <rFont val="Times New Roman"/>
        <family val="1"/>
        <charset val="186"/>
      </rPr>
      <t>(18 mēneši)</t>
    </r>
  </si>
  <si>
    <r>
      <rPr>
        <b/>
        <sz val="12"/>
        <rFont val="Times New Roman"/>
        <family val="1"/>
        <charset val="186"/>
      </rPr>
      <t>Prioritārā projekta ideja Nr.1:</t>
    </r>
    <r>
      <rPr>
        <b/>
        <i/>
        <u/>
        <sz val="12"/>
        <rFont val="Times New Roman"/>
        <family val="1"/>
        <charset val="186"/>
      </rPr>
      <t xml:space="preserve"> Jūrmalas pilsētas vispārējās vidējās izglītības iestāžu infrastruktūras pilnveide</t>
    </r>
  </si>
  <si>
    <r>
      <rPr>
        <i/>
        <u/>
        <sz val="12"/>
        <rFont val="Times New Roman"/>
        <family val="1"/>
        <charset val="186"/>
      </rPr>
      <t xml:space="preserve">Projekta idejas pamatojums:
</t>
    </r>
    <r>
      <rPr>
        <i/>
        <sz val="12"/>
        <rFont val="Times New Roman"/>
        <family val="1"/>
        <charset val="186"/>
      </rPr>
      <t>Jūrmalas pilsētas attīstībai, saskaņā ar Jūrmalas pilsētas Attīstības programmu 2014.–2020.gadam, vidējā termiņā ir trīs galvenās jomas – kūrorta attīstība, iedzīvotāju dzīves kvalitātes celšana un kvalitatīvas infrastruktūras attīstība. Šīs jomas nav pilnībā nodalāmas, jo katras jomas attīstība palīdz attīstīt arī abas pārējās.  Viena no būtiskākajām pašvaldības autonomām funkcijām ir gādāt par iedzīvotāju izglītību. “Kvalitatīva izglītība” ir viena no Jūrmalas pilsētas attīstības prioritātēm, kas paredz vienu no rīcības virzieniem – izglītības infrastruktūras un materiāltehniskās bāzes pilnveidi. Izglītības pakalpojumu kvalitāte ir atkarīga, galvenokārt, no diviem faktoriem – pedagogu kvalifikācijas  un izglītības iestāžu infrastruktūras un materiāli tehniskās bāzes kvalitātes. Jūrmalas pilsētas izglītības attīstības koncepcijā 2015. – 2020.gadam  ir veikta izglītības pakalpojumu kvalitātes izpēte, analizējot datus par pedagogu kvalifikāciju, skolēnu sasniegtajiem rezultātiem, kā arī infrastruktūras kvalitāti, vērtējot iestāžu attīstības potenciālu. Tā kā izglītības politika 2014. -2020.gada plānošanas periodā ir vērsta uz vidējās izglītības pakalpojumu kvalitātes paaugstināšanu, tad, ņemot vērā izglītojamo skaita izmaiņas pēdējos gados (palielinās izglītojamo sākumskolās) un līdz ar to nākotnē, ir paredzēts izglītojamo pieaugums 7.-12.klašu grupā. Jūrmalas pilsētas Attīstības programmas 2014. -2020.gadam dati parāda, ka iespēju iegūt labu pamata un vidējo izglītību Jūrmalā apmierina 64,3% Jūrmalas pilsētas iedzīvotāju, bet izvirzītais mērķis 2020.gadā – ne mazāk kā 68% . Ieguldījumi Jūrmalas pilsētas Kauguru vidusskolas un Jūrmalas Valsts ģimnāzijas infrastruktūras pilnveidē, tai skaitā - reģionālā metodiskā centra attīstība sniegs būtiskas priekšrocības izglītības pakalpojumu kvalitātes paaugstināšanā.</t>
    </r>
  </si>
  <si>
    <t>Jūrmalas Valsts ģimnāzijas ēkas Raiņa ielā 55, Jūrmalā, pārbūve (t.sk. būvprojekta izstrāde, būvdarbi, autoruzraudzība un būvuzraudzība)</t>
  </si>
  <si>
    <t>Jūrmalas pilsētas Kauguru vidusskolas telpu atjaunošana (t.sk. būvprojekta izstrāde, būvdarbi, autoruzraudzība un būvuzraudzība)</t>
  </si>
  <si>
    <t>22.2.</t>
  </si>
  <si>
    <r>
      <rPr>
        <u/>
        <sz val="10"/>
        <rFont val="Times New Roman"/>
        <family val="1"/>
        <charset val="186"/>
      </rPr>
      <t>Rezultāta rādītājs:</t>
    </r>
    <r>
      <rPr>
        <sz val="10"/>
        <rFont val="Times New Roman"/>
        <family val="1"/>
        <charset val="186"/>
      </rPr>
      <t xml:space="preserve">
Pilnībā modernizēta vispārējās izglītības iestāde Jūrmalas Valsts ģimnāzija Raiņa ielā 55 (ergonomiska mācību vide iestādē, IKT risinājumi, metodisko funkciju nodrošināšana) un pilnībā modernizēta vispārējās izglītības Jūrmalas pilsētas Kauguru vidusskolas 3.stāvi (ergonomiska mācību vide, IKT risinājumi).
</t>
    </r>
    <r>
      <rPr>
        <u/>
        <sz val="10"/>
        <rFont val="Times New Roman"/>
        <family val="1"/>
        <charset val="186"/>
      </rPr>
      <t>Iznākuma rādītājs:</t>
    </r>
    <r>
      <rPr>
        <sz val="10"/>
        <rFont val="Times New Roman"/>
        <family val="1"/>
        <charset val="186"/>
      </rPr>
      <t xml:space="preserve">
1) plānotais audzēkņu skaits 7.-12.klasē ne mazāk kā 240 izglītojamie vienā mācību gadā;
2) tiek īstenotas vismaz divas vispārējās vidējās izglītības programmas, no kurām viena ir STEM (matemātikas, dabaszinību un tehnikas virziena programma.</t>
    </r>
    <r>
      <rPr>
        <u/>
        <sz val="10"/>
        <rFont val="Times New Roman"/>
        <family val="1"/>
        <charset val="186"/>
      </rPr>
      <t/>
    </r>
  </si>
  <si>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(29 mēneši)</t>
    </r>
  </si>
  <si>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(2018.gads būvprojekta izstrāde)</t>
    </r>
  </si>
  <si>
    <r>
      <rPr>
        <b/>
        <i/>
        <sz val="10"/>
        <rFont val="Times New Roman"/>
        <family val="1"/>
        <charset val="186"/>
      </rPr>
      <t>2018</t>
    </r>
    <r>
      <rPr>
        <sz val="11"/>
        <rFont val="Calibri"/>
        <family val="2"/>
        <charset val="186"/>
        <scheme val="minor"/>
      </rPr>
      <t xml:space="preserve">          </t>
    </r>
    <r>
      <rPr>
        <sz val="10"/>
        <rFont val="Times New Roman"/>
        <family val="1"/>
        <charset val="186"/>
      </rPr>
      <t xml:space="preserve">                             </t>
    </r>
    <r>
      <rPr>
        <i/>
        <sz val="10"/>
        <rFont val="Times New Roman"/>
        <family val="1"/>
        <charset val="186"/>
      </rPr>
      <t xml:space="preserve">  (2017.-2018.gada būvprojekta izstrāde)</t>
    </r>
  </si>
  <si>
    <r>
      <rPr>
        <u/>
        <sz val="10"/>
        <rFont val="Times New Roman"/>
        <family val="1"/>
        <charset val="186"/>
      </rPr>
      <t>Darbības rezultāts</t>
    </r>
    <r>
      <rPr>
        <sz val="10"/>
        <rFont val="Times New Roman"/>
        <family val="1"/>
        <charset val="186"/>
      </rPr>
      <t xml:space="preserve"> – veikta pilna Jūrmalas valsts ģimnāzijas ēkas pārbūve, t.sk. metodiskā centra, modernas un ergonomiskas mācību vides izveide.
Projekta detalizēts sadalījums darbību griezumā, darbību rezultāti, precīzas izmaksas un rezultatīvie rādītāji tiks precizēti pēc būvprojekta izstrādes.</t>
    </r>
  </si>
  <si>
    <r>
      <rPr>
        <u/>
        <sz val="10"/>
        <rFont val="Times New Roman"/>
        <family val="1"/>
        <charset val="186"/>
      </rPr>
      <t>Darbības rezultāts</t>
    </r>
    <r>
      <rPr>
        <sz val="10"/>
        <rFont val="Times New Roman"/>
        <family val="1"/>
        <charset val="186"/>
      </rPr>
      <t xml:space="preserve"> – Jūrmalas pilsētas Kauguru vidusskolas telpu atjaunošana, modernas un ergonomiskas mācību vides izveide ēkas 3.stāvos.
Projekta detalizēts sadalījums darbību griezumā, darbību rezultāti, precīzas izmaksas un rezultatīvie rādītāji tiks precizēti pēc būvprojekta izstrādes.</t>
    </r>
  </si>
  <si>
    <r>
      <rPr>
        <b/>
        <u/>
        <sz val="12"/>
        <rFont val="Times New Roman"/>
        <family val="1"/>
        <charset val="186"/>
      </rPr>
      <t>Prioritārā projekta ideja Nr.1:</t>
    </r>
    <r>
      <rPr>
        <b/>
        <i/>
        <u/>
        <sz val="12"/>
        <rFont val="Times New Roman"/>
        <family val="1"/>
        <charset val="186"/>
      </rPr>
      <t xml:space="preserve"> Infrastruktūras izveide bez vecāku gādības palikušu bērnu un jauniešu aprūpei ģimeniskai vidē</t>
    </r>
  </si>
  <si>
    <t>Ģimeniskai videi pietuvinātas infrastruktūras izveide bez vecāku gādības palikušu bērnu aprūpei (t.sk. būvprojekta izstrāde, būvdarbi, autoruzraudzība un būvuzraudzība)</t>
  </si>
  <si>
    <t>Ģimeniskai videi pietuvinātas infrastruktūras izveide bez vecāku gādības palikušu jauniešu aprūpei (t.sk. būvprojekta izstrāde, būvdarbi, autoruzraudzība un būvuzraudzība)</t>
  </si>
  <si>
    <r>
      <rPr>
        <b/>
        <sz val="12"/>
        <rFont val="Times New Roman"/>
        <family val="1"/>
        <charset val="186"/>
      </rPr>
      <t xml:space="preserve">Prioritārā projekta ideja Nr.2: </t>
    </r>
    <r>
      <rPr>
        <b/>
        <i/>
        <u/>
        <sz val="12"/>
        <rFont val="Times New Roman"/>
        <family val="1"/>
        <charset val="186"/>
      </rPr>
      <t>Infrastruktūras pilnveide pakalpojumu sniegšanai bērniem ar funkcionāliem traucējumiem</t>
    </r>
  </si>
  <si>
    <r>
      <rPr>
        <i/>
        <u/>
        <sz val="12"/>
        <rFont val="Times New Roman"/>
        <family val="1"/>
        <charset val="186"/>
      </rPr>
      <t>Projekta idejas pamatojums:</t>
    </r>
    <r>
      <rPr>
        <i/>
        <sz val="12"/>
        <rFont val="Times New Roman"/>
        <family val="1"/>
        <charset val="186"/>
      </rPr>
      <t xml:space="preserve">
Jūrmalas pilsētas pašvaldībā šobrīd ir pieejams dienas aprūpes centra pakalpojums bērniem ar funkcionālajiem traucējumiem, kas nodrošina sociālās aprūpes un sociālās rehabilitācijas pasākumu kompleksu, sociālo prasmju attīstību, izglītošanu un brīvā laika pavadīšanas iespējas personām no 2 līdz 18 gadu vecumam, kurām ir ierobežotas funkcionēšanas spējas. Pakalpojuma mērķis ir sniegt atbalstu bērna likumiskajiem pārstāvjiem, mazināt bērna funkcionāla traucējuma sekas un sekmēt bērna sociālo prasmju attīstību.  Pakalpojums ietver sociālā atbalsta sniegšanu, logopēda vai audiologopēda un fizioterapeita nodarbības. Lai veicinātu bērniem ar funkcionālajiem traucējumiem integrāciju sabiedrībā, un motivētu bērnu vecākus un likumiskos pārstāvjus izvēlēties bērnus ar funkcionāliem traucējumiem audzināt ģimenē, nevis uzticēt bērna aprūpi institūcijām, ir nepieciešams pilnveidot pašvaldībā pieejamo sociālās rehabilitācijas pakalpojumu klāstu, tos pielāgojot bērnu ar funkcionāliem traucējumiem faktiskajām vajadzībām, ņemot vērā sociālās nozares attīstības tendences.</t>
    </r>
  </si>
  <si>
    <t>Jūrmalas pilsētas pirmsskolas izglītības iestādes “Poziņa” infrastruktūras pilnveide pakalpojumu sniegšanai bērniem ar funkcionāliem traucējumiem (t.sk. būvprojekta izstrāde, būvdarbi, autoruzraudzība un būvuzraudzība)</t>
  </si>
  <si>
    <r>
      <rPr>
        <i/>
        <u/>
        <sz val="12"/>
        <rFont val="Times New Roman"/>
        <family val="1"/>
        <charset val="186"/>
      </rPr>
      <t xml:space="preserve">Projekta idejas pamatojums:
</t>
    </r>
    <r>
      <rPr>
        <i/>
        <sz val="12"/>
        <rFont val="Times New Roman"/>
        <family val="1"/>
        <charset val="186"/>
      </rPr>
      <t xml:space="preserve"> Jūrmalas pilsētas pašvaldība jau ilgstoši un mērķtiecīgi finansē dažādu sociālo pakalpojumu attīstību. Jūrmalas pilsētas dome sadarbībā ar pilsētas sociālās jomas nevalstiskajām organizācijām, aktīvi iesaistījās Rīgas plānošanas reģiona sociālo pakalpojumu attīstības programmas alternatīviem sociālās aprūpes un sociālās rehabilitācijas pakalpojumiem 2010.-2016.gadam izveidē, kurā izvirzīti institūcijām alternatīvi sabiedrībā balstīti sociālie pakalpojumi. Minētās programmas realizācija norit sekmīgi, taču ir veicams ievērojams darbs pie institucionālo pakalpojumu uzlabošanas, to sniegšanu  tuvinot sabiedrībai un ģimeniskai videi. Attīstot sociālo pakalpojumu klāstu tika secināts, ka mērķgrupai personām ar garīga rakstura traucējumiem nav pilnībā  attīstīti  sociālie pakalpojumi ierobežotā finansējuma dēļ.</t>
    </r>
  </si>
  <si>
    <r>
      <rPr>
        <b/>
        <sz val="12"/>
        <rFont val="Times New Roman"/>
        <family val="1"/>
        <charset val="186"/>
      </rPr>
      <t xml:space="preserve">Prioritārā projekta ideja Nr.3: </t>
    </r>
    <r>
      <rPr>
        <b/>
        <i/>
        <u/>
        <sz val="12"/>
        <rFont val="Times New Roman"/>
        <family val="1"/>
        <charset val="186"/>
      </rPr>
      <t>Infrastruktūras pilnveide sabiedrībā balstītu pakalpojumu sniegšanai personām ar garīga rakstura traucējumiem</t>
    </r>
  </si>
  <si>
    <t>Sociālo pakalpojumu infrastruktūras attīstība personām ar garīga rakstutra traucējumiem   (t.sk. būvprojekta izstrāde, būvdarbi, autoruzraudzība un būvuzraudzība)</t>
  </si>
  <si>
    <t>Grupu dzīvokļu infrastruktūras pakalpojuma attīstība personām ar garīga rakstura traucējumiem.     (t.sk. būvprojekta izstrāde, būvdarbi, autoruzraudzība un būvuzraudzība)</t>
  </si>
  <si>
    <r>
      <rPr>
        <u/>
        <sz val="10"/>
        <rFont val="Times New Roman"/>
        <family val="1"/>
        <charset val="186"/>
      </rPr>
      <t>Iznākuma rādītājs:</t>
    </r>
    <r>
      <rPr>
        <sz val="10"/>
        <rFont val="Times New Roman"/>
        <family val="1"/>
        <charset val="186"/>
      </rPr>
      <t xml:space="preserve">
1) labiekārtota 1 (viena) vieta sabiedrībā balstītu sociālo pakalpojumu sniegšanai personām ar garīga rakstura traucējumiem - 30 personām; 
</t>
    </r>
    <r>
      <rPr>
        <u/>
        <sz val="10"/>
        <rFont val="Times New Roman"/>
        <family val="1"/>
        <charset val="186"/>
      </rPr>
      <t>Rezultāta rādītājs:</t>
    </r>
    <r>
      <rPr>
        <sz val="10"/>
        <rFont val="Times New Roman"/>
        <family val="1"/>
        <charset val="186"/>
      </rPr>
      <t xml:space="preserve">
1) personām ar garīga rakstura traucējumiem īpatsvars, kuras dzīvo ārpus institūcijas - 26.67% (8 personas); 
2) izveidoti 8 dzīvokļi sabiedrībā balstītu sociālo pakalpojumu sniegšanai personām ar garīga rakstura traucējumiem - 8 personām.</t>
    </r>
  </si>
  <si>
    <r>
      <rPr>
        <u/>
        <sz val="10"/>
        <rFont val="Times New Roman"/>
        <family val="1"/>
        <charset val="186"/>
      </rPr>
      <t>Iznākuma rādītājs:</t>
    </r>
    <r>
      <rPr>
        <sz val="10"/>
        <rFont val="Times New Roman"/>
        <family val="1"/>
        <charset val="186"/>
      </rPr>
      <t xml:space="preserve">
Klientu skaits pakalpojumā sociālās rehabilitācijas pakalpojumi - 63 bērni.
</t>
    </r>
  </si>
  <si>
    <t>Atbilstoši Deinstucionalizācijas plānam, tiks veikti ieguldījumi infrastruktūras izveidei bez vecāku gādības palikušu bērnu aprūpei ģimeniskā vidē.
Projekta detalizēts sadalījums darbību griezumā, darbību rezultāti, precīzas izmaksas un rezultatīvie rādītāji tiks precizēti pēc būvprojekta izstrādes.</t>
  </si>
  <si>
    <t>Atbilstoši Deinstucionalizācijas plānam, tiks veikti ieguldījumi infrastruktūras izveidei bez vecāku gādības palikušu jauniešu aprūpei ģimeniskā vidē.
Projekta detalizēts sadalījums darbību griezumā, darbību rezultāti, precīzas izmaksas un rezultatīvie rādītāji tiks precizēti pēc būvprojekta izstrādes.</t>
  </si>
  <si>
    <t>Atbilstoši Deinstucionalizācijas plānam, tiks veikti ieguldījumi infrastruktūras pilnveidei sociālo un rehabilitācijas pakalojumu sniegšanai bērniem ar funkcionāliem traucējumiem. 
Projekta detalizēts sadalījums darbību griezumā, darbību rezultāti, precīzas izmaksas un rezultatīvie rādītāji tiks precizēti pēc būvprojekta izstrādes.</t>
  </si>
  <si>
    <t>Atbilstoši Deinstucionalizācijas plānam, tiks veikti ieguldījumi infrastruktūras pilnveidei kompleksu sociālo pakalpojumu nodrosīnāšanai  personām ar garīga rakstutra traucējumiem. 
Projekta detalizēts sadalījums darbību griezumā, darbību rezultāti, precīzas izmaksas un rezultatīvie rādītāji tiks precizēti pēc būvprojekta izstrādes.</t>
  </si>
  <si>
    <t>Atbilstoši Deinstucionalizācijas plānam, tiks veikti ieguldījumi infrastruktūras pilnveidei grupu dzīvokļu pakalpojuma nodrošināšanai  personām ar garīga rakstutra traucējumiem. 
Projekta detalizēts sadalījums darbību griezumā, darbību rezultāti, precīzas izmaksas un rezultatīvie rādītāji tiks precizēti pēc būvprojekta izstrādes.</t>
  </si>
  <si>
    <r>
      <t xml:space="preserve">2020                                    </t>
    </r>
    <r>
      <rPr>
        <i/>
        <sz val="10"/>
        <rFont val="Times New Roman"/>
        <family val="1"/>
        <charset val="186"/>
      </rPr>
      <t xml:space="preserve">         (18 mēneši)</t>
    </r>
  </si>
  <si>
    <r>
      <rPr>
        <b/>
        <i/>
        <sz val="10"/>
        <rFont val="Times New Roman"/>
        <family val="1"/>
        <charset val="186"/>
      </rPr>
      <t xml:space="preserve">2019 </t>
    </r>
    <r>
      <rPr>
        <i/>
        <sz val="10"/>
        <rFont val="Times New Roman"/>
        <family val="1"/>
        <charset val="186"/>
      </rPr>
      <t xml:space="preserve">                                                       (2018.gads būvprojekta izstrāde)</t>
    </r>
  </si>
  <si>
    <r>
      <t xml:space="preserve">2020                                    </t>
    </r>
    <r>
      <rPr>
        <i/>
        <sz val="10"/>
        <rFont val="Times New Roman"/>
        <family val="1"/>
        <charset val="186"/>
      </rPr>
      <t xml:space="preserve">         (10 mēneši)</t>
    </r>
  </si>
  <si>
    <r>
      <t xml:space="preserve">2021                   </t>
    </r>
    <r>
      <rPr>
        <i/>
        <sz val="10"/>
        <rFont val="Times New Roman"/>
        <family val="1"/>
        <charset val="186"/>
      </rPr>
      <t>(18 mēneši)</t>
    </r>
  </si>
  <si>
    <r>
      <t xml:space="preserve">2020           </t>
    </r>
    <r>
      <rPr>
        <i/>
        <sz val="10"/>
        <rFont val="Times New Roman"/>
        <family val="1"/>
        <charset val="186"/>
      </rPr>
      <t xml:space="preserve">   (2019.gads būvprojekta izstrāde)</t>
    </r>
  </si>
  <si>
    <t>23.1.</t>
  </si>
  <si>
    <t>23.2.</t>
  </si>
  <si>
    <t>24.1.</t>
  </si>
  <si>
    <t>IP - Jūrmalas pilsētas investīciju plāns 2018.-2021.gadam</t>
  </si>
  <si>
    <r>
      <rPr>
        <i/>
        <u/>
        <sz val="12"/>
        <rFont val="Times New Roman"/>
        <family val="1"/>
        <charset val="186"/>
      </rPr>
      <t xml:space="preserve">Projekta idejas pamatojums: </t>
    </r>
    <r>
      <rPr>
        <i/>
        <sz val="12"/>
        <rFont val="Times New Roman"/>
        <family val="1"/>
        <charset val="186"/>
      </rPr>
      <t xml:space="preserve">
Atbilstoši Jūrmalas pilsētas pašvaldības Attīstības stratēģijā 2010.-2030.gadam noteiktajiem stratēģiskajiem mērķiem, kas balstīti uz definētām prioritātēm - „Jūrmalnieks”, „Kūrortpilsēta” un „Daudzveidīga uzņēmējdarbība”, ņemot vērā Jūrmalas pilsētas pašvaldības Attīstības programmā 2014.-2020.gadam noteikto specializāciju un 2013.gadā Ministru kabineta piešķirto Kūrortpilsētas statusu, lai veicinātu privāto investīciju apjoma pieaugumu pašvaldībā, nepieciešams pilnveidot infrastruktūru, veicot ieguldījumus esošās infrastruktūras atjaunošanā un jaunas infrastruktūras izbūvē. Tādējādi, 2018.gadā ir plānots uzsākt pilsētas atpūtas parka izveidi Kauguros ar mērķi veicināt uzņēmējdarbības vides un aktīvās atpūtas iespēju pilnveidi, atbilstoši pilsētas specializācijai. Pilsētas atpūtas parka “Daudzfunkcionālā laukumā” izvietotās būves atbilstoši Ministru kabineta noteikumu Nr.593 19.2. apakšpunkta nosacījumiem tiks nodotas komersantam nomā saimnieciskās darbības veikšanai. 
2019.gadā, lai dažādotu pakalpojuma klāstu un sekmētu uzņēmējdarbības attīstību pilsētas visblīvāk apdzīvotā daļā, plānots uzsākt Jauniešu mājas izbūvi pilsētas atpūtas parkā. Plānots, ka Jauniešu mājas saimnieciskā darbība tiks vērsta uz interešu izglītību, kā arī jauniešu nodarbinātības veicināšanu tādos iespējamos darbības veidos kā ēdināšanas pakalpojumu, profesionālo un zinātnisko pakalpojumu nozarē.  Saskaņā ar Nodarbinātības valsts aģentūras datiem, uz 2017.gada 31.oktobri Latvijā 11 058 jeb 18,1% no bezdarbnieku kopskaita bija jaunieši bezdarbnieki vecumā no 15 līdz 29 gadiem, bet Jūrmalā uz 2017.gada 31.oktobri jaunieši bezdarbnieki vecumā no 15 līdz 29 gadiem bija 200 jeb 18,5% no kopējā bezdarbnieku skaita pilsētā. Tādējādi, projekta īstenošana paredz ne tikai uzņēmējdarbības attīstību, bezdarbnieku skaita samazināšanu pilsētā, bet arī sekmēs nodarbinātības palielināšanos jauniešu vidū. Ēkas būvniecībai tiks nodalītas projekta attiecināmās un neattiecināmās izmaksas, tādējādi nodalot telpas komersantiem un pašvaldības iestādei. Telpas, kas tiks būvētas no projekta attiecināmām izmaksām, tiks nodotas komersantam (komersantiem) nomā saimnieciskās darbības veikšanai atbilstoši Ministru kabineta 2015.gada 13.oktobra noteikumu Nr.593 19.2. apakšpunkta nosacījumiem. Attīstot pilsētā jaunu teritoriju, kurā tiks nodrošināta  atpūtas, brīvā laika pavadīšana un interešu izglītība, papildu teritorijā esošajiem komersantiem, labumu guvēju statusā būs arī apkārt esošo teritoriju komersanti.</t>
    </r>
  </si>
  <si>
    <t xml:space="preserve">Jūrmalas pilsētas pašvaldība                                
</t>
  </si>
  <si>
    <r>
      <t xml:space="preserve">Prioritārā projekta ideja Nr.2.: </t>
    </r>
    <r>
      <rPr>
        <b/>
        <i/>
        <u/>
        <sz val="12"/>
        <rFont val="Times New Roman"/>
        <family val="1"/>
        <charset val="186"/>
      </rPr>
      <t>Jūrmalas Sporta skolas peldbaseinu ēkas pārbūve un energoefektivitātes paaugstināšana</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</si>
  <si>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20.4 ha;
3)jaunizveidoto darba vietu skaits – 92 darba vietas;
4)komersantu, kuri atrodas atbalstītajā teritorijā, nefinanšu investīcijas pašu nemateriālos ieguldījumos un pamatlīdzekļos – 5 780 000.00  EUR.
</t>
    </r>
    <r>
      <rPr>
        <i/>
        <sz val="10"/>
        <rFont val="Times New Roman"/>
        <family val="1"/>
        <charset val="186"/>
      </rPr>
      <t>Pielikumā: Kartogrāfiskais materiāls 5.6.2.SAM Ķemeros - Pielikums Nr.2.; Kartogrāfiskais materiāls Nr.2 projektam "Ķemeru parka pārbūve un restaurācija".</t>
    </r>
    <r>
      <rPr>
        <sz val="10"/>
        <rFont val="Times New Roman"/>
        <family val="1"/>
        <charset val="186"/>
      </rPr>
      <t xml:space="preserve">                                                                     </t>
    </r>
  </si>
  <si>
    <r>
      <rPr>
        <u/>
        <sz val="10"/>
        <rFont val="Times New Roman"/>
        <family val="1"/>
        <charset val="186"/>
      </rPr>
      <t>Iznākuma rādītājs:</t>
    </r>
    <r>
      <rPr>
        <sz val="10"/>
        <rFont val="Times New Roman"/>
        <family val="1"/>
        <charset val="186"/>
      </rPr>
      <t xml:space="preserve">
1)komersantu skaits, kuri guvuši labumu no projekta ietvaros izveidotās infrastruktūras  – 3 komersanti;
2)jaunizveidoto darba vietu skaits komersantos, kuri guvuši labumu no investīcijām infrastruktūrā – 16 darba vietas;
3)no projekta ietvaros veiktajām investīcijām infrastruktūrā labumu guvušo komersantu nefinanšu investīcijas pašu nemateriālajos ieguldījumos un pamatlīdzekļos – 956 582.13 EUR.</t>
    </r>
    <r>
      <rPr>
        <u/>
        <sz val="10"/>
        <rFont val="Times New Roman"/>
        <family val="1"/>
        <charset val="186"/>
      </rPr>
      <t/>
    </r>
  </si>
  <si>
    <t>Jūrmalas pilsētas Ķemeru pamatskolas ēkas pārbūve un energoefektivitātes paaugstināšana  (t.sk. būvprojekta izstrāde, būvdarbi, autoruzraudzība un būvuzraudzība)</t>
  </si>
  <si>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3-4 komersanti;
2)degradētas teritorijas revitalizācija – 13.9 ha;
3)jaunizveidoto darba vietu skaits – 98 darba vietas;
4)komersantu, kuri atrodas atbalstītajā teritorijā, nefinanšu investīcijas pašu nemateriālos ieguldījumos un pamatlīdzekļos – 6 000 000.00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Nr.4 projektam "Daudzfunkcionāla dabas tūrisma centra jaunbūve un meža parka labiekārtojums Ķemeros".                                                                     </t>
    </r>
  </si>
  <si>
    <r>
      <rPr>
        <u/>
        <sz val="10"/>
        <rFont val="Times New Roman"/>
        <family val="1"/>
        <charset val="186"/>
      </rPr>
      <t>Iznākuma rādītāji:</t>
    </r>
    <r>
      <rPr>
        <sz val="10"/>
        <rFont val="Times New Roman"/>
        <family val="1"/>
        <charset val="186"/>
      </rPr>
      <t xml:space="preserve">
1)komersantu skaits, kuri guvuši labumu no projekta ietvaros izveidotās infrastruktūras  – 1-2 komersanti;
2)degradētas teritorijas revitalizācija – 0.25 ha;
3)jaunizveidoto darba vietu skaits – 2 darba vietas;
4)komersantu, kuri atrodas atbalstītajā teritorijā, nefinanšu investīcijas pašu nemateriālos ieguldījumos un pamatlīdzekļos – 72 268.00 EUR.
Projekta rezultatīvie un indikatīvie rādītāji tiks precizēti pēc tehniskās dokumentācijas izstrādes.
</t>
    </r>
    <r>
      <rPr>
        <i/>
        <sz val="10"/>
        <rFont val="Times New Roman"/>
        <family val="1"/>
        <charset val="186"/>
      </rPr>
      <t xml:space="preserve">Pielikumā:Kartogrāfiskais materiāls 5.6.2.SAM Ķemeros - Pielikums Nr.2.; Kartogrāfiskais materiāls Nr.7 projektam "Ķemeru pasta ēkas pārbūve un energoefektivitātes paaugstināšana" - Pielikums Nr.2.    </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</si>
  <si>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1.Ūdenstūrisma pakalpojumu centra ''Majori'' izveide (t.sk. būvprojekta izstrāde, būvdarbi, autoruzraudzība un būvuzraudzība)</t>
    </r>
    <r>
      <rPr>
        <i/>
        <sz val="12"/>
        <rFont val="Times New Roman"/>
        <family val="1"/>
        <charset val="186"/>
      </rPr>
      <t xml:space="preserve">
Lai dažādotu Jūrmalas ūdenstūrisma pakalpojuma piedāvājumu, tiks izveidots Pakalpojumu centrs Straumes ielā 1a, veicot esošās ēkas un  ar to saistītās infrastruktūras pārbūvi un nepieciešamo izbūvi, atbilstoši pilsētas ekonomiskajai specializācijai. Ēkas funkcionalitātes nodrošināšanai tiks veikta nepieciešamo sabiedrisko pakalpojumu pieslēgumu būvniecība un pārbūve. </t>
    </r>
  </si>
  <si>
    <r>
      <rPr>
        <b/>
        <sz val="12"/>
        <rFont val="Times New Roman"/>
        <family val="1"/>
        <charset val="186"/>
      </rPr>
      <t xml:space="preserve">Prioritārā projekta ideja Nr.3: </t>
    </r>
    <r>
      <rPr>
        <b/>
        <i/>
        <u/>
        <sz val="12"/>
        <rFont val="Times New Roman"/>
        <family val="1"/>
        <charset val="186"/>
      </rPr>
      <t>Jūrmalas pilsētas Ķemeru pamatskolas ēkas pārbūve un energoefektivitātes paaugstināšana</t>
    </r>
  </si>
  <si>
    <r>
      <rPr>
        <b/>
        <sz val="12"/>
        <rFont val="Times New Roman"/>
        <family val="1"/>
        <charset val="186"/>
      </rPr>
      <t xml:space="preserve">Prioritārā projekta ideja Nr.5: </t>
    </r>
    <r>
      <rPr>
        <b/>
        <i/>
        <u/>
        <sz val="12"/>
        <rFont val="Times New Roman"/>
        <family val="1"/>
        <charset val="186"/>
      </rPr>
      <t>Jūrmalas pilsētas Jaundubultu vidusskolas ēkas k-1 (autoskolas ēka) energoefektivitātes paaugstināšana</t>
    </r>
  </si>
  <si>
    <r>
      <rPr>
        <b/>
        <sz val="12"/>
        <rFont val="Times New Roman"/>
        <family val="1"/>
        <charset val="186"/>
      </rPr>
      <t xml:space="preserve">Prioritārā projekta ideja Nr.4: </t>
    </r>
    <r>
      <rPr>
        <b/>
        <i/>
        <u/>
        <sz val="12"/>
        <rFont val="Times New Roman"/>
        <family val="1"/>
        <charset val="186"/>
      </rPr>
      <t>Jūrmalas pilsētas Jaundubultu vidusskolas ēkas energoefektivitātes paaugstināšana</t>
    </r>
  </si>
  <si>
    <r>
      <rPr>
        <i/>
        <u/>
        <sz val="12"/>
        <rFont val="Times New Roman"/>
        <family val="1"/>
        <charset val="186"/>
      </rPr>
      <t>Projekta aktivitāšu pamatojums:</t>
    </r>
    <r>
      <rPr>
        <i/>
        <sz val="12"/>
        <rFont val="Times New Roman"/>
        <family val="1"/>
        <charset val="186"/>
      </rPr>
      <t xml:space="preserve">
</t>
    </r>
    <r>
      <rPr>
        <b/>
        <sz val="12"/>
        <rFont val="Times New Roman"/>
        <family val="1"/>
        <charset val="186"/>
      </rPr>
      <t xml:space="preserve">1.Daudzfunkcionālā laukuma (t.sk.ēku) un autostāvvietas izbūve </t>
    </r>
    <r>
      <rPr>
        <i/>
        <sz val="12"/>
        <rFont val="Times New Roman"/>
        <family val="1"/>
        <charset val="186"/>
      </rPr>
      <t xml:space="preserve">
Izveidojot pilsētas atpūtas parku Kauguros, visblīvāk apdzīvotākajā pilsētas daļā, tiks sekmēta apkārt esošo mazo un vidējo komersantu darbība. Arī pilsētas atpūtas parka teritorijā paredzēta 1500m2 liela platība uzņēmējdarbības aktivitāšu īstenošanai – ēdināšanas un aktīvās atpūtas pakalpojumu sniegšanai. Papildu tiks izbūvēta 1000 m2 plaša autostāvvieta. Pilsētas atpūtas parka izveide un ieguldījumi infrastruktūrā veicinās  jaunu mazo un vidējo komersantu izveidi un esošo komersantu komercdarbības pilnveidi, kā rezultātā labumu guvušie komersanti nodrošinās jaunu darba vietu izveidi Kauguros un tai pieguļošās apdzīvotās teritorijās un veiks nefinanšu investīcijas pašu nemateriālajos ieguldījumos un pamatlīdzekļos.</t>
    </r>
    <r>
      <rPr>
        <sz val="12"/>
        <rFont val="Times New Roman"/>
        <family val="1"/>
        <charset val="186"/>
      </rPr>
      <t xml:space="preserve">
</t>
    </r>
    <r>
      <rPr>
        <b/>
        <sz val="12"/>
        <rFont val="Times New Roman"/>
        <family val="1"/>
        <charset val="186"/>
      </rPr>
      <t>2.Jauniešu mājas un inženiertehnisko tīklu izbūve</t>
    </r>
    <r>
      <rPr>
        <sz val="12"/>
        <rFont val="Times New Roman"/>
        <family val="1"/>
        <charset val="186"/>
      </rPr>
      <t xml:space="preserve">
</t>
    </r>
    <r>
      <rPr>
        <i/>
        <sz val="12"/>
        <rFont val="Times New Roman"/>
        <family val="1"/>
        <charset val="186"/>
      </rPr>
      <t>Projektā ir plānots izbūvēt Jauniešu māju, kuras daļa tiks nodota komersantiem uzņēmējdarbības veicināšanai pilsētā, primāri orientējoties uz uzņēmējdarbību, kas sekmēs jauniešu nodarbinātību, vienlaicīgi, izskatot iespēju sekmēt pilsētas ekonomiskās specializācijas uzņēmumu pilnveidošanu un attīstību. Paredzēts izbūvēt ēku, kā arī inženiertehniskos tīklus, nodrošinot komercdarbības mērķiem paredzētās ēkas funkcionalitātes nodrošināšanai nepieciešamo sabiedrisko pakalpojumu pieslēgumu būvniecību.</t>
    </r>
  </si>
  <si>
    <r>
      <t xml:space="preserve">Projekta aktivitāšu pamatojums:
</t>
    </r>
    <r>
      <rPr>
        <b/>
        <sz val="12"/>
        <rFont val="Times New Roman"/>
        <family val="1"/>
        <charset val="186"/>
      </rPr>
      <t>1.Jaunu autostāvvietu izbūve (t.sk. būvprojekta izstrāde, būvdarbi, autoruzraudzība un būvuzraudzība)</t>
    </r>
    <r>
      <rPr>
        <sz val="12"/>
        <rFont val="Times New Roman"/>
        <family val="1"/>
        <charset val="186"/>
      </rPr>
      <t xml:space="preserve">
</t>
    </r>
    <r>
      <rPr>
        <i/>
        <sz val="12"/>
        <rFont val="Times New Roman"/>
        <family val="1"/>
        <charset val="186"/>
      </rPr>
      <t>Ņemot vērā pilsētas ekonomisko specializāciju un pilsētas attīstības prioritātes, līdz 2020.gadam piesaistot publiskos un privātos finanšu resursus, t.sk. Eiropas Savienības fondu līdzfinansējumu, tiek plānots veikt ieguldījumus Jūrmalas materiālā un nemateriālā kultūras mantojuma saglabāšanā un saistītās infrastruktūras, t.sk. satiksmes infrastruktūras pilnveidē, sekmējot izcilu kultūras pasākumu un augstvērtīga kultūras tūrisma piedāvājuma pieejamību pilsētas iedzīvotājiem un viesiem. 2019.gadā, SAM 5.5.1. ietvaros, tiks īstenota Mellužu estrādes ēkas restaurācijas, bāra ēkas pārbūves un teritorijas labiekārtojuma iecere, atjaunojot brīvdabas estrādi ar vairāk kā 600 skatītāju vietām, kas 2016.gada, sliktā tehniskā stāvokļa dēļ, ir slēgta. Mellužu estrādē, izmantojot pašvaldības un uzņēmēju resursus tiek plānots īstenot daudzveidīgu pasākumu programmu dažādām mērķauditorijām visa gada garumā, kas veicinās pieprasījuma pieaugumu apkaimē esošajiem tūrisma – ēdināšanas, nakšņošanas un citiem pakalpojumiem. Projekta ietvaros plānots izbūvēt autostāvvietu un ar to saistīto gājēju ietvju, velo celiņu, apgaismojuma un lietus ūdens kanalizācijas infrastruktūru pie Mellužu estrādes, nodrošinot kultūras un tūrisma pakalpojumu pieejamību pilsētas iedzīvotājiem un viesiem, veicinot uzņēmējdarbības vides attīstību pilsētā.</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</si>
  <si>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pilsētas pašvaldības iestādes “Jūrmalas veselības veicināšanas un sociālo pakalpojumu centrs” ēku pārbūve un energoefektivitātes paaugstināšanas (t.sk. būvprojekta izstrāde, būvdarbi, autoruzraudzība un būvuzraudzība)</t>
    </r>
    <r>
      <rPr>
        <sz val="12"/>
        <rFont val="Times New Roman"/>
        <family val="1"/>
        <charset val="186"/>
      </rPr>
      <t xml:space="preserve">
</t>
    </r>
    <r>
      <rPr>
        <i/>
        <sz val="12"/>
        <rFont val="Times New Roman"/>
        <family val="1"/>
        <charset val="186"/>
      </rPr>
      <t>Jūrmalas pilsētas pašvaldības iestādes “Jūrmalas veselības veicināšanas un sociālo pakalpojumu centrs” ēkas Strēlnieku prospektā 38 un 38 k-1 ir ļoti sliktā tehniskajā stāvoklī, ar zemu energoefektivitātes līmeni, kas būtiski palielina pašvaldībai ēkas  uzturēšanas un apsaimniekošanas izmaksas. Abām ēkām pamati veidoti no saliekamajiem dzelzsbetona blokiem un nav siltināti. Vietām pamata cokola daļā, lietus un sala ietekmē, pamata blokiem ir sācis atdalīties apmetums. 
Ēku pagraba pārsegumi, kas veidoti no dobtiem dzelzsbetona paneļiem, daudzviet nodrupusi betona aizsargkārta, stiegrojumam redzama korozija.  
Ēku norobežojošās ārsienas veidotas no gāzbetona ārsienu paneļiem, ēku gala sienas veidotas no māla ķieģeļiem ar apmetumu. Ķieģeļu sienās no iekšpuses un fasādes puses konstatētas vertikāla virziena plaisas, kā arī apmetuma nodrupumi. Baseina norobežojošās sienas ir apšūtas ar fasādes skārda loksnēm. Ēku ārsienas nav siltinātas. Virs baseina telpas jumta konstrukcija ir veidota kā divslīpu koka konstrukcijas ar skārda segumu. Dažviet bojāts parapeta skārda segums.
Ēkās ir centralizēta apkures un karstā ūdens sistēma. Gan apkures, gan karstā ūdens cauruļvadiem daudzviet bojāta cauruļvadu izolācija.
Ēkās ir dabīgā ventilācija – ventilācijas kanāli. Mehāniskā ventilācija, kas ierīkota zālē, baseina telpā, pagrabā un koridoros nenodrošina pilnvērtīgu gaisa apmaiņu.
Lai samazinātu ēku primārās enerģijas patēriņu un apsaimniekošanas izmaksas, 2018.-2020.gadā ieguldot ERAF līdzfinansējumu, tiek plānots uzlabot ēku energoefektivitāti. Atbilstoši energosertifikātā norādītajiem pasākumiem, projekta ietvaros plānots uzlabot ēkām ārējās norobežojošās konstrukcijas, siltinot ēku ārsienas, mainot vecos koka konstrukciju logus un durvis pret jauniem blīviem logiem un durvīm, siltinot ēku augšējo pārsegumu un cokolu, veicot ventilācijas sistēmas pārbūvi un mehāniskās ventilācijas ierīkošanu, kā arī veicot ieguldījumus apkures sistēmas pārbūvē, ūdensvada un kanalizācijas  sistēmas pārbūvē un apgaismojuma nomaiņā.
Aktivitātes, kas nodrošinās ēkas energoefektivitātes paaugstināšanu, projektā tiks iekļautas attiecināmajās izmaksās.
Infrastruktūras pilnveides aktivitātes, kas ietver  ēkās funkcionālus uzlabojumus un telpu pārplānošanu atbilstoši to nozīmei un izmantošanai, projektā tiks iekļautas neattiecināmajās izmaksās.</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</si>
  <si>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1.Jūrmalas Sporta skolas peldbaseinu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 xml:space="preserve"> Izglītības iestādes ēka ir sliktā tehniskajā stāvoklī un ar zemu energoefektivitātes līmeni. Ēkas norobežojošās ārsienas veidotas no gāzbetona ārsienu paneļiem, ēkas gala sienas - no māla ķieģeļiem, kurā no iekšpuses novērojamas vertikālas plaisas. Gan ēkas pamatiem, gan pagraba pārsegumam konstatēta aizsargkārtas un apmetuma nodrupšana. Apkures un karstā ūdens cauruļvadi ir novecojuši, daudzviet bojāta siltumizolācija. Ēkā izveidota dabiskā ventilācija - ventilācijas kanāli, bet mehāniskā ventilācija tikai dažās telpās.
Ēkai vitāli nepieciešami ieguldījumi infrastruktūras atjaunošanā, lai būtiski samazinātu pašvaldībai ēkas uzturēšanas un apsaimniekošanas izmaksas, samazinot primārās enerģijas patēriņu. Lai Jūrmalas Sporta skola kvalitatīvi īstenotu savus uzdevumus un noteiktās funkcijas, ēkai plānota ne tikai energoefektīvi pasākumi, bet kompleksa ēkas attīstība, kas iever telpu, tai skaitā baseina telpu pārbūvi.
Pašvaldība 2018.gadā plāno veikt ēkas atjaunošanas darbus, kā arī ēkas tehniskā stāvokļa un energoefektivitātes rādītāju uzlabošanu ar ERAF līdzfinansējumu, tādējādi, kompleksi ieguldot pašvaldības un ES fondu finanšu līdzekļus, tiks sakārtota profesionālās sporta ievirzes izglītības iestāde un tiks samazināts gan ēkas, gan arī pilsētas kopējais siltumeneģijas patēriņš. 
Saskaņā ar energosertifikātā norādīto, projekta ietvaros plānots uzlabot ēkas ārējās norobežojošās konstrukcijas energoefektivitāti, siltinot ēkas ārsienas, ēku savienojošās pārejās grīdas pārsegumus, augšējos pārsegumus un jumtu, nomainot esošos stikla blokus, koka logus un ārdurvis pret jauniem energoefektīviem logiem un ārdurvīm. Ēkā plānota apkures, ūdensapgādes un kanalizācijas sistēmas un ventilācijas sistēmas pārbūve un baseina pārklāja ierīkošana mazajam baseinam.
Aktivitātes, kas nodrošinās ēkas energoefektivitātes paaugstināšanu, projektā tiks iekļautas attiecināmajās izmaksās.
Aktivitātes, kas ietver telpu un baseina telpu pārbūvi, projektā tiks iekļautas neattiecināmajās izmaksās. Minēto aktivitāšu izmaksas tiks precizētas pēc būvprojekta izstrādes.</t>
    </r>
  </si>
  <si>
    <r>
      <rPr>
        <b/>
        <sz val="12"/>
        <rFont val="Times New Roman"/>
        <family val="1"/>
        <charset val="186"/>
      </rPr>
      <t xml:space="preserve">Prioritārā projekta ideja Nr.6: </t>
    </r>
    <r>
      <rPr>
        <b/>
        <i/>
        <u/>
        <sz val="12"/>
        <rFont val="Times New Roman"/>
        <family val="1"/>
        <charset val="186"/>
      </rPr>
      <t>Jūrmalas pilsētas Kauguru vidusskolas ēkas energoefektivitātes paaugstināšana</t>
    </r>
  </si>
  <si>
    <r>
      <rPr>
        <b/>
        <sz val="12"/>
        <rFont val="Times New Roman"/>
        <family val="1"/>
        <charset val="186"/>
      </rPr>
      <t>Prioritārā projekta ideja Nr.7:</t>
    </r>
    <r>
      <rPr>
        <b/>
        <i/>
        <sz val="12"/>
        <rFont val="Times New Roman"/>
        <family val="1"/>
        <charset val="186"/>
      </rPr>
      <t xml:space="preserve"> </t>
    </r>
    <r>
      <rPr>
        <b/>
        <i/>
        <u/>
        <sz val="12"/>
        <rFont val="Times New Roman"/>
        <family val="1"/>
        <charset val="186"/>
      </rPr>
      <t>Jūrmalas teātra ēkas energoefektivitātes paaugstināšana</t>
    </r>
  </si>
  <si>
    <r>
      <rPr>
        <i/>
        <u/>
        <sz val="12"/>
        <rFont val="Times New Roman"/>
        <family val="1"/>
        <charset val="186"/>
      </rPr>
      <t>Aktivitāšu pamatojums:</t>
    </r>
    <r>
      <rPr>
        <i/>
        <sz val="12"/>
        <rFont val="Times New Roman"/>
        <family val="1"/>
        <charset val="186"/>
      </rPr>
      <t xml:space="preserve">
</t>
    </r>
    <r>
      <rPr>
        <b/>
        <sz val="12"/>
        <rFont val="Times New Roman"/>
        <family val="1"/>
        <charset val="186"/>
      </rPr>
      <t>1.Stāvvietas izbūve Emīla Dārziņa ielā 17 un Tūristu ielas posma atjaunošana (t.sk. būvprojekta izstrāde, būvdarbi, autoruzraudzība un būvuzraudzība)</t>
    </r>
    <r>
      <rPr>
        <sz val="12"/>
        <rFont val="Times New Roman"/>
        <family val="1"/>
        <charset val="186"/>
      </rPr>
      <t xml:space="preserve">
</t>
    </r>
    <r>
      <rPr>
        <i/>
        <sz val="12"/>
        <rFont val="Times New Roman"/>
        <family val="1"/>
        <charset val="186"/>
      </rPr>
      <t>Kompleksi sakārtojot Ķemeru uzņēmējdarbībai nepieciešamo vidi, ir jānodrošina kvalitatīvu un sakārtotu publisko infrastruktūru. Būtisks teritorijas attīstības un uzņēmējdarbības vides uzlabošanas nosacījums ir publisko teritoriju - ielu un tām piegulošās infrastruktūras pilnveide, t.sk. virszemes un pazemes komunikāciju infrastruktūras pārbūve. Ķemeru degradētajā teritorijā esošā ielu un komunikāciju infrastruktūra ir novecojusi un daļēji nefunkcionējoša. Tās atjaunošana un pilnveide ir priekšnosacījums uzņēmējdarbības vides attīstībai, t.sk. komercdarbībai nepieciešamo pieslēgumu ierīkošanai nākotnē.
Projekta ietvaros plānots veikt Tukuma ielas, Emīla Dārziņa ielas un Tūristu ielas posma un šo ielu krustojuma pārbūvi, t.sk. gājēju un velo celiņa atjaunošanu, divu sabiedriskā transporta pieturvietu atjaunošanu, kā arī publiski pieejamas autostāvvietas, 49 automašīnu novietošanai, izbūvi Emīla Dārziņa ielā 17 un tūristu autobusiem paredzētas autostāvvietas izbūvi gar Tūristu ielu. Ielu infrastruktūras atjaunošana un pilnveide ir nepieciešama komersantu sniegto pakalpojumu pieejamības nodrošināšanai. Papildus tiks veikta virszemes un pazemes komunikāciju infrastruktūras, t.sk. lietus ūdens kanalizācijas un apgaismojuma sistēmas pārbūve.</t>
    </r>
    <r>
      <rPr>
        <sz val="12"/>
        <rFont val="Times New Roman"/>
        <family val="1"/>
        <charset val="186"/>
      </rPr>
      <t xml:space="preserve">
</t>
    </r>
    <r>
      <rPr>
        <b/>
        <sz val="12"/>
        <rFont val="Times New Roman"/>
        <family val="1"/>
        <charset val="186"/>
      </rPr>
      <t>2.Skvēra Tūristu ielā 2A atjaunošana (t.sk. būvprojekta izstrāde, būvdarbi, autoruzraudzība un būvuzraudzība)</t>
    </r>
    <r>
      <rPr>
        <sz val="12"/>
        <rFont val="Times New Roman"/>
        <family val="1"/>
        <charset val="186"/>
      </rPr>
      <t xml:space="preserve">
</t>
    </r>
    <r>
      <rPr>
        <i/>
        <sz val="12"/>
        <rFont val="Times New Roman"/>
        <family val="1"/>
        <charset val="186"/>
      </rPr>
      <t>Atjaunojot Tūristu ielas posmu un tai piegulošo virszemes un pazemes komunikāciju tīklu, lai nodrošinātu infrastruktūras funkcionalitāti, projekta ietvaros tiks veikta publiski pieejamas teritorijas – skvēra Tūristu ielā 2A atjaunošana. Abas projekta teritorijas ir savstarpēji funkcionāli saistītas.</t>
    </r>
  </si>
  <si>
    <r>
      <rPr>
        <b/>
        <sz val="12"/>
        <rFont val="Times New Roman"/>
        <family val="1"/>
        <charset val="186"/>
      </rPr>
      <t>Prioritārā projekta ideja Nr.2:</t>
    </r>
    <r>
      <rPr>
        <b/>
        <i/>
        <sz val="12"/>
        <rFont val="Times New Roman"/>
        <family val="1"/>
        <charset val="186"/>
      </rPr>
      <t xml:space="preserve"> </t>
    </r>
    <r>
      <rPr>
        <b/>
        <i/>
        <u/>
        <sz val="12"/>
        <rFont val="Times New Roman"/>
        <family val="1"/>
        <charset val="186"/>
      </rPr>
      <t xml:space="preserve">Ceļu infrastruktūras atjaunošana un autostāvvietas izbūve Ķemeros </t>
    </r>
  </si>
  <si>
    <r>
      <rPr>
        <i/>
        <u/>
        <sz val="12"/>
        <rFont val="Times New Roman"/>
        <family val="1"/>
        <charset val="186"/>
      </rPr>
      <t>Aktivitāšu pamatojums:</t>
    </r>
    <r>
      <rPr>
        <sz val="12"/>
        <rFont val="Times New Roman"/>
        <family val="1"/>
        <charset val="186"/>
      </rPr>
      <t xml:space="preserve">
</t>
    </r>
    <r>
      <rPr>
        <b/>
        <sz val="12"/>
        <rFont val="Times New Roman"/>
        <family val="1"/>
        <charset val="186"/>
      </rPr>
      <t>1. Ķemeru pasta ēkas pārbūve un energoefektivitātes paaugstināšana (t.sk. būvprojekta izstrāde, būvdarbi, autoruzraudzība un būvuzraudzība)</t>
    </r>
    <r>
      <rPr>
        <sz val="12"/>
        <rFont val="Times New Roman"/>
        <family val="1"/>
        <charset val="186"/>
      </rPr>
      <t xml:space="preserve">
</t>
    </r>
    <r>
      <rPr>
        <i/>
        <sz val="12"/>
        <rFont val="Times New Roman"/>
        <family val="1"/>
        <charset val="186"/>
      </rPr>
      <t>Pasta ēka Tukuma ielā 30 ir ļoti sliktā tehniskajā stāvoklī un vizuāli nepievilcīga un līdz ar to degradē kopējo pilsētas ainavu. Projekta ietvaros plānots veikt ēkas pārbūvi, īstenot pasākumus ēkas energoefektivitātes paaugstināšanai un labiekārtot piegulošo teritoriju.</t>
    </r>
  </si>
  <si>
    <r>
      <rPr>
        <i/>
        <u/>
        <sz val="12"/>
        <rFont val="Times New Roman"/>
        <family val="1"/>
        <charset val="186"/>
      </rPr>
      <t xml:space="preserve">Aktivitāšu pamatojums: 
</t>
    </r>
    <r>
      <rPr>
        <b/>
        <sz val="12"/>
        <rFont val="Times New Roman"/>
        <family val="1"/>
        <charset val="186"/>
      </rPr>
      <t>1.Ģimeniskai videi pietuvinātas infrastruktūras izveide bez vecāku gādības palikušu bērnu aprūpei (t.sk. būvprojekta izstrāde, būvdarbi, autoruzraudzība un būvuzraudzība)</t>
    </r>
    <r>
      <rPr>
        <sz val="12"/>
        <rFont val="Times New Roman"/>
        <family val="1"/>
        <charset val="186"/>
      </rPr>
      <t xml:space="preserve">
</t>
    </r>
    <r>
      <rPr>
        <i/>
        <sz val="12"/>
        <rFont val="Times New Roman"/>
        <family val="1"/>
        <charset val="186"/>
      </rPr>
      <t>Mērķa grupas – bez vecāku gādības palikušu bērnu aprūpes pakalpojuma attīstītībā nepieciešams ieguldīt ievērojamus finanšu līdzekļus, lai nodrošinātu pakalpojuma sniegšanu saskaņā ar mūsdienu prasībām atbilstošu pieeju - sabiedrībā balstīta pakalpojuma veidā, pakalpojumu maksimāli tuvinot ģimeniskai videi. Šādiem mērķiem nepieciešams radīt jaunu infrastruktūru, jo pašreizējā infrastruktūra atzīta par nepiemērotu tās sliktā tehniskā stāvokļa dēļ un tā pilnā mērā nenodrošina ģimeniskas vides principus.
Projekta ietvaros paredzēts izveidot infrastruktūru bērnu aprūpei ģimeniskā vidē, izvērtējot iespēju veikt esošas ēkas pārbūvi adresē - Sēravou iela 9, Ķemeros vai izbūvējot 2 (divas) privātmāju tipa dzīvesvietas nelielam bērnu skaitam katrā no tām (8 bērni vienā mājā)</t>
    </r>
    <r>
      <rPr>
        <sz val="12"/>
        <rFont val="Times New Roman"/>
        <family val="1"/>
        <charset val="186"/>
      </rPr>
      <t xml:space="preserve">.
</t>
    </r>
    <r>
      <rPr>
        <b/>
        <sz val="12"/>
        <rFont val="Times New Roman"/>
        <family val="1"/>
        <charset val="186"/>
      </rPr>
      <t>2.Ģimeniskai videi pietuvinātas infrastruktūras izveide bez vecāku gādības palikušu jauniešu aprūpei (t.sk. būvprojekta izstrāde, būvdarbi, autoruzraudzība un būvuzraudzība)</t>
    </r>
    <r>
      <rPr>
        <sz val="12"/>
        <rFont val="Times New Roman"/>
        <family val="1"/>
        <charset val="186"/>
      </rPr>
      <t xml:space="preserve">
</t>
    </r>
    <r>
      <rPr>
        <i/>
        <sz val="12"/>
        <rFont val="Times New Roman"/>
        <family val="1"/>
        <charset val="186"/>
      </rPr>
      <t>Mērķa grupas - ārpusģimenes aprūpē esošu jauniešu līdz 17 gadu vecumam pakalpojums tiek nodrošināts PII "Sprīdītis", vienuviet visu vecumu bērniem un jauniešiem, kuri palikuši bez vecāku gādības. Lai veicinātu jauniešu patstāvību un pilnvērtīgi sagatavotu jauniešus patstāvīgai dzīvei sabiedrībā, nepieciešams radīt infrastruktūru, kur jauniešiem ir iespēja gūt iemaņas un zināšanas patstāvīgas dzīves uzsākšanai (rūpes par sevi, sadzīvi, dzīvesvietu u.c.).
Projekta ietvaros plānots atjaunot vienu pašvaldībai piederošu 4 istabu dzīvokli Kauguros (Tērbatas iela 41-16) "jauniešu mājas" pakalojuma nodrošināšanai, kurā dzīvojot, jauniešiem tiks sniegta iespēja iegūt prasmes patstāvīgas dzīves uzsākšanai.</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</si>
  <si>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1.Jūrmalas pilsētas pirmsskolas izglītības iestādes “Poziņa” infrastruktūras pilnveide pakalpojumu sniegšanai bērniem ar funkcionāliem traucējumiem</t>
    </r>
    <r>
      <rPr>
        <sz val="12"/>
        <rFont val="Times New Roman"/>
        <family val="1"/>
        <charset val="186"/>
      </rPr>
      <t xml:space="preserve">
</t>
    </r>
    <r>
      <rPr>
        <i/>
        <sz val="12"/>
        <rFont val="Times New Roman"/>
        <family val="1"/>
        <charset val="186"/>
      </rPr>
      <t>Mērķa grupas - bērnu ar funkcionāliem traucējumiem rehabilitācijas pakalpojumu nodrošināšanai Jūrmalā ir būtisks pieprasījums, tādēļ projekta ietvaros nepieciešams attīstīt pakalpojuma pieejamību, attīstot esošo infrastruktūru un radot jaunu, rehabilitācijas pakalpojuma klāsta paplašināšanai un daudzveidošanai. 
Projekta ietvaros plānots veikt ieguldījumus Jūrmalas pilsētas pirmsskolas izglītības iestādes "Podziņa" infrastruktūrā, atjaunojot un labiekārtojot fizioterapijas zāli, veicot ieguldījumus sensorajā telpā, uzbūvējot divas slēgta tipa āra nojumes rehabilitācijas pakalpojumu nodrošināšanai ārpus telpām.</t>
    </r>
  </si>
  <si>
    <r>
      <rPr>
        <i/>
        <u/>
        <sz val="12"/>
        <rFont val="Times New Roman"/>
        <family val="1"/>
        <charset val="186"/>
      </rPr>
      <t xml:space="preserve">Aktivitāšu pamatojums: </t>
    </r>
    <r>
      <rPr>
        <i/>
        <sz val="12"/>
        <rFont val="Times New Roman"/>
        <family val="1"/>
        <charset val="186"/>
      </rPr>
      <t xml:space="preserve">
</t>
    </r>
    <r>
      <rPr>
        <b/>
        <sz val="12"/>
        <rFont val="Times New Roman"/>
        <family val="1"/>
        <charset val="186"/>
      </rPr>
      <t xml:space="preserve">1.Sociālo pakalpojumu infrastruktūras attīstība personām ar garīga rakstutra traucējumiem                                                                                                                                                                                                                                                                                                                                  </t>
    </r>
    <r>
      <rPr>
        <i/>
        <sz val="12"/>
        <rFont val="Times New Roman"/>
        <family val="1"/>
        <charset val="186"/>
      </rPr>
      <t xml:space="preserve">Mērķa grupas - pilngadīgu personu ar garīga rakstura traucējumiem vajadzību nodrošināšanai Jūrmalas pilsētā ir izveidots Dienas aprūpes centrā personām ar garīgas veselības traucējumiem, kas atrodas Ķemeros, Dūņu ceļā 2. Ņemot vērā pieprasījumu pēc esošajiem un arī jauniem pakalpojumie personām ar garīga rakstura traucējumiem, projekta ietvaros plānots veikt ieguldījums Dienas aprūpes centra un specializēto darbnīcu attīstībā, "Atelpas brīža" u.c. pakalpojumu izveidē.     </t>
    </r>
    <r>
      <rPr>
        <sz val="12"/>
        <rFont val="Times New Roman"/>
        <family val="1"/>
        <charset val="186"/>
      </rPr>
      <t xml:space="preserve">                                                                                                                                           </t>
    </r>
    <r>
      <rPr>
        <b/>
        <sz val="12"/>
        <rFont val="Times New Roman"/>
        <family val="1"/>
        <charset val="186"/>
      </rPr>
      <t xml:space="preserve">2.Grupu dzīvokļu infrastruktūras pakalpojuma attīstība personām ar garīga rakstura traucējumiem  </t>
    </r>
    <r>
      <rPr>
        <sz val="12"/>
        <rFont val="Times New Roman"/>
        <family val="1"/>
        <charset val="186"/>
      </rPr>
      <t xml:space="preserve">             </t>
    </r>
    <r>
      <rPr>
        <b/>
        <sz val="12"/>
        <rFont val="Times New Roman"/>
        <family val="1"/>
        <charset val="186"/>
      </rPr>
      <t xml:space="preserve">                                                                                                                                                                                                                                                     </t>
    </r>
    <r>
      <rPr>
        <i/>
        <sz val="12"/>
        <rFont val="Times New Roman"/>
        <family val="1"/>
        <charset val="186"/>
      </rPr>
      <t>Mērķa grupas - personu ar garīga rakstura traucējumiem vajadzību nodrošināšanai un iekļaušanās sabiedrībā veicināšanai, 2007.-2013.gada plānošanas periodā tika uzsākta Grupu dzīvokļu pakalpojuma attīstība, projekta "Grupu dzīvokļa pakalpojuma izveide un nodrošināšana Jūrmalā" ietvaros. Lai veicinātu personu ar garīga rakstura traucējumiem integrēšanos sabiedrībā un nodrošinātu projekta pēctecību, šī projekta ietvaros plānots stiprināt Grupu dzīvokļu atbalstošos pakalpojumus, izveidojot 8 jaunus grupu dzīvokļis personām ar garīga rakstura traucējumiem Jūrmalas pilsētas pašvaldībā.</t>
    </r>
  </si>
  <si>
    <t>Daudzfunkcionāla dabas tūrisma centra jaunbūve un meža parka labiekārtojums Ķemeros
(ES fondu finansējums 85%)
(IP 5.pozīcija)</t>
  </si>
  <si>
    <t>2019-2021</t>
  </si>
  <si>
    <t>2020-2021</t>
  </si>
  <si>
    <r>
      <rPr>
        <b/>
        <i/>
        <sz val="10"/>
        <rFont val="Times New Roman"/>
        <family val="1"/>
        <charset val="186"/>
      </rPr>
      <t>2020</t>
    </r>
    <r>
      <rPr>
        <sz val="11"/>
        <rFont val="Calibri"/>
        <family val="2"/>
        <charset val="186"/>
        <scheme val="minor"/>
      </rPr>
      <t xml:space="preserve">     </t>
    </r>
    <r>
      <rPr>
        <i/>
        <sz val="10"/>
        <rFont val="Times New Roman"/>
        <family val="1"/>
        <charset val="186"/>
      </rPr>
      <t xml:space="preserve">                                                                    (10 mēneši)</t>
    </r>
  </si>
  <si>
    <t>2021-2022</t>
  </si>
  <si>
    <t>Pašvaldības budžets* (12.75% līdz 45.19%) + neattiecināmās izmaksas</t>
  </si>
  <si>
    <t>Valsts budžeta dotācija** (2.25% līdz 7.97%)</t>
  </si>
  <si>
    <t>ES fondu finansējums (46.84% līdz 85%)</t>
  </si>
  <si>
    <t>Apzīmējums***</t>
  </si>
  <si>
    <t>***P - prioritāra projekta ideja; A - alternatīva projekta ideja</t>
  </si>
  <si>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(vidējais divām ēkām);
2)primārās enerģijas gada patēriņa samazinājums uz m2 pēc darbu pabeigšanas –  194,14  kWh/m2 gadā (investīciju atmaksāšanās periods ne vairāk kā 20 gadi);
3)aprēķinātais siltumnīcefekta gāzu samazinājums gadā (CO2 ekvivalents tonnās) – 237.82  t/ gadā.
</t>
    </r>
    <r>
      <rPr>
        <u/>
        <sz val="10"/>
        <rFont val="Times New Roman"/>
        <family val="1"/>
        <charset val="186"/>
      </rPr>
      <t xml:space="preserve">Iznākuma rādītājs: </t>
    </r>
    <r>
      <rPr>
        <sz val="10"/>
        <rFont val="Times New Roman"/>
        <family val="1"/>
        <charset val="186"/>
      </rPr>
      <t>veikta divu ēku  ar kopējo platību 5464.3m2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</si>
  <si>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kWh uz m2 gadā. 
2)primārās enerģijas gada patēriņa samazinājums uz m2 pēc darbu pabeigšanas –  318,09  kWh/m2 gadā. 
3)aprēķinātais siltumnīcefekta gāzu samazinājums gadā (CO2 ekvivalents tonnās) –  193.35 t gadā.
</t>
    </r>
    <r>
      <rPr>
        <u/>
        <sz val="10"/>
        <rFont val="Times New Roman"/>
        <family val="1"/>
        <charset val="186"/>
      </rPr>
      <t>Iznākuma rādītājs:</t>
    </r>
    <r>
      <rPr>
        <sz val="10"/>
        <rFont val="Times New Roman"/>
        <family val="1"/>
        <charset val="186"/>
      </rPr>
      <t xml:space="preserve"> veikta ēkas ar kopējo platību 3020.20 m2 energoefektivitātes paaugstināšana.</t>
    </r>
  </si>
  <si>
    <r>
      <rPr>
        <u/>
        <sz val="10"/>
        <rFont val="Times New Roman"/>
        <family val="1"/>
        <charset val="186"/>
      </rPr>
      <t>Rezultāta rādītāji:</t>
    </r>
    <r>
      <rPr>
        <sz val="10"/>
        <rFont val="Times New Roman"/>
        <family val="1"/>
        <charset val="186"/>
      </rPr>
      <t xml:space="preserve">
1)vidējais siltumenerģijas patēriņš apkurei  pēc renovācijas – ne vairāk kā 120 129  kWh uz m2 gadā;
2)primārās enerģijas gada patēriņa samazinājums uz m2 pēc darbu pabeigšanas –  69,15  kWh/m2 gadā;
3)aprēķinātais siltumnīcefekta gāzu samazinājums gadā (CO2 ekvivalents tonnās) –   16.6 t  gadā.
</t>
    </r>
    <r>
      <rPr>
        <u/>
        <sz val="10"/>
        <rFont val="Times New Roman"/>
        <family val="1"/>
        <charset val="186"/>
      </rPr>
      <t>Iznākuma rādītājs:</t>
    </r>
    <r>
      <rPr>
        <sz val="10"/>
        <rFont val="Times New Roman"/>
        <family val="1"/>
        <charset val="186"/>
      </rPr>
      <t xml:space="preserve"> veikta ēkas ar kopējo platību 1519 m2 energoefektivitātes paaugstināšana. Projekta rezultatīvie rādītāji tiks precizēti pēc tehniskās dokumentācijas izstrādes. 
</t>
    </r>
  </si>
  <si>
    <r>
      <rPr>
        <u/>
        <sz val="10"/>
        <rFont val="Times New Roman"/>
        <family val="1"/>
        <charset val="186"/>
      </rPr>
      <t>Rezultāta rādītāji:</t>
    </r>
    <r>
      <rPr>
        <sz val="10"/>
        <rFont val="Times New Roman"/>
        <family val="1"/>
        <charset val="186"/>
      </rPr>
      <t xml:space="preserve">
1)vidējais siltumenerģijas patēriņš apkurei pēc renovācijas –  82,55 kWh uz m2 gadā:
2)primārās enerģijas gada patēriņa samazinājums uz m2 pēc darbu pabeigšanas –  71,89 kWh/m2 gadā;
3)aprēķinātais siltumnīcefekta gāzu samazinājums gadā (CO2 ekvivalents tonnās) – 85.01 t gadā.
</t>
    </r>
    <r>
      <rPr>
        <u/>
        <sz val="10"/>
        <rFont val="Times New Roman"/>
        <family val="1"/>
        <charset val="186"/>
      </rPr>
      <t>Iznākuma rādītājs:</t>
    </r>
    <r>
      <rPr>
        <sz val="10"/>
        <rFont val="Times New Roman"/>
        <family val="1"/>
        <charset val="186"/>
      </rPr>
      <t xml:space="preserve"> veikta ēkas  ar kopējo platību 5183.20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</si>
  <si>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113,66 kWh uz m2 gadā:
2)primārās enerģijas gada patēriņa samazinājums uz m2 pēc darbu pabeigšanas –   128,12 kWh/m2 gadā;
3)aprēķinātais siltumnīcefekta gāzu samazinājums gadā (CO2 ekvivalents tonnās) – 16.06 t  gadā.
</t>
    </r>
    <r>
      <rPr>
        <u/>
        <sz val="10"/>
        <rFont val="Times New Roman"/>
        <family val="1"/>
        <charset val="186"/>
      </rPr>
      <t>Iznākuma rādītājs:</t>
    </r>
    <r>
      <rPr>
        <sz val="10"/>
        <rFont val="Times New Roman"/>
        <family val="1"/>
        <charset val="186"/>
      </rPr>
      <t xml:space="preserve"> veikta ēkas  ar kopējo platību 488.30m2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</si>
  <si>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66,01 kWh uz m2 gadā:
2)primārās enerģijas gada patēriņa samazinājums uz m2 pēc darbu pabeigšanas –  76,46  kWh/m2 gadā;
3)aprēķinātais siltumnīcefekta gāzu samazinājums gadā (CO2 ekvivalents tonnās) – 73.18 t gadā.
</t>
    </r>
    <r>
      <rPr>
        <u/>
        <sz val="10"/>
        <rFont val="Times New Roman"/>
        <family val="1"/>
        <charset val="186"/>
      </rPr>
      <t>Iznākuma rādītājs:</t>
    </r>
    <r>
      <rPr>
        <sz val="10"/>
        <rFont val="Times New Roman"/>
        <family val="1"/>
        <charset val="186"/>
      </rPr>
      <t xml:space="preserve"> veikta ēkas  ar kopējo platību 5098.40 m2 energoefektivitātes paaugstināšana. Projekta rezultatīvie un indikatīvie rādītāji tiks precizēti pēc tehniskās dokumentācijas izstrādes.</t>
    </r>
  </si>
  <si>
    <r>
      <rPr>
        <u/>
        <sz val="10"/>
        <rFont val="Times New Roman"/>
        <family val="1"/>
        <charset val="186"/>
      </rPr>
      <t>Rezultāta rādītāji:</t>
    </r>
    <r>
      <rPr>
        <sz val="10"/>
        <rFont val="Times New Roman"/>
        <family val="1"/>
        <charset val="186"/>
      </rPr>
      <t xml:space="preserve">
1)vidējais siltumenerģijas patēriņš apkurei pēc renovācijas – 77.40 kWh uz m2 gadā:
2)primārās enerģijas gada patēriņa samazinājums uz m2 pēc darbu pabeigšanas –   137,60 kWh/m2 gadā;
3)aprēķinātais siltumnīcefekta gāzu samazinājums gadā (CO2 ekvivalents tonnās) – 27.65 t gadā.
</t>
    </r>
    <r>
      <rPr>
        <u/>
        <sz val="10"/>
        <rFont val="Times New Roman"/>
        <family val="1"/>
        <charset val="186"/>
      </rPr>
      <t>Iznākuma rādītājs:</t>
    </r>
    <r>
      <rPr>
        <sz val="10"/>
        <rFont val="Times New Roman"/>
        <family val="1"/>
        <charset val="186"/>
      </rPr>
      <t xml:space="preserve"> veikta ēkas  ar kopējo platību 1045.70m2 energoefektivitātes paaugstināšana. Projekta rezultatīvie un indikatīvie rādītāji tiks precizēti pēc tehniskās dokumentācijas izstrādes.</t>
    </r>
  </si>
  <si>
    <r>
      <rPr>
        <u/>
        <sz val="10"/>
        <rFont val="Times New Roman"/>
        <family val="1"/>
        <charset val="186"/>
      </rPr>
      <t>Darbības rezultāts</t>
    </r>
    <r>
      <rPr>
        <sz val="10"/>
        <rFont val="Times New Roman"/>
        <family val="1"/>
        <charset val="186"/>
      </rPr>
      <t xml:space="preserve"> - pārbūvēta ēka Straumes ielā 1a, ēkas 1.stāvā un pagrabstāvā izveidojot nomas telpas komersantiem. Espšais garāžas korpuss tiks demontēts un tā vietā izbūvēta jauna piebūve, 1.stāvā izvietojot brīvā plānojuma nomas platības, kā arī vienā telpā paredzot laivu darbnīcu.  Ēkas teritorijā paredzēts atjaunot  autostāvvietas komersantu vajadzībām, kā arī nomainīt ceļa segumu uz betona bruģi līdz pieslēgumam ar ielu.</t>
    </r>
  </si>
  <si>
    <r>
      <rPr>
        <u/>
        <sz val="10"/>
        <rFont val="Times New Roman"/>
        <family val="1"/>
        <charset val="186"/>
      </rPr>
      <t>Darbības rezultāts</t>
    </r>
    <r>
      <rPr>
        <sz val="10"/>
        <rFont val="Times New Roman"/>
        <family val="1"/>
        <charset val="186"/>
      </rPr>
      <t xml:space="preserve"> - izbūvēta 1000 m2 plaša autostāvvieta, izbūvēta komercdarbībai paredzēta platība 1500 m2, kā arī izbūvētas telpas/būves komercdarbībai, inženierkomunikāciju izveide. Projekta detalizēts sadalījums darbību griezumā, darbību rezultāti, precīzas izmaksas un rezultatīvie rādītāji tiks precizēti pēc būvprojekta izstrādes.</t>
    </r>
  </si>
  <si>
    <t xml:space="preserve">Pilsētas atpūtas parka un jauniešu mājas izveide Kauguros
(ES fondu finansējums 85%)
(IP 56.pozīcija)
</t>
  </si>
  <si>
    <t>Pilsētas atpūtas parka un jauniešu mājas izveide Kauguros
(ES fondu finansējums 85%)
(IP 56.pozīcija)</t>
  </si>
  <si>
    <t>Jūrmalas ūdenstūrisma pakalpojumu infrastruktūras attīstība atbilstoši pilsētas ekonomiskajai specializācijai 
(ES fondu finansējums 85%)
(IP 32.pozīcija)</t>
  </si>
  <si>
    <t>Pilsētas centrālās daļas ielu brauktuvju un gājēju celiņu atjaunošana un autostāvvietu izbūve
(ES fondu finansējums 85%)
(IP 18.pozīcija)</t>
  </si>
  <si>
    <t>Lielupes kuģošanas infrastruktūras attīstība uzņēmējdarbības veicināšanai 
(ES fondu finansējums 85%)
(IP 33.pozīcija)</t>
  </si>
  <si>
    <t>Jaunu autostāvvietu izbūve pilsētas satiksmes infrastruktūras pilnveidei
(ES fondu finansējums 85%)
(IP 21.pozīcija)</t>
  </si>
  <si>
    <t>Jaunu autostāvvietu izbūve pilsētas satiksmes infrastruktūras pilnveidei
(ES fondu finansējums 85%)
(IP 21.pozīcija)</t>
  </si>
  <si>
    <t>Jūrmalas ūdenstūrisma pakalpojumu infrastruktūras attīstība atbilstoši pilsētas ekonomiskajai specializācijai 
(ES fondu finansējums 85%)
(IP 32.pozīcija)</t>
  </si>
  <si>
    <t>Pilsētas centrālās daļas ielu brauktuvju un gājēju celiņu atjaunošana un autostāvvietu izbūve
(ES fondu finansējums 85%)
(IP 18.pozīcija)</t>
  </si>
  <si>
    <t xml:space="preserve">Lielupes kuģošanas infrastruktūras attīstība uzņēmējdarbības veicināšanai 
(ES fondu finansējums 85%)
(IP 33.pozīcija)
</t>
  </si>
  <si>
    <t>Jūrmalas veselības veicināšanas un sociālo pakalpojumu centra ēku pārbūve un energoefektivitātes paaugstināšana
(ES fondu finansējums 85%)
(IP 124.pozīcija)</t>
  </si>
  <si>
    <t>Jūrmalas Sporta skolas peldbaseina ēkas pārbūve un energoefektivitātes paaugstināšana
(ES fondu finansējums 85%)
(IP 93.pozīcija)</t>
  </si>
  <si>
    <t>Jūrmalas pilsētas Ķemeru pamatskolas ēkas pārbūve un energoefektivitātes paaugstināšana 
(ES fondu finansējums 85%)
(IP 87.pozīcija)</t>
  </si>
  <si>
    <t>Jūrmalas pilsētas Jaundubultu vidusskolas ēkas energoefektivitātes paaugstināšana
(ES fondu finansējums 48.55%)
(IP 88.pozīcija)</t>
  </si>
  <si>
    <t>Jūrmalas pilsētas Jaundubultu vidusskolas ēkas k-1 (autoskolas ēka) energoefektivitātes paaugstināšana 
(ES fondu finansējums 53.41%)
(IP 89.pozīcija)</t>
  </si>
  <si>
    <t>Jūrmalas pilsētas Kauguru vidusskolas ēkas  energoefektivitātes paaugstināšana 
(ES fondu finansējums 46.84%)
(IP 92.pozīcija)</t>
  </si>
  <si>
    <t>Jūrmalas teātra ēkas energoefektivitātes paaugstināšana
(ES fondu finansējums 85%)
(IP 117.pozīcija)</t>
  </si>
  <si>
    <t>Jūrmalas pilsētas domes administratīvās ēkas energoefektivitātes paaugstināšana Dubultu prospektā 1, lit.1.
(ES fondu finansējums 85%)
(IP 47.pozīcija)</t>
  </si>
  <si>
    <t>Jūrmalas pilsētas domes administratīvās ēkas energoefektivitātes paaugstināšana Rūpniecības ielā 19
(ES fondu finansējums 85%)
(IP 74.pozīcija)</t>
  </si>
  <si>
    <t>Ķemeru pasta ēkas pārbūve un energoefektivitātes paaugstināšana
(ES fondu finansējums 85%)
(IP 61.pozīcija)</t>
  </si>
  <si>
    <t>Ķemeru parka pārbūve un restaurācija
(ES fondu finansējums 85%)
(IP 10.pozīcija)</t>
  </si>
  <si>
    <t>Ceļu infrastruktūras atjaunošana un autostāvvietas izbūve Ķemeros
(ES fond
(IP 16.pozīcija)</t>
  </si>
  <si>
    <t>Ielu infrastruktūras atjaunošana Ķemeros
(ES fondu finansējums 85%)
(IP 15.pozīcija)</t>
  </si>
  <si>
    <t>Majoru muižas kompleksa atjaunošana, t.sk. teritorijas labiekārtošana
(ES fondu finansējums 85%)
(IP 63.pozīcija)</t>
  </si>
  <si>
    <t>Jūrmalas pilsētas vispārējās vidējās izglītības iestāžu infrastruktūras pilnveide
(ES fondu finansējums 85%)
(IP 92.pozīcija un 94.pozīcija)</t>
  </si>
  <si>
    <t>Infrastruktūras izveide bez vecāku gādības palikušu bērnu un jauniešu aprūpei ģimeniskai vidē
(ES fondu finansējums 85%)
(IP 121.pozīcija)</t>
  </si>
  <si>
    <t>Infrastruktūras pilnveide pakalpojumu sniegšanai bērniem ar funkcionāliem traucējumiem
(ES fondu finansējums 85%)
(IP 123.pozīcija)</t>
  </si>
  <si>
    <t>Infrastruktūras pilnveide sabiedrībā balstītu pakalpojumu sniegšanai personām ar garīga rakstura traucējumiem
(ES fondu finansējums 85%)
(IP 122.pozīcija)</t>
  </si>
  <si>
    <r>
      <t xml:space="preserve">Aktivitāšu pamatojums:
</t>
    </r>
    <r>
      <rPr>
        <b/>
        <sz val="12"/>
        <rFont val="Times New Roman"/>
        <family val="1"/>
        <charset val="186"/>
      </rPr>
      <t>1.Jūrmalas Valsts ģimnāzijas ēkas Raiņa ielā 55, Jūrmalā, pārbūve (t.sk. būvprojekta izstrāde, būvdarbi, autoruzraudzība un būvuzraudzība)</t>
    </r>
    <r>
      <rPr>
        <sz val="12"/>
        <rFont val="Times New Roman"/>
        <family val="1"/>
        <charset val="186"/>
      </rPr>
      <t xml:space="preserve">
</t>
    </r>
    <r>
      <rPr>
        <i/>
        <sz val="12"/>
        <rFont val="Times New Roman"/>
        <family val="1"/>
        <charset val="186"/>
      </rPr>
      <t>Jūrmalas Valsts ģimnāzija ir vienīgā vispārējās vidējās izglītības iestāde Jūrmalā, kurai ir piešķirts Valsts ģimnāzijas statuss. Šajā izglītības iestādē tiek īstenoti četri vidējās izglītības programmu virzieni, tai skaitā matemātikas, dabaszinību un tehnikas virziena programma un profesionāli orientētā virziena programma (komerczinības). Papildu šajā izglītības iestādē tiek īstenotas pedagogu tālākizglītības un metodiskā centra funkcijas. Saskaņā ar Jūrmalas pilsētas izglītības iestāžu infrastruktūras novērtējumu, kas veikts izstrādājot Izglītības attīstības koncepciju 2015.-2020.gadam, Jūrmalas Valsts ģimnāzijas telpu stāvoklis Raiņa ielā 55 novērtēts kā "daļēji apmierinošs", akcentējot ēkas atjaunošanas aktualitāti, lai tā atbilstu valsts ģimnāzijas statusam. Investīcijas tiek plānots piesaistīt, lai izstrādātu kvalitatīvu izglītības iestādes pārbūves būvprojektu un veiktu skolas pilna apjoma pārbūvi un atjaunošanu, nodrošinot skolēniem ergonomiskas un modernas mācību vides izveidi, kā arī reģionālā metodiskā centra infrastruktūras pilnveidi visu tam paredzēto funkciju pilnvērtīgai nodrošināšanai.</t>
    </r>
    <r>
      <rPr>
        <sz val="12"/>
        <rFont val="Times New Roman"/>
        <family val="1"/>
        <charset val="186"/>
      </rPr>
      <t xml:space="preserve">
</t>
    </r>
    <r>
      <rPr>
        <b/>
        <sz val="12"/>
        <rFont val="Times New Roman"/>
        <family val="1"/>
        <charset val="186"/>
      </rPr>
      <t>2.Jūrmalas pilsētas Kauguru vidusskolas telpu atjaunošana (t.sk. būvprojekta izstrāde, būvdarbi, autoruzraudzība un būvuzraudzība)</t>
    </r>
    <r>
      <rPr>
        <sz val="12"/>
        <rFont val="Times New Roman"/>
        <family val="1"/>
        <charset val="186"/>
      </rPr>
      <t xml:space="preserve">
</t>
    </r>
    <r>
      <rPr>
        <i/>
        <sz val="12"/>
        <rFont val="Times New Roman"/>
        <family val="1"/>
        <charset val="186"/>
      </rPr>
      <t>Jūrmalas pilsētas Kauguru vidusskolā saskaņā ar Jūrmalas pašvaldības vispārizglītojošo skolu telpu noslogojumu uz 2016.gada 1.septembri ir bijis vislielākais izglītojamo skaits Jūrmalā (724 skolēni), kā arī skolai ir viens no labākajiem skolas piepildījumiem 96,53% no skolas paredzētās kapacitātes, kas vidusskolu grupā ir labākais rādītājs pilsētā. Vienlaicīgi, skola atrodas Jūrmalas visblīvāk apdzīvotā administratīvajā teritorijā Kauguros un tā ir viegli sasniedzama no blakus esošiem novadu pagastiem – Babītes novada Salas pagasta un Engures novada Lapmežciema pagasta. Tādējādi, skolā jau šobrīd ir liels izglītojamo īpatsvars ar tendenci pieaugt, ja skolā tiks nodrošināta  modernizēta un ergonomiska mācību vide.2007.-2013.gada  plānošanas periodā skolā tika īstenoti divi ERAF projekti „Kvalitatīvai dabaszinātņu apguvei atbilstošas materiālās bāzes nodrošināšana Jūrmalas pilsētas vispārējās vidējās izglītības iestādēs” un „Jūrmalas pilsētas skolu informatizācija”. Kā arī ņemot vērā paredzētos ERAF ieguldījums SAM 4.2.2. ietvaros Prioritārā projekta Nr.3 “Vispārējās vidējās izglītības iestāžu energoefektivitātes paaugstināšana” aktivitātes “Jūrmalas pilsētas Kauguru vidusskolas energoefektivitātes paaugstināšana” īstenošanu,  ieguldot SAM 8.1.2. ERAF finanšu līdzekļus Kauguru vidusskolas ergonomiskas un ar IKT risinājumiem pilnveidotā infrastruktūrā, skolā tiks izveidota pilnībā modernizēta mācību vide vismaz trīs  skolas stāvos.</t>
    </r>
  </si>
  <si>
    <r>
      <rPr>
        <u/>
        <sz val="10"/>
        <rFont val="Times New Roman"/>
        <family val="1"/>
        <charset val="186"/>
      </rPr>
      <t>Iznākuma rādītājs:</t>
    </r>
    <r>
      <rPr>
        <sz val="10"/>
        <rFont val="Times New Roman"/>
        <family val="1"/>
        <charset val="186"/>
      </rPr>
      <t xml:space="preserve">
1) izveidotas 2 (divas) mājas, nodrošinot 16 vietas bērniem aprūpei ģimeniskā vidē (8+8);
2) izveidots 1 (viens) dzīvoklis, nodrošinot 5 vietas bērnu (jauniešu) aprūpei ģimeniskā vidē. 
</t>
    </r>
  </si>
  <si>
    <t>Jūrmalas veselības veicināšanas un sociālo pakalpojumu centra ēku pārbūve un energoefektivitātes paaugstināšana
(ES fondu finansējums 85%)
(IP 124.pozīcija)</t>
  </si>
  <si>
    <t xml:space="preserve">Jūrmalas Sporta skolas peldbaseina ēkas pārbūve un energoefektivitātes paaugstināšana
(ES fondu finansējums 85%)
(IP 93.pozīcija)
</t>
  </si>
  <si>
    <t>Jūrmalas pilsētas Ķemeru pamatskolas ēkas pārbūve un energoefektivitātes paaugstināšana 
(ES fondu finansējums 85%)
(IP 87.pozīcija)</t>
  </si>
  <si>
    <t xml:space="preserve">Jūrmalas pilsētas Jaundubultu vidusskolas ēkas energoefektivitātes paaugstināšana
(ES fondu finansējums 48.55%)
(IP 88.pozīcija)
</t>
  </si>
  <si>
    <t>Jūrmalas pilsētas Jaundubultu vidusskolas ēkas k-1 (autoskolas ēka) energoefektivitātes paaugstināšana 
(ES fondu finansējums 53.41%)
(IP 89.pozīcija)</t>
  </si>
  <si>
    <t>Jūrmalas pilsētas Kauguru vidusskolas ēkas  energoefektivitātes paaugstināšana 
(ES fondu finansējums 46.84%)
(IP 92.pozīcija)</t>
  </si>
  <si>
    <t>Jūrmalas teātra ēkas energoefektivitātes paaugstināšana
(ES fondu finansējums 85%)
(IP 117.pozīcija)</t>
  </si>
  <si>
    <t>Jūrmalas teātra ēkas energoefektivitātes paaugstināšana (t.sk. tehniskās dokumentācijas izstrāde, būvdarbi, autoruzraudzība un būvuzraudzība)</t>
  </si>
  <si>
    <t>Jūrmalas pilsētas domes administratīvās ēkas energoefektivitātes paaugstināšana Dubultu prospektā 1, lit.1.
(ES fondu finansējums 85%)
(IP 47.pozīcija)</t>
  </si>
  <si>
    <t>Jūrmalas pilsētas domes administratīvās ēkas energoefektivitātes paaugstināšana Rūpniecības ielā 19
(ES fondu finansējums 85%)
(IP 74.pozīcija)</t>
  </si>
  <si>
    <t>Ķemeru pasta ēkas pārbūve un energoefektivitātes paaugstināšana
(ES fondu finansējums 85%)
(IP 61.pozīcija)</t>
  </si>
  <si>
    <t>Ķemeru parka pārbūve un restaurācija
(ES fondu finansējums 85%)
(IP 10.pozīcija)</t>
  </si>
  <si>
    <t>Ceļu infrastruktūras atjaunošana un autostāvvietas izbūve Ķemeros
(ES fondu finansējums 85%)
(IP 16.pozīcija)</t>
  </si>
  <si>
    <t>Ielu infrastruktūras atjaunošana Ķemeros
(ES fondu finansējums 85%)
(IP 15.pozīcija)</t>
  </si>
  <si>
    <t>Majoru muižas kompleksa atjaunošana, t.sk. teritorijas labiekārtošana
(ES fondu finansējums 85%)
(IP 63.pozīcija)</t>
  </si>
  <si>
    <t>Jūrmalas pilsētas vispārējās vidējās izglītības iestāžu infrastruktūras pilnveide
(ES fondu finansējums 85%)
(IP 92.pozīcija un 94.pozīcija)</t>
  </si>
  <si>
    <t>Infrastruktūras izveide bez vecāku gādības palikušu bērnu un jauniešu aprūpei ģimeniskai vidē
(ES fondu finansējums 85%)
(IP 121.pozīcija)</t>
  </si>
  <si>
    <t>Infrastruktūras pilnveide pakalpojumu sniegšanai bērniem ar funkcionāliem traucējumiem
(ES fondu finansējums 85%)
(IP 123.pozīcija)</t>
  </si>
  <si>
    <t>Infrastruktūras pilnveide sabiedrībā balstītu pakalpojumu sniegšanai personām ar garīga rakstura traucējumiem
(ES fondu finansējums 85%)
(IP 122.pozīcija)</t>
  </si>
  <si>
    <t>Jūrmalas pilsētas investīciju plānam 2018.-2020.gadam</t>
  </si>
  <si>
    <t>2.pielikums</t>
  </si>
  <si>
    <t>17.2.</t>
  </si>
  <si>
    <t>25.2.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</si>
</sst>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0.00_ ;\-#,##0.00\ "/>
  </numFmts>
  <fonts count="24"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12"/>
      <name val="Times New Roman"/>
      <family val="1"/>
      <charset val="186"/>
    </font>
    <font>
      <b/>
      <sz val="16"/>
      <name val="Times New Roman"/>
      <family val="1"/>
      <charset val="186"/>
    </font>
    <font>
      <b/>
      <sz val="10"/>
      <name val="Times New Roman"/>
      <family val="1"/>
      <charset val="186"/>
    </font>
    <font>
      <b/>
      <sz val="11"/>
      <name val="Times New Roman"/>
      <family val="1"/>
      <charset val="186"/>
    </font>
    <font>
      <i/>
      <sz val="10"/>
      <name val="Times New Roman"/>
      <family val="1"/>
      <charset val="186"/>
    </font>
    <font>
      <i/>
      <u/>
      <sz val="10"/>
      <name val="Times New Roman"/>
      <family val="1"/>
      <charset val="186"/>
    </font>
    <font>
      <b/>
      <i/>
      <sz val="10"/>
      <name val="Times New Roman"/>
      <family val="1"/>
      <charset val="186"/>
    </font>
    <font>
      <b/>
      <i/>
      <u/>
      <sz val="12"/>
      <name val="Times New Roman"/>
      <family val="1"/>
      <charset val="186"/>
    </font>
    <font>
      <b/>
      <sz val="12"/>
      <name val="Times New Roman"/>
      <family val="1"/>
      <charset val="186"/>
    </font>
    <font>
      <b/>
      <i/>
      <sz val="12"/>
      <name val="Times New Roman"/>
      <family val="1"/>
      <charset val="186"/>
    </font>
    <font>
      <i/>
      <u/>
      <sz val="12"/>
      <name val="Times New Roman"/>
      <family val="1"/>
      <charset val="186"/>
    </font>
    <font>
      <b/>
      <u/>
      <sz val="12"/>
      <name val="Times New Roman"/>
      <family val="1"/>
      <charset val="186"/>
    </font>
    <font>
      <b/>
      <i/>
      <u/>
      <sz val="10"/>
      <name val="Times New Roman"/>
      <family val="1"/>
      <charset val="186"/>
    </font>
    <font>
      <i/>
      <sz val="12"/>
      <name val="Times New Roman"/>
      <family val="1"/>
      <charset val="186"/>
    </font>
    <font>
      <sz val="11"/>
      <name val="Calibri"/>
      <family val="2"/>
      <charset val="186"/>
      <scheme val="minor"/>
    </font>
    <font>
      <u/>
      <sz val="10"/>
      <name val="Times New Roman"/>
      <family val="1"/>
      <charset val="186"/>
    </font>
    <font>
      <sz val="12"/>
      <name val="Calibri"/>
      <family val="2"/>
      <charset val="186"/>
      <scheme val="minor"/>
    </font>
    <font>
      <i/>
      <sz val="12"/>
      <name val="Calibri"/>
      <family val="2"/>
      <charset val="186"/>
      <scheme val="minor"/>
    </font>
    <font>
      <strike/>
      <sz val="10"/>
      <name val="Times New Roman"/>
      <family val="1"/>
      <charset val="186"/>
    </font>
    <font>
      <i/>
      <sz val="11"/>
      <name val="Calibri"/>
      <family val="2"/>
      <charset val="186"/>
      <scheme val="minor"/>
    </font>
    <font>
      <sz val="10"/>
      <name val="Calibri"/>
      <family val="2"/>
      <charset val="186"/>
      <scheme val="minor"/>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9900"/>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164" fontId="1" fillId="0" borderId="0" applyFont="0" applyFill="0" applyBorder="0" applyAlignment="0" applyProtection="0"/>
  </cellStyleXfs>
  <cellXfs count="169">
    <xf numFmtId="0" fontId="0" fillId="0" borderId="0" xfId="0"/>
    <xf numFmtId="0" fontId="2" fillId="0" borderId="0" xfId="0" applyFont="1"/>
    <xf numFmtId="0" fontId="2" fillId="0" borderId="2" xfId="0" applyFont="1" applyBorder="1"/>
    <xf numFmtId="0" fontId="2" fillId="0" borderId="3" xfId="0" applyFont="1" applyBorder="1" applyAlignment="1">
      <alignment horizontal="center" vertical="center" wrapText="1"/>
    </xf>
    <xf numFmtId="0" fontId="2" fillId="3" borderId="3" xfId="0" applyFont="1" applyFill="1" applyBorder="1" applyAlignment="1">
      <alignment horizontal="justify" vertical="center" wrapText="1"/>
    </xf>
    <xf numFmtId="0" fontId="2" fillId="3" borderId="3" xfId="0" applyFont="1" applyFill="1" applyBorder="1" applyAlignment="1">
      <alignment horizontal="center" vertical="center" wrapText="1"/>
    </xf>
    <xf numFmtId="0" fontId="2" fillId="0" borderId="0" xfId="0" applyFont="1" applyBorder="1"/>
    <xf numFmtId="0" fontId="2" fillId="0" borderId="3"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2" fillId="0" borderId="0" xfId="0" applyFont="1" applyFill="1" applyBorder="1" applyAlignment="1">
      <alignment vertical="center"/>
    </xf>
    <xf numFmtId="0" fontId="2" fillId="0" borderId="0" xfId="0" applyFont="1" applyFill="1"/>
    <xf numFmtId="0" fontId="7" fillId="0" borderId="3" xfId="0"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0" fontId="2" fillId="0" borderId="2" xfId="0" applyFont="1" applyBorder="1" applyAlignment="1">
      <alignment horizontal="center"/>
    </xf>
    <xf numFmtId="0" fontId="2" fillId="0" borderId="0" xfId="0" applyFont="1" applyAlignment="1">
      <alignment horizontal="center"/>
    </xf>
    <xf numFmtId="0" fontId="9"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0" applyFont="1" applyBorder="1" applyAlignment="1">
      <alignment horizontal="center" vertical="center" wrapText="1"/>
    </xf>
    <xf numFmtId="4" fontId="2" fillId="0" borderId="3" xfId="1" applyNumberFormat="1" applyFont="1" applyBorder="1" applyAlignment="1">
      <alignment horizontal="center" vertical="center" wrapText="1"/>
    </xf>
    <xf numFmtId="0" fontId="2" fillId="0" borderId="0" xfId="0" applyFont="1" applyBorder="1" applyAlignment="1">
      <alignment horizontal="center"/>
    </xf>
    <xf numFmtId="165" fontId="2" fillId="0" borderId="3" xfId="1" applyNumberFormat="1" applyFont="1" applyBorder="1" applyAlignment="1">
      <alignment horizontal="center" vertical="center" wrapText="1"/>
    </xf>
    <xf numFmtId="0" fontId="7" fillId="0" borderId="0" xfId="0" applyFont="1"/>
    <xf numFmtId="0" fontId="2" fillId="0" borderId="2" xfId="0" applyFont="1" applyFill="1" applyBorder="1"/>
    <xf numFmtId="0" fontId="2" fillId="0" borderId="7" xfId="0" applyFont="1" applyBorder="1" applyAlignment="1">
      <alignment horizontal="center" vertical="center" wrapText="1"/>
    </xf>
    <xf numFmtId="0" fontId="2" fillId="0" borderId="0" xfId="0" applyFont="1" applyFill="1" applyBorder="1"/>
    <xf numFmtId="0" fontId="7" fillId="2" borderId="6" xfId="0" applyFont="1" applyFill="1" applyBorder="1" applyAlignment="1">
      <alignment horizontal="justify" vertical="center" wrapText="1"/>
    </xf>
    <xf numFmtId="0" fontId="7" fillId="2" borderId="5" xfId="0" applyFont="1" applyFill="1" applyBorder="1" applyAlignment="1">
      <alignment horizontal="justify" vertical="center" wrapText="1"/>
    </xf>
    <xf numFmtId="4" fontId="2" fillId="0" borderId="3" xfId="0" applyNumberFormat="1" applyFont="1" applyBorder="1" applyAlignment="1">
      <alignment horizontal="justify" vertical="center" wrapText="1"/>
    </xf>
    <xf numFmtId="4" fontId="2" fillId="0" borderId="3" xfId="0" applyNumberFormat="1" applyFont="1" applyFill="1" applyBorder="1" applyAlignment="1">
      <alignment horizontal="justify" vertical="center" wrapText="1"/>
    </xf>
    <xf numFmtId="0" fontId="10" fillId="2" borderId="0" xfId="0" applyFont="1" applyFill="1" applyAlignment="1">
      <alignment vertical="center"/>
    </xf>
    <xf numFmtId="4" fontId="2" fillId="0" borderId="3" xfId="0" applyNumberFormat="1" applyFont="1" applyBorder="1" applyAlignment="1">
      <alignment horizontal="center" vertical="center" wrapText="1"/>
    </xf>
    <xf numFmtId="0" fontId="2" fillId="0" borderId="4" xfId="0" applyFont="1" applyFill="1" applyBorder="1" applyAlignment="1">
      <alignment horizontal="center" vertical="center" wrapText="1"/>
    </xf>
    <xf numFmtId="4" fontId="2" fillId="0" borderId="0" xfId="0" applyNumberFormat="1" applyFont="1" applyAlignment="1">
      <alignment horizontal="center"/>
    </xf>
    <xf numFmtId="0" fontId="2" fillId="0" borderId="2" xfId="0" applyFont="1" applyFill="1" applyBorder="1" applyAlignment="1">
      <alignment horizontal="center"/>
    </xf>
    <xf numFmtId="0" fontId="2" fillId="0" borderId="0" xfId="0" applyFont="1" applyFill="1" applyAlignment="1">
      <alignment horizontal="center"/>
    </xf>
    <xf numFmtId="0" fontId="16" fillId="0" borderId="3" xfId="0" applyFont="1" applyFill="1" applyBorder="1" applyAlignment="1">
      <alignment horizontal="center" vertical="center" wrapText="1"/>
    </xf>
    <xf numFmtId="4" fontId="2"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1" fontId="2" fillId="0" borderId="3" xfId="0" applyNumberFormat="1" applyFont="1" applyBorder="1" applyAlignment="1">
      <alignment horizontal="center" vertical="center" wrapText="1"/>
    </xf>
    <xf numFmtId="4" fontId="2" fillId="0" borderId="3" xfId="0" applyNumberFormat="1" applyFont="1" applyFill="1" applyBorder="1" applyAlignment="1">
      <alignment horizontal="center" vertical="center"/>
    </xf>
    <xf numFmtId="0" fontId="2" fillId="0" borderId="0" xfId="0" applyFont="1" applyAlignment="1">
      <alignment wrapText="1"/>
    </xf>
    <xf numFmtId="0" fontId="2" fillId="0" borderId="0" xfId="0" applyFont="1" applyAlignment="1">
      <alignment horizontal="center" wrapText="1"/>
    </xf>
    <xf numFmtId="0" fontId="3" fillId="0" borderId="0" xfId="0" applyFont="1"/>
    <xf numFmtId="0" fontId="17" fillId="0" borderId="0" xfId="0" applyFont="1"/>
    <xf numFmtId="0" fontId="17" fillId="0" borderId="0" xfId="0" applyFont="1" applyBorder="1"/>
    <xf numFmtId="0" fontId="3" fillId="0" borderId="3" xfId="0" applyFont="1" applyFill="1" applyBorder="1" applyAlignment="1">
      <alignment horizontal="center"/>
    </xf>
    <xf numFmtId="1" fontId="3" fillId="2" borderId="3" xfId="0" applyNumberFormat="1" applyFont="1" applyFill="1" applyBorder="1" applyAlignment="1">
      <alignment horizontal="center"/>
    </xf>
    <xf numFmtId="0" fontId="3" fillId="2" borderId="3" xfId="0" applyFont="1" applyFill="1" applyBorder="1" applyAlignment="1">
      <alignment horizontal="justify" wrapText="1"/>
    </xf>
    <xf numFmtId="4" fontId="3" fillId="2" borderId="3" xfId="0" applyNumberFormat="1" applyFont="1" applyFill="1" applyBorder="1"/>
    <xf numFmtId="0" fontId="3" fillId="2" borderId="3" xfId="0" applyFont="1" applyFill="1" applyBorder="1" applyAlignment="1">
      <alignment horizontal="center"/>
    </xf>
    <xf numFmtId="1" fontId="3" fillId="0" borderId="3" xfId="0" applyNumberFormat="1" applyFont="1" applyFill="1" applyBorder="1" applyAlignment="1">
      <alignment horizontal="center"/>
    </xf>
    <xf numFmtId="0" fontId="3" fillId="0" borderId="3" xfId="0" applyFont="1" applyFill="1" applyBorder="1" applyAlignment="1">
      <alignment horizontal="justify" wrapText="1"/>
    </xf>
    <xf numFmtId="4" fontId="3" fillId="0" borderId="3" xfId="0" applyNumberFormat="1" applyFont="1" applyFill="1" applyBorder="1"/>
    <xf numFmtId="4" fontId="17" fillId="0" borderId="0" xfId="0" applyNumberFormat="1" applyFont="1"/>
    <xf numFmtId="4" fontId="7" fillId="0" borderId="3" xfId="0" applyNumberFormat="1" applyFont="1" applyFill="1" applyBorder="1" applyAlignment="1">
      <alignment horizontal="center" vertical="center" wrapText="1"/>
    </xf>
    <xf numFmtId="4" fontId="2" fillId="0" borderId="0" xfId="0" applyNumberFormat="1" applyFont="1"/>
    <xf numFmtId="4" fontId="2" fillId="0" borderId="0" xfId="0" applyNumberFormat="1" applyFont="1" applyAlignment="1">
      <alignment horizontal="center" wrapText="1"/>
    </xf>
    <xf numFmtId="4" fontId="2" fillId="0" borderId="0" xfId="0" applyNumberFormat="1" applyFont="1" applyAlignment="1">
      <alignment wrapText="1"/>
    </xf>
    <xf numFmtId="0" fontId="2" fillId="0" borderId="4" xfId="0" applyFont="1" applyFill="1" applyBorder="1" applyAlignment="1">
      <alignment horizontal="justify" vertical="top" wrapText="1"/>
    </xf>
    <xf numFmtId="4" fontId="17" fillId="0" borderId="0" xfId="0" applyNumberFormat="1" applyFont="1" applyFill="1"/>
    <xf numFmtId="4" fontId="17" fillId="0" borderId="0" xfId="0" applyNumberFormat="1" applyFont="1" applyAlignment="1">
      <alignment horizontal="right"/>
    </xf>
    <xf numFmtId="0" fontId="11" fillId="0" borderId="3" xfId="0" applyFont="1" applyBorder="1" applyAlignment="1">
      <alignment horizontal="center" wrapText="1"/>
    </xf>
    <xf numFmtId="4" fontId="17" fillId="0" borderId="0" xfId="0" applyNumberFormat="1" applyFont="1" applyAlignment="1"/>
    <xf numFmtId="0" fontId="2" fillId="0" borderId="7" xfId="0" applyFont="1" applyFill="1" applyBorder="1" applyAlignment="1">
      <alignment horizontal="center" vertical="center" wrapText="1"/>
    </xf>
    <xf numFmtId="0" fontId="2" fillId="0" borderId="6" xfId="0" applyFont="1" applyFill="1" applyBorder="1" applyAlignment="1">
      <alignment horizontal="justify" vertical="center" wrapText="1"/>
    </xf>
    <xf numFmtId="4" fontId="2" fillId="3"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Fill="1" applyBorder="1" applyAlignment="1">
      <alignment horizontal="justify" vertical="center" wrapText="1"/>
    </xf>
    <xf numFmtId="0" fontId="3" fillId="0" borderId="3" xfId="0" applyFont="1" applyFill="1" applyBorder="1" applyAlignment="1">
      <alignment horizontal="center" vertical="center"/>
    </xf>
    <xf numFmtId="14" fontId="11" fillId="0" borderId="3" xfId="0" applyNumberFormat="1" applyFont="1" applyFill="1" applyBorder="1" applyAlignment="1">
      <alignment horizontal="center" vertical="center"/>
    </xf>
    <xf numFmtId="4" fontId="17" fillId="0" borderId="14" xfId="0" applyNumberFormat="1" applyFont="1" applyBorder="1" applyAlignment="1">
      <alignment horizontal="right"/>
    </xf>
    <xf numFmtId="4" fontId="17" fillId="0" borderId="14" xfId="0" applyNumberFormat="1" applyFont="1" applyBorder="1" applyAlignment="1"/>
    <xf numFmtId="4" fontId="17" fillId="0" borderId="0" xfId="0" applyNumberFormat="1" applyFont="1" applyAlignment="1"/>
    <xf numFmtId="4" fontId="17" fillId="0" borderId="0" xfId="0" applyNumberFormat="1" applyFont="1" applyFill="1" applyAlignment="1">
      <alignment horizontal="right"/>
    </xf>
    <xf numFmtId="0" fontId="17" fillId="0" borderId="0" xfId="0" applyFont="1" applyFill="1"/>
    <xf numFmtId="0" fontId="2" fillId="0" borderId="3" xfId="0" applyFont="1" applyFill="1" applyBorder="1" applyAlignment="1">
      <alignment horizontal="justify" vertical="center" wrapText="1"/>
    </xf>
    <xf numFmtId="0" fontId="16" fillId="2" borderId="3" xfId="0" applyFont="1" applyFill="1" applyBorder="1" applyAlignment="1">
      <alignment horizontal="justify" vertical="center" wrapText="1"/>
    </xf>
    <xf numFmtId="0" fontId="16" fillId="2" borderId="4"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23" fillId="0" borderId="5" xfId="0" applyFont="1" applyBorder="1" applyAlignment="1">
      <alignment horizontal="justify" vertical="center" wrapText="1"/>
    </xf>
    <xf numFmtId="0" fontId="2" fillId="3" borderId="4" xfId="0" applyFont="1" applyFill="1" applyBorder="1" applyAlignment="1">
      <alignment horizontal="justify" vertical="center" wrapText="1"/>
    </xf>
    <xf numFmtId="0" fontId="17" fillId="0" borderId="5" xfId="0" applyFont="1" applyBorder="1" applyAlignment="1">
      <alignment horizontal="justify" vertical="center" wrapText="1"/>
    </xf>
    <xf numFmtId="0" fontId="3" fillId="0" borderId="0" xfId="0" applyFont="1" applyAlignment="1">
      <alignment horizontal="right"/>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5" xfId="0" applyFont="1" applyFill="1" applyBorder="1" applyAlignment="1">
      <alignment horizontal="justify" vertical="center" wrapText="1"/>
    </xf>
    <xf numFmtId="0" fontId="16" fillId="2" borderId="4" xfId="0" applyFont="1" applyFill="1" applyBorder="1" applyAlignment="1">
      <alignment horizontal="justify" vertical="center" wrapText="1"/>
    </xf>
    <xf numFmtId="0" fontId="16" fillId="2" borderId="6" xfId="0" applyFont="1" applyFill="1" applyBorder="1" applyAlignment="1">
      <alignment horizontal="justify" vertical="center" wrapText="1"/>
    </xf>
    <xf numFmtId="0" fontId="16" fillId="2" borderId="5" xfId="0" applyFont="1" applyFill="1" applyBorder="1" applyAlignment="1">
      <alignment horizontal="justify" vertical="center" wrapText="1"/>
    </xf>
    <xf numFmtId="0" fontId="2" fillId="0" borderId="5" xfId="0" applyFont="1" applyFill="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4" fillId="0" borderId="1" xfId="0" applyFont="1" applyBorder="1" applyAlignment="1">
      <alignment horizontal="center" vertical="center"/>
    </xf>
    <xf numFmtId="0" fontId="5" fillId="0" borderId="3"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20" fillId="2" borderId="6" xfId="0" applyFont="1" applyFill="1" applyBorder="1" applyAlignment="1">
      <alignment horizontal="justify" vertical="center" wrapText="1"/>
    </xf>
    <xf numFmtId="0" fontId="20" fillId="2" borderId="5" xfId="0" applyFont="1" applyFill="1" applyBorder="1" applyAlignment="1">
      <alignment horizontal="justify" vertical="center" wrapText="1"/>
    </xf>
    <xf numFmtId="0" fontId="11" fillId="4" borderId="4"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4" fillId="2" borderId="3" xfId="0" applyFont="1" applyFill="1" applyBorder="1" applyAlignment="1">
      <alignment vertical="center"/>
    </xf>
    <xf numFmtId="0" fontId="6" fillId="0" borderId="3" xfId="0" applyFont="1" applyBorder="1" applyAlignment="1">
      <alignment horizontal="center" vertical="center" wrapText="1"/>
    </xf>
    <xf numFmtId="0" fontId="11" fillId="4" borderId="3" xfId="0" applyFont="1" applyFill="1" applyBorder="1" applyAlignment="1">
      <alignment horizontal="center" vertical="center" wrapText="1"/>
    </xf>
    <xf numFmtId="0" fontId="10" fillId="2" borderId="3" xfId="0" applyFont="1" applyFill="1" applyBorder="1" applyAlignment="1">
      <alignment horizontal="justify" vertical="center" wrapText="1"/>
    </xf>
    <xf numFmtId="0" fontId="2" fillId="0" borderId="3" xfId="0" applyFont="1" applyBorder="1" applyAlignment="1">
      <alignment horizontal="justify" vertical="center" wrapText="1"/>
    </xf>
    <xf numFmtId="0" fontId="17" fillId="0" borderId="5"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3" fillId="0" borderId="3" xfId="0" applyFont="1" applyBorder="1" applyAlignment="1">
      <alignment horizontal="justify" vertical="center" wrapText="1"/>
    </xf>
    <xf numFmtId="0" fontId="19" fillId="2" borderId="6" xfId="0" applyFont="1" applyFill="1" applyBorder="1" applyAlignment="1">
      <alignment horizontal="justify" vertical="center" wrapText="1"/>
    </xf>
    <xf numFmtId="0" fontId="19" fillId="2" borderId="5" xfId="0" applyFont="1" applyFill="1" applyBorder="1" applyAlignment="1">
      <alignment horizontal="justify" vertical="center" wrapText="1"/>
    </xf>
    <xf numFmtId="0" fontId="11" fillId="2" borderId="4" xfId="0" applyFont="1" applyFill="1" applyBorder="1" applyAlignment="1">
      <alignment horizontal="justify" vertical="center" wrapText="1"/>
    </xf>
    <xf numFmtId="0" fontId="7" fillId="4" borderId="3" xfId="0" applyFont="1" applyFill="1" applyBorder="1" applyAlignment="1">
      <alignment horizontal="center" vertical="center" wrapText="1"/>
    </xf>
    <xf numFmtId="0" fontId="13" fillId="2" borderId="4" xfId="0" applyFont="1" applyFill="1" applyBorder="1" applyAlignment="1">
      <alignment horizontal="justify" vertical="center" wrapText="1"/>
    </xf>
    <xf numFmtId="0" fontId="22" fillId="2" borderId="6"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7" fillId="2" borderId="6" xfId="0" applyFont="1" applyFill="1" applyBorder="1" applyAlignment="1">
      <alignment horizontal="justify" vertical="center" wrapText="1"/>
    </xf>
    <xf numFmtId="0" fontId="17" fillId="2" borderId="5" xfId="0" applyFont="1" applyFill="1" applyBorder="1" applyAlignment="1">
      <alignment horizontal="justify" vertical="center" wrapText="1"/>
    </xf>
    <xf numFmtId="0" fontId="11" fillId="2" borderId="3" xfId="0" applyFont="1" applyFill="1" applyBorder="1" applyAlignment="1">
      <alignment horizontal="justify" vertical="center" wrapText="1"/>
    </xf>
    <xf numFmtId="0" fontId="16" fillId="2" borderId="3" xfId="0" applyFont="1" applyFill="1" applyBorder="1" applyAlignment="1">
      <alignment horizontal="justify" vertical="justify" wrapText="1"/>
    </xf>
    <xf numFmtId="0" fontId="17" fillId="0" borderId="3" xfId="0" applyFont="1" applyBorder="1" applyAlignment="1">
      <alignment horizontal="justify" vertical="center" wrapText="1"/>
    </xf>
    <xf numFmtId="0" fontId="10" fillId="2" borderId="4"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5" fillId="2" borderId="3"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16" fillId="2" borderId="4" xfId="0" applyFont="1" applyFill="1" applyBorder="1" applyAlignment="1">
      <alignment horizontal="justify" vertical="top" wrapText="1"/>
    </xf>
    <xf numFmtId="0" fontId="16" fillId="2" borderId="6" xfId="0" applyFont="1" applyFill="1" applyBorder="1" applyAlignment="1">
      <alignment horizontal="justify" vertical="top" wrapText="1"/>
    </xf>
    <xf numFmtId="0" fontId="16" fillId="2" borderId="5" xfId="0" applyFont="1" applyFill="1" applyBorder="1" applyAlignment="1">
      <alignment horizontal="justify" vertical="top" wrapText="1"/>
    </xf>
    <xf numFmtId="0" fontId="16" fillId="2" borderId="4" xfId="0" applyFont="1" applyFill="1" applyBorder="1" applyAlignment="1">
      <alignment horizontal="justify" wrapText="1"/>
    </xf>
    <xf numFmtId="0" fontId="16" fillId="2" borderId="6" xfId="0" applyFont="1" applyFill="1" applyBorder="1" applyAlignment="1">
      <alignment horizontal="justify" wrapText="1"/>
    </xf>
    <xf numFmtId="0" fontId="16" fillId="2" borderId="5" xfId="0" applyFont="1" applyFill="1" applyBorder="1" applyAlignment="1">
      <alignment horizontal="justify" wrapText="1"/>
    </xf>
    <xf numFmtId="0" fontId="2" fillId="0" borderId="12" xfId="0" applyFont="1" applyFill="1" applyBorder="1" applyAlignment="1">
      <alignment horizontal="justify" vertical="center" wrapText="1"/>
    </xf>
    <xf numFmtId="0" fontId="23" fillId="0" borderId="13" xfId="0" applyFont="1" applyBorder="1" applyAlignment="1">
      <alignment horizontal="justify" vertical="center" wrapText="1"/>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3" fillId="2" borderId="6" xfId="0" applyFont="1" applyFill="1" applyBorder="1" applyAlignment="1">
      <alignment horizontal="justify" vertical="center" wrapText="1"/>
    </xf>
    <xf numFmtId="0" fontId="13" fillId="2" borderId="5" xfId="0" applyFont="1" applyFill="1" applyBorder="1" applyAlignment="1">
      <alignment horizontal="justify" vertical="center" wrapText="1"/>
    </xf>
    <xf numFmtId="0" fontId="11" fillId="2" borderId="6" xfId="0" applyFont="1" applyFill="1" applyBorder="1" applyAlignment="1">
      <alignment horizontal="justify" vertical="center" wrapText="1"/>
    </xf>
    <xf numFmtId="0" fontId="11" fillId="2" borderId="5" xfId="0" applyFont="1" applyFill="1" applyBorder="1" applyAlignment="1">
      <alignment horizontal="justify" vertical="center" wrapText="1"/>
    </xf>
    <xf numFmtId="4" fontId="17" fillId="0" borderId="0" xfId="0" applyNumberFormat="1" applyFont="1" applyAlignment="1">
      <alignment horizontal="center"/>
    </xf>
    <xf numFmtId="0" fontId="17" fillId="0" borderId="0" xfId="0" applyFont="1" applyAlignment="1">
      <alignment horizontal="center"/>
    </xf>
    <xf numFmtId="0" fontId="11" fillId="0" borderId="3" xfId="0" applyFont="1" applyFill="1" applyBorder="1" applyAlignment="1">
      <alignment horizontal="center" vertical="center"/>
    </xf>
    <xf numFmtId="0" fontId="3" fillId="0" borderId="3" xfId="0" applyFont="1" applyFill="1" applyBorder="1" applyAlignment="1">
      <alignment horizontal="center" vertical="center"/>
    </xf>
    <xf numFmtId="4" fontId="17" fillId="0" borderId="0" xfId="0" applyNumberFormat="1" applyFont="1" applyAlignment="1">
      <alignment horizontal="right"/>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7" xfId="0" applyFont="1" applyFill="1" applyBorder="1" applyAlignment="1">
      <alignment horizontal="center" vertical="center"/>
    </xf>
    <xf numFmtId="4" fontId="17" fillId="0" borderId="0" xfId="0" applyNumberFormat="1" applyFont="1" applyAlignment="1"/>
    <xf numFmtId="0" fontId="11" fillId="0" borderId="3" xfId="0" applyFont="1" applyBorder="1" applyAlignment="1">
      <alignment horizontal="center" wrapText="1"/>
    </xf>
    <xf numFmtId="0" fontId="4" fillId="0" borderId="0" xfId="0" applyFont="1" applyAlignment="1">
      <alignment horizontal="center"/>
    </xf>
    <xf numFmtId="0" fontId="4" fillId="0" borderId="0" xfId="0" applyFont="1" applyAlignment="1"/>
    <xf numFmtId="0" fontId="11" fillId="0" borderId="3"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009900"/>
      <color rgb="FF33CC33"/>
      <color rgb="FF008000"/>
      <color rgb="FFFFFF66"/>
      <color rgb="FFFFCC66"/>
      <color rgb="FFFFCC99"/>
      <color rgb="FFFF9966"/>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6"/>
  <sheetViews>
    <sheetView tabSelected="1" view="pageLayout" zoomScale="85" zoomScaleNormal="70" zoomScalePageLayoutView="85" workbookViewId="0">
      <selection activeCell="L1" sqref="L1:O1"/>
    </sheetView>
  </sheetViews>
  <sheetFormatPr defaultRowHeight="12.75" x14ac:dyDescent="0.2"/>
  <cols>
    <col min="1" max="1" width="1.28515625" style="1" customWidth="1"/>
    <col min="2" max="2" width="7" style="1" customWidth="1"/>
    <col min="3" max="3" width="9.140625" style="1"/>
    <col min="4" max="4" width="21.42578125" style="1" customWidth="1"/>
    <col min="5" max="5" width="12.42578125" style="1" customWidth="1"/>
    <col min="6" max="6" width="13.28515625" style="1" customWidth="1"/>
    <col min="7" max="7" width="15.5703125" style="1" customWidth="1"/>
    <col min="8" max="8" width="17" style="1" customWidth="1"/>
    <col min="9" max="9" width="15.42578125" style="1" customWidth="1"/>
    <col min="10" max="10" width="15.5703125" style="1" customWidth="1"/>
    <col min="11" max="11" width="12.42578125" style="1" customWidth="1"/>
    <col min="12" max="12" width="36.42578125" style="1" customWidth="1"/>
    <col min="13" max="13" width="18.42578125" style="1" customWidth="1"/>
    <col min="14" max="14" width="12.7109375" style="1" customWidth="1"/>
    <col min="15" max="15" width="29" style="1" customWidth="1"/>
    <col min="16" max="16" width="11.7109375" style="1" bestFit="1" customWidth="1"/>
    <col min="17" max="17" width="14.28515625" style="1" customWidth="1"/>
    <col min="18" max="18" width="15.7109375" style="1" customWidth="1"/>
    <col min="19" max="256" width="9.140625" style="1"/>
    <col min="257" max="257" width="1.28515625" style="1" customWidth="1"/>
    <col min="258" max="258" width="6.140625" style="1" customWidth="1"/>
    <col min="259" max="259" width="9.140625" style="1"/>
    <col min="260" max="260" width="19.85546875" style="1" customWidth="1"/>
    <col min="261" max="261" width="10.42578125" style="1" customWidth="1"/>
    <col min="262" max="262" width="11.42578125" style="1" customWidth="1"/>
    <col min="263" max="263" width="15.5703125" style="1" customWidth="1"/>
    <col min="264" max="264" width="17" style="1" customWidth="1"/>
    <col min="265" max="265" width="15.42578125" style="1" customWidth="1"/>
    <col min="266" max="266" width="15.5703125" style="1" customWidth="1"/>
    <col min="267" max="267" width="12.42578125" style="1" customWidth="1"/>
    <col min="268" max="268" width="25.28515625" style="1" customWidth="1"/>
    <col min="269" max="269" width="22.42578125" style="1" customWidth="1"/>
    <col min="270" max="270" width="12.7109375" style="1" customWidth="1"/>
    <col min="271" max="271" width="26.7109375" style="1" customWidth="1"/>
    <col min="272" max="512" width="9.140625" style="1"/>
    <col min="513" max="513" width="1.28515625" style="1" customWidth="1"/>
    <col min="514" max="514" width="6.140625" style="1" customWidth="1"/>
    <col min="515" max="515" width="9.140625" style="1"/>
    <col min="516" max="516" width="19.85546875" style="1" customWidth="1"/>
    <col min="517" max="517" width="10.42578125" style="1" customWidth="1"/>
    <col min="518" max="518" width="11.42578125" style="1" customWidth="1"/>
    <col min="519" max="519" width="15.5703125" style="1" customWidth="1"/>
    <col min="520" max="520" width="17" style="1" customWidth="1"/>
    <col min="521" max="521" width="15.42578125" style="1" customWidth="1"/>
    <col min="522" max="522" width="15.5703125" style="1" customWidth="1"/>
    <col min="523" max="523" width="12.42578125" style="1" customWidth="1"/>
    <col min="524" max="524" width="25.28515625" style="1" customWidth="1"/>
    <col min="525" max="525" width="22.42578125" style="1" customWidth="1"/>
    <col min="526" max="526" width="12.7109375" style="1" customWidth="1"/>
    <col min="527" max="527" width="26.7109375" style="1" customWidth="1"/>
    <col min="528" max="768" width="9.140625" style="1"/>
    <col min="769" max="769" width="1.28515625" style="1" customWidth="1"/>
    <col min="770" max="770" width="6.140625" style="1" customWidth="1"/>
    <col min="771" max="771" width="9.140625" style="1"/>
    <col min="772" max="772" width="19.85546875" style="1" customWidth="1"/>
    <col min="773" max="773" width="10.42578125" style="1" customWidth="1"/>
    <col min="774" max="774" width="11.42578125" style="1" customWidth="1"/>
    <col min="775" max="775" width="15.5703125" style="1" customWidth="1"/>
    <col min="776" max="776" width="17" style="1" customWidth="1"/>
    <col min="777" max="777" width="15.42578125" style="1" customWidth="1"/>
    <col min="778" max="778" width="15.5703125" style="1" customWidth="1"/>
    <col min="779" max="779" width="12.42578125" style="1" customWidth="1"/>
    <col min="780" max="780" width="25.28515625" style="1" customWidth="1"/>
    <col min="781" max="781" width="22.42578125" style="1" customWidth="1"/>
    <col min="782" max="782" width="12.7109375" style="1" customWidth="1"/>
    <col min="783" max="783" width="26.7109375" style="1" customWidth="1"/>
    <col min="784" max="1024" width="9.140625" style="1"/>
    <col min="1025" max="1025" width="1.28515625" style="1" customWidth="1"/>
    <col min="1026" max="1026" width="6.140625" style="1" customWidth="1"/>
    <col min="1027" max="1027" width="9.140625" style="1"/>
    <col min="1028" max="1028" width="19.85546875" style="1" customWidth="1"/>
    <col min="1029" max="1029" width="10.42578125" style="1" customWidth="1"/>
    <col min="1030" max="1030" width="11.42578125" style="1" customWidth="1"/>
    <col min="1031" max="1031" width="15.5703125" style="1" customWidth="1"/>
    <col min="1032" max="1032" width="17" style="1" customWidth="1"/>
    <col min="1033" max="1033" width="15.42578125" style="1" customWidth="1"/>
    <col min="1034" max="1034" width="15.5703125" style="1" customWidth="1"/>
    <col min="1035" max="1035" width="12.42578125" style="1" customWidth="1"/>
    <col min="1036" max="1036" width="25.28515625" style="1" customWidth="1"/>
    <col min="1037" max="1037" width="22.42578125" style="1" customWidth="1"/>
    <col min="1038" max="1038" width="12.7109375" style="1" customWidth="1"/>
    <col min="1039" max="1039" width="26.7109375" style="1" customWidth="1"/>
    <col min="1040" max="1280" width="9.140625" style="1"/>
    <col min="1281" max="1281" width="1.28515625" style="1" customWidth="1"/>
    <col min="1282" max="1282" width="6.140625" style="1" customWidth="1"/>
    <col min="1283" max="1283" width="9.140625" style="1"/>
    <col min="1284" max="1284" width="19.85546875" style="1" customWidth="1"/>
    <col min="1285" max="1285" width="10.42578125" style="1" customWidth="1"/>
    <col min="1286" max="1286" width="11.42578125" style="1" customWidth="1"/>
    <col min="1287" max="1287" width="15.5703125" style="1" customWidth="1"/>
    <col min="1288" max="1288" width="17" style="1" customWidth="1"/>
    <col min="1289" max="1289" width="15.42578125" style="1" customWidth="1"/>
    <col min="1290" max="1290" width="15.5703125" style="1" customWidth="1"/>
    <col min="1291" max="1291" width="12.42578125" style="1" customWidth="1"/>
    <col min="1292" max="1292" width="25.28515625" style="1" customWidth="1"/>
    <col min="1293" max="1293" width="22.42578125" style="1" customWidth="1"/>
    <col min="1294" max="1294" width="12.7109375" style="1" customWidth="1"/>
    <col min="1295" max="1295" width="26.7109375" style="1" customWidth="1"/>
    <col min="1296" max="1536" width="9.140625" style="1"/>
    <col min="1537" max="1537" width="1.28515625" style="1" customWidth="1"/>
    <col min="1538" max="1538" width="6.140625" style="1" customWidth="1"/>
    <col min="1539" max="1539" width="9.140625" style="1"/>
    <col min="1540" max="1540" width="19.85546875" style="1" customWidth="1"/>
    <col min="1541" max="1541" width="10.42578125" style="1" customWidth="1"/>
    <col min="1542" max="1542" width="11.42578125" style="1" customWidth="1"/>
    <col min="1543" max="1543" width="15.5703125" style="1" customWidth="1"/>
    <col min="1544" max="1544" width="17" style="1" customWidth="1"/>
    <col min="1545" max="1545" width="15.42578125" style="1" customWidth="1"/>
    <col min="1546" max="1546" width="15.5703125" style="1" customWidth="1"/>
    <col min="1547" max="1547" width="12.42578125" style="1" customWidth="1"/>
    <col min="1548" max="1548" width="25.28515625" style="1" customWidth="1"/>
    <col min="1549" max="1549" width="22.42578125" style="1" customWidth="1"/>
    <col min="1550" max="1550" width="12.7109375" style="1" customWidth="1"/>
    <col min="1551" max="1551" width="26.7109375" style="1" customWidth="1"/>
    <col min="1552" max="1792" width="9.140625" style="1"/>
    <col min="1793" max="1793" width="1.28515625" style="1" customWidth="1"/>
    <col min="1794" max="1794" width="6.140625" style="1" customWidth="1"/>
    <col min="1795" max="1795" width="9.140625" style="1"/>
    <col min="1796" max="1796" width="19.85546875" style="1" customWidth="1"/>
    <col min="1797" max="1797" width="10.42578125" style="1" customWidth="1"/>
    <col min="1798" max="1798" width="11.42578125" style="1" customWidth="1"/>
    <col min="1799" max="1799" width="15.5703125" style="1" customWidth="1"/>
    <col min="1800" max="1800" width="17" style="1" customWidth="1"/>
    <col min="1801" max="1801" width="15.42578125" style="1" customWidth="1"/>
    <col min="1802" max="1802" width="15.5703125" style="1" customWidth="1"/>
    <col min="1803" max="1803" width="12.42578125" style="1" customWidth="1"/>
    <col min="1804" max="1804" width="25.28515625" style="1" customWidth="1"/>
    <col min="1805" max="1805" width="22.42578125" style="1" customWidth="1"/>
    <col min="1806" max="1806" width="12.7109375" style="1" customWidth="1"/>
    <col min="1807" max="1807" width="26.7109375" style="1" customWidth="1"/>
    <col min="1808" max="2048" width="9.140625" style="1"/>
    <col min="2049" max="2049" width="1.28515625" style="1" customWidth="1"/>
    <col min="2050" max="2050" width="6.140625" style="1" customWidth="1"/>
    <col min="2051" max="2051" width="9.140625" style="1"/>
    <col min="2052" max="2052" width="19.85546875" style="1" customWidth="1"/>
    <col min="2053" max="2053" width="10.42578125" style="1" customWidth="1"/>
    <col min="2054" max="2054" width="11.42578125" style="1" customWidth="1"/>
    <col min="2055" max="2055" width="15.5703125" style="1" customWidth="1"/>
    <col min="2056" max="2056" width="17" style="1" customWidth="1"/>
    <col min="2057" max="2057" width="15.42578125" style="1" customWidth="1"/>
    <col min="2058" max="2058" width="15.5703125" style="1" customWidth="1"/>
    <col min="2059" max="2059" width="12.42578125" style="1" customWidth="1"/>
    <col min="2060" max="2060" width="25.28515625" style="1" customWidth="1"/>
    <col min="2061" max="2061" width="22.42578125" style="1" customWidth="1"/>
    <col min="2062" max="2062" width="12.7109375" style="1" customWidth="1"/>
    <col min="2063" max="2063" width="26.7109375" style="1" customWidth="1"/>
    <col min="2064" max="2304" width="9.140625" style="1"/>
    <col min="2305" max="2305" width="1.28515625" style="1" customWidth="1"/>
    <col min="2306" max="2306" width="6.140625" style="1" customWidth="1"/>
    <col min="2307" max="2307" width="9.140625" style="1"/>
    <col min="2308" max="2308" width="19.85546875" style="1" customWidth="1"/>
    <col min="2309" max="2309" width="10.42578125" style="1" customWidth="1"/>
    <col min="2310" max="2310" width="11.42578125" style="1" customWidth="1"/>
    <col min="2311" max="2311" width="15.5703125" style="1" customWidth="1"/>
    <col min="2312" max="2312" width="17" style="1" customWidth="1"/>
    <col min="2313" max="2313" width="15.42578125" style="1" customWidth="1"/>
    <col min="2314" max="2314" width="15.5703125" style="1" customWidth="1"/>
    <col min="2315" max="2315" width="12.42578125" style="1" customWidth="1"/>
    <col min="2316" max="2316" width="25.28515625" style="1" customWidth="1"/>
    <col min="2317" max="2317" width="22.42578125" style="1" customWidth="1"/>
    <col min="2318" max="2318" width="12.7109375" style="1" customWidth="1"/>
    <col min="2319" max="2319" width="26.7109375" style="1" customWidth="1"/>
    <col min="2320" max="2560" width="9.140625" style="1"/>
    <col min="2561" max="2561" width="1.28515625" style="1" customWidth="1"/>
    <col min="2562" max="2562" width="6.140625" style="1" customWidth="1"/>
    <col min="2563" max="2563" width="9.140625" style="1"/>
    <col min="2564" max="2564" width="19.85546875" style="1" customWidth="1"/>
    <col min="2565" max="2565" width="10.42578125" style="1" customWidth="1"/>
    <col min="2566" max="2566" width="11.42578125" style="1" customWidth="1"/>
    <col min="2567" max="2567" width="15.5703125" style="1" customWidth="1"/>
    <col min="2568" max="2568" width="17" style="1" customWidth="1"/>
    <col min="2569" max="2569" width="15.42578125" style="1" customWidth="1"/>
    <col min="2570" max="2570" width="15.5703125" style="1" customWidth="1"/>
    <col min="2571" max="2571" width="12.42578125" style="1" customWidth="1"/>
    <col min="2572" max="2572" width="25.28515625" style="1" customWidth="1"/>
    <col min="2573" max="2573" width="22.42578125" style="1" customWidth="1"/>
    <col min="2574" max="2574" width="12.7109375" style="1" customWidth="1"/>
    <col min="2575" max="2575" width="26.7109375" style="1" customWidth="1"/>
    <col min="2576" max="2816" width="9.140625" style="1"/>
    <col min="2817" max="2817" width="1.28515625" style="1" customWidth="1"/>
    <col min="2818" max="2818" width="6.140625" style="1" customWidth="1"/>
    <col min="2819" max="2819" width="9.140625" style="1"/>
    <col min="2820" max="2820" width="19.85546875" style="1" customWidth="1"/>
    <col min="2821" max="2821" width="10.42578125" style="1" customWidth="1"/>
    <col min="2822" max="2822" width="11.42578125" style="1" customWidth="1"/>
    <col min="2823" max="2823" width="15.5703125" style="1" customWidth="1"/>
    <col min="2824" max="2824" width="17" style="1" customWidth="1"/>
    <col min="2825" max="2825" width="15.42578125" style="1" customWidth="1"/>
    <col min="2826" max="2826" width="15.5703125" style="1" customWidth="1"/>
    <col min="2827" max="2827" width="12.42578125" style="1" customWidth="1"/>
    <col min="2828" max="2828" width="25.28515625" style="1" customWidth="1"/>
    <col min="2829" max="2829" width="22.42578125" style="1" customWidth="1"/>
    <col min="2830" max="2830" width="12.7109375" style="1" customWidth="1"/>
    <col min="2831" max="2831" width="26.7109375" style="1" customWidth="1"/>
    <col min="2832" max="3072" width="9.140625" style="1"/>
    <col min="3073" max="3073" width="1.28515625" style="1" customWidth="1"/>
    <col min="3074" max="3074" width="6.140625" style="1" customWidth="1"/>
    <col min="3075" max="3075" width="9.140625" style="1"/>
    <col min="3076" max="3076" width="19.85546875" style="1" customWidth="1"/>
    <col min="3077" max="3077" width="10.42578125" style="1" customWidth="1"/>
    <col min="3078" max="3078" width="11.42578125" style="1" customWidth="1"/>
    <col min="3079" max="3079" width="15.5703125" style="1" customWidth="1"/>
    <col min="3080" max="3080" width="17" style="1" customWidth="1"/>
    <col min="3081" max="3081" width="15.42578125" style="1" customWidth="1"/>
    <col min="3082" max="3082" width="15.5703125" style="1" customWidth="1"/>
    <col min="3083" max="3083" width="12.42578125" style="1" customWidth="1"/>
    <col min="3084" max="3084" width="25.28515625" style="1" customWidth="1"/>
    <col min="3085" max="3085" width="22.42578125" style="1" customWidth="1"/>
    <col min="3086" max="3086" width="12.7109375" style="1" customWidth="1"/>
    <col min="3087" max="3087" width="26.7109375" style="1" customWidth="1"/>
    <col min="3088" max="3328" width="9.140625" style="1"/>
    <col min="3329" max="3329" width="1.28515625" style="1" customWidth="1"/>
    <col min="3330" max="3330" width="6.140625" style="1" customWidth="1"/>
    <col min="3331" max="3331" width="9.140625" style="1"/>
    <col min="3332" max="3332" width="19.85546875" style="1" customWidth="1"/>
    <col min="3333" max="3333" width="10.42578125" style="1" customWidth="1"/>
    <col min="3334" max="3334" width="11.42578125" style="1" customWidth="1"/>
    <col min="3335" max="3335" width="15.5703125" style="1" customWidth="1"/>
    <col min="3336" max="3336" width="17" style="1" customWidth="1"/>
    <col min="3337" max="3337" width="15.42578125" style="1" customWidth="1"/>
    <col min="3338" max="3338" width="15.5703125" style="1" customWidth="1"/>
    <col min="3339" max="3339" width="12.42578125" style="1" customWidth="1"/>
    <col min="3340" max="3340" width="25.28515625" style="1" customWidth="1"/>
    <col min="3341" max="3341" width="22.42578125" style="1" customWidth="1"/>
    <col min="3342" max="3342" width="12.7109375" style="1" customWidth="1"/>
    <col min="3343" max="3343" width="26.7109375" style="1" customWidth="1"/>
    <col min="3344" max="3584" width="9.140625" style="1"/>
    <col min="3585" max="3585" width="1.28515625" style="1" customWidth="1"/>
    <col min="3586" max="3586" width="6.140625" style="1" customWidth="1"/>
    <col min="3587" max="3587" width="9.140625" style="1"/>
    <col min="3588" max="3588" width="19.85546875" style="1" customWidth="1"/>
    <col min="3589" max="3589" width="10.42578125" style="1" customWidth="1"/>
    <col min="3590" max="3590" width="11.42578125" style="1" customWidth="1"/>
    <col min="3591" max="3591" width="15.5703125" style="1" customWidth="1"/>
    <col min="3592" max="3592" width="17" style="1" customWidth="1"/>
    <col min="3593" max="3593" width="15.42578125" style="1" customWidth="1"/>
    <col min="3594" max="3594" width="15.5703125" style="1" customWidth="1"/>
    <col min="3595" max="3595" width="12.42578125" style="1" customWidth="1"/>
    <col min="3596" max="3596" width="25.28515625" style="1" customWidth="1"/>
    <col min="3597" max="3597" width="22.42578125" style="1" customWidth="1"/>
    <col min="3598" max="3598" width="12.7109375" style="1" customWidth="1"/>
    <col min="3599" max="3599" width="26.7109375" style="1" customWidth="1"/>
    <col min="3600" max="3840" width="9.140625" style="1"/>
    <col min="3841" max="3841" width="1.28515625" style="1" customWidth="1"/>
    <col min="3842" max="3842" width="6.140625" style="1" customWidth="1"/>
    <col min="3843" max="3843" width="9.140625" style="1"/>
    <col min="3844" max="3844" width="19.85546875" style="1" customWidth="1"/>
    <col min="3845" max="3845" width="10.42578125" style="1" customWidth="1"/>
    <col min="3846" max="3846" width="11.42578125" style="1" customWidth="1"/>
    <col min="3847" max="3847" width="15.5703125" style="1" customWidth="1"/>
    <col min="3848" max="3848" width="17" style="1" customWidth="1"/>
    <col min="3849" max="3849" width="15.42578125" style="1" customWidth="1"/>
    <col min="3850" max="3850" width="15.5703125" style="1" customWidth="1"/>
    <col min="3851" max="3851" width="12.42578125" style="1" customWidth="1"/>
    <col min="3852" max="3852" width="25.28515625" style="1" customWidth="1"/>
    <col min="3853" max="3853" width="22.42578125" style="1" customWidth="1"/>
    <col min="3854" max="3854" width="12.7109375" style="1" customWidth="1"/>
    <col min="3855" max="3855" width="26.7109375" style="1" customWidth="1"/>
    <col min="3856" max="4096" width="9.140625" style="1"/>
    <col min="4097" max="4097" width="1.28515625" style="1" customWidth="1"/>
    <col min="4098" max="4098" width="6.140625" style="1" customWidth="1"/>
    <col min="4099" max="4099" width="9.140625" style="1"/>
    <col min="4100" max="4100" width="19.85546875" style="1" customWidth="1"/>
    <col min="4101" max="4101" width="10.42578125" style="1" customWidth="1"/>
    <col min="4102" max="4102" width="11.42578125" style="1" customWidth="1"/>
    <col min="4103" max="4103" width="15.5703125" style="1" customWidth="1"/>
    <col min="4104" max="4104" width="17" style="1" customWidth="1"/>
    <col min="4105" max="4105" width="15.42578125" style="1" customWidth="1"/>
    <col min="4106" max="4106" width="15.5703125" style="1" customWidth="1"/>
    <col min="4107" max="4107" width="12.42578125" style="1" customWidth="1"/>
    <col min="4108" max="4108" width="25.28515625" style="1" customWidth="1"/>
    <col min="4109" max="4109" width="22.42578125" style="1" customWidth="1"/>
    <col min="4110" max="4110" width="12.7109375" style="1" customWidth="1"/>
    <col min="4111" max="4111" width="26.7109375" style="1" customWidth="1"/>
    <col min="4112" max="4352" width="9.140625" style="1"/>
    <col min="4353" max="4353" width="1.28515625" style="1" customWidth="1"/>
    <col min="4354" max="4354" width="6.140625" style="1" customWidth="1"/>
    <col min="4355" max="4355" width="9.140625" style="1"/>
    <col min="4356" max="4356" width="19.85546875" style="1" customWidth="1"/>
    <col min="4357" max="4357" width="10.42578125" style="1" customWidth="1"/>
    <col min="4358" max="4358" width="11.42578125" style="1" customWidth="1"/>
    <col min="4359" max="4359" width="15.5703125" style="1" customWidth="1"/>
    <col min="4360" max="4360" width="17" style="1" customWidth="1"/>
    <col min="4361" max="4361" width="15.42578125" style="1" customWidth="1"/>
    <col min="4362" max="4362" width="15.5703125" style="1" customWidth="1"/>
    <col min="4363" max="4363" width="12.42578125" style="1" customWidth="1"/>
    <col min="4364" max="4364" width="25.28515625" style="1" customWidth="1"/>
    <col min="4365" max="4365" width="22.42578125" style="1" customWidth="1"/>
    <col min="4366" max="4366" width="12.7109375" style="1" customWidth="1"/>
    <col min="4367" max="4367" width="26.7109375" style="1" customWidth="1"/>
    <col min="4368" max="4608" width="9.140625" style="1"/>
    <col min="4609" max="4609" width="1.28515625" style="1" customWidth="1"/>
    <col min="4610" max="4610" width="6.140625" style="1" customWidth="1"/>
    <col min="4611" max="4611" width="9.140625" style="1"/>
    <col min="4612" max="4612" width="19.85546875" style="1" customWidth="1"/>
    <col min="4613" max="4613" width="10.42578125" style="1" customWidth="1"/>
    <col min="4614" max="4614" width="11.42578125" style="1" customWidth="1"/>
    <col min="4615" max="4615" width="15.5703125" style="1" customWidth="1"/>
    <col min="4616" max="4616" width="17" style="1" customWidth="1"/>
    <col min="4617" max="4617" width="15.42578125" style="1" customWidth="1"/>
    <col min="4618" max="4618" width="15.5703125" style="1" customWidth="1"/>
    <col min="4619" max="4619" width="12.42578125" style="1" customWidth="1"/>
    <col min="4620" max="4620" width="25.28515625" style="1" customWidth="1"/>
    <col min="4621" max="4621" width="22.42578125" style="1" customWidth="1"/>
    <col min="4622" max="4622" width="12.7109375" style="1" customWidth="1"/>
    <col min="4623" max="4623" width="26.7109375" style="1" customWidth="1"/>
    <col min="4624" max="4864" width="9.140625" style="1"/>
    <col min="4865" max="4865" width="1.28515625" style="1" customWidth="1"/>
    <col min="4866" max="4866" width="6.140625" style="1" customWidth="1"/>
    <col min="4867" max="4867" width="9.140625" style="1"/>
    <col min="4868" max="4868" width="19.85546875" style="1" customWidth="1"/>
    <col min="4869" max="4869" width="10.42578125" style="1" customWidth="1"/>
    <col min="4870" max="4870" width="11.42578125" style="1" customWidth="1"/>
    <col min="4871" max="4871" width="15.5703125" style="1" customWidth="1"/>
    <col min="4872" max="4872" width="17" style="1" customWidth="1"/>
    <col min="4873" max="4873" width="15.42578125" style="1" customWidth="1"/>
    <col min="4874" max="4874" width="15.5703125" style="1" customWidth="1"/>
    <col min="4875" max="4875" width="12.42578125" style="1" customWidth="1"/>
    <col min="4876" max="4876" width="25.28515625" style="1" customWidth="1"/>
    <col min="4877" max="4877" width="22.42578125" style="1" customWidth="1"/>
    <col min="4878" max="4878" width="12.7109375" style="1" customWidth="1"/>
    <col min="4879" max="4879" width="26.7109375" style="1" customWidth="1"/>
    <col min="4880" max="5120" width="9.140625" style="1"/>
    <col min="5121" max="5121" width="1.28515625" style="1" customWidth="1"/>
    <col min="5122" max="5122" width="6.140625" style="1" customWidth="1"/>
    <col min="5123" max="5123" width="9.140625" style="1"/>
    <col min="5124" max="5124" width="19.85546875" style="1" customWidth="1"/>
    <col min="5125" max="5125" width="10.42578125" style="1" customWidth="1"/>
    <col min="5126" max="5126" width="11.42578125" style="1" customWidth="1"/>
    <col min="5127" max="5127" width="15.5703125" style="1" customWidth="1"/>
    <col min="5128" max="5128" width="17" style="1" customWidth="1"/>
    <col min="5129" max="5129" width="15.42578125" style="1" customWidth="1"/>
    <col min="5130" max="5130" width="15.5703125" style="1" customWidth="1"/>
    <col min="5131" max="5131" width="12.42578125" style="1" customWidth="1"/>
    <col min="5132" max="5132" width="25.28515625" style="1" customWidth="1"/>
    <col min="5133" max="5133" width="22.42578125" style="1" customWidth="1"/>
    <col min="5134" max="5134" width="12.7109375" style="1" customWidth="1"/>
    <col min="5135" max="5135" width="26.7109375" style="1" customWidth="1"/>
    <col min="5136" max="5376" width="9.140625" style="1"/>
    <col min="5377" max="5377" width="1.28515625" style="1" customWidth="1"/>
    <col min="5378" max="5378" width="6.140625" style="1" customWidth="1"/>
    <col min="5379" max="5379" width="9.140625" style="1"/>
    <col min="5380" max="5380" width="19.85546875" style="1" customWidth="1"/>
    <col min="5381" max="5381" width="10.42578125" style="1" customWidth="1"/>
    <col min="5382" max="5382" width="11.42578125" style="1" customWidth="1"/>
    <col min="5383" max="5383" width="15.5703125" style="1" customWidth="1"/>
    <col min="5384" max="5384" width="17" style="1" customWidth="1"/>
    <col min="5385" max="5385" width="15.42578125" style="1" customWidth="1"/>
    <col min="5386" max="5386" width="15.5703125" style="1" customWidth="1"/>
    <col min="5387" max="5387" width="12.42578125" style="1" customWidth="1"/>
    <col min="5388" max="5388" width="25.28515625" style="1" customWidth="1"/>
    <col min="5389" max="5389" width="22.42578125" style="1" customWidth="1"/>
    <col min="5390" max="5390" width="12.7109375" style="1" customWidth="1"/>
    <col min="5391" max="5391" width="26.7109375" style="1" customWidth="1"/>
    <col min="5392" max="5632" width="9.140625" style="1"/>
    <col min="5633" max="5633" width="1.28515625" style="1" customWidth="1"/>
    <col min="5634" max="5634" width="6.140625" style="1" customWidth="1"/>
    <col min="5635" max="5635" width="9.140625" style="1"/>
    <col min="5636" max="5636" width="19.85546875" style="1" customWidth="1"/>
    <col min="5637" max="5637" width="10.42578125" style="1" customWidth="1"/>
    <col min="5638" max="5638" width="11.42578125" style="1" customWidth="1"/>
    <col min="5639" max="5639" width="15.5703125" style="1" customWidth="1"/>
    <col min="5640" max="5640" width="17" style="1" customWidth="1"/>
    <col min="5641" max="5641" width="15.42578125" style="1" customWidth="1"/>
    <col min="5642" max="5642" width="15.5703125" style="1" customWidth="1"/>
    <col min="5643" max="5643" width="12.42578125" style="1" customWidth="1"/>
    <col min="5644" max="5644" width="25.28515625" style="1" customWidth="1"/>
    <col min="5645" max="5645" width="22.42578125" style="1" customWidth="1"/>
    <col min="5646" max="5646" width="12.7109375" style="1" customWidth="1"/>
    <col min="5647" max="5647" width="26.7109375" style="1" customWidth="1"/>
    <col min="5648" max="5888" width="9.140625" style="1"/>
    <col min="5889" max="5889" width="1.28515625" style="1" customWidth="1"/>
    <col min="5890" max="5890" width="6.140625" style="1" customWidth="1"/>
    <col min="5891" max="5891" width="9.140625" style="1"/>
    <col min="5892" max="5892" width="19.85546875" style="1" customWidth="1"/>
    <col min="5893" max="5893" width="10.42578125" style="1" customWidth="1"/>
    <col min="5894" max="5894" width="11.42578125" style="1" customWidth="1"/>
    <col min="5895" max="5895" width="15.5703125" style="1" customWidth="1"/>
    <col min="5896" max="5896" width="17" style="1" customWidth="1"/>
    <col min="5897" max="5897" width="15.42578125" style="1" customWidth="1"/>
    <col min="5898" max="5898" width="15.5703125" style="1" customWidth="1"/>
    <col min="5899" max="5899" width="12.42578125" style="1" customWidth="1"/>
    <col min="5900" max="5900" width="25.28515625" style="1" customWidth="1"/>
    <col min="5901" max="5901" width="22.42578125" style="1" customWidth="1"/>
    <col min="5902" max="5902" width="12.7109375" style="1" customWidth="1"/>
    <col min="5903" max="5903" width="26.7109375" style="1" customWidth="1"/>
    <col min="5904" max="6144" width="9.140625" style="1"/>
    <col min="6145" max="6145" width="1.28515625" style="1" customWidth="1"/>
    <col min="6146" max="6146" width="6.140625" style="1" customWidth="1"/>
    <col min="6147" max="6147" width="9.140625" style="1"/>
    <col min="6148" max="6148" width="19.85546875" style="1" customWidth="1"/>
    <col min="6149" max="6149" width="10.42578125" style="1" customWidth="1"/>
    <col min="6150" max="6150" width="11.42578125" style="1" customWidth="1"/>
    <col min="6151" max="6151" width="15.5703125" style="1" customWidth="1"/>
    <col min="6152" max="6152" width="17" style="1" customWidth="1"/>
    <col min="6153" max="6153" width="15.42578125" style="1" customWidth="1"/>
    <col min="6154" max="6154" width="15.5703125" style="1" customWidth="1"/>
    <col min="6155" max="6155" width="12.42578125" style="1" customWidth="1"/>
    <col min="6156" max="6156" width="25.28515625" style="1" customWidth="1"/>
    <col min="6157" max="6157" width="22.42578125" style="1" customWidth="1"/>
    <col min="6158" max="6158" width="12.7109375" style="1" customWidth="1"/>
    <col min="6159" max="6159" width="26.7109375" style="1" customWidth="1"/>
    <col min="6160" max="6400" width="9.140625" style="1"/>
    <col min="6401" max="6401" width="1.28515625" style="1" customWidth="1"/>
    <col min="6402" max="6402" width="6.140625" style="1" customWidth="1"/>
    <col min="6403" max="6403" width="9.140625" style="1"/>
    <col min="6404" max="6404" width="19.85546875" style="1" customWidth="1"/>
    <col min="6405" max="6405" width="10.42578125" style="1" customWidth="1"/>
    <col min="6406" max="6406" width="11.42578125" style="1" customWidth="1"/>
    <col min="6407" max="6407" width="15.5703125" style="1" customWidth="1"/>
    <col min="6408" max="6408" width="17" style="1" customWidth="1"/>
    <col min="6409" max="6409" width="15.42578125" style="1" customWidth="1"/>
    <col min="6410" max="6410" width="15.5703125" style="1" customWidth="1"/>
    <col min="6411" max="6411" width="12.42578125" style="1" customWidth="1"/>
    <col min="6412" max="6412" width="25.28515625" style="1" customWidth="1"/>
    <col min="6413" max="6413" width="22.42578125" style="1" customWidth="1"/>
    <col min="6414" max="6414" width="12.7109375" style="1" customWidth="1"/>
    <col min="6415" max="6415" width="26.7109375" style="1" customWidth="1"/>
    <col min="6416" max="6656" width="9.140625" style="1"/>
    <col min="6657" max="6657" width="1.28515625" style="1" customWidth="1"/>
    <col min="6658" max="6658" width="6.140625" style="1" customWidth="1"/>
    <col min="6659" max="6659" width="9.140625" style="1"/>
    <col min="6660" max="6660" width="19.85546875" style="1" customWidth="1"/>
    <col min="6661" max="6661" width="10.42578125" style="1" customWidth="1"/>
    <col min="6662" max="6662" width="11.42578125" style="1" customWidth="1"/>
    <col min="6663" max="6663" width="15.5703125" style="1" customWidth="1"/>
    <col min="6664" max="6664" width="17" style="1" customWidth="1"/>
    <col min="6665" max="6665" width="15.42578125" style="1" customWidth="1"/>
    <col min="6666" max="6666" width="15.5703125" style="1" customWidth="1"/>
    <col min="6667" max="6667" width="12.42578125" style="1" customWidth="1"/>
    <col min="6668" max="6668" width="25.28515625" style="1" customWidth="1"/>
    <col min="6669" max="6669" width="22.42578125" style="1" customWidth="1"/>
    <col min="6670" max="6670" width="12.7109375" style="1" customWidth="1"/>
    <col min="6671" max="6671" width="26.7109375" style="1" customWidth="1"/>
    <col min="6672" max="6912" width="9.140625" style="1"/>
    <col min="6913" max="6913" width="1.28515625" style="1" customWidth="1"/>
    <col min="6914" max="6914" width="6.140625" style="1" customWidth="1"/>
    <col min="6915" max="6915" width="9.140625" style="1"/>
    <col min="6916" max="6916" width="19.85546875" style="1" customWidth="1"/>
    <col min="6917" max="6917" width="10.42578125" style="1" customWidth="1"/>
    <col min="6918" max="6918" width="11.42578125" style="1" customWidth="1"/>
    <col min="6919" max="6919" width="15.5703125" style="1" customWidth="1"/>
    <col min="6920" max="6920" width="17" style="1" customWidth="1"/>
    <col min="6921" max="6921" width="15.42578125" style="1" customWidth="1"/>
    <col min="6922" max="6922" width="15.5703125" style="1" customWidth="1"/>
    <col min="6923" max="6923" width="12.42578125" style="1" customWidth="1"/>
    <col min="6924" max="6924" width="25.28515625" style="1" customWidth="1"/>
    <col min="6925" max="6925" width="22.42578125" style="1" customWidth="1"/>
    <col min="6926" max="6926" width="12.7109375" style="1" customWidth="1"/>
    <col min="6927" max="6927" width="26.7109375" style="1" customWidth="1"/>
    <col min="6928" max="7168" width="9.140625" style="1"/>
    <col min="7169" max="7169" width="1.28515625" style="1" customWidth="1"/>
    <col min="7170" max="7170" width="6.140625" style="1" customWidth="1"/>
    <col min="7171" max="7171" width="9.140625" style="1"/>
    <col min="7172" max="7172" width="19.85546875" style="1" customWidth="1"/>
    <col min="7173" max="7173" width="10.42578125" style="1" customWidth="1"/>
    <col min="7174" max="7174" width="11.42578125" style="1" customWidth="1"/>
    <col min="7175" max="7175" width="15.5703125" style="1" customWidth="1"/>
    <col min="7176" max="7176" width="17" style="1" customWidth="1"/>
    <col min="7177" max="7177" width="15.42578125" style="1" customWidth="1"/>
    <col min="7178" max="7178" width="15.5703125" style="1" customWidth="1"/>
    <col min="7179" max="7179" width="12.42578125" style="1" customWidth="1"/>
    <col min="7180" max="7180" width="25.28515625" style="1" customWidth="1"/>
    <col min="7181" max="7181" width="22.42578125" style="1" customWidth="1"/>
    <col min="7182" max="7182" width="12.7109375" style="1" customWidth="1"/>
    <col min="7183" max="7183" width="26.7109375" style="1" customWidth="1"/>
    <col min="7184" max="7424" width="9.140625" style="1"/>
    <col min="7425" max="7425" width="1.28515625" style="1" customWidth="1"/>
    <col min="7426" max="7426" width="6.140625" style="1" customWidth="1"/>
    <col min="7427" max="7427" width="9.140625" style="1"/>
    <col min="7428" max="7428" width="19.85546875" style="1" customWidth="1"/>
    <col min="7429" max="7429" width="10.42578125" style="1" customWidth="1"/>
    <col min="7430" max="7430" width="11.42578125" style="1" customWidth="1"/>
    <col min="7431" max="7431" width="15.5703125" style="1" customWidth="1"/>
    <col min="7432" max="7432" width="17" style="1" customWidth="1"/>
    <col min="7433" max="7433" width="15.42578125" style="1" customWidth="1"/>
    <col min="7434" max="7434" width="15.5703125" style="1" customWidth="1"/>
    <col min="7435" max="7435" width="12.42578125" style="1" customWidth="1"/>
    <col min="7436" max="7436" width="25.28515625" style="1" customWidth="1"/>
    <col min="7437" max="7437" width="22.42578125" style="1" customWidth="1"/>
    <col min="7438" max="7438" width="12.7109375" style="1" customWidth="1"/>
    <col min="7439" max="7439" width="26.7109375" style="1" customWidth="1"/>
    <col min="7440" max="7680" width="9.140625" style="1"/>
    <col min="7681" max="7681" width="1.28515625" style="1" customWidth="1"/>
    <col min="7682" max="7682" width="6.140625" style="1" customWidth="1"/>
    <col min="7683" max="7683" width="9.140625" style="1"/>
    <col min="7684" max="7684" width="19.85546875" style="1" customWidth="1"/>
    <col min="7685" max="7685" width="10.42578125" style="1" customWidth="1"/>
    <col min="7686" max="7686" width="11.42578125" style="1" customWidth="1"/>
    <col min="7687" max="7687" width="15.5703125" style="1" customWidth="1"/>
    <col min="7688" max="7688" width="17" style="1" customWidth="1"/>
    <col min="7689" max="7689" width="15.42578125" style="1" customWidth="1"/>
    <col min="7690" max="7690" width="15.5703125" style="1" customWidth="1"/>
    <col min="7691" max="7691" width="12.42578125" style="1" customWidth="1"/>
    <col min="7692" max="7692" width="25.28515625" style="1" customWidth="1"/>
    <col min="7693" max="7693" width="22.42578125" style="1" customWidth="1"/>
    <col min="7694" max="7694" width="12.7109375" style="1" customWidth="1"/>
    <col min="7695" max="7695" width="26.7109375" style="1" customWidth="1"/>
    <col min="7696" max="7936" width="9.140625" style="1"/>
    <col min="7937" max="7937" width="1.28515625" style="1" customWidth="1"/>
    <col min="7938" max="7938" width="6.140625" style="1" customWidth="1"/>
    <col min="7939" max="7939" width="9.140625" style="1"/>
    <col min="7940" max="7940" width="19.85546875" style="1" customWidth="1"/>
    <col min="7941" max="7941" width="10.42578125" style="1" customWidth="1"/>
    <col min="7942" max="7942" width="11.42578125" style="1" customWidth="1"/>
    <col min="7943" max="7943" width="15.5703125" style="1" customWidth="1"/>
    <col min="7944" max="7944" width="17" style="1" customWidth="1"/>
    <col min="7945" max="7945" width="15.42578125" style="1" customWidth="1"/>
    <col min="7946" max="7946" width="15.5703125" style="1" customWidth="1"/>
    <col min="7947" max="7947" width="12.42578125" style="1" customWidth="1"/>
    <col min="7948" max="7948" width="25.28515625" style="1" customWidth="1"/>
    <col min="7949" max="7949" width="22.42578125" style="1" customWidth="1"/>
    <col min="7950" max="7950" width="12.7109375" style="1" customWidth="1"/>
    <col min="7951" max="7951" width="26.7109375" style="1" customWidth="1"/>
    <col min="7952" max="8192" width="9.140625" style="1"/>
    <col min="8193" max="8193" width="1.28515625" style="1" customWidth="1"/>
    <col min="8194" max="8194" width="6.140625" style="1" customWidth="1"/>
    <col min="8195" max="8195" width="9.140625" style="1"/>
    <col min="8196" max="8196" width="19.85546875" style="1" customWidth="1"/>
    <col min="8197" max="8197" width="10.42578125" style="1" customWidth="1"/>
    <col min="8198" max="8198" width="11.42578125" style="1" customWidth="1"/>
    <col min="8199" max="8199" width="15.5703125" style="1" customWidth="1"/>
    <col min="8200" max="8200" width="17" style="1" customWidth="1"/>
    <col min="8201" max="8201" width="15.42578125" style="1" customWidth="1"/>
    <col min="8202" max="8202" width="15.5703125" style="1" customWidth="1"/>
    <col min="8203" max="8203" width="12.42578125" style="1" customWidth="1"/>
    <col min="8204" max="8204" width="25.28515625" style="1" customWidth="1"/>
    <col min="8205" max="8205" width="22.42578125" style="1" customWidth="1"/>
    <col min="8206" max="8206" width="12.7109375" style="1" customWidth="1"/>
    <col min="8207" max="8207" width="26.7109375" style="1" customWidth="1"/>
    <col min="8208" max="8448" width="9.140625" style="1"/>
    <col min="8449" max="8449" width="1.28515625" style="1" customWidth="1"/>
    <col min="8450" max="8450" width="6.140625" style="1" customWidth="1"/>
    <col min="8451" max="8451" width="9.140625" style="1"/>
    <col min="8452" max="8452" width="19.85546875" style="1" customWidth="1"/>
    <col min="8453" max="8453" width="10.42578125" style="1" customWidth="1"/>
    <col min="8454" max="8454" width="11.42578125" style="1" customWidth="1"/>
    <col min="8455" max="8455" width="15.5703125" style="1" customWidth="1"/>
    <col min="8456" max="8456" width="17" style="1" customWidth="1"/>
    <col min="8457" max="8457" width="15.42578125" style="1" customWidth="1"/>
    <col min="8458" max="8458" width="15.5703125" style="1" customWidth="1"/>
    <col min="8459" max="8459" width="12.42578125" style="1" customWidth="1"/>
    <col min="8460" max="8460" width="25.28515625" style="1" customWidth="1"/>
    <col min="8461" max="8461" width="22.42578125" style="1" customWidth="1"/>
    <col min="8462" max="8462" width="12.7109375" style="1" customWidth="1"/>
    <col min="8463" max="8463" width="26.7109375" style="1" customWidth="1"/>
    <col min="8464" max="8704" width="9.140625" style="1"/>
    <col min="8705" max="8705" width="1.28515625" style="1" customWidth="1"/>
    <col min="8706" max="8706" width="6.140625" style="1" customWidth="1"/>
    <col min="8707" max="8707" width="9.140625" style="1"/>
    <col min="8708" max="8708" width="19.85546875" style="1" customWidth="1"/>
    <col min="8709" max="8709" width="10.42578125" style="1" customWidth="1"/>
    <col min="8710" max="8710" width="11.42578125" style="1" customWidth="1"/>
    <col min="8711" max="8711" width="15.5703125" style="1" customWidth="1"/>
    <col min="8712" max="8712" width="17" style="1" customWidth="1"/>
    <col min="8713" max="8713" width="15.42578125" style="1" customWidth="1"/>
    <col min="8714" max="8714" width="15.5703125" style="1" customWidth="1"/>
    <col min="8715" max="8715" width="12.42578125" style="1" customWidth="1"/>
    <col min="8716" max="8716" width="25.28515625" style="1" customWidth="1"/>
    <col min="8717" max="8717" width="22.42578125" style="1" customWidth="1"/>
    <col min="8718" max="8718" width="12.7109375" style="1" customWidth="1"/>
    <col min="8719" max="8719" width="26.7109375" style="1" customWidth="1"/>
    <col min="8720" max="8960" width="9.140625" style="1"/>
    <col min="8961" max="8961" width="1.28515625" style="1" customWidth="1"/>
    <col min="8962" max="8962" width="6.140625" style="1" customWidth="1"/>
    <col min="8963" max="8963" width="9.140625" style="1"/>
    <col min="8964" max="8964" width="19.85546875" style="1" customWidth="1"/>
    <col min="8965" max="8965" width="10.42578125" style="1" customWidth="1"/>
    <col min="8966" max="8966" width="11.42578125" style="1" customWidth="1"/>
    <col min="8967" max="8967" width="15.5703125" style="1" customWidth="1"/>
    <col min="8968" max="8968" width="17" style="1" customWidth="1"/>
    <col min="8969" max="8969" width="15.42578125" style="1" customWidth="1"/>
    <col min="8970" max="8970" width="15.5703125" style="1" customWidth="1"/>
    <col min="8971" max="8971" width="12.42578125" style="1" customWidth="1"/>
    <col min="8972" max="8972" width="25.28515625" style="1" customWidth="1"/>
    <col min="8973" max="8973" width="22.42578125" style="1" customWidth="1"/>
    <col min="8974" max="8974" width="12.7109375" style="1" customWidth="1"/>
    <col min="8975" max="8975" width="26.7109375" style="1" customWidth="1"/>
    <col min="8976" max="9216" width="9.140625" style="1"/>
    <col min="9217" max="9217" width="1.28515625" style="1" customWidth="1"/>
    <col min="9218" max="9218" width="6.140625" style="1" customWidth="1"/>
    <col min="9219" max="9219" width="9.140625" style="1"/>
    <col min="9220" max="9220" width="19.85546875" style="1" customWidth="1"/>
    <col min="9221" max="9221" width="10.42578125" style="1" customWidth="1"/>
    <col min="9222" max="9222" width="11.42578125" style="1" customWidth="1"/>
    <col min="9223" max="9223" width="15.5703125" style="1" customWidth="1"/>
    <col min="9224" max="9224" width="17" style="1" customWidth="1"/>
    <col min="9225" max="9225" width="15.42578125" style="1" customWidth="1"/>
    <col min="9226" max="9226" width="15.5703125" style="1" customWidth="1"/>
    <col min="9227" max="9227" width="12.42578125" style="1" customWidth="1"/>
    <col min="9228" max="9228" width="25.28515625" style="1" customWidth="1"/>
    <col min="9229" max="9229" width="22.42578125" style="1" customWidth="1"/>
    <col min="9230" max="9230" width="12.7109375" style="1" customWidth="1"/>
    <col min="9231" max="9231" width="26.7109375" style="1" customWidth="1"/>
    <col min="9232" max="9472" width="9.140625" style="1"/>
    <col min="9473" max="9473" width="1.28515625" style="1" customWidth="1"/>
    <col min="9474" max="9474" width="6.140625" style="1" customWidth="1"/>
    <col min="9475" max="9475" width="9.140625" style="1"/>
    <col min="9476" max="9476" width="19.85546875" style="1" customWidth="1"/>
    <col min="9477" max="9477" width="10.42578125" style="1" customWidth="1"/>
    <col min="9478" max="9478" width="11.42578125" style="1" customWidth="1"/>
    <col min="9479" max="9479" width="15.5703125" style="1" customWidth="1"/>
    <col min="9480" max="9480" width="17" style="1" customWidth="1"/>
    <col min="9481" max="9481" width="15.42578125" style="1" customWidth="1"/>
    <col min="9482" max="9482" width="15.5703125" style="1" customWidth="1"/>
    <col min="9483" max="9483" width="12.42578125" style="1" customWidth="1"/>
    <col min="9484" max="9484" width="25.28515625" style="1" customWidth="1"/>
    <col min="9485" max="9485" width="22.42578125" style="1" customWidth="1"/>
    <col min="9486" max="9486" width="12.7109375" style="1" customWidth="1"/>
    <col min="9487" max="9487" width="26.7109375" style="1" customWidth="1"/>
    <col min="9488" max="9728" width="9.140625" style="1"/>
    <col min="9729" max="9729" width="1.28515625" style="1" customWidth="1"/>
    <col min="9730" max="9730" width="6.140625" style="1" customWidth="1"/>
    <col min="9731" max="9731" width="9.140625" style="1"/>
    <col min="9732" max="9732" width="19.85546875" style="1" customWidth="1"/>
    <col min="9733" max="9733" width="10.42578125" style="1" customWidth="1"/>
    <col min="9734" max="9734" width="11.42578125" style="1" customWidth="1"/>
    <col min="9735" max="9735" width="15.5703125" style="1" customWidth="1"/>
    <col min="9736" max="9736" width="17" style="1" customWidth="1"/>
    <col min="9737" max="9737" width="15.42578125" style="1" customWidth="1"/>
    <col min="9738" max="9738" width="15.5703125" style="1" customWidth="1"/>
    <col min="9739" max="9739" width="12.42578125" style="1" customWidth="1"/>
    <col min="9740" max="9740" width="25.28515625" style="1" customWidth="1"/>
    <col min="9741" max="9741" width="22.42578125" style="1" customWidth="1"/>
    <col min="9742" max="9742" width="12.7109375" style="1" customWidth="1"/>
    <col min="9743" max="9743" width="26.7109375" style="1" customWidth="1"/>
    <col min="9744" max="9984" width="9.140625" style="1"/>
    <col min="9985" max="9985" width="1.28515625" style="1" customWidth="1"/>
    <col min="9986" max="9986" width="6.140625" style="1" customWidth="1"/>
    <col min="9987" max="9987" width="9.140625" style="1"/>
    <col min="9988" max="9988" width="19.85546875" style="1" customWidth="1"/>
    <col min="9989" max="9989" width="10.42578125" style="1" customWidth="1"/>
    <col min="9990" max="9990" width="11.42578125" style="1" customWidth="1"/>
    <col min="9991" max="9991" width="15.5703125" style="1" customWidth="1"/>
    <col min="9992" max="9992" width="17" style="1" customWidth="1"/>
    <col min="9993" max="9993" width="15.42578125" style="1" customWidth="1"/>
    <col min="9994" max="9994" width="15.5703125" style="1" customWidth="1"/>
    <col min="9995" max="9995" width="12.42578125" style="1" customWidth="1"/>
    <col min="9996" max="9996" width="25.28515625" style="1" customWidth="1"/>
    <col min="9997" max="9997" width="22.42578125" style="1" customWidth="1"/>
    <col min="9998" max="9998" width="12.7109375" style="1" customWidth="1"/>
    <col min="9999" max="9999" width="26.7109375" style="1" customWidth="1"/>
    <col min="10000" max="10240" width="9.140625" style="1"/>
    <col min="10241" max="10241" width="1.28515625" style="1" customWidth="1"/>
    <col min="10242" max="10242" width="6.140625" style="1" customWidth="1"/>
    <col min="10243" max="10243" width="9.140625" style="1"/>
    <col min="10244" max="10244" width="19.85546875" style="1" customWidth="1"/>
    <col min="10245" max="10245" width="10.42578125" style="1" customWidth="1"/>
    <col min="10246" max="10246" width="11.42578125" style="1" customWidth="1"/>
    <col min="10247" max="10247" width="15.5703125" style="1" customWidth="1"/>
    <col min="10248" max="10248" width="17" style="1" customWidth="1"/>
    <col min="10249" max="10249" width="15.42578125" style="1" customWidth="1"/>
    <col min="10250" max="10250" width="15.5703125" style="1" customWidth="1"/>
    <col min="10251" max="10251" width="12.42578125" style="1" customWidth="1"/>
    <col min="10252" max="10252" width="25.28515625" style="1" customWidth="1"/>
    <col min="10253" max="10253" width="22.42578125" style="1" customWidth="1"/>
    <col min="10254" max="10254" width="12.7109375" style="1" customWidth="1"/>
    <col min="10255" max="10255" width="26.7109375" style="1" customWidth="1"/>
    <col min="10256" max="10496" width="9.140625" style="1"/>
    <col min="10497" max="10497" width="1.28515625" style="1" customWidth="1"/>
    <col min="10498" max="10498" width="6.140625" style="1" customWidth="1"/>
    <col min="10499" max="10499" width="9.140625" style="1"/>
    <col min="10500" max="10500" width="19.85546875" style="1" customWidth="1"/>
    <col min="10501" max="10501" width="10.42578125" style="1" customWidth="1"/>
    <col min="10502" max="10502" width="11.42578125" style="1" customWidth="1"/>
    <col min="10503" max="10503" width="15.5703125" style="1" customWidth="1"/>
    <col min="10504" max="10504" width="17" style="1" customWidth="1"/>
    <col min="10505" max="10505" width="15.42578125" style="1" customWidth="1"/>
    <col min="10506" max="10506" width="15.5703125" style="1" customWidth="1"/>
    <col min="10507" max="10507" width="12.42578125" style="1" customWidth="1"/>
    <col min="10508" max="10508" width="25.28515625" style="1" customWidth="1"/>
    <col min="10509" max="10509" width="22.42578125" style="1" customWidth="1"/>
    <col min="10510" max="10510" width="12.7109375" style="1" customWidth="1"/>
    <col min="10511" max="10511" width="26.7109375" style="1" customWidth="1"/>
    <col min="10512" max="10752" width="9.140625" style="1"/>
    <col min="10753" max="10753" width="1.28515625" style="1" customWidth="1"/>
    <col min="10754" max="10754" width="6.140625" style="1" customWidth="1"/>
    <col min="10755" max="10755" width="9.140625" style="1"/>
    <col min="10756" max="10756" width="19.85546875" style="1" customWidth="1"/>
    <col min="10757" max="10757" width="10.42578125" style="1" customWidth="1"/>
    <col min="10758" max="10758" width="11.42578125" style="1" customWidth="1"/>
    <col min="10759" max="10759" width="15.5703125" style="1" customWidth="1"/>
    <col min="10760" max="10760" width="17" style="1" customWidth="1"/>
    <col min="10761" max="10761" width="15.42578125" style="1" customWidth="1"/>
    <col min="10762" max="10762" width="15.5703125" style="1" customWidth="1"/>
    <col min="10763" max="10763" width="12.42578125" style="1" customWidth="1"/>
    <col min="10764" max="10764" width="25.28515625" style="1" customWidth="1"/>
    <col min="10765" max="10765" width="22.42578125" style="1" customWidth="1"/>
    <col min="10766" max="10766" width="12.7109375" style="1" customWidth="1"/>
    <col min="10767" max="10767" width="26.7109375" style="1" customWidth="1"/>
    <col min="10768" max="11008" width="9.140625" style="1"/>
    <col min="11009" max="11009" width="1.28515625" style="1" customWidth="1"/>
    <col min="11010" max="11010" width="6.140625" style="1" customWidth="1"/>
    <col min="11011" max="11011" width="9.140625" style="1"/>
    <col min="11012" max="11012" width="19.85546875" style="1" customWidth="1"/>
    <col min="11013" max="11013" width="10.42578125" style="1" customWidth="1"/>
    <col min="11014" max="11014" width="11.42578125" style="1" customWidth="1"/>
    <col min="11015" max="11015" width="15.5703125" style="1" customWidth="1"/>
    <col min="11016" max="11016" width="17" style="1" customWidth="1"/>
    <col min="11017" max="11017" width="15.42578125" style="1" customWidth="1"/>
    <col min="11018" max="11018" width="15.5703125" style="1" customWidth="1"/>
    <col min="11019" max="11019" width="12.42578125" style="1" customWidth="1"/>
    <col min="11020" max="11020" width="25.28515625" style="1" customWidth="1"/>
    <col min="11021" max="11021" width="22.42578125" style="1" customWidth="1"/>
    <col min="11022" max="11022" width="12.7109375" style="1" customWidth="1"/>
    <col min="11023" max="11023" width="26.7109375" style="1" customWidth="1"/>
    <col min="11024" max="11264" width="9.140625" style="1"/>
    <col min="11265" max="11265" width="1.28515625" style="1" customWidth="1"/>
    <col min="11266" max="11266" width="6.140625" style="1" customWidth="1"/>
    <col min="11267" max="11267" width="9.140625" style="1"/>
    <col min="11268" max="11268" width="19.85546875" style="1" customWidth="1"/>
    <col min="11269" max="11269" width="10.42578125" style="1" customWidth="1"/>
    <col min="11270" max="11270" width="11.42578125" style="1" customWidth="1"/>
    <col min="11271" max="11271" width="15.5703125" style="1" customWidth="1"/>
    <col min="11272" max="11272" width="17" style="1" customWidth="1"/>
    <col min="11273" max="11273" width="15.42578125" style="1" customWidth="1"/>
    <col min="11274" max="11274" width="15.5703125" style="1" customWidth="1"/>
    <col min="11275" max="11275" width="12.42578125" style="1" customWidth="1"/>
    <col min="11276" max="11276" width="25.28515625" style="1" customWidth="1"/>
    <col min="11277" max="11277" width="22.42578125" style="1" customWidth="1"/>
    <col min="11278" max="11278" width="12.7109375" style="1" customWidth="1"/>
    <col min="11279" max="11279" width="26.7109375" style="1" customWidth="1"/>
    <col min="11280" max="11520" width="9.140625" style="1"/>
    <col min="11521" max="11521" width="1.28515625" style="1" customWidth="1"/>
    <col min="11522" max="11522" width="6.140625" style="1" customWidth="1"/>
    <col min="11523" max="11523" width="9.140625" style="1"/>
    <col min="11524" max="11524" width="19.85546875" style="1" customWidth="1"/>
    <col min="11525" max="11525" width="10.42578125" style="1" customWidth="1"/>
    <col min="11526" max="11526" width="11.42578125" style="1" customWidth="1"/>
    <col min="11527" max="11527" width="15.5703125" style="1" customWidth="1"/>
    <col min="11528" max="11528" width="17" style="1" customWidth="1"/>
    <col min="11529" max="11529" width="15.42578125" style="1" customWidth="1"/>
    <col min="11530" max="11530" width="15.5703125" style="1" customWidth="1"/>
    <col min="11531" max="11531" width="12.42578125" style="1" customWidth="1"/>
    <col min="11532" max="11532" width="25.28515625" style="1" customWidth="1"/>
    <col min="11533" max="11533" width="22.42578125" style="1" customWidth="1"/>
    <col min="11534" max="11534" width="12.7109375" style="1" customWidth="1"/>
    <col min="11535" max="11535" width="26.7109375" style="1" customWidth="1"/>
    <col min="11536" max="11776" width="9.140625" style="1"/>
    <col min="11777" max="11777" width="1.28515625" style="1" customWidth="1"/>
    <col min="11778" max="11778" width="6.140625" style="1" customWidth="1"/>
    <col min="11779" max="11779" width="9.140625" style="1"/>
    <col min="11780" max="11780" width="19.85546875" style="1" customWidth="1"/>
    <col min="11781" max="11781" width="10.42578125" style="1" customWidth="1"/>
    <col min="11782" max="11782" width="11.42578125" style="1" customWidth="1"/>
    <col min="11783" max="11783" width="15.5703125" style="1" customWidth="1"/>
    <col min="11784" max="11784" width="17" style="1" customWidth="1"/>
    <col min="11785" max="11785" width="15.42578125" style="1" customWidth="1"/>
    <col min="11786" max="11786" width="15.5703125" style="1" customWidth="1"/>
    <col min="11787" max="11787" width="12.42578125" style="1" customWidth="1"/>
    <col min="11788" max="11788" width="25.28515625" style="1" customWidth="1"/>
    <col min="11789" max="11789" width="22.42578125" style="1" customWidth="1"/>
    <col min="11790" max="11790" width="12.7109375" style="1" customWidth="1"/>
    <col min="11791" max="11791" width="26.7109375" style="1" customWidth="1"/>
    <col min="11792" max="12032" width="9.140625" style="1"/>
    <col min="12033" max="12033" width="1.28515625" style="1" customWidth="1"/>
    <col min="12034" max="12034" width="6.140625" style="1" customWidth="1"/>
    <col min="12035" max="12035" width="9.140625" style="1"/>
    <col min="12036" max="12036" width="19.85546875" style="1" customWidth="1"/>
    <col min="12037" max="12037" width="10.42578125" style="1" customWidth="1"/>
    <col min="12038" max="12038" width="11.42578125" style="1" customWidth="1"/>
    <col min="12039" max="12039" width="15.5703125" style="1" customWidth="1"/>
    <col min="12040" max="12040" width="17" style="1" customWidth="1"/>
    <col min="12041" max="12041" width="15.42578125" style="1" customWidth="1"/>
    <col min="12042" max="12042" width="15.5703125" style="1" customWidth="1"/>
    <col min="12043" max="12043" width="12.42578125" style="1" customWidth="1"/>
    <col min="12044" max="12044" width="25.28515625" style="1" customWidth="1"/>
    <col min="12045" max="12045" width="22.42578125" style="1" customWidth="1"/>
    <col min="12046" max="12046" width="12.7109375" style="1" customWidth="1"/>
    <col min="12047" max="12047" width="26.7109375" style="1" customWidth="1"/>
    <col min="12048" max="12288" width="9.140625" style="1"/>
    <col min="12289" max="12289" width="1.28515625" style="1" customWidth="1"/>
    <col min="12290" max="12290" width="6.140625" style="1" customWidth="1"/>
    <col min="12291" max="12291" width="9.140625" style="1"/>
    <col min="12292" max="12292" width="19.85546875" style="1" customWidth="1"/>
    <col min="12293" max="12293" width="10.42578125" style="1" customWidth="1"/>
    <col min="12294" max="12294" width="11.42578125" style="1" customWidth="1"/>
    <col min="12295" max="12295" width="15.5703125" style="1" customWidth="1"/>
    <col min="12296" max="12296" width="17" style="1" customWidth="1"/>
    <col min="12297" max="12297" width="15.42578125" style="1" customWidth="1"/>
    <col min="12298" max="12298" width="15.5703125" style="1" customWidth="1"/>
    <col min="12299" max="12299" width="12.42578125" style="1" customWidth="1"/>
    <col min="12300" max="12300" width="25.28515625" style="1" customWidth="1"/>
    <col min="12301" max="12301" width="22.42578125" style="1" customWidth="1"/>
    <col min="12302" max="12302" width="12.7109375" style="1" customWidth="1"/>
    <col min="12303" max="12303" width="26.7109375" style="1" customWidth="1"/>
    <col min="12304" max="12544" width="9.140625" style="1"/>
    <col min="12545" max="12545" width="1.28515625" style="1" customWidth="1"/>
    <col min="12546" max="12546" width="6.140625" style="1" customWidth="1"/>
    <col min="12547" max="12547" width="9.140625" style="1"/>
    <col min="12548" max="12548" width="19.85546875" style="1" customWidth="1"/>
    <col min="12549" max="12549" width="10.42578125" style="1" customWidth="1"/>
    <col min="12550" max="12550" width="11.42578125" style="1" customWidth="1"/>
    <col min="12551" max="12551" width="15.5703125" style="1" customWidth="1"/>
    <col min="12552" max="12552" width="17" style="1" customWidth="1"/>
    <col min="12553" max="12553" width="15.42578125" style="1" customWidth="1"/>
    <col min="12554" max="12554" width="15.5703125" style="1" customWidth="1"/>
    <col min="12555" max="12555" width="12.42578125" style="1" customWidth="1"/>
    <col min="12556" max="12556" width="25.28515625" style="1" customWidth="1"/>
    <col min="12557" max="12557" width="22.42578125" style="1" customWidth="1"/>
    <col min="12558" max="12558" width="12.7109375" style="1" customWidth="1"/>
    <col min="12559" max="12559" width="26.7109375" style="1" customWidth="1"/>
    <col min="12560" max="12800" width="9.140625" style="1"/>
    <col min="12801" max="12801" width="1.28515625" style="1" customWidth="1"/>
    <col min="12802" max="12802" width="6.140625" style="1" customWidth="1"/>
    <col min="12803" max="12803" width="9.140625" style="1"/>
    <col min="12804" max="12804" width="19.85546875" style="1" customWidth="1"/>
    <col min="12805" max="12805" width="10.42578125" style="1" customWidth="1"/>
    <col min="12806" max="12806" width="11.42578125" style="1" customWidth="1"/>
    <col min="12807" max="12807" width="15.5703125" style="1" customWidth="1"/>
    <col min="12808" max="12808" width="17" style="1" customWidth="1"/>
    <col min="12809" max="12809" width="15.42578125" style="1" customWidth="1"/>
    <col min="12810" max="12810" width="15.5703125" style="1" customWidth="1"/>
    <col min="12811" max="12811" width="12.42578125" style="1" customWidth="1"/>
    <col min="12812" max="12812" width="25.28515625" style="1" customWidth="1"/>
    <col min="12813" max="12813" width="22.42578125" style="1" customWidth="1"/>
    <col min="12814" max="12814" width="12.7109375" style="1" customWidth="1"/>
    <col min="12815" max="12815" width="26.7109375" style="1" customWidth="1"/>
    <col min="12816" max="13056" width="9.140625" style="1"/>
    <col min="13057" max="13057" width="1.28515625" style="1" customWidth="1"/>
    <col min="13058" max="13058" width="6.140625" style="1" customWidth="1"/>
    <col min="13059" max="13059" width="9.140625" style="1"/>
    <col min="13060" max="13060" width="19.85546875" style="1" customWidth="1"/>
    <col min="13061" max="13061" width="10.42578125" style="1" customWidth="1"/>
    <col min="13062" max="13062" width="11.42578125" style="1" customWidth="1"/>
    <col min="13063" max="13063" width="15.5703125" style="1" customWidth="1"/>
    <col min="13064" max="13064" width="17" style="1" customWidth="1"/>
    <col min="13065" max="13065" width="15.42578125" style="1" customWidth="1"/>
    <col min="13066" max="13066" width="15.5703125" style="1" customWidth="1"/>
    <col min="13067" max="13067" width="12.42578125" style="1" customWidth="1"/>
    <col min="13068" max="13068" width="25.28515625" style="1" customWidth="1"/>
    <col min="13069" max="13069" width="22.42578125" style="1" customWidth="1"/>
    <col min="13070" max="13070" width="12.7109375" style="1" customWidth="1"/>
    <col min="13071" max="13071" width="26.7109375" style="1" customWidth="1"/>
    <col min="13072" max="13312" width="9.140625" style="1"/>
    <col min="13313" max="13313" width="1.28515625" style="1" customWidth="1"/>
    <col min="13314" max="13314" width="6.140625" style="1" customWidth="1"/>
    <col min="13315" max="13315" width="9.140625" style="1"/>
    <col min="13316" max="13316" width="19.85546875" style="1" customWidth="1"/>
    <col min="13317" max="13317" width="10.42578125" style="1" customWidth="1"/>
    <col min="13318" max="13318" width="11.42578125" style="1" customWidth="1"/>
    <col min="13319" max="13319" width="15.5703125" style="1" customWidth="1"/>
    <col min="13320" max="13320" width="17" style="1" customWidth="1"/>
    <col min="13321" max="13321" width="15.42578125" style="1" customWidth="1"/>
    <col min="13322" max="13322" width="15.5703125" style="1" customWidth="1"/>
    <col min="13323" max="13323" width="12.42578125" style="1" customWidth="1"/>
    <col min="13324" max="13324" width="25.28515625" style="1" customWidth="1"/>
    <col min="13325" max="13325" width="22.42578125" style="1" customWidth="1"/>
    <col min="13326" max="13326" width="12.7109375" style="1" customWidth="1"/>
    <col min="13327" max="13327" width="26.7109375" style="1" customWidth="1"/>
    <col min="13328" max="13568" width="9.140625" style="1"/>
    <col min="13569" max="13569" width="1.28515625" style="1" customWidth="1"/>
    <col min="13570" max="13570" width="6.140625" style="1" customWidth="1"/>
    <col min="13571" max="13571" width="9.140625" style="1"/>
    <col min="13572" max="13572" width="19.85546875" style="1" customWidth="1"/>
    <col min="13573" max="13573" width="10.42578125" style="1" customWidth="1"/>
    <col min="13574" max="13574" width="11.42578125" style="1" customWidth="1"/>
    <col min="13575" max="13575" width="15.5703125" style="1" customWidth="1"/>
    <col min="13576" max="13576" width="17" style="1" customWidth="1"/>
    <col min="13577" max="13577" width="15.42578125" style="1" customWidth="1"/>
    <col min="13578" max="13578" width="15.5703125" style="1" customWidth="1"/>
    <col min="13579" max="13579" width="12.42578125" style="1" customWidth="1"/>
    <col min="13580" max="13580" width="25.28515625" style="1" customWidth="1"/>
    <col min="13581" max="13581" width="22.42578125" style="1" customWidth="1"/>
    <col min="13582" max="13582" width="12.7109375" style="1" customWidth="1"/>
    <col min="13583" max="13583" width="26.7109375" style="1" customWidth="1"/>
    <col min="13584" max="13824" width="9.140625" style="1"/>
    <col min="13825" max="13825" width="1.28515625" style="1" customWidth="1"/>
    <col min="13826" max="13826" width="6.140625" style="1" customWidth="1"/>
    <col min="13827" max="13827" width="9.140625" style="1"/>
    <col min="13828" max="13828" width="19.85546875" style="1" customWidth="1"/>
    <col min="13829" max="13829" width="10.42578125" style="1" customWidth="1"/>
    <col min="13830" max="13830" width="11.42578125" style="1" customWidth="1"/>
    <col min="13831" max="13831" width="15.5703125" style="1" customWidth="1"/>
    <col min="13832" max="13832" width="17" style="1" customWidth="1"/>
    <col min="13833" max="13833" width="15.42578125" style="1" customWidth="1"/>
    <col min="13834" max="13834" width="15.5703125" style="1" customWidth="1"/>
    <col min="13835" max="13835" width="12.42578125" style="1" customWidth="1"/>
    <col min="13836" max="13836" width="25.28515625" style="1" customWidth="1"/>
    <col min="13837" max="13837" width="22.42578125" style="1" customWidth="1"/>
    <col min="13838" max="13838" width="12.7109375" style="1" customWidth="1"/>
    <col min="13839" max="13839" width="26.7109375" style="1" customWidth="1"/>
    <col min="13840" max="14080" width="9.140625" style="1"/>
    <col min="14081" max="14081" width="1.28515625" style="1" customWidth="1"/>
    <col min="14082" max="14082" width="6.140625" style="1" customWidth="1"/>
    <col min="14083" max="14083" width="9.140625" style="1"/>
    <col min="14084" max="14084" width="19.85546875" style="1" customWidth="1"/>
    <col min="14085" max="14085" width="10.42578125" style="1" customWidth="1"/>
    <col min="14086" max="14086" width="11.42578125" style="1" customWidth="1"/>
    <col min="14087" max="14087" width="15.5703125" style="1" customWidth="1"/>
    <col min="14088" max="14088" width="17" style="1" customWidth="1"/>
    <col min="14089" max="14089" width="15.42578125" style="1" customWidth="1"/>
    <col min="14090" max="14090" width="15.5703125" style="1" customWidth="1"/>
    <col min="14091" max="14091" width="12.42578125" style="1" customWidth="1"/>
    <col min="14092" max="14092" width="25.28515625" style="1" customWidth="1"/>
    <col min="14093" max="14093" width="22.42578125" style="1" customWidth="1"/>
    <col min="14094" max="14094" width="12.7109375" style="1" customWidth="1"/>
    <col min="14095" max="14095" width="26.7109375" style="1" customWidth="1"/>
    <col min="14096" max="14336" width="9.140625" style="1"/>
    <col min="14337" max="14337" width="1.28515625" style="1" customWidth="1"/>
    <col min="14338" max="14338" width="6.140625" style="1" customWidth="1"/>
    <col min="14339" max="14339" width="9.140625" style="1"/>
    <col min="14340" max="14340" width="19.85546875" style="1" customWidth="1"/>
    <col min="14341" max="14341" width="10.42578125" style="1" customWidth="1"/>
    <col min="14342" max="14342" width="11.42578125" style="1" customWidth="1"/>
    <col min="14343" max="14343" width="15.5703125" style="1" customWidth="1"/>
    <col min="14344" max="14344" width="17" style="1" customWidth="1"/>
    <col min="14345" max="14345" width="15.42578125" style="1" customWidth="1"/>
    <col min="14346" max="14346" width="15.5703125" style="1" customWidth="1"/>
    <col min="14347" max="14347" width="12.42578125" style="1" customWidth="1"/>
    <col min="14348" max="14348" width="25.28515625" style="1" customWidth="1"/>
    <col min="14349" max="14349" width="22.42578125" style="1" customWidth="1"/>
    <col min="14350" max="14350" width="12.7109375" style="1" customWidth="1"/>
    <col min="14351" max="14351" width="26.7109375" style="1" customWidth="1"/>
    <col min="14352" max="14592" width="9.140625" style="1"/>
    <col min="14593" max="14593" width="1.28515625" style="1" customWidth="1"/>
    <col min="14594" max="14594" width="6.140625" style="1" customWidth="1"/>
    <col min="14595" max="14595" width="9.140625" style="1"/>
    <col min="14596" max="14596" width="19.85546875" style="1" customWidth="1"/>
    <col min="14597" max="14597" width="10.42578125" style="1" customWidth="1"/>
    <col min="14598" max="14598" width="11.42578125" style="1" customWidth="1"/>
    <col min="14599" max="14599" width="15.5703125" style="1" customWidth="1"/>
    <col min="14600" max="14600" width="17" style="1" customWidth="1"/>
    <col min="14601" max="14601" width="15.42578125" style="1" customWidth="1"/>
    <col min="14602" max="14602" width="15.5703125" style="1" customWidth="1"/>
    <col min="14603" max="14603" width="12.42578125" style="1" customWidth="1"/>
    <col min="14604" max="14604" width="25.28515625" style="1" customWidth="1"/>
    <col min="14605" max="14605" width="22.42578125" style="1" customWidth="1"/>
    <col min="14606" max="14606" width="12.7109375" style="1" customWidth="1"/>
    <col min="14607" max="14607" width="26.7109375" style="1" customWidth="1"/>
    <col min="14608" max="14848" width="9.140625" style="1"/>
    <col min="14849" max="14849" width="1.28515625" style="1" customWidth="1"/>
    <col min="14850" max="14850" width="6.140625" style="1" customWidth="1"/>
    <col min="14851" max="14851" width="9.140625" style="1"/>
    <col min="14852" max="14852" width="19.85546875" style="1" customWidth="1"/>
    <col min="14853" max="14853" width="10.42578125" style="1" customWidth="1"/>
    <col min="14854" max="14854" width="11.42578125" style="1" customWidth="1"/>
    <col min="14855" max="14855" width="15.5703125" style="1" customWidth="1"/>
    <col min="14856" max="14856" width="17" style="1" customWidth="1"/>
    <col min="14857" max="14857" width="15.42578125" style="1" customWidth="1"/>
    <col min="14858" max="14858" width="15.5703125" style="1" customWidth="1"/>
    <col min="14859" max="14859" width="12.42578125" style="1" customWidth="1"/>
    <col min="14860" max="14860" width="25.28515625" style="1" customWidth="1"/>
    <col min="14861" max="14861" width="22.42578125" style="1" customWidth="1"/>
    <col min="14862" max="14862" width="12.7109375" style="1" customWidth="1"/>
    <col min="14863" max="14863" width="26.7109375" style="1" customWidth="1"/>
    <col min="14864" max="15104" width="9.140625" style="1"/>
    <col min="15105" max="15105" width="1.28515625" style="1" customWidth="1"/>
    <col min="15106" max="15106" width="6.140625" style="1" customWidth="1"/>
    <col min="15107" max="15107" width="9.140625" style="1"/>
    <col min="15108" max="15108" width="19.85546875" style="1" customWidth="1"/>
    <col min="15109" max="15109" width="10.42578125" style="1" customWidth="1"/>
    <col min="15110" max="15110" width="11.42578125" style="1" customWidth="1"/>
    <col min="15111" max="15111" width="15.5703125" style="1" customWidth="1"/>
    <col min="15112" max="15112" width="17" style="1" customWidth="1"/>
    <col min="15113" max="15113" width="15.42578125" style="1" customWidth="1"/>
    <col min="15114" max="15114" width="15.5703125" style="1" customWidth="1"/>
    <col min="15115" max="15115" width="12.42578125" style="1" customWidth="1"/>
    <col min="15116" max="15116" width="25.28515625" style="1" customWidth="1"/>
    <col min="15117" max="15117" width="22.42578125" style="1" customWidth="1"/>
    <col min="15118" max="15118" width="12.7109375" style="1" customWidth="1"/>
    <col min="15119" max="15119" width="26.7109375" style="1" customWidth="1"/>
    <col min="15120" max="15360" width="9.140625" style="1"/>
    <col min="15361" max="15361" width="1.28515625" style="1" customWidth="1"/>
    <col min="15362" max="15362" width="6.140625" style="1" customWidth="1"/>
    <col min="15363" max="15363" width="9.140625" style="1"/>
    <col min="15364" max="15364" width="19.85546875" style="1" customWidth="1"/>
    <col min="15365" max="15365" width="10.42578125" style="1" customWidth="1"/>
    <col min="15366" max="15366" width="11.42578125" style="1" customWidth="1"/>
    <col min="15367" max="15367" width="15.5703125" style="1" customWidth="1"/>
    <col min="15368" max="15368" width="17" style="1" customWidth="1"/>
    <col min="15369" max="15369" width="15.42578125" style="1" customWidth="1"/>
    <col min="15370" max="15370" width="15.5703125" style="1" customWidth="1"/>
    <col min="15371" max="15371" width="12.42578125" style="1" customWidth="1"/>
    <col min="15372" max="15372" width="25.28515625" style="1" customWidth="1"/>
    <col min="15373" max="15373" width="22.42578125" style="1" customWidth="1"/>
    <col min="15374" max="15374" width="12.7109375" style="1" customWidth="1"/>
    <col min="15375" max="15375" width="26.7109375" style="1" customWidth="1"/>
    <col min="15376" max="15616" width="9.140625" style="1"/>
    <col min="15617" max="15617" width="1.28515625" style="1" customWidth="1"/>
    <col min="15618" max="15618" width="6.140625" style="1" customWidth="1"/>
    <col min="15619" max="15619" width="9.140625" style="1"/>
    <col min="15620" max="15620" width="19.85546875" style="1" customWidth="1"/>
    <col min="15621" max="15621" width="10.42578125" style="1" customWidth="1"/>
    <col min="15622" max="15622" width="11.42578125" style="1" customWidth="1"/>
    <col min="15623" max="15623" width="15.5703125" style="1" customWidth="1"/>
    <col min="15624" max="15624" width="17" style="1" customWidth="1"/>
    <col min="15625" max="15625" width="15.42578125" style="1" customWidth="1"/>
    <col min="15626" max="15626" width="15.5703125" style="1" customWidth="1"/>
    <col min="15627" max="15627" width="12.42578125" style="1" customWidth="1"/>
    <col min="15628" max="15628" width="25.28515625" style="1" customWidth="1"/>
    <col min="15629" max="15629" width="22.42578125" style="1" customWidth="1"/>
    <col min="15630" max="15630" width="12.7109375" style="1" customWidth="1"/>
    <col min="15631" max="15631" width="26.7109375" style="1" customWidth="1"/>
    <col min="15632" max="15872" width="9.140625" style="1"/>
    <col min="15873" max="15873" width="1.28515625" style="1" customWidth="1"/>
    <col min="15874" max="15874" width="6.140625" style="1" customWidth="1"/>
    <col min="15875" max="15875" width="9.140625" style="1"/>
    <col min="15876" max="15876" width="19.85546875" style="1" customWidth="1"/>
    <col min="15877" max="15877" width="10.42578125" style="1" customWidth="1"/>
    <col min="15878" max="15878" width="11.42578125" style="1" customWidth="1"/>
    <col min="15879" max="15879" width="15.5703125" style="1" customWidth="1"/>
    <col min="15880" max="15880" width="17" style="1" customWidth="1"/>
    <col min="15881" max="15881" width="15.42578125" style="1" customWidth="1"/>
    <col min="15882" max="15882" width="15.5703125" style="1" customWidth="1"/>
    <col min="15883" max="15883" width="12.42578125" style="1" customWidth="1"/>
    <col min="15884" max="15884" width="25.28515625" style="1" customWidth="1"/>
    <col min="15885" max="15885" width="22.42578125" style="1" customWidth="1"/>
    <col min="15886" max="15886" width="12.7109375" style="1" customWidth="1"/>
    <col min="15887" max="15887" width="26.7109375" style="1" customWidth="1"/>
    <col min="15888" max="16128" width="9.140625" style="1"/>
    <col min="16129" max="16129" width="1.28515625" style="1" customWidth="1"/>
    <col min="16130" max="16130" width="6.140625" style="1" customWidth="1"/>
    <col min="16131" max="16131" width="9.140625" style="1"/>
    <col min="16132" max="16132" width="19.85546875" style="1" customWidth="1"/>
    <col min="16133" max="16133" width="10.42578125" style="1" customWidth="1"/>
    <col min="16134" max="16134" width="11.42578125" style="1" customWidth="1"/>
    <col min="16135" max="16135" width="15.5703125" style="1" customWidth="1"/>
    <col min="16136" max="16136" width="17" style="1" customWidth="1"/>
    <col min="16137" max="16137" width="15.42578125" style="1" customWidth="1"/>
    <col min="16138" max="16138" width="15.5703125" style="1" customWidth="1"/>
    <col min="16139" max="16139" width="12.42578125" style="1" customWidth="1"/>
    <col min="16140" max="16140" width="25.28515625" style="1" customWidth="1"/>
    <col min="16141" max="16141" width="22.42578125" style="1" customWidth="1"/>
    <col min="16142" max="16142" width="12.7109375" style="1" customWidth="1"/>
    <col min="16143" max="16143" width="26.7109375" style="1" customWidth="1"/>
    <col min="16144" max="16384" width="9.140625" style="1"/>
  </cols>
  <sheetData>
    <row r="1" spans="1:17" ht="15.75" x14ac:dyDescent="0.25">
      <c r="L1" s="88" t="s">
        <v>362</v>
      </c>
      <c r="M1" s="88"/>
      <c r="N1" s="88"/>
      <c r="O1" s="88"/>
    </row>
    <row r="2" spans="1:17" ht="15.75" x14ac:dyDescent="0.25">
      <c r="L2" s="88" t="s">
        <v>361</v>
      </c>
      <c r="M2" s="88"/>
      <c r="N2" s="88"/>
      <c r="O2" s="88"/>
    </row>
    <row r="3" spans="1:17" ht="18" customHeight="1" x14ac:dyDescent="0.25">
      <c r="L3" s="88"/>
      <c r="M3" s="88"/>
      <c r="N3" s="88"/>
      <c r="O3" s="88"/>
    </row>
    <row r="4" spans="1:17" ht="24.75" customHeight="1" x14ac:dyDescent="0.2">
      <c r="B4" s="98" t="s">
        <v>0</v>
      </c>
      <c r="C4" s="98"/>
      <c r="D4" s="98"/>
      <c r="E4" s="98"/>
      <c r="F4" s="98"/>
      <c r="G4" s="98"/>
      <c r="H4" s="98"/>
      <c r="I4" s="98"/>
      <c r="J4" s="98"/>
      <c r="K4" s="98"/>
      <c r="L4" s="98"/>
      <c r="M4" s="98"/>
      <c r="N4" s="98"/>
      <c r="O4" s="98"/>
    </row>
    <row r="5" spans="1:17" ht="22.5" customHeight="1" x14ac:dyDescent="0.2">
      <c r="A5" s="2"/>
      <c r="B5" s="99" t="s">
        <v>1</v>
      </c>
      <c r="C5" s="99" t="s">
        <v>2</v>
      </c>
      <c r="D5" s="99"/>
      <c r="E5" s="99" t="s">
        <v>3</v>
      </c>
      <c r="F5" s="99" t="s">
        <v>4</v>
      </c>
      <c r="G5" s="99" t="s">
        <v>5</v>
      </c>
      <c r="H5" s="99" t="s">
        <v>6</v>
      </c>
      <c r="I5" s="99"/>
      <c r="J5" s="99"/>
      <c r="K5" s="99"/>
      <c r="L5" s="99" t="s">
        <v>7</v>
      </c>
      <c r="M5" s="99" t="s">
        <v>8</v>
      </c>
      <c r="N5" s="99"/>
      <c r="O5" s="109" t="s">
        <v>9</v>
      </c>
    </row>
    <row r="6" spans="1:17" ht="83.25" customHeight="1" x14ac:dyDescent="0.2">
      <c r="A6" s="2"/>
      <c r="B6" s="99"/>
      <c r="C6" s="99"/>
      <c r="D6" s="99"/>
      <c r="E6" s="99"/>
      <c r="F6" s="99"/>
      <c r="G6" s="99"/>
      <c r="H6" s="16" t="s">
        <v>298</v>
      </c>
      <c r="I6" s="69" t="s">
        <v>300</v>
      </c>
      <c r="J6" s="69" t="s">
        <v>10</v>
      </c>
      <c r="K6" s="16" t="s">
        <v>299</v>
      </c>
      <c r="L6" s="99"/>
      <c r="M6" s="69" t="s">
        <v>11</v>
      </c>
      <c r="N6" s="69" t="s">
        <v>12</v>
      </c>
      <c r="O6" s="109"/>
    </row>
    <row r="7" spans="1:17" ht="52.5" customHeight="1" x14ac:dyDescent="0.2">
      <c r="A7" s="2"/>
      <c r="B7" s="110" t="s">
        <v>56</v>
      </c>
      <c r="C7" s="110"/>
      <c r="D7" s="110"/>
      <c r="E7" s="110"/>
      <c r="F7" s="110"/>
      <c r="G7" s="110"/>
      <c r="H7" s="110"/>
      <c r="I7" s="110"/>
      <c r="J7" s="110"/>
      <c r="K7" s="110"/>
      <c r="L7" s="110"/>
      <c r="M7" s="110"/>
      <c r="N7" s="110"/>
      <c r="O7" s="110"/>
    </row>
    <row r="8" spans="1:17" ht="22.5" customHeight="1" x14ac:dyDescent="0.2">
      <c r="A8" s="2"/>
      <c r="B8" s="111" t="s">
        <v>91</v>
      </c>
      <c r="C8" s="111"/>
      <c r="D8" s="111"/>
      <c r="E8" s="111"/>
      <c r="F8" s="111"/>
      <c r="G8" s="111"/>
      <c r="H8" s="111"/>
      <c r="I8" s="111"/>
      <c r="J8" s="111"/>
      <c r="K8" s="111"/>
      <c r="L8" s="111"/>
      <c r="M8" s="111"/>
      <c r="N8" s="111"/>
      <c r="O8" s="111"/>
    </row>
    <row r="9" spans="1:17" ht="197.25" customHeight="1" x14ac:dyDescent="0.2">
      <c r="A9" s="2"/>
      <c r="B9" s="92" t="s">
        <v>269</v>
      </c>
      <c r="C9" s="93"/>
      <c r="D9" s="93"/>
      <c r="E9" s="93"/>
      <c r="F9" s="93"/>
      <c r="G9" s="93"/>
      <c r="H9" s="93"/>
      <c r="I9" s="93"/>
      <c r="J9" s="93"/>
      <c r="K9" s="93"/>
      <c r="L9" s="93"/>
      <c r="M9" s="93"/>
      <c r="N9" s="93"/>
      <c r="O9" s="94"/>
    </row>
    <row r="10" spans="1:17" ht="140.25" customHeight="1" x14ac:dyDescent="0.2">
      <c r="A10" s="2"/>
      <c r="B10" s="92" t="s">
        <v>281</v>
      </c>
      <c r="C10" s="93"/>
      <c r="D10" s="93"/>
      <c r="E10" s="93"/>
      <c r="F10" s="93"/>
      <c r="G10" s="93"/>
      <c r="H10" s="93"/>
      <c r="I10" s="93"/>
      <c r="J10" s="93"/>
      <c r="K10" s="93"/>
      <c r="L10" s="93"/>
      <c r="M10" s="93"/>
      <c r="N10" s="93"/>
      <c r="O10" s="94"/>
    </row>
    <row r="11" spans="1:17" ht="173.25" customHeight="1" x14ac:dyDescent="0.2">
      <c r="A11" s="2"/>
      <c r="B11" s="7">
        <v>1</v>
      </c>
      <c r="C11" s="84" t="s">
        <v>312</v>
      </c>
      <c r="D11" s="113"/>
      <c r="E11" s="7" t="s">
        <v>71</v>
      </c>
      <c r="F11" s="7" t="s">
        <v>34</v>
      </c>
      <c r="G11" s="12">
        <f>SUM(G12:G13)</f>
        <v>5688519.2800000003</v>
      </c>
      <c r="H11" s="12">
        <f>SUM(H12:H13)</f>
        <v>3750033.74</v>
      </c>
      <c r="I11" s="12">
        <f>SUM(I12:I13)</f>
        <v>956582.13</v>
      </c>
      <c r="J11" s="12">
        <f>SUM(J12:J13)</f>
        <v>956582.13</v>
      </c>
      <c r="K11" s="12">
        <f>SUM(K12:K13)</f>
        <v>25321.280000000002</v>
      </c>
      <c r="L11" s="71" t="s">
        <v>273</v>
      </c>
      <c r="M11" s="15">
        <v>2019</v>
      </c>
      <c r="N11" s="11" t="s">
        <v>144</v>
      </c>
      <c r="O11" s="7" t="s">
        <v>270</v>
      </c>
    </row>
    <row r="12" spans="1:17" ht="114.75" x14ac:dyDescent="0.2">
      <c r="A12" s="2"/>
      <c r="B12" s="7" t="s">
        <v>13</v>
      </c>
      <c r="C12" s="84" t="s">
        <v>139</v>
      </c>
      <c r="D12" s="87"/>
      <c r="E12" s="7" t="s">
        <v>72</v>
      </c>
      <c r="F12" s="7" t="s">
        <v>34</v>
      </c>
      <c r="G12" s="12">
        <f>SUM(H12:K12)</f>
        <v>2151508.5</v>
      </c>
      <c r="H12" s="31">
        <f>ROUND((I12/0.85*0.1275),2)+1803273.21</f>
        <v>1827273.21</v>
      </c>
      <c r="I12" s="12">
        <f>ROUND((400000*0.4),2)</f>
        <v>160000</v>
      </c>
      <c r="J12" s="12">
        <f>I12</f>
        <v>160000</v>
      </c>
      <c r="K12" s="31">
        <f>ROUND((I12/0.85*0.0225),2)</f>
        <v>4235.29</v>
      </c>
      <c r="L12" s="71" t="s">
        <v>311</v>
      </c>
      <c r="M12" s="7" t="s">
        <v>141</v>
      </c>
      <c r="N12" s="15">
        <v>2021</v>
      </c>
      <c r="O12" s="7" t="s">
        <v>65</v>
      </c>
    </row>
    <row r="13" spans="1:17" ht="102" x14ac:dyDescent="0.2">
      <c r="A13" s="2"/>
      <c r="B13" s="7" t="s">
        <v>61</v>
      </c>
      <c r="C13" s="112" t="s">
        <v>140</v>
      </c>
      <c r="D13" s="112"/>
      <c r="E13" s="7" t="s">
        <v>62</v>
      </c>
      <c r="F13" s="7" t="s">
        <v>34</v>
      </c>
      <c r="G13" s="31">
        <f>SUM(H13:K13)</f>
        <v>3537010.7800000003</v>
      </c>
      <c r="H13" s="31">
        <f>ROUND((I13/0.85*0.1275),2)+1803273.21</f>
        <v>1922760.53</v>
      </c>
      <c r="I13" s="12">
        <f>956582.13-I12</f>
        <v>796582.13</v>
      </c>
      <c r="J13" s="12">
        <f>I13</f>
        <v>796582.13</v>
      </c>
      <c r="K13" s="31">
        <f>ROUNDDOWN((I13/0.85*0.0225),2)</f>
        <v>21085.99</v>
      </c>
      <c r="L13" s="70" t="s">
        <v>194</v>
      </c>
      <c r="M13" s="7" t="s">
        <v>141</v>
      </c>
      <c r="N13" s="15">
        <v>2021</v>
      </c>
      <c r="O13" s="7" t="s">
        <v>65</v>
      </c>
      <c r="Q13" s="57"/>
    </row>
    <row r="14" spans="1:17" ht="22.5" customHeight="1" x14ac:dyDescent="0.2">
      <c r="A14" s="2"/>
      <c r="B14" s="100" t="s">
        <v>146</v>
      </c>
      <c r="C14" s="101"/>
      <c r="D14" s="101"/>
      <c r="E14" s="101"/>
      <c r="F14" s="101"/>
      <c r="G14" s="101"/>
      <c r="H14" s="101"/>
      <c r="I14" s="101"/>
      <c r="J14" s="101"/>
      <c r="K14" s="101"/>
      <c r="L14" s="101"/>
      <c r="M14" s="101"/>
      <c r="N14" s="101"/>
      <c r="O14" s="102"/>
    </row>
    <row r="15" spans="1:17" ht="157.5" customHeight="1" x14ac:dyDescent="0.2">
      <c r="A15" s="2"/>
      <c r="B15" s="92" t="s">
        <v>98</v>
      </c>
      <c r="C15" s="103"/>
      <c r="D15" s="103"/>
      <c r="E15" s="103"/>
      <c r="F15" s="103"/>
      <c r="G15" s="103"/>
      <c r="H15" s="103"/>
      <c r="I15" s="103"/>
      <c r="J15" s="103"/>
      <c r="K15" s="103"/>
      <c r="L15" s="103"/>
      <c r="M15" s="103"/>
      <c r="N15" s="103"/>
      <c r="O15" s="104"/>
    </row>
    <row r="16" spans="1:17" ht="72" customHeight="1" x14ac:dyDescent="0.2">
      <c r="A16" s="2"/>
      <c r="B16" s="92" t="s">
        <v>277</v>
      </c>
      <c r="C16" s="116"/>
      <c r="D16" s="116"/>
      <c r="E16" s="116"/>
      <c r="F16" s="116"/>
      <c r="G16" s="116"/>
      <c r="H16" s="116"/>
      <c r="I16" s="116"/>
      <c r="J16" s="116"/>
      <c r="K16" s="116"/>
      <c r="L16" s="116"/>
      <c r="M16" s="116"/>
      <c r="N16" s="116"/>
      <c r="O16" s="117"/>
    </row>
    <row r="17" spans="1:18" ht="168.75" customHeight="1" x14ac:dyDescent="0.2">
      <c r="A17" s="2"/>
      <c r="B17" s="32">
        <v>2</v>
      </c>
      <c r="C17" s="112" t="s">
        <v>319</v>
      </c>
      <c r="D17" s="112"/>
      <c r="E17" s="3" t="s">
        <v>50</v>
      </c>
      <c r="F17" s="3">
        <v>4</v>
      </c>
      <c r="G17" s="31">
        <f>SUM(H17:K17)</f>
        <v>2654816.5099999998</v>
      </c>
      <c r="H17" s="31">
        <f>H18</f>
        <v>1105969.72</v>
      </c>
      <c r="I17" s="31">
        <f>I18</f>
        <v>764307.56</v>
      </c>
      <c r="J17" s="12">
        <f>J18</f>
        <v>764307.56</v>
      </c>
      <c r="K17" s="31">
        <f>K18</f>
        <v>20231.669999999998</v>
      </c>
      <c r="L17" s="70" t="s">
        <v>147</v>
      </c>
      <c r="M17" s="18">
        <v>2018</v>
      </c>
      <c r="N17" s="3" t="s">
        <v>145</v>
      </c>
      <c r="O17" s="68" t="s">
        <v>86</v>
      </c>
    </row>
    <row r="18" spans="1:18" ht="149.25" customHeight="1" x14ac:dyDescent="0.2">
      <c r="A18" s="2"/>
      <c r="B18" s="32" t="s">
        <v>15</v>
      </c>
      <c r="C18" s="114" t="s">
        <v>148</v>
      </c>
      <c r="D18" s="114"/>
      <c r="E18" s="7" t="s">
        <v>50</v>
      </c>
      <c r="F18" s="3">
        <v>4</v>
      </c>
      <c r="G18" s="31">
        <f>SUM(H18:K18)</f>
        <v>2654816.5099999998</v>
      </c>
      <c r="H18" s="31">
        <f>ROUNDUP((I18/0.85*0.1275),2)+991323.58</f>
        <v>1105969.72</v>
      </c>
      <c r="I18" s="31">
        <f>764307.56</f>
        <v>764307.56</v>
      </c>
      <c r="J18" s="12">
        <f>I18</f>
        <v>764307.56</v>
      </c>
      <c r="K18" s="31">
        <f>ROUND((I18/0.85*0.0225),2)</f>
        <v>20231.669999999998</v>
      </c>
      <c r="L18" s="79" t="s">
        <v>310</v>
      </c>
      <c r="M18" s="3" t="s">
        <v>182</v>
      </c>
      <c r="N18" s="18">
        <v>2019</v>
      </c>
      <c r="O18" s="7" t="s">
        <v>86</v>
      </c>
      <c r="Q18" s="57"/>
      <c r="R18" s="57"/>
    </row>
    <row r="19" spans="1:18" ht="42.75" customHeight="1" x14ac:dyDescent="0.2">
      <c r="A19" s="2"/>
      <c r="B19" s="123" t="s">
        <v>132</v>
      </c>
      <c r="C19" s="116"/>
      <c r="D19" s="116"/>
      <c r="E19" s="116"/>
      <c r="F19" s="116"/>
      <c r="G19" s="116"/>
      <c r="H19" s="116"/>
      <c r="I19" s="116"/>
      <c r="J19" s="116"/>
      <c r="K19" s="116"/>
      <c r="L19" s="116"/>
      <c r="M19" s="116"/>
      <c r="N19" s="116"/>
      <c r="O19" s="117"/>
      <c r="Q19" s="57"/>
      <c r="R19" s="57"/>
    </row>
    <row r="20" spans="1:18" ht="107.25" customHeight="1" x14ac:dyDescent="0.2">
      <c r="A20" s="2"/>
      <c r="B20" s="92" t="s">
        <v>133</v>
      </c>
      <c r="C20" s="103"/>
      <c r="D20" s="103"/>
      <c r="E20" s="103"/>
      <c r="F20" s="103"/>
      <c r="G20" s="103"/>
      <c r="H20" s="103"/>
      <c r="I20" s="103"/>
      <c r="J20" s="103"/>
      <c r="K20" s="103"/>
      <c r="L20" s="103"/>
      <c r="M20" s="103"/>
      <c r="N20" s="103"/>
      <c r="O20" s="104"/>
      <c r="Q20" s="57"/>
      <c r="R20" s="57"/>
    </row>
    <row r="21" spans="1:18" ht="119.25" customHeight="1" x14ac:dyDescent="0.2">
      <c r="A21" s="2"/>
      <c r="B21" s="120" t="s">
        <v>138</v>
      </c>
      <c r="C21" s="116"/>
      <c r="D21" s="116"/>
      <c r="E21" s="116"/>
      <c r="F21" s="116"/>
      <c r="G21" s="116"/>
      <c r="H21" s="116"/>
      <c r="I21" s="116"/>
      <c r="J21" s="116"/>
      <c r="K21" s="116"/>
      <c r="L21" s="116"/>
      <c r="M21" s="116"/>
      <c r="N21" s="116"/>
      <c r="O21" s="117"/>
      <c r="Q21" s="57"/>
      <c r="R21" s="57"/>
    </row>
    <row r="22" spans="1:18" ht="170.25" customHeight="1" x14ac:dyDescent="0.2">
      <c r="A22" s="2"/>
      <c r="B22" s="32">
        <v>3</v>
      </c>
      <c r="C22" s="112" t="s">
        <v>320</v>
      </c>
      <c r="D22" s="112"/>
      <c r="E22" s="3" t="s">
        <v>63</v>
      </c>
      <c r="F22" s="3" t="s">
        <v>34</v>
      </c>
      <c r="G22" s="31">
        <f>SUM(H22:K22)</f>
        <v>609975.37999999989</v>
      </c>
      <c r="H22" s="31">
        <f>H23</f>
        <v>44366.55</v>
      </c>
      <c r="I22" s="31">
        <f>I23</f>
        <v>279110.31</v>
      </c>
      <c r="J22" s="12">
        <f>J23</f>
        <v>279110.31</v>
      </c>
      <c r="K22" s="31">
        <f>K23</f>
        <v>7388.21</v>
      </c>
      <c r="L22" s="70" t="s">
        <v>149</v>
      </c>
      <c r="M22" s="18">
        <v>2018</v>
      </c>
      <c r="N22" s="3" t="s">
        <v>134</v>
      </c>
      <c r="O22" s="68" t="s">
        <v>64</v>
      </c>
      <c r="Q22" s="57"/>
      <c r="R22" s="57"/>
    </row>
    <row r="23" spans="1:18" ht="147" customHeight="1" x14ac:dyDescent="0.2">
      <c r="A23" s="2"/>
      <c r="B23" s="32" t="s">
        <v>16</v>
      </c>
      <c r="C23" s="112" t="s">
        <v>154</v>
      </c>
      <c r="D23" s="112"/>
      <c r="E23" s="3" t="s">
        <v>63</v>
      </c>
      <c r="F23" s="3" t="s">
        <v>34</v>
      </c>
      <c r="G23" s="31">
        <f>SUM(H23:K23)</f>
        <v>609975.37999999989</v>
      </c>
      <c r="H23" s="31">
        <f>ROUND((I23/0.85*0.1275),2)+2500</f>
        <v>44366.55</v>
      </c>
      <c r="I23" s="31">
        <v>279110.31</v>
      </c>
      <c r="J23" s="12">
        <f>I23</f>
        <v>279110.31</v>
      </c>
      <c r="K23" s="31">
        <f>ROUND((I23/0.85*0.0225),2)</f>
        <v>7388.21</v>
      </c>
      <c r="L23" s="70" t="s">
        <v>195</v>
      </c>
      <c r="M23" s="3" t="s">
        <v>181</v>
      </c>
      <c r="N23" s="18">
        <v>2019</v>
      </c>
      <c r="O23" s="68" t="s">
        <v>64</v>
      </c>
      <c r="Q23" s="57"/>
      <c r="R23" s="57"/>
    </row>
    <row r="24" spans="1:18" s="10" customFormat="1" ht="30.75" customHeight="1" x14ac:dyDescent="0.2">
      <c r="A24" s="23"/>
      <c r="B24" s="118" t="s">
        <v>143</v>
      </c>
      <c r="C24" s="116"/>
      <c r="D24" s="116"/>
      <c r="E24" s="116"/>
      <c r="F24" s="116"/>
      <c r="G24" s="116"/>
      <c r="H24" s="116"/>
      <c r="I24" s="116"/>
      <c r="J24" s="116"/>
      <c r="K24" s="116"/>
      <c r="L24" s="116"/>
      <c r="M24" s="116"/>
      <c r="N24" s="116"/>
      <c r="O24" s="117"/>
    </row>
    <row r="25" spans="1:18" s="10" customFormat="1" ht="147.75" customHeight="1" x14ac:dyDescent="0.2">
      <c r="A25" s="23"/>
      <c r="B25" s="120" t="s">
        <v>155</v>
      </c>
      <c r="C25" s="121"/>
      <c r="D25" s="121"/>
      <c r="E25" s="121"/>
      <c r="F25" s="121"/>
      <c r="G25" s="121"/>
      <c r="H25" s="121"/>
      <c r="I25" s="121"/>
      <c r="J25" s="121"/>
      <c r="K25" s="121"/>
      <c r="L25" s="121"/>
      <c r="M25" s="121"/>
      <c r="N25" s="121"/>
      <c r="O25" s="122"/>
    </row>
    <row r="26" spans="1:18" s="10" customFormat="1" ht="78.75" customHeight="1" x14ac:dyDescent="0.2">
      <c r="A26" s="23"/>
      <c r="B26" s="92" t="s">
        <v>142</v>
      </c>
      <c r="C26" s="124"/>
      <c r="D26" s="124"/>
      <c r="E26" s="124"/>
      <c r="F26" s="124"/>
      <c r="G26" s="124"/>
      <c r="H26" s="124"/>
      <c r="I26" s="124"/>
      <c r="J26" s="124"/>
      <c r="K26" s="124"/>
      <c r="L26" s="124"/>
      <c r="M26" s="124"/>
      <c r="N26" s="124"/>
      <c r="O26" s="125"/>
    </row>
    <row r="27" spans="1:18" s="14" customFormat="1" ht="153" x14ac:dyDescent="0.2">
      <c r="A27" s="13"/>
      <c r="B27" s="7">
        <v>4</v>
      </c>
      <c r="C27" s="112" t="s">
        <v>321</v>
      </c>
      <c r="D27" s="112"/>
      <c r="E27" s="3" t="s">
        <v>50</v>
      </c>
      <c r="F27" s="40">
        <v>2</v>
      </c>
      <c r="G27" s="31">
        <f>SUM(H27:K27)</f>
        <v>179787.78999999998</v>
      </c>
      <c r="H27" s="31">
        <f>H28</f>
        <v>12390.78</v>
      </c>
      <c r="I27" s="31">
        <f>I28</f>
        <v>82605.2</v>
      </c>
      <c r="J27" s="12">
        <f>J28</f>
        <v>82605.2</v>
      </c>
      <c r="K27" s="31">
        <f>K28</f>
        <v>2186.61</v>
      </c>
      <c r="L27" s="70" t="s">
        <v>92</v>
      </c>
      <c r="M27" s="18">
        <v>2020</v>
      </c>
      <c r="N27" s="3" t="s">
        <v>135</v>
      </c>
      <c r="O27" s="68" t="s">
        <v>87</v>
      </c>
    </row>
    <row r="28" spans="1:18" s="14" customFormat="1" ht="102" x14ac:dyDescent="0.2">
      <c r="A28" s="13"/>
      <c r="B28" s="7" t="s">
        <v>17</v>
      </c>
      <c r="C28" s="112" t="s">
        <v>153</v>
      </c>
      <c r="D28" s="112"/>
      <c r="E28" s="3" t="s">
        <v>50</v>
      </c>
      <c r="F28" s="40">
        <v>2</v>
      </c>
      <c r="G28" s="31">
        <f>SUM(H28:K28)</f>
        <v>179787.78999999998</v>
      </c>
      <c r="H28" s="31">
        <f>ROUND(((97182.59)*0.1275),2)</f>
        <v>12390.78</v>
      </c>
      <c r="I28" s="31">
        <f>100000-17394.8</f>
        <v>82605.2</v>
      </c>
      <c r="J28" s="12">
        <f>100000-17394.8</f>
        <v>82605.2</v>
      </c>
      <c r="K28" s="31">
        <f>ROUND(((97182.59)*0.0225),2)</f>
        <v>2186.61</v>
      </c>
      <c r="L28" s="70" t="s">
        <v>196</v>
      </c>
      <c r="M28" s="3" t="s">
        <v>180</v>
      </c>
      <c r="N28" s="18">
        <v>2021</v>
      </c>
      <c r="O28" s="7" t="s">
        <v>87</v>
      </c>
      <c r="R28" s="33"/>
    </row>
    <row r="29" spans="1:18" ht="31.5" customHeight="1" x14ac:dyDescent="0.2">
      <c r="A29" s="2"/>
      <c r="B29" s="123" t="s">
        <v>136</v>
      </c>
      <c r="C29" s="116"/>
      <c r="D29" s="116"/>
      <c r="E29" s="116"/>
      <c r="F29" s="116"/>
      <c r="G29" s="116"/>
      <c r="H29" s="116"/>
      <c r="I29" s="116"/>
      <c r="J29" s="116"/>
      <c r="K29" s="116"/>
      <c r="L29" s="116"/>
      <c r="M29" s="116"/>
      <c r="N29" s="116"/>
      <c r="O29" s="117"/>
    </row>
    <row r="30" spans="1:18" ht="129" customHeight="1" x14ac:dyDescent="0.2">
      <c r="A30" s="2"/>
      <c r="B30" s="92" t="s">
        <v>137</v>
      </c>
      <c r="C30" s="103"/>
      <c r="D30" s="103"/>
      <c r="E30" s="103"/>
      <c r="F30" s="103"/>
      <c r="G30" s="103"/>
      <c r="H30" s="103"/>
      <c r="I30" s="103"/>
      <c r="J30" s="103"/>
      <c r="K30" s="103"/>
      <c r="L30" s="103"/>
      <c r="M30" s="103"/>
      <c r="N30" s="103"/>
      <c r="O30" s="104"/>
    </row>
    <row r="31" spans="1:18" ht="129.75" customHeight="1" x14ac:dyDescent="0.2">
      <c r="A31" s="2"/>
      <c r="B31" s="120" t="s">
        <v>282</v>
      </c>
      <c r="C31" s="116"/>
      <c r="D31" s="116"/>
      <c r="E31" s="116"/>
      <c r="F31" s="116"/>
      <c r="G31" s="116"/>
      <c r="H31" s="116"/>
      <c r="I31" s="116"/>
      <c r="J31" s="116"/>
      <c r="K31" s="116"/>
      <c r="L31" s="116"/>
      <c r="M31" s="116"/>
      <c r="N31" s="116"/>
      <c r="O31" s="117"/>
    </row>
    <row r="32" spans="1:18" s="14" customFormat="1" ht="156.75" customHeight="1" x14ac:dyDescent="0.2">
      <c r="A32" s="13"/>
      <c r="B32" s="7">
        <v>5</v>
      </c>
      <c r="C32" s="112" t="s">
        <v>318</v>
      </c>
      <c r="D32" s="112"/>
      <c r="E32" s="3" t="s">
        <v>63</v>
      </c>
      <c r="F32" s="3" t="s">
        <v>34</v>
      </c>
      <c r="G32" s="31">
        <f>G33</f>
        <v>609975.37999999989</v>
      </c>
      <c r="H32" s="31">
        <f>H33</f>
        <v>44366.55</v>
      </c>
      <c r="I32" s="31">
        <f>I33</f>
        <v>279110.31</v>
      </c>
      <c r="J32" s="12">
        <f>J33</f>
        <v>279110.31</v>
      </c>
      <c r="K32" s="31">
        <f>K33</f>
        <v>7388.21</v>
      </c>
      <c r="L32" s="70" t="s">
        <v>150</v>
      </c>
      <c r="M32" s="18">
        <v>2020</v>
      </c>
      <c r="N32" s="18" t="s">
        <v>151</v>
      </c>
      <c r="O32" s="68" t="s">
        <v>64</v>
      </c>
      <c r="Q32" s="33"/>
    </row>
    <row r="33" spans="1:19" ht="110.25" customHeight="1" x14ac:dyDescent="0.2">
      <c r="A33" s="2"/>
      <c r="B33" s="7" t="s">
        <v>18</v>
      </c>
      <c r="C33" s="112" t="s">
        <v>152</v>
      </c>
      <c r="D33" s="112"/>
      <c r="E33" s="3" t="s">
        <v>63</v>
      </c>
      <c r="F33" s="3" t="s">
        <v>34</v>
      </c>
      <c r="G33" s="31">
        <f>SUM(H33:K33)</f>
        <v>609975.37999999989</v>
      </c>
      <c r="H33" s="31">
        <f>ROUND((I33/0.85*0.1275),2)+2500</f>
        <v>44366.55</v>
      </c>
      <c r="I33" s="31">
        <v>279110.31</v>
      </c>
      <c r="J33" s="12">
        <f>I33</f>
        <v>279110.31</v>
      </c>
      <c r="K33" s="31">
        <f>ROUND((I33/0.85*0.0225),2)</f>
        <v>7388.21</v>
      </c>
      <c r="L33" s="70" t="s">
        <v>197</v>
      </c>
      <c r="M33" s="3" t="s">
        <v>179</v>
      </c>
      <c r="N33" s="18">
        <v>2021</v>
      </c>
      <c r="O33" s="68" t="s">
        <v>64</v>
      </c>
    </row>
    <row r="34" spans="1:19" ht="65.25" customHeight="1" x14ac:dyDescent="0.2">
      <c r="A34" s="2"/>
      <c r="B34" s="110" t="s">
        <v>81</v>
      </c>
      <c r="C34" s="119"/>
      <c r="D34" s="119"/>
      <c r="E34" s="119"/>
      <c r="F34" s="119"/>
      <c r="G34" s="119"/>
      <c r="H34" s="119"/>
      <c r="I34" s="119"/>
      <c r="J34" s="119"/>
      <c r="K34" s="119"/>
      <c r="L34" s="119"/>
      <c r="M34" s="119"/>
      <c r="N34" s="119"/>
      <c r="O34" s="119"/>
    </row>
    <row r="35" spans="1:19" s="10" customFormat="1" ht="20.25" customHeight="1" x14ac:dyDescent="0.2">
      <c r="A35" s="23"/>
      <c r="B35" s="126" t="s">
        <v>156</v>
      </c>
      <c r="C35" s="111"/>
      <c r="D35" s="111"/>
      <c r="E35" s="111"/>
      <c r="F35" s="111"/>
      <c r="G35" s="111"/>
      <c r="H35" s="111"/>
      <c r="I35" s="111"/>
      <c r="J35" s="111"/>
      <c r="K35" s="111"/>
      <c r="L35" s="111"/>
      <c r="M35" s="111"/>
      <c r="N35" s="111"/>
      <c r="O35" s="111"/>
    </row>
    <row r="36" spans="1:19" s="10" customFormat="1" ht="189.75" customHeight="1" x14ac:dyDescent="0.2">
      <c r="A36" s="23"/>
      <c r="B36" s="80" t="s">
        <v>113</v>
      </c>
      <c r="C36" s="80"/>
      <c r="D36" s="80"/>
      <c r="E36" s="80"/>
      <c r="F36" s="80"/>
      <c r="G36" s="80"/>
      <c r="H36" s="80"/>
      <c r="I36" s="80"/>
      <c r="J36" s="80"/>
      <c r="K36" s="80"/>
      <c r="L36" s="80"/>
      <c r="M36" s="80"/>
      <c r="N36" s="80"/>
      <c r="O36" s="80"/>
    </row>
    <row r="37" spans="1:19" s="10" customFormat="1" ht="242.25" customHeight="1" x14ac:dyDescent="0.2">
      <c r="A37" s="23"/>
      <c r="B37" s="127" t="s">
        <v>283</v>
      </c>
      <c r="C37" s="127"/>
      <c r="D37" s="127"/>
      <c r="E37" s="127"/>
      <c r="F37" s="127"/>
      <c r="G37" s="127"/>
      <c r="H37" s="127"/>
      <c r="I37" s="127"/>
      <c r="J37" s="127"/>
      <c r="K37" s="127"/>
      <c r="L37" s="127"/>
      <c r="M37" s="127"/>
      <c r="N37" s="127"/>
      <c r="O37" s="127"/>
    </row>
    <row r="38" spans="1:19" ht="187.5" customHeight="1" x14ac:dyDescent="0.2">
      <c r="A38" s="2"/>
      <c r="B38" s="7">
        <v>6</v>
      </c>
      <c r="C38" s="114" t="s">
        <v>342</v>
      </c>
      <c r="D38" s="128"/>
      <c r="E38" s="7" t="s">
        <v>51</v>
      </c>
      <c r="F38" s="7" t="s">
        <v>34</v>
      </c>
      <c r="G38" s="12">
        <f>SUM(H38:K38)</f>
        <v>2999999.9984999998</v>
      </c>
      <c r="H38" s="12">
        <f>H39</f>
        <v>2136969.9492250001</v>
      </c>
      <c r="I38" s="12">
        <f>I39</f>
        <v>840774.26</v>
      </c>
      <c r="J38" s="12" t="s">
        <v>34</v>
      </c>
      <c r="K38" s="12">
        <f>K39</f>
        <v>22255.789274999999</v>
      </c>
      <c r="L38" s="71" t="s">
        <v>303</v>
      </c>
      <c r="M38" s="15">
        <v>2019</v>
      </c>
      <c r="N38" s="15" t="s">
        <v>158</v>
      </c>
      <c r="O38" s="3" t="s">
        <v>14</v>
      </c>
    </row>
    <row r="39" spans="1:19" ht="95.25" customHeight="1" x14ac:dyDescent="0.2">
      <c r="A39" s="2"/>
      <c r="B39" s="7" t="s">
        <v>37</v>
      </c>
      <c r="C39" s="114" t="s">
        <v>157</v>
      </c>
      <c r="D39" s="128"/>
      <c r="E39" s="7" t="s">
        <v>51</v>
      </c>
      <c r="F39" s="7" t="s">
        <v>34</v>
      </c>
      <c r="G39" s="12">
        <f>SUM(H39:K39)</f>
        <v>2999999.9984999998</v>
      </c>
      <c r="H39" s="12">
        <f>ROUND((989146.19*0.1275),25)+2010853.81</f>
        <v>2136969.9492250001</v>
      </c>
      <c r="I39" s="12">
        <v>840774.26</v>
      </c>
      <c r="J39" s="12" t="s">
        <v>34</v>
      </c>
      <c r="K39" s="12">
        <f>ROUND((989146.19*0.0225),25)</f>
        <v>22255.789274999999</v>
      </c>
      <c r="L39" s="71" t="s">
        <v>198</v>
      </c>
      <c r="M39" s="15" t="s">
        <v>159</v>
      </c>
      <c r="N39" s="15">
        <v>2020</v>
      </c>
      <c r="O39" s="3" t="s">
        <v>14</v>
      </c>
      <c r="P39" s="57"/>
      <c r="Q39" s="57"/>
      <c r="R39" s="57"/>
      <c r="S39" s="57"/>
    </row>
    <row r="40" spans="1:19" s="10" customFormat="1" ht="19.5" customHeight="1" x14ac:dyDescent="0.2">
      <c r="A40" s="23"/>
      <c r="B40" s="126" t="s">
        <v>271</v>
      </c>
      <c r="C40" s="132"/>
      <c r="D40" s="132"/>
      <c r="E40" s="132"/>
      <c r="F40" s="132"/>
      <c r="G40" s="132"/>
      <c r="H40" s="132"/>
      <c r="I40" s="132"/>
      <c r="J40" s="132"/>
      <c r="K40" s="132"/>
      <c r="L40" s="132"/>
      <c r="M40" s="132"/>
      <c r="N40" s="132"/>
      <c r="O40" s="132"/>
    </row>
    <row r="41" spans="1:19" s="10" customFormat="1" ht="105" customHeight="1" x14ac:dyDescent="0.2">
      <c r="A41" s="23"/>
      <c r="B41" s="80" t="s">
        <v>114</v>
      </c>
      <c r="C41" s="80"/>
      <c r="D41" s="80"/>
      <c r="E41" s="80"/>
      <c r="F41" s="80"/>
      <c r="G41" s="80"/>
      <c r="H41" s="80"/>
      <c r="I41" s="80"/>
      <c r="J41" s="80"/>
      <c r="K41" s="80"/>
      <c r="L41" s="80"/>
      <c r="M41" s="80"/>
      <c r="N41" s="80"/>
      <c r="O41" s="80"/>
    </row>
    <row r="42" spans="1:19" s="10" customFormat="1" ht="222.75" customHeight="1" x14ac:dyDescent="0.2">
      <c r="A42" s="23"/>
      <c r="B42" s="80" t="s">
        <v>284</v>
      </c>
      <c r="C42" s="80"/>
      <c r="D42" s="80"/>
      <c r="E42" s="80"/>
      <c r="F42" s="80"/>
      <c r="G42" s="80"/>
      <c r="H42" s="80"/>
      <c r="I42" s="80"/>
      <c r="J42" s="80"/>
      <c r="K42" s="80"/>
      <c r="L42" s="80"/>
      <c r="M42" s="80"/>
      <c r="N42" s="80"/>
      <c r="O42" s="80"/>
    </row>
    <row r="43" spans="1:19" s="14" customFormat="1" ht="170.25" customHeight="1" x14ac:dyDescent="0.2">
      <c r="A43" s="13"/>
      <c r="B43" s="7">
        <v>7</v>
      </c>
      <c r="C43" s="84" t="s">
        <v>343</v>
      </c>
      <c r="D43" s="95"/>
      <c r="E43" s="7" t="s">
        <v>44</v>
      </c>
      <c r="F43" s="7" t="s">
        <v>34</v>
      </c>
      <c r="G43" s="12">
        <f>$G$44</f>
        <v>2604375.9200000004</v>
      </c>
      <c r="H43" s="19">
        <f>$H$44</f>
        <v>2120131.46</v>
      </c>
      <c r="I43" s="19">
        <f>$I$44</f>
        <v>471756.78</v>
      </c>
      <c r="J43" s="12" t="str">
        <f>$J$44</f>
        <v>-</v>
      </c>
      <c r="K43" s="19">
        <f>$K$44</f>
        <v>12487.68</v>
      </c>
      <c r="L43" s="71" t="s">
        <v>304</v>
      </c>
      <c r="M43" s="15">
        <v>2018</v>
      </c>
      <c r="N43" s="15" t="s">
        <v>115</v>
      </c>
      <c r="O43" s="7" t="s">
        <v>14</v>
      </c>
    </row>
    <row r="44" spans="1:19" s="14" customFormat="1" ht="70.5" customHeight="1" x14ac:dyDescent="0.2">
      <c r="A44" s="13"/>
      <c r="B44" s="3" t="s">
        <v>35</v>
      </c>
      <c r="C44" s="96" t="s">
        <v>160</v>
      </c>
      <c r="D44" s="97"/>
      <c r="E44" s="7" t="s">
        <v>44</v>
      </c>
      <c r="F44" s="3" t="s">
        <v>34</v>
      </c>
      <c r="G44" s="19">
        <f>SUM(H44:K44)</f>
        <v>2604375.9200000004</v>
      </c>
      <c r="H44" s="19">
        <f>ROUND((555007.98*0.1275),2)+2049367.94</f>
        <v>2120131.46</v>
      </c>
      <c r="I44" s="19">
        <v>471756.78</v>
      </c>
      <c r="J44" s="19" t="s">
        <v>34</v>
      </c>
      <c r="K44" s="19">
        <f>ROUND((555007.98*0.0225),2)</f>
        <v>12487.68</v>
      </c>
      <c r="L44" s="71" t="s">
        <v>198</v>
      </c>
      <c r="M44" s="3" t="s">
        <v>178</v>
      </c>
      <c r="N44" s="15">
        <v>2019</v>
      </c>
      <c r="O44" s="3" t="s">
        <v>14</v>
      </c>
      <c r="P44" s="33"/>
      <c r="Q44" s="33"/>
      <c r="R44" s="33"/>
    </row>
    <row r="45" spans="1:19" s="14" customFormat="1" ht="42" customHeight="1" x14ac:dyDescent="0.2">
      <c r="A45" s="13"/>
      <c r="B45" s="111" t="s">
        <v>278</v>
      </c>
      <c r="C45" s="132"/>
      <c r="D45" s="132"/>
      <c r="E45" s="132"/>
      <c r="F45" s="132"/>
      <c r="G45" s="132"/>
      <c r="H45" s="132"/>
      <c r="I45" s="132"/>
      <c r="J45" s="132"/>
      <c r="K45" s="132"/>
      <c r="L45" s="132"/>
      <c r="M45" s="132"/>
      <c r="N45" s="132"/>
      <c r="O45" s="132"/>
    </row>
    <row r="46" spans="1:19" s="14" customFormat="1" ht="91.5" customHeight="1" x14ac:dyDescent="0.2">
      <c r="A46" s="13"/>
      <c r="B46" s="80" t="s">
        <v>116</v>
      </c>
      <c r="C46" s="80"/>
      <c r="D46" s="80"/>
      <c r="E46" s="80"/>
      <c r="F46" s="80"/>
      <c r="G46" s="80"/>
      <c r="H46" s="80"/>
      <c r="I46" s="80"/>
      <c r="J46" s="80"/>
      <c r="K46" s="80"/>
      <c r="L46" s="80"/>
      <c r="M46" s="80"/>
      <c r="N46" s="80"/>
      <c r="O46" s="80"/>
    </row>
    <row r="47" spans="1:19" s="14" customFormat="1" ht="217.5" customHeight="1" x14ac:dyDescent="0.2">
      <c r="A47" s="13"/>
      <c r="B47" s="80" t="s">
        <v>161</v>
      </c>
      <c r="C47" s="80"/>
      <c r="D47" s="80"/>
      <c r="E47" s="80"/>
      <c r="F47" s="80"/>
      <c r="G47" s="80"/>
      <c r="H47" s="80"/>
      <c r="I47" s="80"/>
      <c r="J47" s="80"/>
      <c r="K47" s="80"/>
      <c r="L47" s="80"/>
      <c r="M47" s="80"/>
      <c r="N47" s="80"/>
      <c r="O47" s="80"/>
    </row>
    <row r="48" spans="1:19" s="35" customFormat="1" ht="195" customHeight="1" x14ac:dyDescent="0.2">
      <c r="A48" s="34"/>
      <c r="B48" s="7">
        <v>8</v>
      </c>
      <c r="C48" s="84" t="s">
        <v>344</v>
      </c>
      <c r="D48" s="95"/>
      <c r="E48" s="7" t="s">
        <v>44</v>
      </c>
      <c r="F48" s="36" t="s">
        <v>34</v>
      </c>
      <c r="G48" s="19">
        <v>858842.94</v>
      </c>
      <c r="H48" s="19">
        <f>ROUND((177190.35*0.1275),2)+681652.59</f>
        <v>704244.36</v>
      </c>
      <c r="I48" s="12">
        <f>I49</f>
        <v>150611.79999999999</v>
      </c>
      <c r="J48" s="56" t="s">
        <v>34</v>
      </c>
      <c r="K48" s="19">
        <f>ROUND((177190.35*0.0225),2)</f>
        <v>3986.78</v>
      </c>
      <c r="L48" s="60" t="s">
        <v>305</v>
      </c>
      <c r="M48" s="18">
        <v>2019</v>
      </c>
      <c r="N48" s="11" t="s">
        <v>163</v>
      </c>
      <c r="O48" s="3" t="s">
        <v>14</v>
      </c>
    </row>
    <row r="49" spans="1:18" s="14" customFormat="1" ht="69.75" customHeight="1" x14ac:dyDescent="0.2">
      <c r="A49" s="13"/>
      <c r="B49" s="3" t="s">
        <v>36</v>
      </c>
      <c r="C49" s="84" t="s">
        <v>274</v>
      </c>
      <c r="D49" s="95"/>
      <c r="E49" s="7" t="s">
        <v>44</v>
      </c>
      <c r="F49" s="3" t="s">
        <v>34</v>
      </c>
      <c r="G49" s="19">
        <f>SUM(H49:K49)</f>
        <v>858842.94</v>
      </c>
      <c r="H49" s="19">
        <f>ROUND((177190.35*0.1275),2)+681652.59</f>
        <v>704244.36</v>
      </c>
      <c r="I49" s="19">
        <v>150611.79999999999</v>
      </c>
      <c r="J49" s="19" t="s">
        <v>34</v>
      </c>
      <c r="K49" s="19">
        <f>ROUND((177190.35*0.0225),2)</f>
        <v>3986.78</v>
      </c>
      <c r="L49" s="71" t="s">
        <v>198</v>
      </c>
      <c r="M49" s="17" t="s">
        <v>162</v>
      </c>
      <c r="N49" s="15">
        <v>2020</v>
      </c>
      <c r="O49" s="3" t="s">
        <v>14</v>
      </c>
      <c r="P49" s="33"/>
      <c r="Q49" s="33"/>
      <c r="R49" s="33"/>
    </row>
    <row r="50" spans="1:18" s="10" customFormat="1" ht="29.25" customHeight="1" x14ac:dyDescent="0.2">
      <c r="A50" s="23"/>
      <c r="B50" s="89" t="s">
        <v>280</v>
      </c>
      <c r="C50" s="90"/>
      <c r="D50" s="90"/>
      <c r="E50" s="90"/>
      <c r="F50" s="90"/>
      <c r="G50" s="90"/>
      <c r="H50" s="90"/>
      <c r="I50" s="90"/>
      <c r="J50" s="90"/>
      <c r="K50" s="90"/>
      <c r="L50" s="90"/>
      <c r="M50" s="90"/>
      <c r="N50" s="90"/>
      <c r="O50" s="91"/>
    </row>
    <row r="51" spans="1:18" s="10" customFormat="1" ht="95.25" customHeight="1" x14ac:dyDescent="0.2">
      <c r="A51" s="23"/>
      <c r="B51" s="92" t="s">
        <v>117</v>
      </c>
      <c r="C51" s="93"/>
      <c r="D51" s="93"/>
      <c r="E51" s="93"/>
      <c r="F51" s="93"/>
      <c r="G51" s="93"/>
      <c r="H51" s="93"/>
      <c r="I51" s="93"/>
      <c r="J51" s="93"/>
      <c r="K51" s="93"/>
      <c r="L51" s="93"/>
      <c r="M51" s="93"/>
      <c r="N51" s="93"/>
      <c r="O51" s="94"/>
    </row>
    <row r="52" spans="1:18" s="10" customFormat="1" ht="152.25" customHeight="1" x14ac:dyDescent="0.2">
      <c r="A52" s="23"/>
      <c r="B52" s="92" t="s">
        <v>166</v>
      </c>
      <c r="C52" s="93"/>
      <c r="D52" s="93"/>
      <c r="E52" s="93"/>
      <c r="F52" s="93"/>
      <c r="G52" s="93"/>
      <c r="H52" s="93"/>
      <c r="I52" s="93"/>
      <c r="J52" s="93"/>
      <c r="K52" s="93"/>
      <c r="L52" s="93"/>
      <c r="M52" s="93"/>
      <c r="N52" s="93"/>
      <c r="O52" s="94"/>
    </row>
    <row r="53" spans="1:18" ht="186" customHeight="1" x14ac:dyDescent="0.2">
      <c r="A53" s="2"/>
      <c r="B53" s="3">
        <v>9</v>
      </c>
      <c r="C53" s="84" t="s">
        <v>345</v>
      </c>
      <c r="D53" s="95"/>
      <c r="E53" s="7" t="s">
        <v>44</v>
      </c>
      <c r="F53" s="3">
        <v>10</v>
      </c>
      <c r="G53" s="19">
        <f>SUM(G54)</f>
        <v>1263625.4100000001</v>
      </c>
      <c r="H53" s="19">
        <f>SUM(H54)</f>
        <v>552583.39</v>
      </c>
      <c r="I53" s="19">
        <f>SUM(I54)</f>
        <v>613490.14</v>
      </c>
      <c r="J53" s="19" t="s">
        <v>34</v>
      </c>
      <c r="K53" s="19">
        <f>SUM(K54)</f>
        <v>97551.88</v>
      </c>
      <c r="L53" s="71" t="s">
        <v>306</v>
      </c>
      <c r="M53" s="18">
        <v>2018</v>
      </c>
      <c r="N53" s="18" t="s">
        <v>164</v>
      </c>
      <c r="O53" s="3" t="s">
        <v>14</v>
      </c>
    </row>
    <row r="54" spans="1:18" ht="121.5" customHeight="1" x14ac:dyDescent="0.2">
      <c r="A54" s="2"/>
      <c r="B54" s="7" t="s">
        <v>38</v>
      </c>
      <c r="C54" s="84" t="s">
        <v>165</v>
      </c>
      <c r="D54" s="95"/>
      <c r="E54" s="7" t="s">
        <v>44</v>
      </c>
      <c r="F54" s="3">
        <v>10</v>
      </c>
      <c r="G54" s="19">
        <f>SUM(H54:K54)</f>
        <v>1263625.4100000001</v>
      </c>
      <c r="H54" s="19">
        <f>ROUND((1263625.41*0.4373),2)</f>
        <v>552583.39</v>
      </c>
      <c r="I54" s="41">
        <f>ROUND((0.4855*1263625.41),2)</f>
        <v>613490.14</v>
      </c>
      <c r="J54" s="19" t="s">
        <v>34</v>
      </c>
      <c r="K54" s="19">
        <f>ROUND((0.0772*1263625.41),2)</f>
        <v>97551.88</v>
      </c>
      <c r="L54" s="71" t="s">
        <v>199</v>
      </c>
      <c r="M54" s="17" t="s">
        <v>118</v>
      </c>
      <c r="N54" s="18">
        <v>2019</v>
      </c>
      <c r="O54" s="3" t="s">
        <v>14</v>
      </c>
      <c r="P54" s="57"/>
      <c r="Q54" s="57"/>
      <c r="R54" s="57"/>
    </row>
    <row r="55" spans="1:18" ht="28.5" customHeight="1" x14ac:dyDescent="0.2">
      <c r="A55" s="2"/>
      <c r="B55" s="89" t="s">
        <v>279</v>
      </c>
      <c r="C55" s="90"/>
      <c r="D55" s="90"/>
      <c r="E55" s="90"/>
      <c r="F55" s="90"/>
      <c r="G55" s="90"/>
      <c r="H55" s="90"/>
      <c r="I55" s="90"/>
      <c r="J55" s="90"/>
      <c r="K55" s="90"/>
      <c r="L55" s="90"/>
      <c r="M55" s="90"/>
      <c r="N55" s="90"/>
      <c r="O55" s="91"/>
    </row>
    <row r="56" spans="1:18" ht="100.5" customHeight="1" x14ac:dyDescent="0.2">
      <c r="A56" s="2"/>
      <c r="B56" s="92" t="s">
        <v>119</v>
      </c>
      <c r="C56" s="93"/>
      <c r="D56" s="93"/>
      <c r="E56" s="93"/>
      <c r="F56" s="93"/>
      <c r="G56" s="93"/>
      <c r="H56" s="93"/>
      <c r="I56" s="93"/>
      <c r="J56" s="93"/>
      <c r="K56" s="93"/>
      <c r="L56" s="93"/>
      <c r="M56" s="93"/>
      <c r="N56" s="93"/>
      <c r="O56" s="94"/>
    </row>
    <row r="57" spans="1:18" ht="132.75" customHeight="1" x14ac:dyDescent="0.2">
      <c r="A57" s="2"/>
      <c r="B57" s="92" t="s">
        <v>167</v>
      </c>
      <c r="C57" s="93"/>
      <c r="D57" s="93"/>
      <c r="E57" s="93"/>
      <c r="F57" s="93"/>
      <c r="G57" s="93"/>
      <c r="H57" s="93"/>
      <c r="I57" s="93"/>
      <c r="J57" s="93"/>
      <c r="K57" s="93"/>
      <c r="L57" s="93"/>
      <c r="M57" s="93"/>
      <c r="N57" s="93"/>
      <c r="O57" s="94"/>
    </row>
    <row r="58" spans="1:18" ht="177.75" customHeight="1" x14ac:dyDescent="0.2">
      <c r="A58" s="2"/>
      <c r="B58" s="7">
        <v>10</v>
      </c>
      <c r="C58" s="84" t="s">
        <v>346</v>
      </c>
      <c r="D58" s="95"/>
      <c r="E58" s="7" t="s">
        <v>44</v>
      </c>
      <c r="F58" s="7">
        <v>9</v>
      </c>
      <c r="G58" s="19">
        <f>G59</f>
        <v>147488.09</v>
      </c>
      <c r="H58" s="19">
        <f>H59</f>
        <v>58405.279999999999</v>
      </c>
      <c r="I58" s="41">
        <f>I59</f>
        <v>78773.39</v>
      </c>
      <c r="J58" s="19" t="s">
        <v>34</v>
      </c>
      <c r="K58" s="19">
        <f>K59</f>
        <v>10309.42</v>
      </c>
      <c r="L58" s="71" t="s">
        <v>307</v>
      </c>
      <c r="M58" s="18">
        <v>2018</v>
      </c>
      <c r="N58" s="18" t="s">
        <v>164</v>
      </c>
      <c r="O58" s="3" t="s">
        <v>14</v>
      </c>
    </row>
    <row r="59" spans="1:18" ht="125.25" customHeight="1" x14ac:dyDescent="0.2">
      <c r="A59" s="2"/>
      <c r="B59" s="7" t="s">
        <v>40</v>
      </c>
      <c r="C59" s="84" t="s">
        <v>168</v>
      </c>
      <c r="D59" s="95"/>
      <c r="E59" s="7" t="s">
        <v>44</v>
      </c>
      <c r="F59" s="3">
        <v>9</v>
      </c>
      <c r="G59" s="19">
        <f>SUM(H59:K59)</f>
        <v>147488.09</v>
      </c>
      <c r="H59" s="19">
        <f>ROUND((147488.09*0.396),2)</f>
        <v>58405.279999999999</v>
      </c>
      <c r="I59" s="41">
        <f>ROUND((147488.09*0.5341),2)</f>
        <v>78773.39</v>
      </c>
      <c r="J59" s="19" t="s">
        <v>34</v>
      </c>
      <c r="K59" s="19">
        <f>ROUND((147488.09*0.0699),2)</f>
        <v>10309.42</v>
      </c>
      <c r="L59" s="71" t="s">
        <v>199</v>
      </c>
      <c r="M59" s="17" t="s">
        <v>118</v>
      </c>
      <c r="N59" s="18">
        <v>2019</v>
      </c>
      <c r="O59" s="3" t="s">
        <v>14</v>
      </c>
      <c r="P59" s="57"/>
      <c r="Q59" s="57"/>
      <c r="R59" s="57"/>
    </row>
    <row r="60" spans="1:18" ht="26.25" customHeight="1" x14ac:dyDescent="0.2">
      <c r="A60" s="2"/>
      <c r="B60" s="89" t="s">
        <v>285</v>
      </c>
      <c r="C60" s="90"/>
      <c r="D60" s="90"/>
      <c r="E60" s="90"/>
      <c r="F60" s="90"/>
      <c r="G60" s="90"/>
      <c r="H60" s="90"/>
      <c r="I60" s="90"/>
      <c r="J60" s="90"/>
      <c r="K60" s="90"/>
      <c r="L60" s="90"/>
      <c r="M60" s="90"/>
      <c r="N60" s="90"/>
      <c r="O60" s="91"/>
      <c r="Q60" s="57"/>
    </row>
    <row r="61" spans="1:18" ht="73.5" customHeight="1" x14ac:dyDescent="0.2">
      <c r="A61" s="2"/>
      <c r="B61" s="92" t="s">
        <v>120</v>
      </c>
      <c r="C61" s="93"/>
      <c r="D61" s="93"/>
      <c r="E61" s="93"/>
      <c r="F61" s="93"/>
      <c r="G61" s="93"/>
      <c r="H61" s="93"/>
      <c r="I61" s="93"/>
      <c r="J61" s="93"/>
      <c r="K61" s="93"/>
      <c r="L61" s="93"/>
      <c r="M61" s="93"/>
      <c r="N61" s="93"/>
      <c r="O61" s="94"/>
    </row>
    <row r="62" spans="1:18" ht="164.25" customHeight="1" x14ac:dyDescent="0.2">
      <c r="A62" s="2"/>
      <c r="B62" s="92" t="s">
        <v>169</v>
      </c>
      <c r="C62" s="93"/>
      <c r="D62" s="93"/>
      <c r="E62" s="93"/>
      <c r="F62" s="93"/>
      <c r="G62" s="93"/>
      <c r="H62" s="93"/>
      <c r="I62" s="93"/>
      <c r="J62" s="93"/>
      <c r="K62" s="93"/>
      <c r="L62" s="93"/>
      <c r="M62" s="93"/>
      <c r="N62" s="93"/>
      <c r="O62" s="94"/>
    </row>
    <row r="63" spans="1:18" ht="188.25" customHeight="1" x14ac:dyDescent="0.2">
      <c r="A63" s="2"/>
      <c r="B63" s="7">
        <v>11</v>
      </c>
      <c r="C63" s="84" t="s">
        <v>347</v>
      </c>
      <c r="D63" s="95"/>
      <c r="E63" s="7" t="s">
        <v>44</v>
      </c>
      <c r="F63" s="3" t="s">
        <v>110</v>
      </c>
      <c r="G63" s="19">
        <f>G64</f>
        <v>1096887.54</v>
      </c>
      <c r="H63" s="19">
        <f>H64</f>
        <v>497009.88</v>
      </c>
      <c r="I63" s="19">
        <f>I64</f>
        <v>512648.6</v>
      </c>
      <c r="J63" s="19" t="s">
        <v>34</v>
      </c>
      <c r="K63" s="19">
        <f>K64</f>
        <v>87229.06</v>
      </c>
      <c r="L63" s="28" t="s">
        <v>308</v>
      </c>
      <c r="M63" s="18">
        <v>2018</v>
      </c>
      <c r="N63" s="17" t="s">
        <v>171</v>
      </c>
      <c r="O63" s="3" t="s">
        <v>14</v>
      </c>
    </row>
    <row r="64" spans="1:18" s="14" customFormat="1" ht="73.5" customHeight="1" x14ac:dyDescent="0.2">
      <c r="A64" s="13"/>
      <c r="B64" s="3">
        <v>11.1</v>
      </c>
      <c r="C64" s="84" t="s">
        <v>170</v>
      </c>
      <c r="D64" s="95"/>
      <c r="E64" s="7" t="s">
        <v>44</v>
      </c>
      <c r="F64" s="3" t="s">
        <v>110</v>
      </c>
      <c r="G64" s="19">
        <f>SUM(H64:K64)</f>
        <v>1096887.54</v>
      </c>
      <c r="H64" s="19">
        <f>ROUND((1094467.54*0.4519),2)+2420</f>
        <v>497009.88</v>
      </c>
      <c r="I64" s="41">
        <f>ROUND((1094467.54*0.4684),2)</f>
        <v>512648.6</v>
      </c>
      <c r="J64" s="19" t="s">
        <v>34</v>
      </c>
      <c r="K64" s="19">
        <f>ROUND((1094467.54*0.0797),2)</f>
        <v>87229.06</v>
      </c>
      <c r="L64" s="71" t="s">
        <v>198</v>
      </c>
      <c r="M64" s="17" t="s">
        <v>177</v>
      </c>
      <c r="N64" s="18">
        <v>2019</v>
      </c>
      <c r="O64" s="3" t="s">
        <v>14</v>
      </c>
      <c r="P64" s="33"/>
      <c r="Q64" s="33"/>
      <c r="R64" s="33"/>
    </row>
    <row r="65" spans="1:18" s="10" customFormat="1" ht="24" customHeight="1" x14ac:dyDescent="0.2">
      <c r="A65" s="23"/>
      <c r="B65" s="89" t="s">
        <v>286</v>
      </c>
      <c r="C65" s="90"/>
      <c r="D65" s="90"/>
      <c r="E65" s="90"/>
      <c r="F65" s="90"/>
      <c r="G65" s="90"/>
      <c r="H65" s="90"/>
      <c r="I65" s="90"/>
      <c r="J65" s="90"/>
      <c r="K65" s="90"/>
      <c r="L65" s="90"/>
      <c r="M65" s="90"/>
      <c r="N65" s="90"/>
      <c r="O65" s="91"/>
    </row>
    <row r="66" spans="1:18" s="10" customFormat="1" ht="117" customHeight="1" x14ac:dyDescent="0.2">
      <c r="A66" s="23"/>
      <c r="B66" s="92" t="s">
        <v>99</v>
      </c>
      <c r="C66" s="93"/>
      <c r="D66" s="93"/>
      <c r="E66" s="93"/>
      <c r="F66" s="93"/>
      <c r="G66" s="93"/>
      <c r="H66" s="93"/>
      <c r="I66" s="93"/>
      <c r="J66" s="93"/>
      <c r="K66" s="93"/>
      <c r="L66" s="93"/>
      <c r="M66" s="93"/>
      <c r="N66" s="93"/>
      <c r="O66" s="94"/>
    </row>
    <row r="67" spans="1:18" s="10" customFormat="1" ht="104.25" customHeight="1" x14ac:dyDescent="0.2">
      <c r="A67" s="23"/>
      <c r="B67" s="92" t="s">
        <v>172</v>
      </c>
      <c r="C67" s="93"/>
      <c r="D67" s="93"/>
      <c r="E67" s="93"/>
      <c r="F67" s="93"/>
      <c r="G67" s="93"/>
      <c r="H67" s="93"/>
      <c r="I67" s="93"/>
      <c r="J67" s="93"/>
      <c r="K67" s="93"/>
      <c r="L67" s="93"/>
      <c r="M67" s="93"/>
      <c r="N67" s="93"/>
      <c r="O67" s="94"/>
    </row>
    <row r="68" spans="1:18" s="14" customFormat="1" ht="189" customHeight="1" x14ac:dyDescent="0.2">
      <c r="A68" s="13"/>
      <c r="B68" s="7">
        <v>12</v>
      </c>
      <c r="C68" s="84" t="s">
        <v>348</v>
      </c>
      <c r="D68" s="85"/>
      <c r="E68" s="7" t="s">
        <v>52</v>
      </c>
      <c r="F68" s="7" t="s">
        <v>34</v>
      </c>
      <c r="G68" s="12">
        <f>SUM(G69:G69)</f>
        <v>154792.13</v>
      </c>
      <c r="H68" s="12">
        <f>SUM(H69:H69)</f>
        <v>68408.44</v>
      </c>
      <c r="I68" s="12">
        <f>SUM(I69:I69)</f>
        <v>84156.03</v>
      </c>
      <c r="J68" s="12" t="s">
        <v>34</v>
      </c>
      <c r="K68" s="12">
        <f>SUM(K69:K69)</f>
        <v>2227.66</v>
      </c>
      <c r="L68" s="71" t="s">
        <v>309</v>
      </c>
      <c r="M68" s="15">
        <v>2019</v>
      </c>
      <c r="N68" s="17" t="s">
        <v>296</v>
      </c>
      <c r="O68" s="3" t="s">
        <v>14</v>
      </c>
    </row>
    <row r="69" spans="1:18" s="14" customFormat="1" ht="66.75" customHeight="1" x14ac:dyDescent="0.2">
      <c r="A69" s="13"/>
      <c r="B69" s="7">
        <v>12.1</v>
      </c>
      <c r="C69" s="84" t="s">
        <v>349</v>
      </c>
      <c r="D69" s="85"/>
      <c r="E69" s="7" t="s">
        <v>52</v>
      </c>
      <c r="F69" s="7" t="s">
        <v>34</v>
      </c>
      <c r="G69" s="19">
        <f>SUM(H69:K69)</f>
        <v>154792.13</v>
      </c>
      <c r="H69" s="19">
        <f>ROUND((99007.09*0.1275),2)+55785.04</f>
        <v>68408.44</v>
      </c>
      <c r="I69" s="41">
        <f>ROUND((99007.09*0.85),2)</f>
        <v>84156.03</v>
      </c>
      <c r="J69" s="19" t="s">
        <v>34</v>
      </c>
      <c r="K69" s="19">
        <f>ROUND((99007.09*0.0225),2)</f>
        <v>2227.66</v>
      </c>
      <c r="L69" s="71" t="s">
        <v>198</v>
      </c>
      <c r="M69" s="15" t="s">
        <v>93</v>
      </c>
      <c r="N69" s="18">
        <v>2020</v>
      </c>
      <c r="O69" s="3" t="s">
        <v>14</v>
      </c>
      <c r="P69" s="33"/>
      <c r="Q69" s="33"/>
      <c r="R69" s="33"/>
    </row>
    <row r="70" spans="1:18" s="10" customFormat="1" ht="20.25" customHeight="1" x14ac:dyDescent="0.2">
      <c r="A70" s="23"/>
      <c r="B70" s="89" t="s">
        <v>82</v>
      </c>
      <c r="C70" s="90"/>
      <c r="D70" s="90"/>
      <c r="E70" s="90"/>
      <c r="F70" s="90"/>
      <c r="G70" s="90"/>
      <c r="H70" s="90"/>
      <c r="I70" s="90"/>
      <c r="J70" s="90"/>
      <c r="K70" s="90"/>
      <c r="L70" s="90"/>
      <c r="M70" s="90"/>
      <c r="N70" s="90"/>
      <c r="O70" s="91"/>
    </row>
    <row r="71" spans="1:18" s="10" customFormat="1" ht="88.5" customHeight="1" x14ac:dyDescent="0.2">
      <c r="A71" s="23"/>
      <c r="B71" s="92" t="s">
        <v>89</v>
      </c>
      <c r="C71" s="93"/>
      <c r="D71" s="93"/>
      <c r="E71" s="93"/>
      <c r="F71" s="93"/>
      <c r="G71" s="93"/>
      <c r="H71" s="93"/>
      <c r="I71" s="93"/>
      <c r="J71" s="93"/>
      <c r="K71" s="93"/>
      <c r="L71" s="93"/>
      <c r="M71" s="93"/>
      <c r="N71" s="93"/>
      <c r="O71" s="94"/>
    </row>
    <row r="72" spans="1:18" s="10" customFormat="1" ht="56.25" customHeight="1" x14ac:dyDescent="0.2">
      <c r="A72" s="23"/>
      <c r="B72" s="81" t="s">
        <v>175</v>
      </c>
      <c r="C72" s="82"/>
      <c r="D72" s="82"/>
      <c r="E72" s="82"/>
      <c r="F72" s="82"/>
      <c r="G72" s="82"/>
      <c r="H72" s="82"/>
      <c r="I72" s="82"/>
      <c r="J72" s="82"/>
      <c r="K72" s="82"/>
      <c r="L72" s="82"/>
      <c r="M72" s="82"/>
      <c r="N72" s="82"/>
      <c r="O72" s="83"/>
    </row>
    <row r="73" spans="1:18" ht="198.75" customHeight="1" x14ac:dyDescent="0.2">
      <c r="A73" s="2"/>
      <c r="B73" s="7">
        <v>13</v>
      </c>
      <c r="C73" s="84" t="s">
        <v>350</v>
      </c>
      <c r="D73" s="85"/>
      <c r="E73" s="7" t="s">
        <v>53</v>
      </c>
      <c r="F73" s="7" t="s">
        <v>34</v>
      </c>
      <c r="G73" s="12">
        <f>G74</f>
        <v>27651.98</v>
      </c>
      <c r="H73" s="12">
        <f>H74</f>
        <v>3525.63</v>
      </c>
      <c r="I73" s="12">
        <v>23504.18</v>
      </c>
      <c r="J73" s="12" t="s">
        <v>34</v>
      </c>
      <c r="K73" s="12">
        <f>K74</f>
        <v>622.16999999999996</v>
      </c>
      <c r="L73" s="71" t="s">
        <v>121</v>
      </c>
      <c r="M73" s="15">
        <v>2020</v>
      </c>
      <c r="N73" s="11" t="s">
        <v>173</v>
      </c>
      <c r="O73" s="3" t="s">
        <v>14</v>
      </c>
    </row>
    <row r="74" spans="1:18" ht="72.75" customHeight="1" x14ac:dyDescent="0.2">
      <c r="A74" s="2"/>
      <c r="B74" s="7" t="s">
        <v>73</v>
      </c>
      <c r="C74" s="84" t="s">
        <v>176</v>
      </c>
      <c r="D74" s="85"/>
      <c r="E74" s="7" t="s">
        <v>53</v>
      </c>
      <c r="F74" s="7" t="s">
        <v>34</v>
      </c>
      <c r="G74" s="12">
        <f>SUM(H74:K74)</f>
        <v>27651.98</v>
      </c>
      <c r="H74" s="12">
        <f>ROUND((27651.98*0.1275),2)</f>
        <v>3525.63</v>
      </c>
      <c r="I74" s="12">
        <v>23504.18</v>
      </c>
      <c r="J74" s="12" t="s">
        <v>34</v>
      </c>
      <c r="K74" s="12">
        <f>ROUND((27651.98*0.0225),2)</f>
        <v>622.16999999999996</v>
      </c>
      <c r="L74" s="71" t="s">
        <v>198</v>
      </c>
      <c r="M74" s="11" t="s">
        <v>174</v>
      </c>
      <c r="N74" s="15">
        <v>2021</v>
      </c>
      <c r="O74" s="3" t="s">
        <v>14</v>
      </c>
    </row>
    <row r="75" spans="1:18" ht="32.25" customHeight="1" x14ac:dyDescent="0.2">
      <c r="A75" s="2"/>
      <c r="B75" s="89" t="s">
        <v>83</v>
      </c>
      <c r="C75" s="90"/>
      <c r="D75" s="90"/>
      <c r="E75" s="90"/>
      <c r="F75" s="90"/>
      <c r="G75" s="90"/>
      <c r="H75" s="90"/>
      <c r="I75" s="90"/>
      <c r="J75" s="90"/>
      <c r="K75" s="90"/>
      <c r="L75" s="90"/>
      <c r="M75" s="90"/>
      <c r="N75" s="90"/>
      <c r="O75" s="91"/>
    </row>
    <row r="76" spans="1:18" ht="68.25" customHeight="1" x14ac:dyDescent="0.2">
      <c r="A76" s="2"/>
      <c r="B76" s="92" t="s">
        <v>100</v>
      </c>
      <c r="C76" s="93"/>
      <c r="D76" s="93"/>
      <c r="E76" s="93"/>
      <c r="F76" s="93"/>
      <c r="G76" s="93"/>
      <c r="H76" s="93"/>
      <c r="I76" s="93"/>
      <c r="J76" s="93"/>
      <c r="K76" s="93"/>
      <c r="L76" s="93"/>
      <c r="M76" s="93"/>
      <c r="N76" s="93"/>
      <c r="O76" s="94"/>
    </row>
    <row r="77" spans="1:18" ht="64.5" customHeight="1" x14ac:dyDescent="0.2">
      <c r="A77" s="2"/>
      <c r="B77" s="81" t="s">
        <v>184</v>
      </c>
      <c r="C77" s="82"/>
      <c r="D77" s="82"/>
      <c r="E77" s="82"/>
      <c r="F77" s="82"/>
      <c r="G77" s="82"/>
      <c r="H77" s="82"/>
      <c r="I77" s="82"/>
      <c r="J77" s="82"/>
      <c r="K77" s="82"/>
      <c r="L77" s="82"/>
      <c r="M77" s="82"/>
      <c r="N77" s="82"/>
      <c r="O77" s="83"/>
    </row>
    <row r="78" spans="1:18" ht="200.25" customHeight="1" x14ac:dyDescent="0.2">
      <c r="A78" s="2"/>
      <c r="B78" s="7">
        <v>14</v>
      </c>
      <c r="C78" s="84" t="s">
        <v>351</v>
      </c>
      <c r="D78" s="85"/>
      <c r="E78" s="7" t="s">
        <v>53</v>
      </c>
      <c r="F78" s="36" t="str">
        <f>$F$79</f>
        <v>-</v>
      </c>
      <c r="G78" s="19">
        <v>170768.12</v>
      </c>
      <c r="H78" s="19">
        <v>34860.44</v>
      </c>
      <c r="I78" s="19">
        <v>132402.9</v>
      </c>
      <c r="J78" s="19" t="s">
        <v>34</v>
      </c>
      <c r="K78" s="19">
        <v>3504.78</v>
      </c>
      <c r="L78" s="71" t="s">
        <v>122</v>
      </c>
      <c r="M78" s="15">
        <v>2020</v>
      </c>
      <c r="N78" s="11" t="s">
        <v>183</v>
      </c>
      <c r="O78" s="3" t="s">
        <v>14</v>
      </c>
    </row>
    <row r="79" spans="1:18" ht="66" customHeight="1" x14ac:dyDescent="0.2">
      <c r="A79" s="2"/>
      <c r="B79" s="7" t="s">
        <v>41</v>
      </c>
      <c r="C79" s="84" t="s">
        <v>185</v>
      </c>
      <c r="D79" s="85"/>
      <c r="E79" s="7" t="s">
        <v>53</v>
      </c>
      <c r="F79" s="7" t="s">
        <v>34</v>
      </c>
      <c r="G79" s="12">
        <f>SUM(H79:K79)</f>
        <v>170768.12</v>
      </c>
      <c r="H79" s="12">
        <f>ROUND((155768.12*0.1275),2)+15000</f>
        <v>34860.44</v>
      </c>
      <c r="I79" s="12">
        <v>132402.9</v>
      </c>
      <c r="J79" s="12" t="s">
        <v>34</v>
      </c>
      <c r="K79" s="12">
        <f>ROUND((155768.12*0.0225),2)</f>
        <v>3504.78</v>
      </c>
      <c r="L79" s="71" t="s">
        <v>198</v>
      </c>
      <c r="M79" s="11" t="s">
        <v>186</v>
      </c>
      <c r="N79" s="15">
        <v>2021</v>
      </c>
      <c r="O79" s="3" t="s">
        <v>14</v>
      </c>
    </row>
    <row r="80" spans="1:18" ht="27" customHeight="1" x14ac:dyDescent="0.2">
      <c r="A80" s="2"/>
      <c r="B80" s="118" t="s">
        <v>187</v>
      </c>
      <c r="C80" s="90"/>
      <c r="D80" s="90"/>
      <c r="E80" s="90"/>
      <c r="F80" s="90"/>
      <c r="G80" s="90"/>
      <c r="H80" s="90"/>
      <c r="I80" s="90"/>
      <c r="J80" s="90"/>
      <c r="K80" s="90"/>
      <c r="L80" s="90"/>
      <c r="M80" s="90"/>
      <c r="N80" s="90"/>
      <c r="O80" s="91"/>
    </row>
    <row r="81" spans="1:18" ht="64.5" customHeight="1" x14ac:dyDescent="0.2">
      <c r="A81" s="2"/>
      <c r="B81" s="92" t="s">
        <v>88</v>
      </c>
      <c r="C81" s="93"/>
      <c r="D81" s="93"/>
      <c r="E81" s="93"/>
      <c r="F81" s="93"/>
      <c r="G81" s="93"/>
      <c r="H81" s="93"/>
      <c r="I81" s="93"/>
      <c r="J81" s="93"/>
      <c r="K81" s="93"/>
      <c r="L81" s="93"/>
      <c r="M81" s="93"/>
      <c r="N81" s="93"/>
      <c r="O81" s="94"/>
    </row>
    <row r="82" spans="1:18" ht="75" customHeight="1" x14ac:dyDescent="0.2">
      <c r="A82" s="2"/>
      <c r="B82" s="145" t="s">
        <v>188</v>
      </c>
      <c r="C82" s="146"/>
      <c r="D82" s="146"/>
      <c r="E82" s="146"/>
      <c r="F82" s="146"/>
      <c r="G82" s="146"/>
      <c r="H82" s="146"/>
      <c r="I82" s="146"/>
      <c r="J82" s="146"/>
      <c r="K82" s="146"/>
      <c r="L82" s="146"/>
      <c r="M82" s="146"/>
      <c r="N82" s="146"/>
      <c r="O82" s="147"/>
    </row>
    <row r="83" spans="1:18" s="25" customFormat="1" ht="195" customHeight="1" x14ac:dyDescent="0.2">
      <c r="B83" s="7">
        <v>15</v>
      </c>
      <c r="C83" s="114" t="s">
        <v>352</v>
      </c>
      <c r="D83" s="115"/>
      <c r="E83" s="7" t="s">
        <v>94</v>
      </c>
      <c r="F83" s="36" t="s">
        <v>34</v>
      </c>
      <c r="G83" s="37">
        <v>115487.81</v>
      </c>
      <c r="H83" s="37">
        <v>41306.83</v>
      </c>
      <c r="I83" s="37">
        <v>72268</v>
      </c>
      <c r="J83" s="37" t="s">
        <v>34</v>
      </c>
      <c r="K83" s="37">
        <v>1912.98</v>
      </c>
      <c r="L83" s="71" t="s">
        <v>123</v>
      </c>
      <c r="M83" s="39">
        <v>2020</v>
      </c>
      <c r="N83" s="38" t="s">
        <v>191</v>
      </c>
      <c r="O83" s="24" t="s">
        <v>14</v>
      </c>
    </row>
    <row r="84" spans="1:18" s="14" customFormat="1" ht="77.25" customHeight="1" x14ac:dyDescent="0.2">
      <c r="A84" s="13"/>
      <c r="B84" s="65" t="s">
        <v>46</v>
      </c>
      <c r="C84" s="140" t="s">
        <v>189</v>
      </c>
      <c r="D84" s="141"/>
      <c r="E84" s="7" t="s">
        <v>94</v>
      </c>
      <c r="F84" s="37" t="s">
        <v>34</v>
      </c>
      <c r="G84" s="37">
        <f>SUM(H84:K84)</f>
        <v>115487.81</v>
      </c>
      <c r="H84" s="37">
        <f>ROUND((85021.18*0.1275),2)+19967.74+10498.89</f>
        <v>41306.83</v>
      </c>
      <c r="I84" s="37">
        <v>72268</v>
      </c>
      <c r="J84" s="37" t="s">
        <v>34</v>
      </c>
      <c r="K84" s="37">
        <f>ROUND((85021.18*0.0225),2)</f>
        <v>1912.98</v>
      </c>
      <c r="L84" s="71" t="s">
        <v>198</v>
      </c>
      <c r="M84" s="38" t="s">
        <v>190</v>
      </c>
      <c r="N84" s="39">
        <v>2021</v>
      </c>
      <c r="O84" s="24" t="s">
        <v>14</v>
      </c>
    </row>
    <row r="85" spans="1:18" s="10" customFormat="1" ht="42.75" customHeight="1" x14ac:dyDescent="0.2">
      <c r="A85" s="23"/>
      <c r="B85" s="105" t="s">
        <v>80</v>
      </c>
      <c r="C85" s="106"/>
      <c r="D85" s="106"/>
      <c r="E85" s="106"/>
      <c r="F85" s="106"/>
      <c r="G85" s="106"/>
      <c r="H85" s="106"/>
      <c r="I85" s="106"/>
      <c r="J85" s="106"/>
      <c r="K85" s="106"/>
      <c r="L85" s="106"/>
      <c r="M85" s="106"/>
      <c r="N85" s="106"/>
      <c r="O85" s="107"/>
    </row>
    <row r="86" spans="1:18" s="10" customFormat="1" ht="27" customHeight="1" x14ac:dyDescent="0.2">
      <c r="A86" s="23"/>
      <c r="B86" s="118" t="s">
        <v>95</v>
      </c>
      <c r="C86" s="150"/>
      <c r="D86" s="150"/>
      <c r="E86" s="150"/>
      <c r="F86" s="150"/>
      <c r="G86" s="150"/>
      <c r="H86" s="150"/>
      <c r="I86" s="150"/>
      <c r="J86" s="150"/>
      <c r="K86" s="150"/>
      <c r="L86" s="150"/>
      <c r="M86" s="150"/>
      <c r="N86" s="150"/>
      <c r="O86" s="151"/>
    </row>
    <row r="87" spans="1:18" s="10" customFormat="1" ht="178.5" customHeight="1" x14ac:dyDescent="0.2">
      <c r="A87" s="23"/>
      <c r="B87" s="92" t="s">
        <v>96</v>
      </c>
      <c r="C87" s="93"/>
      <c r="D87" s="93"/>
      <c r="E87" s="93"/>
      <c r="F87" s="93"/>
      <c r="G87" s="93"/>
      <c r="H87" s="93"/>
      <c r="I87" s="93"/>
      <c r="J87" s="93"/>
      <c r="K87" s="93"/>
      <c r="L87" s="93"/>
      <c r="M87" s="93"/>
      <c r="N87" s="93"/>
      <c r="O87" s="94"/>
    </row>
    <row r="88" spans="1:18" s="10" customFormat="1" ht="112.5" customHeight="1" x14ac:dyDescent="0.2">
      <c r="A88" s="25"/>
      <c r="B88" s="92" t="s">
        <v>60</v>
      </c>
      <c r="C88" s="93"/>
      <c r="D88" s="93"/>
      <c r="E88" s="93"/>
      <c r="F88" s="93"/>
      <c r="G88" s="93"/>
      <c r="H88" s="93"/>
      <c r="I88" s="93"/>
      <c r="J88" s="93"/>
      <c r="K88" s="93"/>
      <c r="L88" s="93"/>
      <c r="M88" s="93"/>
      <c r="N88" s="93"/>
      <c r="O88" s="94"/>
    </row>
    <row r="89" spans="1:18" ht="235.5" customHeight="1" x14ac:dyDescent="0.2">
      <c r="A89" s="6"/>
      <c r="B89" s="7">
        <v>16</v>
      </c>
      <c r="C89" s="114" t="s">
        <v>353</v>
      </c>
      <c r="D89" s="115"/>
      <c r="E89" s="7" t="s">
        <v>124</v>
      </c>
      <c r="F89" s="7" t="s">
        <v>105</v>
      </c>
      <c r="G89" s="12">
        <f>SUM(H89:K89)</f>
        <v>13488844.4</v>
      </c>
      <c r="H89" s="12">
        <f>H90</f>
        <v>1775844.4</v>
      </c>
      <c r="I89" s="12">
        <f>I90</f>
        <v>5780000</v>
      </c>
      <c r="J89" s="12">
        <f>J90</f>
        <v>5780000</v>
      </c>
      <c r="K89" s="12">
        <f>K90</f>
        <v>153000</v>
      </c>
      <c r="L89" s="29" t="s">
        <v>272</v>
      </c>
      <c r="M89" s="15">
        <v>2018</v>
      </c>
      <c r="N89" s="15" t="s">
        <v>193</v>
      </c>
      <c r="O89" s="3" t="s">
        <v>70</v>
      </c>
    </row>
    <row r="90" spans="1:18" ht="147.75" customHeight="1" x14ac:dyDescent="0.2">
      <c r="A90" s="6"/>
      <c r="B90" s="7" t="s">
        <v>42</v>
      </c>
      <c r="C90" s="114" t="s">
        <v>55</v>
      </c>
      <c r="D90" s="115"/>
      <c r="E90" s="7" t="s">
        <v>124</v>
      </c>
      <c r="F90" s="7" t="s">
        <v>105</v>
      </c>
      <c r="G90" s="12">
        <f>SUM(H90:K90)</f>
        <v>13488844.4</v>
      </c>
      <c r="H90" s="12">
        <f>ROUND((6800000*0.1275),2)+1084243.19-175398.79</f>
        <v>1775844.4</v>
      </c>
      <c r="I90" s="12">
        <f>ROUND((6800000*0.85),2)</f>
        <v>5780000</v>
      </c>
      <c r="J90" s="12">
        <f>I90</f>
        <v>5780000</v>
      </c>
      <c r="K90" s="12">
        <f>ROUND((6800000*0.0225),2)</f>
        <v>153000</v>
      </c>
      <c r="L90" s="29" t="s">
        <v>200</v>
      </c>
      <c r="M90" s="15" t="s">
        <v>192</v>
      </c>
      <c r="N90" s="15">
        <v>2020</v>
      </c>
      <c r="O90" s="3" t="s">
        <v>70</v>
      </c>
      <c r="P90" s="57"/>
      <c r="Q90" s="57"/>
      <c r="R90" s="57"/>
    </row>
    <row r="91" spans="1:18" s="10" customFormat="1" ht="36.75" customHeight="1" x14ac:dyDescent="0.2">
      <c r="A91" s="25"/>
      <c r="B91" s="129" t="s">
        <v>288</v>
      </c>
      <c r="C91" s="130"/>
      <c r="D91" s="130"/>
      <c r="E91" s="130"/>
      <c r="F91" s="130"/>
      <c r="G91" s="130"/>
      <c r="H91" s="130"/>
      <c r="I91" s="130"/>
      <c r="J91" s="130"/>
      <c r="K91" s="130"/>
      <c r="L91" s="130"/>
      <c r="M91" s="130"/>
      <c r="N91" s="130"/>
      <c r="O91" s="131"/>
    </row>
    <row r="92" spans="1:18" s="10" customFormat="1" ht="150" customHeight="1" x14ac:dyDescent="0.2">
      <c r="A92" s="25"/>
      <c r="B92" s="92" t="s">
        <v>205</v>
      </c>
      <c r="C92" s="93"/>
      <c r="D92" s="93"/>
      <c r="E92" s="93"/>
      <c r="F92" s="93"/>
      <c r="G92" s="93"/>
      <c r="H92" s="93"/>
      <c r="I92" s="93"/>
      <c r="J92" s="93"/>
      <c r="K92" s="93"/>
      <c r="L92" s="93"/>
      <c r="M92" s="93"/>
      <c r="N92" s="93"/>
      <c r="O92" s="94"/>
    </row>
    <row r="93" spans="1:18" s="10" customFormat="1" ht="182.25" customHeight="1" x14ac:dyDescent="0.2">
      <c r="A93" s="25"/>
      <c r="B93" s="92" t="s">
        <v>287</v>
      </c>
      <c r="C93" s="93"/>
      <c r="D93" s="93"/>
      <c r="E93" s="93"/>
      <c r="F93" s="93"/>
      <c r="G93" s="93"/>
      <c r="H93" s="93"/>
      <c r="I93" s="93"/>
      <c r="J93" s="93"/>
      <c r="K93" s="93"/>
      <c r="L93" s="93"/>
      <c r="M93" s="93"/>
      <c r="N93" s="93"/>
      <c r="O93" s="94"/>
    </row>
    <row r="94" spans="1:18" s="14" customFormat="1" ht="260.25" customHeight="1" x14ac:dyDescent="0.2">
      <c r="A94" s="20"/>
      <c r="B94" s="7">
        <v>17</v>
      </c>
      <c r="C94" s="84" t="s">
        <v>354</v>
      </c>
      <c r="D94" s="87"/>
      <c r="E94" s="7" t="s">
        <v>125</v>
      </c>
      <c r="F94" s="7" t="s">
        <v>106</v>
      </c>
      <c r="G94" s="12">
        <f t="shared" ref="G94:J94" si="0">SUM(G95:G96)</f>
        <v>2767799.18</v>
      </c>
      <c r="H94" s="12">
        <f>SUM(H95:H96)</f>
        <v>295505.06</v>
      </c>
      <c r="I94" s="12">
        <f t="shared" si="0"/>
        <v>1220000</v>
      </c>
      <c r="J94" s="12">
        <f t="shared" si="0"/>
        <v>1220000</v>
      </c>
      <c r="K94" s="12">
        <f>SUM(K95:K96)</f>
        <v>32294.12</v>
      </c>
      <c r="L94" s="29" t="s">
        <v>126</v>
      </c>
      <c r="M94" s="15">
        <v>2018</v>
      </c>
      <c r="N94" s="15" t="s">
        <v>201</v>
      </c>
      <c r="O94" s="3" t="s">
        <v>67</v>
      </c>
    </row>
    <row r="95" spans="1:18" s="14" customFormat="1" ht="118.5" customHeight="1" x14ac:dyDescent="0.2">
      <c r="A95" s="20"/>
      <c r="B95" s="7" t="s">
        <v>103</v>
      </c>
      <c r="C95" s="84" t="s">
        <v>203</v>
      </c>
      <c r="D95" s="87"/>
      <c r="E95" s="7" t="s">
        <v>125</v>
      </c>
      <c r="F95" s="7" t="s">
        <v>106</v>
      </c>
      <c r="G95" s="12">
        <f>SUM(H95:K95)</f>
        <v>2200355.41</v>
      </c>
      <c r="H95" s="12">
        <f>ROUND((1129919.11*0.1275),2)+110005.06</f>
        <v>254069.75</v>
      </c>
      <c r="I95" s="12">
        <f>ROUND((1129919.11*0.85),2)</f>
        <v>960431.24</v>
      </c>
      <c r="J95" s="12">
        <f>I95</f>
        <v>960431.24</v>
      </c>
      <c r="K95" s="12">
        <f>ROUND((1129919.11*0.0225),2)</f>
        <v>25423.18</v>
      </c>
      <c r="L95" s="29" t="s">
        <v>206</v>
      </c>
      <c r="M95" s="15" t="s">
        <v>202</v>
      </c>
      <c r="N95" s="15">
        <v>2019</v>
      </c>
      <c r="O95" s="3" t="s">
        <v>67</v>
      </c>
    </row>
    <row r="96" spans="1:18" s="14" customFormat="1" ht="88.5" customHeight="1" x14ac:dyDescent="0.2">
      <c r="A96" s="20"/>
      <c r="B96" s="7" t="s">
        <v>363</v>
      </c>
      <c r="C96" s="84" t="s">
        <v>204</v>
      </c>
      <c r="D96" s="87"/>
      <c r="E96" s="7" t="s">
        <v>125</v>
      </c>
      <c r="F96" s="7" t="s">
        <v>106</v>
      </c>
      <c r="G96" s="12">
        <f>SUM(H96:K96)</f>
        <v>567443.77</v>
      </c>
      <c r="H96" s="12">
        <f>ROUND((305375.01*0.1275),2)+2500</f>
        <v>41435.31</v>
      </c>
      <c r="I96" s="12">
        <f>ROUND((305375.01*0.85),2)</f>
        <v>259568.76</v>
      </c>
      <c r="J96" s="12">
        <f>I96</f>
        <v>259568.76</v>
      </c>
      <c r="K96" s="12">
        <f>ROUND((305375.01*0.0225),2)</f>
        <v>6870.94</v>
      </c>
      <c r="L96" s="29" t="s">
        <v>207</v>
      </c>
      <c r="M96" s="15" t="s">
        <v>202</v>
      </c>
      <c r="N96" s="15">
        <v>2019</v>
      </c>
      <c r="O96" s="3" t="s">
        <v>67</v>
      </c>
    </row>
    <row r="97" spans="1:18" s="10" customFormat="1" ht="36.75" customHeight="1" x14ac:dyDescent="0.2">
      <c r="A97" s="25"/>
      <c r="B97" s="129" t="s">
        <v>208</v>
      </c>
      <c r="C97" s="130"/>
      <c r="D97" s="130"/>
      <c r="E97" s="130"/>
      <c r="F97" s="130"/>
      <c r="G97" s="130"/>
      <c r="H97" s="130"/>
      <c r="I97" s="130"/>
      <c r="J97" s="130"/>
      <c r="K97" s="130"/>
      <c r="L97" s="130"/>
      <c r="M97" s="130"/>
      <c r="N97" s="130"/>
      <c r="O97" s="131"/>
    </row>
    <row r="98" spans="1:18" s="10" customFormat="1" ht="266.25" customHeight="1" x14ac:dyDescent="0.2">
      <c r="A98" s="25"/>
      <c r="B98" s="92" t="s">
        <v>209</v>
      </c>
      <c r="C98" s="93"/>
      <c r="D98" s="93"/>
      <c r="E98" s="93"/>
      <c r="F98" s="93"/>
      <c r="G98" s="93"/>
      <c r="H98" s="93"/>
      <c r="I98" s="93"/>
      <c r="J98" s="93"/>
      <c r="K98" s="93"/>
      <c r="L98" s="93"/>
      <c r="M98" s="93"/>
      <c r="N98" s="93"/>
      <c r="O98" s="94"/>
    </row>
    <row r="99" spans="1:18" s="10" customFormat="1" ht="150" customHeight="1" x14ac:dyDescent="0.2">
      <c r="A99" s="25"/>
      <c r="B99" s="81" t="s">
        <v>210</v>
      </c>
      <c r="C99" s="82"/>
      <c r="D99" s="82"/>
      <c r="E99" s="82"/>
      <c r="F99" s="82"/>
      <c r="G99" s="82"/>
      <c r="H99" s="82"/>
      <c r="I99" s="82"/>
      <c r="J99" s="82"/>
      <c r="K99" s="82"/>
      <c r="L99" s="82"/>
      <c r="M99" s="82"/>
      <c r="N99" s="82"/>
      <c r="O99" s="83"/>
    </row>
    <row r="100" spans="1:18" s="14" customFormat="1" ht="273" customHeight="1" x14ac:dyDescent="0.2">
      <c r="A100" s="20"/>
      <c r="B100" s="7">
        <v>18</v>
      </c>
      <c r="C100" s="84" t="s">
        <v>216</v>
      </c>
      <c r="D100" s="87"/>
      <c r="E100" s="7" t="s">
        <v>129</v>
      </c>
      <c r="F100" s="7" t="s">
        <v>107</v>
      </c>
      <c r="G100" s="12">
        <f>SUM(H100:K100)</f>
        <v>13058823.529999999</v>
      </c>
      <c r="H100" s="12">
        <f>H101+H102</f>
        <v>900000</v>
      </c>
      <c r="I100" s="12">
        <f t="shared" ref="I100:K100" si="1">I101+I102</f>
        <v>6000000</v>
      </c>
      <c r="J100" s="12">
        <f t="shared" si="1"/>
        <v>6000000</v>
      </c>
      <c r="K100" s="12">
        <f t="shared" si="1"/>
        <v>158823.53</v>
      </c>
      <c r="L100" s="71" t="s">
        <v>275</v>
      </c>
      <c r="M100" s="15">
        <v>2019</v>
      </c>
      <c r="N100" s="15" t="s">
        <v>214</v>
      </c>
      <c r="O100" s="3" t="s">
        <v>66</v>
      </c>
    </row>
    <row r="101" spans="1:18" s="14" customFormat="1" ht="102.75" customHeight="1" x14ac:dyDescent="0.2">
      <c r="A101" s="20"/>
      <c r="B101" s="7" t="s">
        <v>74</v>
      </c>
      <c r="C101" s="84" t="s">
        <v>211</v>
      </c>
      <c r="D101" s="87"/>
      <c r="E101" s="7" t="s">
        <v>130</v>
      </c>
      <c r="F101" s="7" t="s">
        <v>108</v>
      </c>
      <c r="G101" s="12">
        <f>SUM(H101:K101)</f>
        <v>10838823.529999999</v>
      </c>
      <c r="H101" s="12">
        <f>ROUND((5858823.53*0.1275),2)</f>
        <v>747000</v>
      </c>
      <c r="I101" s="12">
        <f>ROUND((6000000*0.83),2)</f>
        <v>4980000</v>
      </c>
      <c r="J101" s="12">
        <f>ROUND((6000000*0.83),2)</f>
        <v>4980000</v>
      </c>
      <c r="K101" s="12">
        <f>ROUND((5858823.53*0.0225),2)</f>
        <v>131823.53</v>
      </c>
      <c r="L101" s="71" t="s">
        <v>225</v>
      </c>
      <c r="M101" s="15" t="s">
        <v>215</v>
      </c>
      <c r="N101" s="15">
        <v>2021</v>
      </c>
      <c r="O101" s="3" t="s">
        <v>65</v>
      </c>
    </row>
    <row r="102" spans="1:18" s="14" customFormat="1" ht="122.25" customHeight="1" x14ac:dyDescent="0.2">
      <c r="A102" s="20"/>
      <c r="B102" s="7" t="s">
        <v>104</v>
      </c>
      <c r="C102" s="84" t="s">
        <v>212</v>
      </c>
      <c r="D102" s="87"/>
      <c r="E102" s="7" t="s">
        <v>131</v>
      </c>
      <c r="F102" s="7" t="s">
        <v>108</v>
      </c>
      <c r="G102" s="12">
        <f>SUM(H102:K102)</f>
        <v>2220000</v>
      </c>
      <c r="H102" s="12">
        <f>ROUND((1200000*0.1275),2)</f>
        <v>153000</v>
      </c>
      <c r="I102" s="12">
        <f>ROUND((6000000*0.17),2)</f>
        <v>1020000</v>
      </c>
      <c r="J102" s="12">
        <f>ROUND((6000000*0.17),2)</f>
        <v>1020000</v>
      </c>
      <c r="K102" s="12">
        <f>ROUND((1200000*0.0225),2)</f>
        <v>27000</v>
      </c>
      <c r="L102" s="71" t="s">
        <v>226</v>
      </c>
      <c r="M102" s="15" t="s">
        <v>215</v>
      </c>
      <c r="N102" s="15">
        <v>2021</v>
      </c>
      <c r="O102" s="3" t="s">
        <v>65</v>
      </c>
    </row>
    <row r="103" spans="1:18" s="10" customFormat="1" ht="27" customHeight="1" x14ac:dyDescent="0.2">
      <c r="A103" s="25"/>
      <c r="B103" s="129" t="s">
        <v>213</v>
      </c>
      <c r="C103" s="130"/>
      <c r="D103" s="130"/>
      <c r="E103" s="130"/>
      <c r="F103" s="130"/>
      <c r="G103" s="130"/>
      <c r="H103" s="130"/>
      <c r="I103" s="130"/>
      <c r="J103" s="130"/>
      <c r="K103" s="130"/>
      <c r="L103" s="130"/>
      <c r="M103" s="130"/>
      <c r="N103" s="130"/>
      <c r="O103" s="131"/>
    </row>
    <row r="104" spans="1:18" s="10" customFormat="1" ht="108" customHeight="1" x14ac:dyDescent="0.2">
      <c r="A104" s="25"/>
      <c r="B104" s="92" t="s">
        <v>90</v>
      </c>
      <c r="C104" s="93"/>
      <c r="D104" s="93"/>
      <c r="E104" s="93"/>
      <c r="F104" s="93"/>
      <c r="G104" s="93"/>
      <c r="H104" s="93"/>
      <c r="I104" s="93"/>
      <c r="J104" s="93"/>
      <c r="K104" s="93"/>
      <c r="L104" s="93"/>
      <c r="M104" s="93"/>
      <c r="N104" s="93"/>
      <c r="O104" s="94"/>
    </row>
    <row r="105" spans="1:18" s="10" customFormat="1" ht="74.25" customHeight="1" x14ac:dyDescent="0.2">
      <c r="A105" s="25"/>
      <c r="B105" s="81" t="s">
        <v>219</v>
      </c>
      <c r="C105" s="82"/>
      <c r="D105" s="82"/>
      <c r="E105" s="82"/>
      <c r="F105" s="82"/>
      <c r="G105" s="82"/>
      <c r="H105" s="82"/>
      <c r="I105" s="82"/>
      <c r="J105" s="82"/>
      <c r="K105" s="82"/>
      <c r="L105" s="82"/>
      <c r="M105" s="82"/>
      <c r="N105" s="82"/>
      <c r="O105" s="83"/>
    </row>
    <row r="106" spans="1:18" ht="255.75" customHeight="1" x14ac:dyDescent="0.2">
      <c r="A106" s="6"/>
      <c r="B106" s="7">
        <v>19</v>
      </c>
      <c r="C106" s="84" t="s">
        <v>355</v>
      </c>
      <c r="D106" s="97"/>
      <c r="E106" s="7" t="s">
        <v>43</v>
      </c>
      <c r="F106" s="7" t="s">
        <v>109</v>
      </c>
      <c r="G106" s="12">
        <f>SUM(H106:K106)</f>
        <v>1322490.26</v>
      </c>
      <c r="H106" s="12">
        <f>H107</f>
        <v>91144.6</v>
      </c>
      <c r="I106" s="12">
        <f>I107</f>
        <v>607630.66</v>
      </c>
      <c r="J106" s="12">
        <f>J107</f>
        <v>607630.66</v>
      </c>
      <c r="K106" s="12">
        <f>K107</f>
        <v>16084.34</v>
      </c>
      <c r="L106" s="71" t="s">
        <v>127</v>
      </c>
      <c r="M106" s="15">
        <v>2021</v>
      </c>
      <c r="N106" s="15" t="s">
        <v>229</v>
      </c>
      <c r="O106" s="3" t="s">
        <v>68</v>
      </c>
    </row>
    <row r="107" spans="1:18" ht="144" customHeight="1" x14ac:dyDescent="0.2">
      <c r="A107" s="6"/>
      <c r="B107" s="7" t="s">
        <v>75</v>
      </c>
      <c r="C107" s="84" t="s">
        <v>224</v>
      </c>
      <c r="D107" s="97"/>
      <c r="E107" s="7" t="s">
        <v>43</v>
      </c>
      <c r="F107" s="7" t="s">
        <v>109</v>
      </c>
      <c r="G107" s="12">
        <f>SUM(H107:K107)</f>
        <v>1322490.26</v>
      </c>
      <c r="H107" s="12">
        <f>ROUND((714859.6*0.1275),2)</f>
        <v>91144.6</v>
      </c>
      <c r="I107" s="12">
        <f>780000-172369.34</f>
        <v>607630.66</v>
      </c>
      <c r="J107" s="12">
        <f>780000-172369.34</f>
        <v>607630.66</v>
      </c>
      <c r="K107" s="12">
        <f>ROUND((714859.6*0.0225),2)</f>
        <v>16084.34</v>
      </c>
      <c r="L107" s="71" t="s">
        <v>227</v>
      </c>
      <c r="M107" s="15" t="s">
        <v>228</v>
      </c>
      <c r="N107" s="15">
        <v>2022</v>
      </c>
      <c r="O107" s="3" t="s">
        <v>65</v>
      </c>
      <c r="Q107" s="57"/>
      <c r="R107" s="57"/>
    </row>
    <row r="108" spans="1:18" ht="42.75" customHeight="1" x14ac:dyDescent="0.2">
      <c r="A108" s="6"/>
      <c r="B108" s="129" t="s">
        <v>218</v>
      </c>
      <c r="C108" s="130"/>
      <c r="D108" s="130"/>
      <c r="E108" s="130"/>
      <c r="F108" s="130"/>
      <c r="G108" s="130"/>
      <c r="H108" s="130"/>
      <c r="I108" s="130"/>
      <c r="J108" s="130"/>
      <c r="K108" s="130"/>
      <c r="L108" s="130"/>
      <c r="M108" s="130"/>
      <c r="N108" s="130"/>
      <c r="O108" s="131"/>
    </row>
    <row r="109" spans="1:18" ht="100.5" customHeight="1" x14ac:dyDescent="0.2">
      <c r="A109" s="6"/>
      <c r="B109" s="92" t="s">
        <v>101</v>
      </c>
      <c r="C109" s="93"/>
      <c r="D109" s="93"/>
      <c r="E109" s="93"/>
      <c r="F109" s="93"/>
      <c r="G109" s="93"/>
      <c r="H109" s="93"/>
      <c r="I109" s="93"/>
      <c r="J109" s="93"/>
      <c r="K109" s="93"/>
      <c r="L109" s="93"/>
      <c r="M109" s="93"/>
      <c r="N109" s="93"/>
      <c r="O109" s="94"/>
    </row>
    <row r="110" spans="1:18" ht="120" customHeight="1" x14ac:dyDescent="0.2">
      <c r="A110" s="6"/>
      <c r="B110" s="81" t="s">
        <v>220</v>
      </c>
      <c r="C110" s="82"/>
      <c r="D110" s="82"/>
      <c r="E110" s="82"/>
      <c r="F110" s="82"/>
      <c r="G110" s="82"/>
      <c r="H110" s="82"/>
      <c r="I110" s="82"/>
      <c r="J110" s="82"/>
      <c r="K110" s="82"/>
      <c r="L110" s="82"/>
      <c r="M110" s="82"/>
      <c r="N110" s="82"/>
      <c r="O110" s="83"/>
    </row>
    <row r="111" spans="1:18" ht="261.75" customHeight="1" x14ac:dyDescent="0.2">
      <c r="A111" s="6"/>
      <c r="B111" s="7">
        <v>20</v>
      </c>
      <c r="C111" s="84" t="s">
        <v>356</v>
      </c>
      <c r="D111" s="95"/>
      <c r="E111" s="7" t="s">
        <v>49</v>
      </c>
      <c r="F111" s="7" t="s">
        <v>34</v>
      </c>
      <c r="G111" s="12">
        <f>SUM(H111:K111)</f>
        <v>10882352.949999999</v>
      </c>
      <c r="H111" s="12">
        <f>H112</f>
        <v>750000</v>
      </c>
      <c r="I111" s="12">
        <v>5000000</v>
      </c>
      <c r="J111" s="12">
        <v>5000000</v>
      </c>
      <c r="K111" s="12">
        <f>K112</f>
        <v>132352.95000000001</v>
      </c>
      <c r="L111" s="71" t="s">
        <v>97</v>
      </c>
      <c r="M111" s="15">
        <v>2021</v>
      </c>
      <c r="N111" s="15" t="s">
        <v>231</v>
      </c>
      <c r="O111" s="3" t="s">
        <v>69</v>
      </c>
    </row>
    <row r="112" spans="1:18" ht="114" customHeight="1" x14ac:dyDescent="0.2">
      <c r="A112" s="6"/>
      <c r="B112" s="7" t="s">
        <v>84</v>
      </c>
      <c r="C112" s="84" t="s">
        <v>221</v>
      </c>
      <c r="D112" s="95"/>
      <c r="E112" s="7" t="s">
        <v>49</v>
      </c>
      <c r="F112" s="7" t="s">
        <v>34</v>
      </c>
      <c r="G112" s="12">
        <f>SUM(H112:K112)</f>
        <v>10882352.949999999</v>
      </c>
      <c r="H112" s="12">
        <f>ROUND((5882352.94*0.1275),2)</f>
        <v>750000</v>
      </c>
      <c r="I112" s="12">
        <v>5000000</v>
      </c>
      <c r="J112" s="12">
        <v>5000000</v>
      </c>
      <c r="K112" s="12">
        <f>ROUND((5882352.94*0.0225),2)+0.01</f>
        <v>132352.95000000001</v>
      </c>
      <c r="L112" s="71" t="s">
        <v>223</v>
      </c>
      <c r="M112" s="15" t="s">
        <v>230</v>
      </c>
      <c r="N112" s="15">
        <v>2022</v>
      </c>
      <c r="O112" s="3" t="s">
        <v>65</v>
      </c>
    </row>
    <row r="113" spans="1:18" ht="26.25" customHeight="1" x14ac:dyDescent="0.2">
      <c r="A113" s="6"/>
      <c r="B113" s="129" t="s">
        <v>217</v>
      </c>
      <c r="C113" s="130"/>
      <c r="D113" s="130"/>
      <c r="E113" s="130"/>
      <c r="F113" s="130"/>
      <c r="G113" s="130"/>
      <c r="H113" s="130"/>
      <c r="I113" s="130"/>
      <c r="J113" s="130"/>
      <c r="K113" s="130"/>
      <c r="L113" s="130"/>
      <c r="M113" s="130"/>
      <c r="N113" s="130"/>
      <c r="O113" s="131"/>
    </row>
    <row r="114" spans="1:18" ht="144.75" customHeight="1" x14ac:dyDescent="0.2">
      <c r="A114" s="6"/>
      <c r="B114" s="142" t="s">
        <v>128</v>
      </c>
      <c r="C114" s="143"/>
      <c r="D114" s="143"/>
      <c r="E114" s="143"/>
      <c r="F114" s="143"/>
      <c r="G114" s="143"/>
      <c r="H114" s="143"/>
      <c r="I114" s="143"/>
      <c r="J114" s="143"/>
      <c r="K114" s="143"/>
      <c r="L114" s="143"/>
      <c r="M114" s="143"/>
      <c r="N114" s="143"/>
      <c r="O114" s="144"/>
    </row>
    <row r="115" spans="1:18" ht="74.25" customHeight="1" x14ac:dyDescent="0.2">
      <c r="A115" s="6"/>
      <c r="B115" s="142" t="s">
        <v>289</v>
      </c>
      <c r="C115" s="143"/>
      <c r="D115" s="143"/>
      <c r="E115" s="143"/>
      <c r="F115" s="143"/>
      <c r="G115" s="143"/>
      <c r="H115" s="143"/>
      <c r="I115" s="143"/>
      <c r="J115" s="143"/>
      <c r="K115" s="143"/>
      <c r="L115" s="143"/>
      <c r="M115" s="143"/>
      <c r="N115" s="143"/>
      <c r="O115" s="144"/>
    </row>
    <row r="116" spans="1:18" ht="273.75" customHeight="1" x14ac:dyDescent="0.2">
      <c r="A116" s="6"/>
      <c r="B116" s="32">
        <v>21</v>
      </c>
      <c r="C116" s="114" t="s">
        <v>352</v>
      </c>
      <c r="D116" s="115"/>
      <c r="E116" s="7" t="s">
        <v>94</v>
      </c>
      <c r="F116" s="7" t="s">
        <v>112</v>
      </c>
      <c r="G116" s="37">
        <f>G117</f>
        <v>187755.81000000003</v>
      </c>
      <c r="H116" s="37">
        <v>41306.83</v>
      </c>
      <c r="I116" s="37">
        <v>72268</v>
      </c>
      <c r="J116" s="37">
        <f>J117</f>
        <v>72268</v>
      </c>
      <c r="K116" s="37">
        <v>1912.98</v>
      </c>
      <c r="L116" s="66" t="s">
        <v>276</v>
      </c>
      <c r="M116" s="39">
        <v>2020</v>
      </c>
      <c r="N116" s="38" t="s">
        <v>191</v>
      </c>
      <c r="O116" s="24" t="s">
        <v>14</v>
      </c>
    </row>
    <row r="117" spans="1:18" ht="125.25" customHeight="1" x14ac:dyDescent="0.2">
      <c r="A117" s="6"/>
      <c r="B117" s="32">
        <v>21.1</v>
      </c>
      <c r="C117" s="140" t="s">
        <v>189</v>
      </c>
      <c r="D117" s="141"/>
      <c r="E117" s="7" t="s">
        <v>94</v>
      </c>
      <c r="F117" s="7" t="s">
        <v>112</v>
      </c>
      <c r="G117" s="37">
        <f>SUM(H117:K117)</f>
        <v>187755.81000000003</v>
      </c>
      <c r="H117" s="37">
        <f>ROUND((85021.18*0.1275),2)+19967.74+10498.89</f>
        <v>41306.83</v>
      </c>
      <c r="I117" s="37">
        <f>ROUND((85021.18*0.85),2)</f>
        <v>72268</v>
      </c>
      <c r="J117" s="37">
        <f>I117</f>
        <v>72268</v>
      </c>
      <c r="K117" s="37">
        <f>ROUND((85021.18*0.0225),2)</f>
        <v>1912.98</v>
      </c>
      <c r="L117" s="66" t="s">
        <v>222</v>
      </c>
      <c r="M117" s="38" t="s">
        <v>190</v>
      </c>
      <c r="N117" s="39">
        <v>2021</v>
      </c>
      <c r="O117" s="24" t="s">
        <v>14</v>
      </c>
    </row>
    <row r="118" spans="1:18" ht="41.25" customHeight="1" x14ac:dyDescent="0.2">
      <c r="B118" s="105" t="s">
        <v>79</v>
      </c>
      <c r="C118" s="106"/>
      <c r="D118" s="106"/>
      <c r="E118" s="106"/>
      <c r="F118" s="106"/>
      <c r="G118" s="106"/>
      <c r="H118" s="106"/>
      <c r="I118" s="106"/>
      <c r="J118" s="106"/>
      <c r="K118" s="106"/>
      <c r="L118" s="106"/>
      <c r="M118" s="106"/>
      <c r="N118" s="106"/>
      <c r="O118" s="107"/>
    </row>
    <row r="119" spans="1:18" ht="27" customHeight="1" x14ac:dyDescent="0.2">
      <c r="B119" s="123" t="s">
        <v>232</v>
      </c>
      <c r="C119" s="148"/>
      <c r="D119" s="148"/>
      <c r="E119" s="148"/>
      <c r="F119" s="148"/>
      <c r="G119" s="148"/>
      <c r="H119" s="148"/>
      <c r="I119" s="148"/>
      <c r="J119" s="148"/>
      <c r="K119" s="148"/>
      <c r="L119" s="148"/>
      <c r="M119" s="148"/>
      <c r="N119" s="148"/>
      <c r="O119" s="149"/>
    </row>
    <row r="120" spans="1:18" s="22" customFormat="1" ht="147" customHeight="1" x14ac:dyDescent="0.25">
      <c r="B120" s="137" t="s">
        <v>233</v>
      </c>
      <c r="C120" s="138"/>
      <c r="D120" s="138"/>
      <c r="E120" s="138"/>
      <c r="F120" s="138"/>
      <c r="G120" s="138"/>
      <c r="H120" s="138"/>
      <c r="I120" s="138"/>
      <c r="J120" s="138"/>
      <c r="K120" s="138"/>
      <c r="L120" s="138"/>
      <c r="M120" s="138"/>
      <c r="N120" s="138"/>
      <c r="O120" s="139"/>
    </row>
    <row r="121" spans="1:18" ht="240.75" customHeight="1" x14ac:dyDescent="0.2">
      <c r="B121" s="120" t="s">
        <v>340</v>
      </c>
      <c r="C121" s="93"/>
      <c r="D121" s="93"/>
      <c r="E121" s="93"/>
      <c r="F121" s="93"/>
      <c r="G121" s="93"/>
      <c r="H121" s="93"/>
      <c r="I121" s="93"/>
      <c r="J121" s="93"/>
      <c r="K121" s="93"/>
      <c r="L121" s="93"/>
      <c r="M121" s="93"/>
      <c r="N121" s="93"/>
      <c r="O121" s="94"/>
    </row>
    <row r="122" spans="1:18" s="14" customFormat="1" ht="237" customHeight="1" x14ac:dyDescent="0.2">
      <c r="B122" s="7">
        <v>22</v>
      </c>
      <c r="C122" s="114" t="s">
        <v>357</v>
      </c>
      <c r="D122" s="128"/>
      <c r="E122" s="7" t="s">
        <v>47</v>
      </c>
      <c r="F122" s="5" t="s">
        <v>34</v>
      </c>
      <c r="G122" s="67">
        <f>SUM(G123:G124)</f>
        <v>7676022.7300000004</v>
      </c>
      <c r="H122" s="67">
        <f t="shared" ref="H122:K122" si="2">SUM(H123:H124)</f>
        <v>1033060.24</v>
      </c>
      <c r="I122" s="67">
        <f t="shared" si="2"/>
        <v>6471654</v>
      </c>
      <c r="J122" s="67" t="s">
        <v>34</v>
      </c>
      <c r="K122" s="67">
        <f t="shared" si="2"/>
        <v>171308.49</v>
      </c>
      <c r="L122" s="4" t="s">
        <v>237</v>
      </c>
      <c r="M122" s="15">
        <v>2018</v>
      </c>
      <c r="N122" s="38" t="s">
        <v>238</v>
      </c>
      <c r="O122" s="7" t="s">
        <v>14</v>
      </c>
      <c r="P122" s="33"/>
      <c r="Q122" s="33"/>
      <c r="R122" s="33"/>
    </row>
    <row r="123" spans="1:18" s="14" customFormat="1" ht="107.25" customHeight="1" x14ac:dyDescent="0.2">
      <c r="B123" s="7" t="s">
        <v>85</v>
      </c>
      <c r="C123" s="84" t="s">
        <v>234</v>
      </c>
      <c r="D123" s="95"/>
      <c r="E123" s="7" t="s">
        <v>48</v>
      </c>
      <c r="F123" s="5" t="s">
        <v>34</v>
      </c>
      <c r="G123" s="67">
        <f>SUM(H123:K123)</f>
        <v>6534113.2800000003</v>
      </c>
      <c r="H123" s="67">
        <f>ROUND((6534113.28*0.1275),2)</f>
        <v>833099.44</v>
      </c>
      <c r="I123" s="67">
        <f>ROUND((6534113.28*0.85),2)</f>
        <v>5553996.29</v>
      </c>
      <c r="J123" s="67" t="s">
        <v>34</v>
      </c>
      <c r="K123" s="67">
        <f>ROUND((6534113.28*0.0225),2)</f>
        <v>147017.54999999999</v>
      </c>
      <c r="L123" s="4" t="s">
        <v>241</v>
      </c>
      <c r="M123" s="7" t="s">
        <v>239</v>
      </c>
      <c r="N123" s="15">
        <v>2020</v>
      </c>
      <c r="O123" s="7" t="s">
        <v>14</v>
      </c>
      <c r="P123" s="33"/>
      <c r="Q123" s="33"/>
      <c r="R123" s="33"/>
    </row>
    <row r="124" spans="1:18" s="14" customFormat="1" ht="107.25" customHeight="1" x14ac:dyDescent="0.2">
      <c r="B124" s="7" t="s">
        <v>236</v>
      </c>
      <c r="C124" s="84" t="s">
        <v>235</v>
      </c>
      <c r="D124" s="95"/>
      <c r="E124" s="7" t="s">
        <v>48</v>
      </c>
      <c r="F124" s="5" t="s">
        <v>34</v>
      </c>
      <c r="G124" s="67">
        <f>SUM(H124:K124)</f>
        <v>1141909.45</v>
      </c>
      <c r="H124" s="67">
        <f>ROUND((1079597.31*0.1275),2)+62312.14</f>
        <v>199960.8</v>
      </c>
      <c r="I124" s="67">
        <f>ROUND((1079597.31*0.85),2)</f>
        <v>917657.71</v>
      </c>
      <c r="J124" s="67" t="s">
        <v>34</v>
      </c>
      <c r="K124" s="67">
        <f>ROUND((1079597.31*0.0225),2)</f>
        <v>24290.94</v>
      </c>
      <c r="L124" s="4" t="s">
        <v>242</v>
      </c>
      <c r="M124" s="7" t="s">
        <v>240</v>
      </c>
      <c r="N124" s="15">
        <v>2020</v>
      </c>
      <c r="O124" s="7" t="s">
        <v>14</v>
      </c>
      <c r="P124" s="33"/>
      <c r="Q124" s="33"/>
      <c r="R124" s="33"/>
    </row>
    <row r="125" spans="1:18" ht="37.5" customHeight="1" x14ac:dyDescent="0.2">
      <c r="A125" s="2"/>
      <c r="B125" s="105" t="s">
        <v>76</v>
      </c>
      <c r="C125" s="106"/>
      <c r="D125" s="106"/>
      <c r="E125" s="106"/>
      <c r="F125" s="106"/>
      <c r="G125" s="106"/>
      <c r="H125" s="106"/>
      <c r="I125" s="106"/>
      <c r="J125" s="106"/>
      <c r="K125" s="106"/>
      <c r="L125" s="106"/>
      <c r="M125" s="106"/>
      <c r="N125" s="106"/>
      <c r="O125" s="107"/>
    </row>
    <row r="126" spans="1:18" ht="22.5" customHeight="1" x14ac:dyDescent="0.2">
      <c r="A126" s="2"/>
      <c r="B126" s="30" t="s">
        <v>243</v>
      </c>
      <c r="C126" s="26"/>
      <c r="D126" s="26"/>
      <c r="E126" s="26"/>
      <c r="F126" s="26"/>
      <c r="G126" s="26"/>
      <c r="H126" s="26"/>
      <c r="I126" s="26"/>
      <c r="J126" s="26"/>
      <c r="K126" s="26"/>
      <c r="L126" s="26"/>
      <c r="M126" s="26"/>
      <c r="N126" s="26"/>
      <c r="O126" s="27"/>
    </row>
    <row r="127" spans="1:18" ht="89.25" customHeight="1" x14ac:dyDescent="0.2">
      <c r="A127" s="2"/>
      <c r="B127" s="92" t="s">
        <v>54</v>
      </c>
      <c r="C127" s="93"/>
      <c r="D127" s="93"/>
      <c r="E127" s="93"/>
      <c r="F127" s="93"/>
      <c r="G127" s="93"/>
      <c r="H127" s="93"/>
      <c r="I127" s="93"/>
      <c r="J127" s="93"/>
      <c r="K127" s="93"/>
      <c r="L127" s="93"/>
      <c r="M127" s="93"/>
      <c r="N127" s="93"/>
      <c r="O127" s="94"/>
    </row>
    <row r="128" spans="1:18" ht="172.5" customHeight="1" x14ac:dyDescent="0.2">
      <c r="B128" s="134" t="s">
        <v>290</v>
      </c>
      <c r="C128" s="135"/>
      <c r="D128" s="135"/>
      <c r="E128" s="135"/>
      <c r="F128" s="135"/>
      <c r="G128" s="135"/>
      <c r="H128" s="135"/>
      <c r="I128" s="135"/>
      <c r="J128" s="135"/>
      <c r="K128" s="135"/>
      <c r="L128" s="135"/>
      <c r="M128" s="135"/>
      <c r="N128" s="135"/>
      <c r="O128" s="136"/>
    </row>
    <row r="129" spans="2:17" ht="123" customHeight="1" x14ac:dyDescent="0.2">
      <c r="B129" s="5">
        <v>23</v>
      </c>
      <c r="C129" s="86" t="s">
        <v>358</v>
      </c>
      <c r="D129" s="133"/>
      <c r="E129" s="3" t="s">
        <v>45</v>
      </c>
      <c r="F129" s="5" t="s">
        <v>34</v>
      </c>
      <c r="G129" s="21">
        <f>SUM(G130:G131)</f>
        <v>559829.41</v>
      </c>
      <c r="H129" s="21">
        <f t="shared" ref="H129:K129" si="3">SUM(H130:H131)</f>
        <v>71378.25</v>
      </c>
      <c r="I129" s="21">
        <f t="shared" si="3"/>
        <v>475855</v>
      </c>
      <c r="J129" s="21" t="s">
        <v>34</v>
      </c>
      <c r="K129" s="21">
        <f t="shared" si="3"/>
        <v>12596.16</v>
      </c>
      <c r="L129" s="71" t="s">
        <v>341</v>
      </c>
      <c r="M129" s="15">
        <v>2019</v>
      </c>
      <c r="N129" s="15" t="s">
        <v>260</v>
      </c>
      <c r="O129" s="24" t="s">
        <v>14</v>
      </c>
      <c r="P129" s="42"/>
    </row>
    <row r="130" spans="2:17" ht="107.25" customHeight="1" x14ac:dyDescent="0.2">
      <c r="B130" s="5" t="s">
        <v>265</v>
      </c>
      <c r="C130" s="86" t="s">
        <v>244</v>
      </c>
      <c r="D130" s="87"/>
      <c r="E130" s="3" t="s">
        <v>45</v>
      </c>
      <c r="F130" s="5" t="s">
        <v>34</v>
      </c>
      <c r="G130" s="21">
        <f>SUM(H130:K130)</f>
        <v>501005.88</v>
      </c>
      <c r="H130" s="21">
        <f>ROUND((501005.88*0.1275),2)</f>
        <v>63878.25</v>
      </c>
      <c r="I130" s="21">
        <f>ROUND((501005.88*0.85),2)</f>
        <v>425855</v>
      </c>
      <c r="J130" s="21" t="s">
        <v>34</v>
      </c>
      <c r="K130" s="21">
        <f>ROUND((501005.88*0.0225),2)</f>
        <v>11272.63</v>
      </c>
      <c r="L130" s="4" t="s">
        <v>255</v>
      </c>
      <c r="M130" s="11" t="s">
        <v>261</v>
      </c>
      <c r="N130" s="15">
        <v>2020</v>
      </c>
      <c r="O130" s="24" t="s">
        <v>14</v>
      </c>
      <c r="P130" s="59"/>
      <c r="Q130" s="57"/>
    </row>
    <row r="131" spans="2:17" ht="117" customHeight="1" x14ac:dyDescent="0.2">
      <c r="B131" s="5" t="s">
        <v>266</v>
      </c>
      <c r="C131" s="86" t="s">
        <v>245</v>
      </c>
      <c r="D131" s="87"/>
      <c r="E131" s="3" t="s">
        <v>45</v>
      </c>
      <c r="F131" s="5" t="s">
        <v>34</v>
      </c>
      <c r="G131" s="21">
        <f>SUM(H131:K131)</f>
        <v>58823.53</v>
      </c>
      <c r="H131" s="21">
        <f>ROUND((58823.53*0.1275),2)</f>
        <v>7500</v>
      </c>
      <c r="I131" s="21">
        <f>ROUND((58823.53*0.85),2)</f>
        <v>50000</v>
      </c>
      <c r="J131" s="21" t="s">
        <v>34</v>
      </c>
      <c r="K131" s="21">
        <f>ROUND((58823.53*0.0225),2)</f>
        <v>1323.53</v>
      </c>
      <c r="L131" s="4" t="s">
        <v>256</v>
      </c>
      <c r="M131" s="11" t="s">
        <v>261</v>
      </c>
      <c r="N131" s="15">
        <v>2020</v>
      </c>
      <c r="O131" s="24" t="s">
        <v>14</v>
      </c>
      <c r="P131" s="59"/>
      <c r="Q131" s="57"/>
    </row>
    <row r="132" spans="2:17" ht="37.5" customHeight="1" x14ac:dyDescent="0.2">
      <c r="B132" s="108" t="s">
        <v>246</v>
      </c>
      <c r="C132" s="108"/>
      <c r="D132" s="108"/>
      <c r="E132" s="108"/>
      <c r="F132" s="108"/>
      <c r="G132" s="108"/>
      <c r="H132" s="108"/>
      <c r="I132" s="108"/>
      <c r="J132" s="108"/>
      <c r="K132" s="108"/>
      <c r="L132" s="108"/>
      <c r="M132" s="108"/>
      <c r="N132" s="108"/>
      <c r="O132" s="108"/>
      <c r="P132" s="42"/>
    </row>
    <row r="133" spans="2:17" ht="101.25" customHeight="1" x14ac:dyDescent="0.2">
      <c r="B133" s="80" t="s">
        <v>247</v>
      </c>
      <c r="C133" s="80"/>
      <c r="D133" s="80"/>
      <c r="E133" s="80"/>
      <c r="F133" s="80"/>
      <c r="G133" s="80"/>
      <c r="H133" s="80"/>
      <c r="I133" s="80"/>
      <c r="J133" s="80"/>
      <c r="K133" s="80"/>
      <c r="L133" s="80"/>
      <c r="M133" s="80"/>
      <c r="N133" s="80"/>
      <c r="O133" s="80"/>
      <c r="P133" s="42"/>
    </row>
    <row r="134" spans="2:17" ht="96.75" customHeight="1" x14ac:dyDescent="0.2">
      <c r="B134" s="81" t="s">
        <v>291</v>
      </c>
      <c r="C134" s="82"/>
      <c r="D134" s="82"/>
      <c r="E134" s="82"/>
      <c r="F134" s="82"/>
      <c r="G134" s="82"/>
      <c r="H134" s="82"/>
      <c r="I134" s="82"/>
      <c r="J134" s="82"/>
      <c r="K134" s="82"/>
      <c r="L134" s="82"/>
      <c r="M134" s="82"/>
      <c r="N134" s="82"/>
      <c r="O134" s="83"/>
      <c r="P134" s="42"/>
    </row>
    <row r="135" spans="2:17" s="14" customFormat="1" ht="90" customHeight="1" x14ac:dyDescent="0.2">
      <c r="B135" s="7">
        <v>24</v>
      </c>
      <c r="C135" s="84" t="s">
        <v>359</v>
      </c>
      <c r="D135" s="85"/>
      <c r="E135" s="3" t="s">
        <v>45</v>
      </c>
      <c r="F135" s="7" t="s">
        <v>34</v>
      </c>
      <c r="G135" s="12">
        <f>SUM(H135:K135)</f>
        <v>186554.12</v>
      </c>
      <c r="H135" s="12">
        <f>H136</f>
        <v>23785.65</v>
      </c>
      <c r="I135" s="12">
        <f>I136</f>
        <v>158571</v>
      </c>
      <c r="J135" s="12" t="s">
        <v>34</v>
      </c>
      <c r="K135" s="12">
        <f>K136</f>
        <v>4197.47</v>
      </c>
      <c r="L135" s="71" t="s">
        <v>254</v>
      </c>
      <c r="M135" s="15">
        <v>2019</v>
      </c>
      <c r="N135" s="15" t="s">
        <v>262</v>
      </c>
      <c r="O135" s="24" t="s">
        <v>14</v>
      </c>
      <c r="P135" s="43"/>
    </row>
    <row r="136" spans="2:17" s="14" customFormat="1" ht="125.25" customHeight="1" x14ac:dyDescent="0.2">
      <c r="B136" s="5" t="s">
        <v>267</v>
      </c>
      <c r="C136" s="86" t="s">
        <v>248</v>
      </c>
      <c r="D136" s="87"/>
      <c r="E136" s="3" t="s">
        <v>45</v>
      </c>
      <c r="F136" s="5" t="s">
        <v>34</v>
      </c>
      <c r="G136" s="21">
        <f>SUM(H136:K136)</f>
        <v>186554.12</v>
      </c>
      <c r="H136" s="21">
        <f>ROUND((186554.12*0.1275),2)</f>
        <v>23785.65</v>
      </c>
      <c r="I136" s="21">
        <f>ROUND((186554.12*0.85),2)</f>
        <v>158571</v>
      </c>
      <c r="J136" s="21" t="s">
        <v>34</v>
      </c>
      <c r="K136" s="21">
        <f>ROUND((186554.12*0.0225),2)</f>
        <v>4197.47</v>
      </c>
      <c r="L136" s="4" t="s">
        <v>257</v>
      </c>
      <c r="M136" s="11" t="s">
        <v>261</v>
      </c>
      <c r="N136" s="15">
        <v>2020</v>
      </c>
      <c r="O136" s="24" t="s">
        <v>14</v>
      </c>
      <c r="P136" s="58"/>
    </row>
    <row r="137" spans="2:17" ht="37.5" customHeight="1" x14ac:dyDescent="0.2">
      <c r="B137" s="108" t="s">
        <v>250</v>
      </c>
      <c r="C137" s="108"/>
      <c r="D137" s="108"/>
      <c r="E137" s="108"/>
      <c r="F137" s="108"/>
      <c r="G137" s="108"/>
      <c r="H137" s="108"/>
      <c r="I137" s="108"/>
      <c r="J137" s="108"/>
      <c r="K137" s="108"/>
      <c r="L137" s="108"/>
      <c r="M137" s="108"/>
      <c r="N137" s="108"/>
      <c r="O137" s="108"/>
      <c r="P137" s="42"/>
    </row>
    <row r="138" spans="2:17" ht="101.25" customHeight="1" x14ac:dyDescent="0.2">
      <c r="B138" s="80" t="s">
        <v>249</v>
      </c>
      <c r="C138" s="80"/>
      <c r="D138" s="80"/>
      <c r="E138" s="80"/>
      <c r="F138" s="80"/>
      <c r="G138" s="80"/>
      <c r="H138" s="80"/>
      <c r="I138" s="80"/>
      <c r="J138" s="80"/>
      <c r="K138" s="80"/>
      <c r="L138" s="80"/>
      <c r="M138" s="80"/>
      <c r="N138" s="80"/>
      <c r="O138" s="80"/>
      <c r="P138" s="42"/>
    </row>
    <row r="139" spans="2:17" ht="138" customHeight="1" x14ac:dyDescent="0.2">
      <c r="B139" s="81" t="s">
        <v>292</v>
      </c>
      <c r="C139" s="82"/>
      <c r="D139" s="82"/>
      <c r="E139" s="82"/>
      <c r="F139" s="82"/>
      <c r="G139" s="82"/>
      <c r="H139" s="82"/>
      <c r="I139" s="82"/>
      <c r="J139" s="82"/>
      <c r="K139" s="82"/>
      <c r="L139" s="82"/>
      <c r="M139" s="82"/>
      <c r="N139" s="82"/>
      <c r="O139" s="83"/>
      <c r="P139" s="42"/>
    </row>
    <row r="140" spans="2:17" s="14" customFormat="1" ht="177.75" customHeight="1" x14ac:dyDescent="0.2">
      <c r="B140" s="7">
        <v>25</v>
      </c>
      <c r="C140" s="84" t="s">
        <v>360</v>
      </c>
      <c r="D140" s="85"/>
      <c r="E140" s="3" t="s">
        <v>45</v>
      </c>
      <c r="F140" s="7" t="s">
        <v>34</v>
      </c>
      <c r="G140" s="12">
        <f>SUM(G141:G142)</f>
        <v>666207.05999999994</v>
      </c>
      <c r="H140" s="12">
        <f t="shared" ref="H140:K140" si="4">SUM(H141:H142)</f>
        <v>84941.4</v>
      </c>
      <c r="I140" s="12">
        <f t="shared" si="4"/>
        <v>566276</v>
      </c>
      <c r="J140" s="12" t="s">
        <v>34</v>
      </c>
      <c r="K140" s="12">
        <f t="shared" si="4"/>
        <v>14989.66</v>
      </c>
      <c r="L140" s="71" t="s">
        <v>253</v>
      </c>
      <c r="M140" s="15">
        <v>2020</v>
      </c>
      <c r="N140" s="15" t="s">
        <v>263</v>
      </c>
      <c r="O140" s="24" t="s">
        <v>14</v>
      </c>
      <c r="P140" s="43"/>
    </row>
    <row r="141" spans="2:17" s="14" customFormat="1" ht="120.75" customHeight="1" x14ac:dyDescent="0.2">
      <c r="B141" s="5" t="s">
        <v>111</v>
      </c>
      <c r="C141" s="86" t="s">
        <v>251</v>
      </c>
      <c r="D141" s="87"/>
      <c r="E141" s="3" t="s">
        <v>45</v>
      </c>
      <c r="F141" s="5" t="s">
        <v>34</v>
      </c>
      <c r="G141" s="21">
        <f>SUM(H141:K141)</f>
        <v>525952.93999999994</v>
      </c>
      <c r="H141" s="21">
        <f>ROUND((525952.94*0.1275),2)</f>
        <v>67059</v>
      </c>
      <c r="I141" s="21">
        <f>ROUND((525952.94*0.85),2)</f>
        <v>447060</v>
      </c>
      <c r="J141" s="21" t="s">
        <v>34</v>
      </c>
      <c r="K141" s="21">
        <f>ROUND((525952.94*0.0225),2)</f>
        <v>11833.94</v>
      </c>
      <c r="L141" s="4" t="s">
        <v>258</v>
      </c>
      <c r="M141" s="15" t="s">
        <v>264</v>
      </c>
      <c r="N141" s="15">
        <v>2021</v>
      </c>
      <c r="O141" s="24" t="s">
        <v>14</v>
      </c>
      <c r="P141" s="58"/>
    </row>
    <row r="142" spans="2:17" s="14" customFormat="1" ht="123.75" customHeight="1" x14ac:dyDescent="0.2">
      <c r="B142" s="5" t="s">
        <v>364</v>
      </c>
      <c r="C142" s="86" t="s">
        <v>252</v>
      </c>
      <c r="D142" s="87"/>
      <c r="E142" s="3" t="s">
        <v>45</v>
      </c>
      <c r="F142" s="5" t="s">
        <v>34</v>
      </c>
      <c r="G142" s="21">
        <f>SUM(H142:K142)</f>
        <v>140254.12</v>
      </c>
      <c r="H142" s="21">
        <f>ROUND((140254.12*0.1275),2)</f>
        <v>17882.400000000001</v>
      </c>
      <c r="I142" s="21">
        <f>ROUND((140254.12*0.85),2)</f>
        <v>119216</v>
      </c>
      <c r="J142" s="21" t="s">
        <v>34</v>
      </c>
      <c r="K142" s="21">
        <f>ROUND((140254.12*0.0225),2)</f>
        <v>3155.72</v>
      </c>
      <c r="L142" s="4" t="s">
        <v>259</v>
      </c>
      <c r="M142" s="15" t="s">
        <v>264</v>
      </c>
      <c r="N142" s="15">
        <v>2021</v>
      </c>
      <c r="O142" s="24" t="s">
        <v>14</v>
      </c>
      <c r="P142" s="58"/>
    </row>
    <row r="143" spans="2:17" ht="12.75" customHeight="1" x14ac:dyDescent="0.2">
      <c r="B143" s="9" t="s">
        <v>268</v>
      </c>
      <c r="C143" s="9"/>
      <c r="D143" s="9"/>
      <c r="E143" s="9"/>
      <c r="F143" s="9"/>
      <c r="G143" s="9"/>
      <c r="H143" s="8"/>
      <c r="I143" s="8"/>
      <c r="J143" s="8"/>
      <c r="K143" s="8"/>
      <c r="L143" s="8"/>
      <c r="M143" s="8"/>
      <c r="N143" s="8"/>
      <c r="O143" s="8"/>
    </row>
    <row r="144" spans="2:17" x14ac:dyDescent="0.2">
      <c r="B144" s="9" t="s">
        <v>19</v>
      </c>
      <c r="C144" s="9"/>
      <c r="D144" s="9"/>
      <c r="E144" s="9"/>
      <c r="F144" s="9"/>
      <c r="G144" s="10"/>
      <c r="H144" s="10"/>
      <c r="I144" s="10"/>
      <c r="J144" s="10"/>
      <c r="K144" s="10"/>
      <c r="L144" s="10"/>
      <c r="M144" s="10"/>
      <c r="N144" s="10"/>
      <c r="O144" s="10"/>
    </row>
    <row r="145" spans="2:15" x14ac:dyDescent="0.2">
      <c r="B145" s="10" t="s">
        <v>78</v>
      </c>
      <c r="C145" s="9"/>
      <c r="D145" s="9"/>
      <c r="E145" s="9"/>
      <c r="F145" s="9"/>
      <c r="G145" s="10"/>
      <c r="H145" s="10"/>
      <c r="I145" s="10"/>
      <c r="J145" s="10"/>
      <c r="K145" s="10"/>
      <c r="L145" s="10"/>
      <c r="M145" s="10"/>
      <c r="N145" s="10"/>
      <c r="O145" s="10"/>
    </row>
    <row r="146" spans="2:15" x14ac:dyDescent="0.2">
      <c r="B146" s="10" t="s">
        <v>77</v>
      </c>
      <c r="C146" s="10"/>
      <c r="D146" s="10"/>
      <c r="E146" s="10"/>
      <c r="F146" s="10"/>
      <c r="G146" s="10"/>
      <c r="H146" s="10"/>
      <c r="I146" s="10"/>
      <c r="J146" s="10"/>
      <c r="K146" s="10"/>
      <c r="L146" s="10"/>
      <c r="M146" s="10"/>
      <c r="N146" s="10"/>
      <c r="O146" s="10"/>
    </row>
  </sheetData>
  <mergeCells count="148">
    <mergeCell ref="C124:D124"/>
    <mergeCell ref="B80:O80"/>
    <mergeCell ref="B81:O81"/>
    <mergeCell ref="B82:O82"/>
    <mergeCell ref="B62:O62"/>
    <mergeCell ref="C48:D48"/>
    <mergeCell ref="B45:O45"/>
    <mergeCell ref="C63:D63"/>
    <mergeCell ref="B75:O75"/>
    <mergeCell ref="B76:O76"/>
    <mergeCell ref="B77:O77"/>
    <mergeCell ref="C78:D78"/>
    <mergeCell ref="B55:O55"/>
    <mergeCell ref="B56:O56"/>
    <mergeCell ref="B57:O57"/>
    <mergeCell ref="C58:D58"/>
    <mergeCell ref="C59:D59"/>
    <mergeCell ref="B119:O119"/>
    <mergeCell ref="B118:O118"/>
    <mergeCell ref="B98:O98"/>
    <mergeCell ref="B97:O97"/>
    <mergeCell ref="B93:O93"/>
    <mergeCell ref="B86:O86"/>
    <mergeCell ref="B87:O87"/>
    <mergeCell ref="B88:O88"/>
    <mergeCell ref="C107:D107"/>
    <mergeCell ref="C102:D102"/>
    <mergeCell ref="B113:O113"/>
    <mergeCell ref="B114:O114"/>
    <mergeCell ref="B115:O115"/>
    <mergeCell ref="C116:D116"/>
    <mergeCell ref="C117:D117"/>
    <mergeCell ref="C95:D95"/>
    <mergeCell ref="C122:D122"/>
    <mergeCell ref="C43:D43"/>
    <mergeCell ref="C131:D131"/>
    <mergeCell ref="C140:D140"/>
    <mergeCell ref="C129:D129"/>
    <mergeCell ref="B99:O99"/>
    <mergeCell ref="B103:O103"/>
    <mergeCell ref="C94:D94"/>
    <mergeCell ref="C96:D96"/>
    <mergeCell ref="B110:O110"/>
    <mergeCell ref="C111:D111"/>
    <mergeCell ref="C112:D112"/>
    <mergeCell ref="C100:D100"/>
    <mergeCell ref="C101:D101"/>
    <mergeCell ref="B108:O108"/>
    <mergeCell ref="B109:O109"/>
    <mergeCell ref="B104:O104"/>
    <mergeCell ref="B105:O105"/>
    <mergeCell ref="C106:D106"/>
    <mergeCell ref="B128:O128"/>
    <mergeCell ref="B121:O121"/>
    <mergeCell ref="B120:O120"/>
    <mergeCell ref="C84:D84"/>
    <mergeCell ref="B132:O132"/>
    <mergeCell ref="B35:O35"/>
    <mergeCell ref="B36:O36"/>
    <mergeCell ref="B37:O37"/>
    <mergeCell ref="C38:D38"/>
    <mergeCell ref="C39:D39"/>
    <mergeCell ref="B71:O71"/>
    <mergeCell ref="B72:O72"/>
    <mergeCell ref="B91:O91"/>
    <mergeCell ref="B92:O92"/>
    <mergeCell ref="B50:O50"/>
    <mergeCell ref="B51:O51"/>
    <mergeCell ref="B52:O52"/>
    <mergeCell ref="C53:D53"/>
    <mergeCell ref="C54:D54"/>
    <mergeCell ref="C64:D64"/>
    <mergeCell ref="B40:O40"/>
    <mergeCell ref="B41:O41"/>
    <mergeCell ref="B42:O42"/>
    <mergeCell ref="B85:O85"/>
    <mergeCell ref="C83:D83"/>
    <mergeCell ref="B46:O46"/>
    <mergeCell ref="B47:O47"/>
    <mergeCell ref="B60:O60"/>
    <mergeCell ref="B61:O61"/>
    <mergeCell ref="B16:O16"/>
    <mergeCell ref="C18:D18"/>
    <mergeCell ref="C17:D17"/>
    <mergeCell ref="B24:O24"/>
    <mergeCell ref="B34:O34"/>
    <mergeCell ref="B25:O25"/>
    <mergeCell ref="B29:O29"/>
    <mergeCell ref="B26:O26"/>
    <mergeCell ref="B30:O30"/>
    <mergeCell ref="B31:O31"/>
    <mergeCell ref="C28:D28"/>
    <mergeCell ref="C27:D27"/>
    <mergeCell ref="C32:D32"/>
    <mergeCell ref="C33:D33"/>
    <mergeCell ref="B19:O19"/>
    <mergeCell ref="B20:O20"/>
    <mergeCell ref="B21:O21"/>
    <mergeCell ref="C22:D22"/>
    <mergeCell ref="C23:D23"/>
    <mergeCell ref="C142:D142"/>
    <mergeCell ref="B125:O125"/>
    <mergeCell ref="B127:O127"/>
    <mergeCell ref="B137:O137"/>
    <mergeCell ref="B138:O138"/>
    <mergeCell ref="B139:O139"/>
    <mergeCell ref="C130:D130"/>
    <mergeCell ref="H5:K5"/>
    <mergeCell ref="L5:L6"/>
    <mergeCell ref="M5:N5"/>
    <mergeCell ref="O5:O6"/>
    <mergeCell ref="B7:O7"/>
    <mergeCell ref="B8:O8"/>
    <mergeCell ref="C13:D13"/>
    <mergeCell ref="B9:O9"/>
    <mergeCell ref="B10:O10"/>
    <mergeCell ref="C11:D11"/>
    <mergeCell ref="C12:D12"/>
    <mergeCell ref="C123:D123"/>
    <mergeCell ref="C73:D73"/>
    <mergeCell ref="C74:D74"/>
    <mergeCell ref="C79:D79"/>
    <mergeCell ref="C89:D89"/>
    <mergeCell ref="C90:D90"/>
    <mergeCell ref="B133:O133"/>
    <mergeCell ref="B134:O134"/>
    <mergeCell ref="C135:D135"/>
    <mergeCell ref="C136:D136"/>
    <mergeCell ref="C141:D141"/>
    <mergeCell ref="L1:O1"/>
    <mergeCell ref="L2:O2"/>
    <mergeCell ref="L3:O3"/>
    <mergeCell ref="B65:O65"/>
    <mergeCell ref="B66:O66"/>
    <mergeCell ref="B67:O67"/>
    <mergeCell ref="B70:O70"/>
    <mergeCell ref="C49:D49"/>
    <mergeCell ref="C68:D68"/>
    <mergeCell ref="C69:D69"/>
    <mergeCell ref="C44:D44"/>
    <mergeCell ref="B4:O4"/>
    <mergeCell ref="B5:B6"/>
    <mergeCell ref="C5:D6"/>
    <mergeCell ref="E5:E6"/>
    <mergeCell ref="F5:F6"/>
    <mergeCell ref="G5:G6"/>
    <mergeCell ref="B14:O14"/>
    <mergeCell ref="B15:O15"/>
  </mergeCells>
  <pageMargins left="0.15748031496062992" right="0.15748031496062992" top="0.15748031496062992" bottom="0.15748031496062992" header="0.31496062992125984" footer="0.31496062992125984"/>
  <pageSetup paperSize="9" scale="6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zoomScaleNormal="100" workbookViewId="0">
      <selection activeCell="H1" sqref="H1:J1"/>
    </sheetView>
  </sheetViews>
  <sheetFormatPr defaultColWidth="9.140625" defaultRowHeight="15" x14ac:dyDescent="0.25"/>
  <cols>
    <col min="1" max="1" width="10" style="45" customWidth="1"/>
    <col min="2" max="2" width="15.7109375" style="45" customWidth="1"/>
    <col min="3" max="3" width="14" style="45" customWidth="1"/>
    <col min="4" max="4" width="39.5703125" style="45" customWidth="1"/>
    <col min="5" max="5" width="17.42578125" style="45" customWidth="1"/>
    <col min="6" max="6" width="14.42578125" style="45" customWidth="1"/>
    <col min="7" max="7" width="18.5703125" style="45" customWidth="1"/>
    <col min="8" max="8" width="17" style="45" customWidth="1"/>
    <col min="9" max="9" width="17.42578125" style="45" customWidth="1"/>
    <col min="10" max="10" width="15.28515625" style="45" customWidth="1"/>
    <col min="11" max="11" width="21.5703125" style="45" customWidth="1"/>
    <col min="12" max="12" width="19.7109375" style="45" customWidth="1"/>
    <col min="13" max="13" width="14.42578125" style="45" customWidth="1"/>
    <col min="14" max="14" width="18" style="45" customWidth="1"/>
    <col min="15" max="15" width="10.5703125" style="45" bestFit="1" customWidth="1"/>
    <col min="16" max="16" width="9.5703125" style="45" bestFit="1" customWidth="1"/>
    <col min="17" max="16384" width="9.140625" style="45"/>
  </cols>
  <sheetData>
    <row r="1" spans="1:15" ht="15.75" x14ac:dyDescent="0.25">
      <c r="A1" s="44"/>
      <c r="B1" s="44"/>
      <c r="C1" s="44"/>
      <c r="D1" s="44"/>
      <c r="E1" s="44"/>
      <c r="F1" s="44"/>
      <c r="G1" s="44"/>
      <c r="H1" s="88" t="s">
        <v>58</v>
      </c>
      <c r="I1" s="88"/>
      <c r="J1" s="88"/>
    </row>
    <row r="2" spans="1:15" ht="15.75" x14ac:dyDescent="0.25">
      <c r="A2" s="44"/>
      <c r="B2" s="44"/>
      <c r="C2" s="44"/>
      <c r="D2" s="44"/>
      <c r="E2" s="44"/>
      <c r="F2" s="44"/>
      <c r="G2" s="44"/>
      <c r="H2" s="88" t="s">
        <v>59</v>
      </c>
      <c r="I2" s="88"/>
      <c r="J2" s="88"/>
    </row>
    <row r="3" spans="1:15" ht="27" customHeight="1" x14ac:dyDescent="0.3">
      <c r="A3" s="44"/>
      <c r="B3" s="44"/>
      <c r="C3" s="44"/>
      <c r="D3" s="165" t="s">
        <v>57</v>
      </c>
      <c r="E3" s="165"/>
      <c r="F3" s="165"/>
      <c r="G3" s="165"/>
      <c r="H3" s="165"/>
      <c r="I3" s="166"/>
      <c r="J3" s="44"/>
    </row>
    <row r="4" spans="1:15" ht="15.75" x14ac:dyDescent="0.25">
      <c r="A4" s="44"/>
      <c r="B4" s="44"/>
      <c r="C4" s="44"/>
      <c r="D4" s="44"/>
      <c r="E4" s="44"/>
      <c r="F4" s="44"/>
      <c r="G4" s="44"/>
      <c r="H4" s="44"/>
      <c r="I4" s="44"/>
      <c r="J4" s="44"/>
    </row>
    <row r="5" spans="1:15" ht="16.5" customHeight="1" x14ac:dyDescent="0.25">
      <c r="A5" s="167" t="s">
        <v>20</v>
      </c>
      <c r="B5" s="167" t="s">
        <v>301</v>
      </c>
      <c r="C5" s="167" t="s">
        <v>21</v>
      </c>
      <c r="D5" s="167" t="s">
        <v>2</v>
      </c>
      <c r="E5" s="167" t="s">
        <v>22</v>
      </c>
      <c r="F5" s="167"/>
      <c r="G5" s="167"/>
      <c r="H5" s="167"/>
      <c r="I5" s="167"/>
      <c r="J5" s="164" t="s">
        <v>24</v>
      </c>
    </row>
    <row r="6" spans="1:15" ht="96.75" customHeight="1" x14ac:dyDescent="0.25">
      <c r="A6" s="167"/>
      <c r="B6" s="167"/>
      <c r="C6" s="168"/>
      <c r="D6" s="167"/>
      <c r="E6" s="63" t="s">
        <v>26</v>
      </c>
      <c r="F6" s="63" t="str">
        <f>ITI!I6</f>
        <v>ES fondu finansējums (46.84% līdz 85%)</v>
      </c>
      <c r="G6" s="63" t="s">
        <v>39</v>
      </c>
      <c r="H6" s="63" t="str">
        <f>ITI!H6</f>
        <v>Pašvaldības budžets* (12.75% līdz 45.19%) + neattiecināmās izmaksas</v>
      </c>
      <c r="I6" s="63" t="str">
        <f>ITI!K6</f>
        <v>Valsts budžeta dotācija** (2.25% līdz 7.97%)</v>
      </c>
      <c r="J6" s="164"/>
      <c r="K6" s="46"/>
    </row>
    <row r="7" spans="1:15" ht="63" x14ac:dyDescent="0.25">
      <c r="A7" s="154" t="s">
        <v>25</v>
      </c>
      <c r="B7" s="160" t="s">
        <v>23</v>
      </c>
      <c r="C7" s="48">
        <v>1</v>
      </c>
      <c r="D7" s="49" t="s">
        <v>313</v>
      </c>
      <c r="E7" s="50">
        <f>ITI!G11</f>
        <v>5688519.2800000003</v>
      </c>
      <c r="F7" s="50">
        <f>ITI!I11</f>
        <v>956582.13</v>
      </c>
      <c r="G7" s="50">
        <f>ITI!J11</f>
        <v>956582.13</v>
      </c>
      <c r="H7" s="50">
        <f>ITI!H11</f>
        <v>3750033.74</v>
      </c>
      <c r="I7" s="50">
        <f>ITI!K11</f>
        <v>25321.280000000002</v>
      </c>
      <c r="J7" s="51" t="s">
        <v>294</v>
      </c>
      <c r="K7" s="75"/>
      <c r="L7" s="76"/>
    </row>
    <row r="8" spans="1:15" ht="78.75" x14ac:dyDescent="0.25">
      <c r="A8" s="154"/>
      <c r="B8" s="161"/>
      <c r="C8" s="48">
        <v>2</v>
      </c>
      <c r="D8" s="49" t="s">
        <v>314</v>
      </c>
      <c r="E8" s="50">
        <f>ITI!G17</f>
        <v>2654816.5099999998</v>
      </c>
      <c r="F8" s="50">
        <f>ITI!I17</f>
        <v>764307.56</v>
      </c>
      <c r="G8" s="50">
        <f>ITI!J17</f>
        <v>764307.56</v>
      </c>
      <c r="H8" s="50">
        <f>ITI!H17</f>
        <v>1105969.72</v>
      </c>
      <c r="I8" s="50">
        <f>ITI!K17</f>
        <v>20231.669999999998</v>
      </c>
      <c r="J8" s="50" t="s">
        <v>30</v>
      </c>
      <c r="K8" s="75"/>
      <c r="L8" s="76"/>
    </row>
    <row r="9" spans="1:15" ht="78.75" x14ac:dyDescent="0.25">
      <c r="A9" s="154"/>
      <c r="B9" s="162"/>
      <c r="C9" s="48">
        <v>3</v>
      </c>
      <c r="D9" s="49" t="s">
        <v>315</v>
      </c>
      <c r="E9" s="50">
        <f>ITI!G22</f>
        <v>609975.37999999989</v>
      </c>
      <c r="F9" s="50">
        <f>ITI!I22</f>
        <v>279110.31</v>
      </c>
      <c r="G9" s="50">
        <f>ITI!J22</f>
        <v>279110.31</v>
      </c>
      <c r="H9" s="50">
        <f>ITI!H22</f>
        <v>44366.55</v>
      </c>
      <c r="I9" s="50">
        <f>ITI!K22</f>
        <v>7388.21</v>
      </c>
      <c r="J9" s="51" t="s">
        <v>30</v>
      </c>
      <c r="K9" s="75"/>
      <c r="L9" s="62"/>
    </row>
    <row r="10" spans="1:15" ht="63" x14ac:dyDescent="0.25">
      <c r="A10" s="154"/>
      <c r="B10" s="160" t="s">
        <v>27</v>
      </c>
      <c r="C10" s="52">
        <v>4</v>
      </c>
      <c r="D10" s="53" t="s">
        <v>316</v>
      </c>
      <c r="E10" s="54">
        <f>ITI!G27</f>
        <v>179787.78999999998</v>
      </c>
      <c r="F10" s="54">
        <f>ITI!I27</f>
        <v>82605.2</v>
      </c>
      <c r="G10" s="54">
        <f>ITI!J27</f>
        <v>82605.2</v>
      </c>
      <c r="H10" s="54">
        <f>ITI!H27</f>
        <v>12390.78</v>
      </c>
      <c r="I10" s="54">
        <f>ITI!K27</f>
        <v>2186.61</v>
      </c>
      <c r="J10" s="47" t="s">
        <v>295</v>
      </c>
      <c r="K10" s="75"/>
      <c r="L10" s="62"/>
      <c r="M10" s="55"/>
    </row>
    <row r="11" spans="1:15" ht="63" x14ac:dyDescent="0.25">
      <c r="A11" s="154"/>
      <c r="B11" s="162"/>
      <c r="C11" s="52">
        <v>5</v>
      </c>
      <c r="D11" s="53" t="s">
        <v>317</v>
      </c>
      <c r="E11" s="54">
        <f>ITI!G32</f>
        <v>609975.37999999989</v>
      </c>
      <c r="F11" s="54">
        <f>ITI!I32</f>
        <v>279110.31</v>
      </c>
      <c r="G11" s="54">
        <f>ITI!J32</f>
        <v>279110.31</v>
      </c>
      <c r="H11" s="54">
        <f>ITI!H32</f>
        <v>44366.55</v>
      </c>
      <c r="I11" s="54">
        <f>ITI!K32</f>
        <v>7388.21</v>
      </c>
      <c r="J11" s="47" t="s">
        <v>295</v>
      </c>
      <c r="K11" s="75"/>
    </row>
    <row r="12" spans="1:15" ht="78.75" x14ac:dyDescent="0.25">
      <c r="A12" s="154" t="s">
        <v>28</v>
      </c>
      <c r="B12" s="155" t="s">
        <v>23</v>
      </c>
      <c r="C12" s="48">
        <v>6</v>
      </c>
      <c r="D12" s="49" t="s">
        <v>322</v>
      </c>
      <c r="E12" s="50">
        <f>ITI!G38</f>
        <v>2999999.9984999998</v>
      </c>
      <c r="F12" s="50">
        <f>ITI!I38</f>
        <v>840774.26</v>
      </c>
      <c r="G12" s="50" t="str">
        <f>ITI!J38</f>
        <v>-</v>
      </c>
      <c r="H12" s="50">
        <f>ITI!H38</f>
        <v>2136969.9492250001</v>
      </c>
      <c r="I12" s="50">
        <f>ITI!K38</f>
        <v>22255.789274999999</v>
      </c>
      <c r="J12" s="51" t="s">
        <v>31</v>
      </c>
      <c r="K12" s="75"/>
      <c r="L12" s="163"/>
      <c r="M12" s="55"/>
      <c r="N12" s="152"/>
      <c r="O12" s="55"/>
    </row>
    <row r="13" spans="1:15" ht="78.75" x14ac:dyDescent="0.25">
      <c r="A13" s="154"/>
      <c r="B13" s="155"/>
      <c r="C13" s="51">
        <v>7</v>
      </c>
      <c r="D13" s="49" t="s">
        <v>323</v>
      </c>
      <c r="E13" s="50">
        <f>ITI!G43</f>
        <v>2604375.9200000004</v>
      </c>
      <c r="F13" s="50">
        <f>ITI!I43</f>
        <v>471756.78</v>
      </c>
      <c r="G13" s="50" t="str">
        <f>ITI!J43</f>
        <v>-</v>
      </c>
      <c r="H13" s="50">
        <f>ITI!H43</f>
        <v>2120131.46</v>
      </c>
      <c r="I13" s="50">
        <f>ITI!K43</f>
        <v>12487.68</v>
      </c>
      <c r="J13" s="51" t="s">
        <v>30</v>
      </c>
      <c r="K13" s="75"/>
      <c r="L13" s="163"/>
      <c r="M13" s="55"/>
      <c r="N13" s="153"/>
      <c r="O13" s="55"/>
    </row>
    <row r="14" spans="1:15" ht="78.75" x14ac:dyDescent="0.25">
      <c r="A14" s="154"/>
      <c r="B14" s="155"/>
      <c r="C14" s="51">
        <v>8</v>
      </c>
      <c r="D14" s="49" t="s">
        <v>324</v>
      </c>
      <c r="E14" s="50">
        <f>ITI!G48</f>
        <v>858842.94</v>
      </c>
      <c r="F14" s="50">
        <f>ITI!I48</f>
        <v>150611.79999999999</v>
      </c>
      <c r="G14" s="50" t="str">
        <f>ITI!J48</f>
        <v>-</v>
      </c>
      <c r="H14" s="50">
        <f>ITI!H48</f>
        <v>704244.36</v>
      </c>
      <c r="I14" s="50">
        <f>ITI!K48</f>
        <v>3986.78</v>
      </c>
      <c r="J14" s="51" t="s">
        <v>31</v>
      </c>
      <c r="K14" s="75"/>
      <c r="L14" s="163"/>
      <c r="M14" s="55"/>
      <c r="N14" s="153"/>
      <c r="O14" s="55"/>
    </row>
    <row r="15" spans="1:15" ht="63" x14ac:dyDescent="0.25">
      <c r="A15" s="154"/>
      <c r="B15" s="155"/>
      <c r="C15" s="51">
        <v>9</v>
      </c>
      <c r="D15" s="49" t="s">
        <v>325</v>
      </c>
      <c r="E15" s="50">
        <f>ITI!G53</f>
        <v>1263625.4100000001</v>
      </c>
      <c r="F15" s="50">
        <f>ITI!I53</f>
        <v>613490.14</v>
      </c>
      <c r="G15" s="50" t="str">
        <f>ITI!J53</f>
        <v>-</v>
      </c>
      <c r="H15" s="50">
        <f>ITI!H53</f>
        <v>552583.39</v>
      </c>
      <c r="I15" s="50">
        <f>ITI!K53</f>
        <v>97551.88</v>
      </c>
      <c r="J15" s="50" t="s">
        <v>30</v>
      </c>
      <c r="K15" s="75"/>
      <c r="L15" s="163"/>
      <c r="M15" s="55"/>
      <c r="N15" s="153"/>
      <c r="O15" s="55"/>
    </row>
    <row r="16" spans="1:15" ht="78.75" x14ac:dyDescent="0.25">
      <c r="A16" s="154"/>
      <c r="B16" s="155"/>
      <c r="C16" s="51">
        <v>10</v>
      </c>
      <c r="D16" s="49" t="s">
        <v>326</v>
      </c>
      <c r="E16" s="50">
        <f>ITI!G58</f>
        <v>147488.09</v>
      </c>
      <c r="F16" s="50">
        <f>ITI!I58</f>
        <v>78773.39</v>
      </c>
      <c r="G16" s="50" t="str">
        <f>ITI!J58</f>
        <v>-</v>
      </c>
      <c r="H16" s="50">
        <f>ITI!H58</f>
        <v>58405.279999999999</v>
      </c>
      <c r="I16" s="50">
        <f>ITI!K58</f>
        <v>10309.42</v>
      </c>
      <c r="J16" s="50" t="s">
        <v>30</v>
      </c>
      <c r="K16" s="75"/>
      <c r="L16" s="163"/>
      <c r="M16" s="55"/>
      <c r="N16" s="153"/>
      <c r="O16" s="55"/>
    </row>
    <row r="17" spans="1:16" ht="63" x14ac:dyDescent="0.25">
      <c r="A17" s="154"/>
      <c r="B17" s="155"/>
      <c r="C17" s="51">
        <v>11</v>
      </c>
      <c r="D17" s="49" t="s">
        <v>327</v>
      </c>
      <c r="E17" s="50">
        <f>ITI!G63</f>
        <v>1096887.54</v>
      </c>
      <c r="F17" s="50">
        <f>ITI!I63</f>
        <v>512648.6</v>
      </c>
      <c r="G17" s="50" t="str">
        <f>ITI!J63</f>
        <v>-</v>
      </c>
      <c r="H17" s="50">
        <f>ITI!H63</f>
        <v>497009.88</v>
      </c>
      <c r="I17" s="50">
        <f>ITI!K63</f>
        <v>87229.06</v>
      </c>
      <c r="J17" s="50" t="s">
        <v>30</v>
      </c>
      <c r="K17" s="75"/>
      <c r="L17" s="163"/>
      <c r="M17" s="55"/>
      <c r="N17" s="153"/>
      <c r="O17" s="55"/>
    </row>
    <row r="18" spans="1:16" ht="63" x14ac:dyDescent="0.25">
      <c r="A18" s="154"/>
      <c r="B18" s="155"/>
      <c r="C18" s="51">
        <v>12</v>
      </c>
      <c r="D18" s="49" t="s">
        <v>328</v>
      </c>
      <c r="E18" s="50">
        <f>ITI!G68</f>
        <v>154792.13</v>
      </c>
      <c r="F18" s="50">
        <f>ITI!I68</f>
        <v>84156.03</v>
      </c>
      <c r="G18" s="50" t="str">
        <f>ITI!J68</f>
        <v>-</v>
      </c>
      <c r="H18" s="50">
        <f>ITI!H68</f>
        <v>68408.44</v>
      </c>
      <c r="I18" s="50">
        <f>ITI!K68</f>
        <v>2227.66</v>
      </c>
      <c r="J18" s="50" t="s">
        <v>31</v>
      </c>
      <c r="K18" s="75"/>
      <c r="L18" s="64"/>
      <c r="M18" s="55"/>
      <c r="N18" s="61"/>
      <c r="O18" s="55"/>
      <c r="P18" s="55"/>
    </row>
    <row r="19" spans="1:16" ht="78.75" x14ac:dyDescent="0.25">
      <c r="A19" s="154"/>
      <c r="B19" s="155" t="s">
        <v>27</v>
      </c>
      <c r="C19" s="47">
        <v>13</v>
      </c>
      <c r="D19" s="53" t="s">
        <v>329</v>
      </c>
      <c r="E19" s="54">
        <f>ITI!G73</f>
        <v>27651.98</v>
      </c>
      <c r="F19" s="54">
        <f>ITI!I73</f>
        <v>23504.18</v>
      </c>
      <c r="G19" s="54" t="str">
        <f>ITI!J73</f>
        <v>-</v>
      </c>
      <c r="H19" s="54">
        <f>ITI!H73</f>
        <v>3525.63</v>
      </c>
      <c r="I19" s="54">
        <f>ITI!K73</f>
        <v>622.16999999999996</v>
      </c>
      <c r="J19" s="54" t="s">
        <v>295</v>
      </c>
      <c r="K19" s="75"/>
      <c r="N19" s="55"/>
    </row>
    <row r="20" spans="1:16" ht="78.75" x14ac:dyDescent="0.25">
      <c r="A20" s="154"/>
      <c r="B20" s="155"/>
      <c r="C20" s="47">
        <v>14</v>
      </c>
      <c r="D20" s="53" t="s">
        <v>330</v>
      </c>
      <c r="E20" s="54">
        <f>ITI!G78</f>
        <v>170768.12</v>
      </c>
      <c r="F20" s="54">
        <f>ITI!I78</f>
        <v>132402.9</v>
      </c>
      <c r="G20" s="54" t="str">
        <f>ITI!J78</f>
        <v>-</v>
      </c>
      <c r="H20" s="54">
        <f>ITI!H78</f>
        <v>34860.44</v>
      </c>
      <c r="I20" s="54">
        <f>ITI!K78</f>
        <v>3504.78</v>
      </c>
      <c r="J20" s="47" t="s">
        <v>295</v>
      </c>
      <c r="K20" s="75"/>
    </row>
    <row r="21" spans="1:16" ht="63" x14ac:dyDescent="0.25">
      <c r="A21" s="154"/>
      <c r="B21" s="155"/>
      <c r="C21" s="47">
        <v>15</v>
      </c>
      <c r="D21" s="53" t="s">
        <v>331</v>
      </c>
      <c r="E21" s="54">
        <f>ITI!G83</f>
        <v>115487.81</v>
      </c>
      <c r="F21" s="54">
        <f>ITI!I83</f>
        <v>72268</v>
      </c>
      <c r="G21" s="54" t="str">
        <f>ITI!J83</f>
        <v>-</v>
      </c>
      <c r="H21" s="54">
        <f>ITI!H83</f>
        <v>41306.83</v>
      </c>
      <c r="I21" s="54">
        <f>ITI!K83</f>
        <v>1912.98</v>
      </c>
      <c r="J21" s="47" t="s">
        <v>295</v>
      </c>
      <c r="K21" s="75"/>
      <c r="N21" s="55"/>
    </row>
    <row r="22" spans="1:16" ht="47.25" x14ac:dyDescent="0.25">
      <c r="A22" s="157" t="s">
        <v>29</v>
      </c>
      <c r="B22" s="155" t="s">
        <v>23</v>
      </c>
      <c r="C22" s="51">
        <v>16</v>
      </c>
      <c r="D22" s="49" t="s">
        <v>332</v>
      </c>
      <c r="E22" s="50">
        <f>ITI!G89</f>
        <v>13488844.4</v>
      </c>
      <c r="F22" s="50">
        <f>ITI!I89</f>
        <v>5780000</v>
      </c>
      <c r="G22" s="50">
        <f>ITI!J89</f>
        <v>5780000</v>
      </c>
      <c r="H22" s="50">
        <f>ITI!H89</f>
        <v>1775844.4</v>
      </c>
      <c r="I22" s="50">
        <f>ITI!K89</f>
        <v>153000</v>
      </c>
      <c r="J22" s="51" t="s">
        <v>102</v>
      </c>
      <c r="K22" s="75"/>
      <c r="L22" s="156"/>
    </row>
    <row r="23" spans="1:16" ht="63" x14ac:dyDescent="0.25">
      <c r="A23" s="158"/>
      <c r="B23" s="155"/>
      <c r="C23" s="51">
        <v>17</v>
      </c>
      <c r="D23" s="49" t="s">
        <v>333</v>
      </c>
      <c r="E23" s="50">
        <f>ITI!G94</f>
        <v>2767799.18</v>
      </c>
      <c r="F23" s="50">
        <f>ITI!I94</f>
        <v>1220000</v>
      </c>
      <c r="G23" s="50">
        <f>ITI!J94</f>
        <v>1220000</v>
      </c>
      <c r="H23" s="50">
        <f>ITI!H94</f>
        <v>295505.06</v>
      </c>
      <c r="I23" s="50">
        <f>ITI!K94</f>
        <v>32294.12</v>
      </c>
      <c r="J23" s="51" t="s">
        <v>30</v>
      </c>
      <c r="K23" s="75"/>
      <c r="L23" s="156"/>
    </row>
    <row r="24" spans="1:16" ht="78.75" x14ac:dyDescent="0.25">
      <c r="A24" s="158"/>
      <c r="B24" s="155"/>
      <c r="C24" s="51">
        <v>18</v>
      </c>
      <c r="D24" s="49" t="s">
        <v>293</v>
      </c>
      <c r="E24" s="50">
        <f>ITI!G100</f>
        <v>13058823.529999999</v>
      </c>
      <c r="F24" s="50">
        <f>ITI!I100</f>
        <v>6000000</v>
      </c>
      <c r="G24" s="50">
        <f>ITI!J100</f>
        <v>6000000</v>
      </c>
      <c r="H24" s="50">
        <f>ITI!H100</f>
        <v>900000</v>
      </c>
      <c r="I24" s="50">
        <f>ITI!K100</f>
        <v>158823.53</v>
      </c>
      <c r="J24" s="51" t="s">
        <v>294</v>
      </c>
      <c r="K24" s="75"/>
      <c r="L24" s="156"/>
    </row>
    <row r="25" spans="1:16" s="78" customFormat="1" ht="47.25" x14ac:dyDescent="0.25">
      <c r="A25" s="158"/>
      <c r="B25" s="160" t="s">
        <v>27</v>
      </c>
      <c r="C25" s="47">
        <v>19</v>
      </c>
      <c r="D25" s="53" t="s">
        <v>334</v>
      </c>
      <c r="E25" s="54">
        <f>ITI!G106</f>
        <v>1322490.26</v>
      </c>
      <c r="F25" s="54">
        <f>ITI!I106</f>
        <v>607630.66</v>
      </c>
      <c r="G25" s="54">
        <f>ITI!J106</f>
        <v>607630.66</v>
      </c>
      <c r="H25" s="54">
        <f>ITI!H106</f>
        <v>91144.6</v>
      </c>
      <c r="I25" s="54">
        <f>ITI!K106</f>
        <v>16084.34</v>
      </c>
      <c r="J25" s="47" t="s">
        <v>297</v>
      </c>
      <c r="K25" s="75"/>
      <c r="L25" s="77"/>
      <c r="M25" s="61"/>
    </row>
    <row r="26" spans="1:16" ht="63" x14ac:dyDescent="0.25">
      <c r="A26" s="158"/>
      <c r="B26" s="161"/>
      <c r="C26" s="47">
        <v>20</v>
      </c>
      <c r="D26" s="53" t="s">
        <v>335</v>
      </c>
      <c r="E26" s="54">
        <f>ITI!G111</f>
        <v>10882352.949999999</v>
      </c>
      <c r="F26" s="54">
        <f>ITI!I111</f>
        <v>5000000</v>
      </c>
      <c r="G26" s="54">
        <f>ITI!J111</f>
        <v>5000000</v>
      </c>
      <c r="H26" s="54">
        <f>ITI!H111</f>
        <v>750000</v>
      </c>
      <c r="I26" s="54">
        <f>ITI!K111</f>
        <v>132352.95000000001</v>
      </c>
      <c r="J26" s="47" t="s">
        <v>297</v>
      </c>
      <c r="K26" s="75"/>
    </row>
    <row r="27" spans="1:16" ht="63" x14ac:dyDescent="0.25">
      <c r="A27" s="159"/>
      <c r="B27" s="162"/>
      <c r="C27" s="47">
        <v>21</v>
      </c>
      <c r="D27" s="53" t="s">
        <v>331</v>
      </c>
      <c r="E27" s="54">
        <f>ITI!G116</f>
        <v>187755.81000000003</v>
      </c>
      <c r="F27" s="54">
        <f>ITI!I116</f>
        <v>72268</v>
      </c>
      <c r="G27" s="54">
        <f>ITI!J116</f>
        <v>72268</v>
      </c>
      <c r="H27" s="54">
        <f>ITI!H116</f>
        <v>41306.83</v>
      </c>
      <c r="I27" s="54">
        <f>ITI!K116</f>
        <v>1912.98</v>
      </c>
      <c r="J27" s="47" t="s">
        <v>295</v>
      </c>
      <c r="K27" s="75"/>
    </row>
    <row r="28" spans="1:16" ht="63" x14ac:dyDescent="0.25">
      <c r="A28" s="73" t="s">
        <v>32</v>
      </c>
      <c r="B28" s="72" t="s">
        <v>23</v>
      </c>
      <c r="C28" s="51">
        <v>22</v>
      </c>
      <c r="D28" s="49" t="s">
        <v>336</v>
      </c>
      <c r="E28" s="50">
        <f>ITI!G122</f>
        <v>7676022.7300000004</v>
      </c>
      <c r="F28" s="50">
        <f>ITI!I122</f>
        <v>6471654</v>
      </c>
      <c r="G28" s="50" t="str">
        <f>ITI!J122</f>
        <v>-</v>
      </c>
      <c r="H28" s="50">
        <f>ITI!H122</f>
        <v>1033060.24</v>
      </c>
      <c r="I28" s="50">
        <f>ITI!K122</f>
        <v>171308.49</v>
      </c>
      <c r="J28" s="51" t="s">
        <v>102</v>
      </c>
      <c r="K28" s="74"/>
      <c r="L28" s="152"/>
    </row>
    <row r="29" spans="1:16" ht="78.75" x14ac:dyDescent="0.25">
      <c r="A29" s="154" t="s">
        <v>33</v>
      </c>
      <c r="B29" s="155" t="s">
        <v>23</v>
      </c>
      <c r="C29" s="51">
        <v>23</v>
      </c>
      <c r="D29" s="49" t="s">
        <v>337</v>
      </c>
      <c r="E29" s="50">
        <f>ITI!G129</f>
        <v>559829.41</v>
      </c>
      <c r="F29" s="50">
        <f>ITI!I129</f>
        <v>475855</v>
      </c>
      <c r="G29" s="50" t="str">
        <f>ITI!J129</f>
        <v>-</v>
      </c>
      <c r="H29" s="50">
        <f>ITI!H129</f>
        <v>71378.25</v>
      </c>
      <c r="I29" s="50">
        <f>ITI!K129</f>
        <v>12596.16</v>
      </c>
      <c r="J29" s="51" t="s">
        <v>31</v>
      </c>
      <c r="K29" s="74"/>
      <c r="L29" s="152"/>
    </row>
    <row r="30" spans="1:16" ht="78.75" x14ac:dyDescent="0.25">
      <c r="A30" s="154"/>
      <c r="B30" s="155"/>
      <c r="C30" s="51">
        <v>24</v>
      </c>
      <c r="D30" s="49" t="s">
        <v>338</v>
      </c>
      <c r="E30" s="50">
        <f>ITI!G135</f>
        <v>186554.12</v>
      </c>
      <c r="F30" s="50">
        <f>ITI!I135</f>
        <v>158571</v>
      </c>
      <c r="G30" s="50" t="str">
        <f>ITI!J135</f>
        <v>-</v>
      </c>
      <c r="H30" s="50">
        <f>ITI!H135</f>
        <v>23785.65</v>
      </c>
      <c r="I30" s="50">
        <f>ITI!K135</f>
        <v>4197.47</v>
      </c>
      <c r="J30" s="51" t="s">
        <v>31</v>
      </c>
      <c r="K30" s="74"/>
      <c r="L30" s="152"/>
    </row>
    <row r="31" spans="1:16" ht="78.75" x14ac:dyDescent="0.25">
      <c r="A31" s="154"/>
      <c r="B31" s="155"/>
      <c r="C31" s="51">
        <v>25</v>
      </c>
      <c r="D31" s="49" t="s">
        <v>339</v>
      </c>
      <c r="E31" s="50">
        <f>ITI!G140</f>
        <v>666207.05999999994</v>
      </c>
      <c r="F31" s="50">
        <f>ITI!I140</f>
        <v>566276</v>
      </c>
      <c r="G31" s="50" t="str">
        <f>ITI!J140</f>
        <v>-</v>
      </c>
      <c r="H31" s="50">
        <f>ITI!H140</f>
        <v>84941.4</v>
      </c>
      <c r="I31" s="50">
        <f>ITI!K140</f>
        <v>14989.66</v>
      </c>
      <c r="J31" s="51" t="s">
        <v>295</v>
      </c>
      <c r="K31" s="74"/>
      <c r="L31" s="152"/>
      <c r="M31" s="55"/>
    </row>
    <row r="32" spans="1:16" x14ac:dyDescent="0.25">
      <c r="A32" s="9" t="s">
        <v>268</v>
      </c>
      <c r="E32" s="55"/>
      <c r="F32" s="55"/>
      <c r="G32" s="55"/>
      <c r="H32" s="55"/>
      <c r="I32" s="55"/>
    </row>
    <row r="33" spans="1:2" x14ac:dyDescent="0.25">
      <c r="A33" s="9" t="s">
        <v>19</v>
      </c>
      <c r="B33" s="9"/>
    </row>
    <row r="34" spans="1:2" x14ac:dyDescent="0.25">
      <c r="A34" s="10" t="s">
        <v>78</v>
      </c>
      <c r="B34" s="9"/>
    </row>
    <row r="35" spans="1:2" x14ac:dyDescent="0.25">
      <c r="A35" s="9" t="s">
        <v>302</v>
      </c>
      <c r="B35" s="10"/>
    </row>
  </sheetData>
  <mergeCells count="24">
    <mergeCell ref="H1:J1"/>
    <mergeCell ref="H2:J2"/>
    <mergeCell ref="A7:A11"/>
    <mergeCell ref="J5:J6"/>
    <mergeCell ref="D3:I3"/>
    <mergeCell ref="C5:C6"/>
    <mergeCell ref="E5:I5"/>
    <mergeCell ref="A5:A6"/>
    <mergeCell ref="B5:B6"/>
    <mergeCell ref="D5:D6"/>
    <mergeCell ref="B10:B11"/>
    <mergeCell ref="B7:B9"/>
    <mergeCell ref="L28:L31"/>
    <mergeCell ref="N12:N17"/>
    <mergeCell ref="A29:A31"/>
    <mergeCell ref="B19:B21"/>
    <mergeCell ref="B22:B24"/>
    <mergeCell ref="A12:A21"/>
    <mergeCell ref="B12:B18"/>
    <mergeCell ref="B29:B31"/>
    <mergeCell ref="L22:L24"/>
    <mergeCell ref="A22:A27"/>
    <mergeCell ref="B25:B27"/>
    <mergeCell ref="L12:L17"/>
  </mergeCells>
  <pageMargins left="0.15748031496062992" right="0.15748031496062992" top="0.15748031496062992" bottom="0.15748031496062992" header="0.31496062992125984" footer="0.15748031496062992"/>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ITI</vt:lpstr>
      <vt:lpstr>ITI kopsavilkums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Jekaterina Milberga</dc:creator>
  <cp:lastModifiedBy>Arnita Liepiņa</cp:lastModifiedBy>
  <cp:lastPrinted>2017-12-19T13:03:30Z</cp:lastPrinted>
  <dcterms:created xsi:type="dcterms:W3CDTF">2015-12-03T10:23:45Z</dcterms:created>
  <dcterms:modified xsi:type="dcterms:W3CDTF">2017-12-19T13:04:10Z</dcterms:modified>
</cp:coreProperties>
</file>