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19200" windowHeight="10995" activeTab="1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Ienemumi!$A$8:$AI$178</definedName>
    <definedName name="_xlnm._FilterDatabase" localSheetId="0" hidden="1">Izdevumi!$BO$12:$BU$258</definedName>
    <definedName name="_xlnm.Print_Area" localSheetId="2">'Kopa_ien-izd'!$A$2:$E$13</definedName>
    <definedName name="_xlnm.Print_Titles" localSheetId="1">Ienemumi!$7:$8</definedName>
    <definedName name="_xlnm.Print_Titles" localSheetId="0">Izdevumi!$7:$10</definedName>
    <definedName name="Z_C32C0FCD_AE7D_41A3_975E_D7367DDEA994_.wvu.PrintArea" localSheetId="1" hidden="1">Ienemumi!$A$4:$AH$178</definedName>
    <definedName name="Z_C32C0FCD_AE7D_41A3_975E_D7367DDEA994_.wvu.PrintArea" localSheetId="0" hidden="1">Izdevumi!$B$5:$BM$258</definedName>
    <definedName name="Z_C32C0FCD_AE7D_41A3_975E_D7367DDEA994_.wvu.PrintTitles" localSheetId="1" hidden="1">Ienemumi!$7:$8</definedName>
    <definedName name="Z_C32C0FCD_AE7D_41A3_975E_D7367DDEA994_.wvu.PrintTitles" localSheetId="0" hidden="1">Izdevumi!$7:$10</definedName>
    <definedName name="Z_C32C0FCD_AE7D_41A3_975E_D7367DDEA994_.wvu.Rows" localSheetId="1" hidden="1">Ienemumi!#REF!,Ienemumi!#REF!,Ienemumi!$166:$176</definedName>
  </definedNames>
  <calcPr calcId="152511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L106" i="4" l="1"/>
  <c r="S256" i="1"/>
  <c r="S98" i="1" l="1"/>
  <c r="S73" i="1"/>
  <c r="R23" i="1" l="1"/>
  <c r="K110" i="4" l="1"/>
  <c r="K81" i="4" l="1"/>
  <c r="Q256" i="1"/>
  <c r="BA171" i="1"/>
  <c r="AZ171" i="1" s="1"/>
  <c r="AT171" i="1"/>
  <c r="AS171" i="1" s="1"/>
  <c r="AH171" i="1"/>
  <c r="AG171" i="1" s="1"/>
  <c r="Y171" i="1"/>
  <c r="X171" i="1" s="1"/>
  <c r="J171" i="1"/>
  <c r="I171" i="1" s="1"/>
  <c r="F171" i="1"/>
  <c r="G171" i="1" l="1"/>
  <c r="E140" i="4" l="1"/>
  <c r="X76" i="4"/>
  <c r="V77" i="4"/>
  <c r="V76" i="4" s="1"/>
  <c r="AH77" i="4"/>
  <c r="AH76" i="4" s="1"/>
  <c r="J76" i="4"/>
  <c r="AF76" i="4"/>
  <c r="AD76" i="4"/>
  <c r="AB76" i="4"/>
  <c r="Z76" i="4"/>
  <c r="T76" i="4"/>
  <c r="R76" i="4"/>
  <c r="P76" i="4"/>
  <c r="N76" i="4"/>
  <c r="L76" i="4"/>
  <c r="H76" i="4"/>
  <c r="AG76" i="4"/>
  <c r="AE76" i="4"/>
  <c r="AC76" i="4"/>
  <c r="AA76" i="4"/>
  <c r="Y76" i="4"/>
  <c r="S76" i="4"/>
  <c r="Q76" i="4"/>
  <c r="O76" i="4"/>
  <c r="M76" i="4"/>
  <c r="K76" i="4"/>
  <c r="I76" i="4"/>
  <c r="E76" i="4"/>
  <c r="G77" i="4" l="1"/>
  <c r="F77" i="4" s="1"/>
  <c r="W76" i="4"/>
  <c r="U77" i="4"/>
  <c r="G76" i="4" l="1"/>
  <c r="F76" i="4"/>
  <c r="U76" i="4"/>
  <c r="P78" i="1"/>
  <c r="AI77" i="4" l="1"/>
  <c r="AI76" i="4" s="1"/>
  <c r="Q137" i="1"/>
  <c r="Q230" i="1"/>
  <c r="Q143" i="1"/>
  <c r="Q142" i="1"/>
  <c r="Q78" i="1"/>
  <c r="AK83" i="1" l="1"/>
  <c r="P23" i="1" l="1"/>
  <c r="BA179" i="1" l="1"/>
  <c r="AZ179" i="1" s="1"/>
  <c r="AT179" i="1"/>
  <c r="AS179" i="1" s="1"/>
  <c r="AH179" i="1"/>
  <c r="AG179" i="1" s="1"/>
  <c r="Y179" i="1"/>
  <c r="X179" i="1" s="1"/>
  <c r="J179" i="1"/>
  <c r="I179" i="1" s="1"/>
  <c r="F179" i="1"/>
  <c r="G179" i="1" l="1"/>
  <c r="Y88" i="4" l="1"/>
  <c r="J88" i="4"/>
  <c r="BD256" i="1"/>
  <c r="O256" i="1"/>
  <c r="J81" i="4"/>
  <c r="O52" i="1"/>
  <c r="J80" i="4" l="1"/>
  <c r="BA145" i="1"/>
  <c r="AZ145" i="1" s="1"/>
  <c r="AT145" i="1"/>
  <c r="AS145" i="1" s="1"/>
  <c r="AH145" i="1"/>
  <c r="AG145" i="1" s="1"/>
  <c r="Y145" i="1"/>
  <c r="X145" i="1" s="1"/>
  <c r="J145" i="1"/>
  <c r="I145" i="1" s="1"/>
  <c r="F145" i="1"/>
  <c r="G145" i="1" l="1"/>
  <c r="O43" i="1" l="1"/>
  <c r="O55" i="1"/>
  <c r="O143" i="1"/>
  <c r="AG85" i="4" l="1"/>
  <c r="AF85" i="4"/>
  <c r="AE85" i="4"/>
  <c r="AD85" i="4"/>
  <c r="AC85" i="4"/>
  <c r="AB85" i="4"/>
  <c r="AA85" i="4"/>
  <c r="Z85" i="4"/>
  <c r="Y85" i="4"/>
  <c r="X85" i="4"/>
  <c r="W85" i="4"/>
  <c r="T85" i="4"/>
  <c r="S85" i="4"/>
  <c r="R85" i="4"/>
  <c r="Q85" i="4"/>
  <c r="P85" i="4"/>
  <c r="O85" i="4"/>
  <c r="N85" i="4"/>
  <c r="M85" i="4"/>
  <c r="L85" i="4"/>
  <c r="K85" i="4"/>
  <c r="J85" i="4"/>
  <c r="I85" i="4"/>
  <c r="H85" i="4"/>
  <c r="E85" i="4"/>
  <c r="AH87" i="4"/>
  <c r="V87" i="4"/>
  <c r="U87" i="4" s="1"/>
  <c r="G87" i="4"/>
  <c r="F87" i="4" s="1"/>
  <c r="AI87" i="4" l="1"/>
  <c r="J110" i="4"/>
  <c r="BA156" i="1" l="1"/>
  <c r="AZ156" i="1" s="1"/>
  <c r="AT156" i="1"/>
  <c r="AS156" i="1" s="1"/>
  <c r="AH156" i="1"/>
  <c r="AG156" i="1" s="1"/>
  <c r="Y156" i="1"/>
  <c r="X156" i="1" s="1"/>
  <c r="J156" i="1"/>
  <c r="I156" i="1" s="1"/>
  <c r="F156" i="1"/>
  <c r="G156" i="1" l="1"/>
  <c r="BA155" i="1" l="1"/>
  <c r="AZ155" i="1" s="1"/>
  <c r="AT155" i="1"/>
  <c r="AS155" i="1" s="1"/>
  <c r="AH155" i="1"/>
  <c r="AG155" i="1" s="1"/>
  <c r="Y155" i="1"/>
  <c r="X155" i="1" s="1"/>
  <c r="J155" i="1"/>
  <c r="I155" i="1" s="1"/>
  <c r="F155" i="1"/>
  <c r="G155" i="1" l="1"/>
  <c r="N89" i="1" l="1"/>
  <c r="N256" i="1" l="1"/>
  <c r="BA212" i="1"/>
  <c r="AZ212" i="1" s="1"/>
  <c r="AT212" i="1"/>
  <c r="AS212" i="1" s="1"/>
  <c r="AH212" i="1"/>
  <c r="AG212" i="1" s="1"/>
  <c r="Y212" i="1"/>
  <c r="X212" i="1" s="1"/>
  <c r="J212" i="1"/>
  <c r="I212" i="1" s="1"/>
  <c r="F212" i="1"/>
  <c r="BA177" i="1"/>
  <c r="AZ177" i="1" s="1"/>
  <c r="AT177" i="1"/>
  <c r="AS177" i="1" s="1"/>
  <c r="AH177" i="1"/>
  <c r="AG177" i="1" s="1"/>
  <c r="Y177" i="1"/>
  <c r="X177" i="1" s="1"/>
  <c r="J177" i="1"/>
  <c r="I177" i="1" s="1"/>
  <c r="F177" i="1"/>
  <c r="BA161" i="1"/>
  <c r="AZ161" i="1" s="1"/>
  <c r="AT161" i="1"/>
  <c r="AS161" i="1" s="1"/>
  <c r="AH161" i="1"/>
  <c r="AG161" i="1" s="1"/>
  <c r="Y161" i="1"/>
  <c r="X161" i="1" s="1"/>
  <c r="J161" i="1"/>
  <c r="I161" i="1" s="1"/>
  <c r="F161" i="1"/>
  <c r="X88" i="4"/>
  <c r="I88" i="4"/>
  <c r="I81" i="4"/>
  <c r="BA144" i="1"/>
  <c r="AZ144" i="1" s="1"/>
  <c r="AT144" i="1"/>
  <c r="AS144" i="1" s="1"/>
  <c r="AH144" i="1"/>
  <c r="AG144" i="1" s="1"/>
  <c r="Y144" i="1"/>
  <c r="X144" i="1" s="1"/>
  <c r="J144" i="1"/>
  <c r="I144" i="1" s="1"/>
  <c r="F144" i="1"/>
  <c r="G212" i="1" l="1"/>
  <c r="G177" i="1"/>
  <c r="G161" i="1"/>
  <c r="G144" i="1"/>
  <c r="I82" i="4"/>
  <c r="BA128" i="1"/>
  <c r="AZ128" i="1" s="1"/>
  <c r="AT128" i="1"/>
  <c r="AS128" i="1" s="1"/>
  <c r="AH128" i="1"/>
  <c r="AG128" i="1" s="1"/>
  <c r="Y128" i="1"/>
  <c r="X128" i="1" s="1"/>
  <c r="J128" i="1"/>
  <c r="I128" i="1" s="1"/>
  <c r="F128" i="1"/>
  <c r="G128" i="1" l="1"/>
  <c r="AA256" i="1"/>
  <c r="L256" i="1"/>
  <c r="M55" i="1" l="1"/>
  <c r="M41" i="1"/>
  <c r="AI256" i="1" l="1"/>
  <c r="N52" i="1" l="1"/>
  <c r="BA93" i="1"/>
  <c r="AZ93" i="1" s="1"/>
  <c r="AT93" i="1"/>
  <c r="AS93" i="1" s="1"/>
  <c r="AH93" i="1"/>
  <c r="AG93" i="1" s="1"/>
  <c r="Y93" i="1"/>
  <c r="X93" i="1" s="1"/>
  <c r="J93" i="1"/>
  <c r="I93" i="1" s="1"/>
  <c r="F93" i="1"/>
  <c r="G93" i="1" l="1"/>
  <c r="I80" i="4" l="1"/>
  <c r="X110" i="4" l="1"/>
  <c r="I110" i="4"/>
  <c r="M256" i="1" l="1"/>
  <c r="AI41" i="1" l="1"/>
  <c r="BA174" i="1" l="1"/>
  <c r="AZ174" i="1" s="1"/>
  <c r="AT174" i="1"/>
  <c r="AS174" i="1" s="1"/>
  <c r="AH174" i="1"/>
  <c r="AG174" i="1" s="1"/>
  <c r="Y174" i="1"/>
  <c r="X174" i="1" s="1"/>
  <c r="J174" i="1"/>
  <c r="I174" i="1" s="1"/>
  <c r="F174" i="1"/>
  <c r="G174" i="1" l="1"/>
  <c r="AI162" i="1" l="1"/>
  <c r="AA175" i="1" l="1"/>
  <c r="AA217" i="1"/>
  <c r="AA178" i="1" l="1"/>
  <c r="I106" i="4" l="1"/>
  <c r="BA81" i="1" l="1"/>
  <c r="AZ81" i="1" s="1"/>
  <c r="AT81" i="1"/>
  <c r="AS81" i="1" s="1"/>
  <c r="AH81" i="1"/>
  <c r="AG81" i="1" s="1"/>
  <c r="Y81" i="1"/>
  <c r="X81" i="1" s="1"/>
  <c r="J81" i="1"/>
  <c r="I81" i="1" s="1"/>
  <c r="F81" i="1"/>
  <c r="G81" i="1" l="1"/>
  <c r="AI188" i="1" l="1"/>
  <c r="BA49" i="1" l="1"/>
  <c r="AZ49" i="1" s="1"/>
  <c r="AT49" i="1"/>
  <c r="AS49" i="1" s="1"/>
  <c r="AH49" i="1"/>
  <c r="AG49" i="1" s="1"/>
  <c r="Y49" i="1"/>
  <c r="X49" i="1" s="1"/>
  <c r="J49" i="1"/>
  <c r="I49" i="1" s="1"/>
  <c r="F49" i="1"/>
  <c r="G49" i="1" l="1"/>
  <c r="X106" i="4" l="1"/>
  <c r="M23" i="1" l="1"/>
  <c r="H168" i="4" l="1"/>
  <c r="AU256" i="1" l="1"/>
  <c r="BB256" i="1"/>
  <c r="H81" i="4" l="1"/>
  <c r="L52" i="1"/>
  <c r="BA240" i="1"/>
  <c r="AZ240" i="1" s="1"/>
  <c r="AT240" i="1"/>
  <c r="AS240" i="1" s="1"/>
  <c r="AH240" i="1"/>
  <c r="AG240" i="1" s="1"/>
  <c r="Y240" i="1"/>
  <c r="X240" i="1" s="1"/>
  <c r="J240" i="1"/>
  <c r="I240" i="1" s="1"/>
  <c r="F240" i="1"/>
  <c r="L78" i="1"/>
  <c r="G240" i="1" l="1"/>
  <c r="G252" i="1" l="1"/>
  <c r="H146" i="4" l="1"/>
  <c r="H153" i="4"/>
  <c r="Z213" i="1"/>
  <c r="H174" i="4"/>
  <c r="Z25" i="1" l="1"/>
  <c r="H141" i="4"/>
  <c r="H162" i="4"/>
  <c r="AH162" i="4" l="1"/>
  <c r="V162" i="4"/>
  <c r="U162" i="4" s="1"/>
  <c r="G162" i="4"/>
  <c r="F162" i="4" s="1"/>
  <c r="AI162" i="4" l="1"/>
  <c r="H173" i="4"/>
  <c r="AH149" i="4" l="1"/>
  <c r="V149" i="4"/>
  <c r="U149" i="4" s="1"/>
  <c r="G149" i="4"/>
  <c r="F149" i="4" s="1"/>
  <c r="AI149" i="4" l="1"/>
  <c r="H144" i="4"/>
  <c r="H147" i="4" l="1"/>
  <c r="AH155" i="4"/>
  <c r="V155" i="4"/>
  <c r="U155" i="4" s="1"/>
  <c r="G155" i="4"/>
  <c r="F155" i="4" s="1"/>
  <c r="AI155" i="4" l="1"/>
  <c r="K52" i="1"/>
  <c r="H143" i="4" l="1"/>
  <c r="H140" i="4" s="1"/>
  <c r="W88" i="4" l="1"/>
  <c r="H88" i="4"/>
  <c r="BA203" i="1"/>
  <c r="AZ203" i="1" s="1"/>
  <c r="AT203" i="1"/>
  <c r="AS203" i="1" s="1"/>
  <c r="AH203" i="1"/>
  <c r="AG203" i="1" s="1"/>
  <c r="Y203" i="1"/>
  <c r="X203" i="1" s="1"/>
  <c r="J203" i="1"/>
  <c r="I203" i="1" s="1"/>
  <c r="F203" i="1"/>
  <c r="G203" i="1" l="1"/>
  <c r="W144" i="4" l="1"/>
  <c r="BA154" i="1" l="1"/>
  <c r="AZ154" i="1" s="1"/>
  <c r="AT154" i="1"/>
  <c r="AS154" i="1" s="1"/>
  <c r="AH154" i="1"/>
  <c r="AG154" i="1" s="1"/>
  <c r="Y154" i="1"/>
  <c r="X154" i="1" s="1"/>
  <c r="J154" i="1"/>
  <c r="I154" i="1" s="1"/>
  <c r="F154" i="1"/>
  <c r="G154" i="1" l="1"/>
  <c r="BA222" i="1" l="1"/>
  <c r="AZ222" i="1" s="1"/>
  <c r="AT222" i="1"/>
  <c r="AS222" i="1" s="1"/>
  <c r="AH222" i="1"/>
  <c r="AG222" i="1" s="1"/>
  <c r="Y222" i="1"/>
  <c r="X222" i="1" s="1"/>
  <c r="J222" i="1"/>
  <c r="I222" i="1" s="1"/>
  <c r="F222" i="1"/>
  <c r="G222" i="1" l="1"/>
  <c r="K23" i="1" l="1"/>
  <c r="H79" i="4" l="1"/>
  <c r="V144" i="4" l="1"/>
  <c r="U144" i="4" s="1"/>
  <c r="BA219" i="1" l="1"/>
  <c r="AZ219" i="1" s="1"/>
  <c r="AT219" i="1"/>
  <c r="AS219" i="1" s="1"/>
  <c r="AH219" i="1"/>
  <c r="AG219" i="1" s="1"/>
  <c r="Y219" i="1"/>
  <c r="X219" i="1" s="1"/>
  <c r="J219" i="1"/>
  <c r="I219" i="1" s="1"/>
  <c r="F219" i="1"/>
  <c r="G219" i="1" l="1"/>
  <c r="E144" i="4"/>
  <c r="AH144" i="4" s="1"/>
  <c r="G144" i="4"/>
  <c r="F144" i="4" s="1"/>
  <c r="AI144" i="4" s="1"/>
  <c r="G253" i="1" l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39" i="1"/>
  <c r="F238" i="1"/>
  <c r="F237" i="1"/>
  <c r="F236" i="1"/>
  <c r="F235" i="1"/>
  <c r="F234" i="1"/>
  <c r="F233" i="1"/>
  <c r="F232" i="1"/>
  <c r="F231" i="1"/>
  <c r="F230" i="1"/>
  <c r="G227" i="1"/>
  <c r="F227" i="1"/>
  <c r="G226" i="1"/>
  <c r="F226" i="1"/>
  <c r="G225" i="1"/>
  <c r="F225" i="1"/>
  <c r="G224" i="1"/>
  <c r="F224" i="1"/>
  <c r="F223" i="1"/>
  <c r="F221" i="1"/>
  <c r="F220" i="1"/>
  <c r="F218" i="1"/>
  <c r="F217" i="1"/>
  <c r="F216" i="1"/>
  <c r="F215" i="1"/>
  <c r="F214" i="1"/>
  <c r="F213" i="1"/>
  <c r="F211" i="1"/>
  <c r="F210" i="1"/>
  <c r="F209" i="1"/>
  <c r="F208" i="1"/>
  <c r="F207" i="1"/>
  <c r="F206" i="1"/>
  <c r="F205" i="1"/>
  <c r="F204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8" i="1"/>
  <c r="F176" i="1"/>
  <c r="F175" i="1"/>
  <c r="F173" i="1"/>
  <c r="F172" i="1"/>
  <c r="F170" i="1"/>
  <c r="F169" i="1"/>
  <c r="F168" i="1"/>
  <c r="F167" i="1"/>
  <c r="F166" i="1"/>
  <c r="F165" i="1"/>
  <c r="F164" i="1"/>
  <c r="F163" i="1"/>
  <c r="F162" i="1"/>
  <c r="F160" i="1"/>
  <c r="F159" i="1"/>
  <c r="F158" i="1"/>
  <c r="F157" i="1"/>
  <c r="F153" i="1"/>
  <c r="F152" i="1"/>
  <c r="F151" i="1"/>
  <c r="F150" i="1"/>
  <c r="F149" i="1"/>
  <c r="F148" i="1"/>
  <c r="F147" i="1"/>
  <c r="F146" i="1"/>
  <c r="F143" i="1"/>
  <c r="F142" i="1"/>
  <c r="F141" i="1"/>
  <c r="F140" i="1"/>
  <c r="F139" i="1"/>
  <c r="F138" i="1"/>
  <c r="F137" i="1"/>
  <c r="F136" i="1"/>
  <c r="F135" i="1"/>
  <c r="F95" i="1"/>
  <c r="F94" i="1"/>
  <c r="F92" i="1"/>
  <c r="F91" i="1"/>
  <c r="F90" i="1"/>
  <c r="G132" i="1"/>
  <c r="F132" i="1"/>
  <c r="G131" i="1"/>
  <c r="F131" i="1"/>
  <c r="F130" i="1"/>
  <c r="F129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G87" i="1"/>
  <c r="F87" i="1"/>
  <c r="G86" i="1"/>
  <c r="F86" i="1"/>
  <c r="G85" i="1"/>
  <c r="F85" i="1"/>
  <c r="G84" i="1"/>
  <c r="F84" i="1"/>
  <c r="F83" i="1"/>
  <c r="F82" i="1"/>
  <c r="F80" i="1"/>
  <c r="F79" i="1"/>
  <c r="F78" i="1"/>
  <c r="F77" i="1"/>
  <c r="F76" i="1"/>
  <c r="F75" i="1"/>
  <c r="F74" i="1"/>
  <c r="F73" i="1"/>
  <c r="G70" i="1"/>
  <c r="F70" i="1"/>
  <c r="F69" i="1"/>
  <c r="F68" i="1"/>
  <c r="F67" i="1"/>
  <c r="F66" i="1"/>
  <c r="F65" i="1"/>
  <c r="F64" i="1"/>
  <c r="F63" i="1"/>
  <c r="F62" i="1"/>
  <c r="G59" i="1"/>
  <c r="F59" i="1"/>
  <c r="G58" i="1"/>
  <c r="F58" i="1"/>
  <c r="G57" i="1"/>
  <c r="F57" i="1"/>
  <c r="G56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3" i="1"/>
  <c r="F32" i="1"/>
  <c r="F31" i="1"/>
  <c r="F30" i="1"/>
  <c r="F29" i="1"/>
  <c r="F28" i="1"/>
  <c r="F25" i="1"/>
  <c r="F20" i="1"/>
  <c r="F19" i="1"/>
  <c r="F18" i="1"/>
  <c r="F17" i="1"/>
  <c r="F16" i="1"/>
  <c r="F15" i="1"/>
  <c r="F14" i="1"/>
  <c r="F13" i="1"/>
  <c r="B13" i="5" l="1"/>
  <c r="F89" i="1"/>
  <c r="F229" i="1"/>
  <c r="F72" i="1"/>
  <c r="F27" i="1"/>
  <c r="F61" i="1"/>
  <c r="F97" i="1"/>
  <c r="F35" i="1"/>
  <c r="F134" i="1"/>
  <c r="BA256" i="1"/>
  <c r="BA251" i="1"/>
  <c r="AZ251" i="1" s="1"/>
  <c r="BA250" i="1"/>
  <c r="AZ250" i="1" s="1"/>
  <c r="BA249" i="1"/>
  <c r="AZ249" i="1" s="1"/>
  <c r="BA248" i="1"/>
  <c r="AZ248" i="1" s="1"/>
  <c r="BA247" i="1"/>
  <c r="AZ247" i="1" s="1"/>
  <c r="BA246" i="1"/>
  <c r="AZ246" i="1" s="1"/>
  <c r="BA245" i="1"/>
  <c r="AZ245" i="1" s="1"/>
  <c r="BA244" i="1"/>
  <c r="AZ244" i="1" s="1"/>
  <c r="BA243" i="1"/>
  <c r="AZ243" i="1" s="1"/>
  <c r="BA242" i="1"/>
  <c r="AZ242" i="1" s="1"/>
  <c r="BA241" i="1"/>
  <c r="AZ241" i="1" s="1"/>
  <c r="BA239" i="1"/>
  <c r="AZ239" i="1" s="1"/>
  <c r="BA238" i="1"/>
  <c r="AZ238" i="1" s="1"/>
  <c r="BA237" i="1"/>
  <c r="AZ237" i="1" s="1"/>
  <c r="BA236" i="1"/>
  <c r="AZ236" i="1" s="1"/>
  <c r="BA235" i="1"/>
  <c r="AZ235" i="1" s="1"/>
  <c r="BA234" i="1"/>
  <c r="AZ234" i="1" s="1"/>
  <c r="BA233" i="1"/>
  <c r="AZ233" i="1" s="1"/>
  <c r="BA232" i="1"/>
  <c r="AZ232" i="1" s="1"/>
  <c r="BA231" i="1"/>
  <c r="AZ231" i="1" s="1"/>
  <c r="BA230" i="1"/>
  <c r="AZ230" i="1" s="1"/>
  <c r="BA223" i="1"/>
  <c r="AZ223" i="1" s="1"/>
  <c r="BA221" i="1"/>
  <c r="AZ221" i="1" s="1"/>
  <c r="BA220" i="1"/>
  <c r="AZ220" i="1" s="1"/>
  <c r="BA218" i="1"/>
  <c r="AZ218" i="1" s="1"/>
  <c r="BA217" i="1"/>
  <c r="AZ217" i="1" s="1"/>
  <c r="BA216" i="1"/>
  <c r="AZ216" i="1" s="1"/>
  <c r="BA215" i="1"/>
  <c r="AZ215" i="1" s="1"/>
  <c r="BA214" i="1"/>
  <c r="AZ214" i="1" s="1"/>
  <c r="BA213" i="1"/>
  <c r="AZ213" i="1" s="1"/>
  <c r="BA211" i="1"/>
  <c r="AZ211" i="1" s="1"/>
  <c r="BA210" i="1"/>
  <c r="AZ210" i="1" s="1"/>
  <c r="BA209" i="1"/>
  <c r="AZ209" i="1" s="1"/>
  <c r="BA208" i="1"/>
  <c r="AZ208" i="1" s="1"/>
  <c r="BA207" i="1"/>
  <c r="AZ207" i="1" s="1"/>
  <c r="BA206" i="1"/>
  <c r="AZ206" i="1" s="1"/>
  <c r="BA205" i="1"/>
  <c r="AZ205" i="1" s="1"/>
  <c r="BA204" i="1"/>
  <c r="AZ204" i="1" s="1"/>
  <c r="BA202" i="1"/>
  <c r="AZ202" i="1" s="1"/>
  <c r="BA201" i="1"/>
  <c r="AZ201" i="1" s="1"/>
  <c r="BA200" i="1"/>
  <c r="AZ200" i="1" s="1"/>
  <c r="BA199" i="1"/>
  <c r="AZ199" i="1" s="1"/>
  <c r="BA198" i="1"/>
  <c r="AZ198" i="1" s="1"/>
  <c r="BA197" i="1"/>
  <c r="AZ197" i="1" s="1"/>
  <c r="BA196" i="1"/>
  <c r="AZ196" i="1" s="1"/>
  <c r="BA195" i="1"/>
  <c r="AZ195" i="1" s="1"/>
  <c r="BA194" i="1"/>
  <c r="AZ194" i="1" s="1"/>
  <c r="BA193" i="1"/>
  <c r="AZ193" i="1" s="1"/>
  <c r="BA192" i="1"/>
  <c r="AZ192" i="1" s="1"/>
  <c r="BA191" i="1"/>
  <c r="AZ191" i="1" s="1"/>
  <c r="BA190" i="1"/>
  <c r="AZ190" i="1" s="1"/>
  <c r="BA189" i="1"/>
  <c r="AZ189" i="1" s="1"/>
  <c r="BA188" i="1"/>
  <c r="AZ188" i="1" s="1"/>
  <c r="BA187" i="1"/>
  <c r="AZ187" i="1" s="1"/>
  <c r="BA186" i="1"/>
  <c r="AZ186" i="1" s="1"/>
  <c r="BA185" i="1"/>
  <c r="AZ185" i="1" s="1"/>
  <c r="BA184" i="1"/>
  <c r="AZ184" i="1" s="1"/>
  <c r="BA183" i="1"/>
  <c r="AZ183" i="1" s="1"/>
  <c r="BA182" i="1"/>
  <c r="AZ182" i="1" s="1"/>
  <c r="BA181" i="1"/>
  <c r="AZ181" i="1" s="1"/>
  <c r="BA180" i="1"/>
  <c r="AZ180" i="1" s="1"/>
  <c r="BA178" i="1"/>
  <c r="AZ178" i="1" s="1"/>
  <c r="BA176" i="1"/>
  <c r="AZ176" i="1" s="1"/>
  <c r="BA175" i="1"/>
  <c r="AZ175" i="1" s="1"/>
  <c r="BA173" i="1"/>
  <c r="AZ173" i="1" s="1"/>
  <c r="BA172" i="1"/>
  <c r="AZ172" i="1" s="1"/>
  <c r="BA170" i="1"/>
  <c r="AZ170" i="1" s="1"/>
  <c r="BA169" i="1"/>
  <c r="AZ169" i="1" s="1"/>
  <c r="BA168" i="1"/>
  <c r="AZ168" i="1" s="1"/>
  <c r="BA167" i="1"/>
  <c r="AZ167" i="1" s="1"/>
  <c r="BA166" i="1"/>
  <c r="AZ166" i="1" s="1"/>
  <c r="BA165" i="1"/>
  <c r="AZ165" i="1" s="1"/>
  <c r="BA164" i="1"/>
  <c r="AZ164" i="1" s="1"/>
  <c r="BA163" i="1"/>
  <c r="AZ163" i="1" s="1"/>
  <c r="BA162" i="1"/>
  <c r="AZ162" i="1" s="1"/>
  <c r="BA160" i="1"/>
  <c r="AZ160" i="1" s="1"/>
  <c r="BA159" i="1"/>
  <c r="AZ159" i="1" s="1"/>
  <c r="BA158" i="1"/>
  <c r="AZ158" i="1" s="1"/>
  <c r="BA157" i="1"/>
  <c r="AZ157" i="1" s="1"/>
  <c r="BA153" i="1"/>
  <c r="AZ153" i="1" s="1"/>
  <c r="BA152" i="1"/>
  <c r="AZ152" i="1" s="1"/>
  <c r="BA151" i="1"/>
  <c r="AZ151" i="1" s="1"/>
  <c r="BA150" i="1"/>
  <c r="AZ150" i="1" s="1"/>
  <c r="BA149" i="1"/>
  <c r="AZ149" i="1" s="1"/>
  <c r="BA148" i="1"/>
  <c r="AZ148" i="1" s="1"/>
  <c r="BA147" i="1"/>
  <c r="AZ147" i="1" s="1"/>
  <c r="BA146" i="1"/>
  <c r="AZ146" i="1" s="1"/>
  <c r="BA143" i="1"/>
  <c r="AZ143" i="1" s="1"/>
  <c r="BA142" i="1"/>
  <c r="AZ142" i="1" s="1"/>
  <c r="BA141" i="1"/>
  <c r="AZ141" i="1" s="1"/>
  <c r="BA140" i="1"/>
  <c r="AZ140" i="1" s="1"/>
  <c r="BA139" i="1"/>
  <c r="AZ139" i="1" s="1"/>
  <c r="BA138" i="1"/>
  <c r="AZ138" i="1" s="1"/>
  <c r="BA137" i="1"/>
  <c r="AZ137" i="1" s="1"/>
  <c r="BA136" i="1"/>
  <c r="AZ136" i="1" s="1"/>
  <c r="BA135" i="1"/>
  <c r="AZ135" i="1" s="1"/>
  <c r="BA130" i="1"/>
  <c r="AZ130" i="1" s="1"/>
  <c r="BA129" i="1"/>
  <c r="AZ129" i="1" s="1"/>
  <c r="BA127" i="1"/>
  <c r="AZ127" i="1" s="1"/>
  <c r="BA126" i="1"/>
  <c r="AZ126" i="1" s="1"/>
  <c r="BA125" i="1"/>
  <c r="AZ125" i="1" s="1"/>
  <c r="BA124" i="1"/>
  <c r="AZ124" i="1" s="1"/>
  <c r="BA123" i="1"/>
  <c r="AZ123" i="1" s="1"/>
  <c r="BA122" i="1"/>
  <c r="AZ122" i="1" s="1"/>
  <c r="BA121" i="1"/>
  <c r="AZ121" i="1" s="1"/>
  <c r="BA120" i="1"/>
  <c r="AZ120" i="1" s="1"/>
  <c r="BA119" i="1"/>
  <c r="AZ119" i="1" s="1"/>
  <c r="BA118" i="1"/>
  <c r="AZ118" i="1" s="1"/>
  <c r="BA117" i="1"/>
  <c r="AZ117" i="1" s="1"/>
  <c r="BA116" i="1"/>
  <c r="AZ116" i="1" s="1"/>
  <c r="BA115" i="1"/>
  <c r="AZ115" i="1" s="1"/>
  <c r="BA114" i="1"/>
  <c r="AZ114" i="1" s="1"/>
  <c r="BA113" i="1"/>
  <c r="AZ113" i="1" s="1"/>
  <c r="BA112" i="1"/>
  <c r="AZ112" i="1" s="1"/>
  <c r="BA111" i="1"/>
  <c r="AZ111" i="1" s="1"/>
  <c r="BA110" i="1"/>
  <c r="AZ110" i="1" s="1"/>
  <c r="BA109" i="1"/>
  <c r="AZ109" i="1" s="1"/>
  <c r="BA108" i="1"/>
  <c r="AZ108" i="1" s="1"/>
  <c r="BA107" i="1"/>
  <c r="AZ107" i="1" s="1"/>
  <c r="BA106" i="1"/>
  <c r="AZ106" i="1" s="1"/>
  <c r="BA105" i="1"/>
  <c r="AZ105" i="1" s="1"/>
  <c r="BA104" i="1"/>
  <c r="AZ104" i="1" s="1"/>
  <c r="BA103" i="1"/>
  <c r="AZ103" i="1" s="1"/>
  <c r="BA102" i="1"/>
  <c r="AZ102" i="1" s="1"/>
  <c r="BA101" i="1"/>
  <c r="AZ101" i="1" s="1"/>
  <c r="BA100" i="1"/>
  <c r="AZ100" i="1" s="1"/>
  <c r="BA99" i="1"/>
  <c r="AZ99" i="1" s="1"/>
  <c r="BA98" i="1"/>
  <c r="AZ98" i="1" s="1"/>
  <c r="BA95" i="1"/>
  <c r="AZ95" i="1" s="1"/>
  <c r="BA94" i="1"/>
  <c r="AZ94" i="1" s="1"/>
  <c r="BA92" i="1"/>
  <c r="AZ92" i="1" s="1"/>
  <c r="BA91" i="1"/>
  <c r="AZ91" i="1" s="1"/>
  <c r="BA90" i="1"/>
  <c r="BA83" i="1"/>
  <c r="AZ83" i="1" s="1"/>
  <c r="BA82" i="1"/>
  <c r="AZ82" i="1" s="1"/>
  <c r="BA80" i="1"/>
  <c r="AZ80" i="1" s="1"/>
  <c r="BA79" i="1"/>
  <c r="AZ79" i="1" s="1"/>
  <c r="BA78" i="1"/>
  <c r="AZ78" i="1" s="1"/>
  <c r="BA77" i="1"/>
  <c r="AZ77" i="1" s="1"/>
  <c r="BA76" i="1"/>
  <c r="AZ76" i="1" s="1"/>
  <c r="BA75" i="1"/>
  <c r="BA74" i="1"/>
  <c r="AZ74" i="1" s="1"/>
  <c r="BA73" i="1"/>
  <c r="AZ73" i="1" s="1"/>
  <c r="BA69" i="1"/>
  <c r="AZ69" i="1" s="1"/>
  <c r="BA68" i="1"/>
  <c r="AZ68" i="1" s="1"/>
  <c r="BA67" i="1"/>
  <c r="AZ67" i="1" s="1"/>
  <c r="BA66" i="1"/>
  <c r="AZ66" i="1" s="1"/>
  <c r="BA65" i="1"/>
  <c r="AZ65" i="1" s="1"/>
  <c r="BA64" i="1"/>
  <c r="AZ64" i="1" s="1"/>
  <c r="BA63" i="1"/>
  <c r="AZ63" i="1" s="1"/>
  <c r="BA62" i="1"/>
  <c r="AZ62" i="1" s="1"/>
  <c r="BA51" i="1"/>
  <c r="AZ51" i="1" s="1"/>
  <c r="BA50" i="1"/>
  <c r="AZ50" i="1" s="1"/>
  <c r="BA48" i="1"/>
  <c r="AZ48" i="1" s="1"/>
  <c r="BA47" i="1"/>
  <c r="AZ47" i="1" s="1"/>
  <c r="BA46" i="1"/>
  <c r="AZ46" i="1" s="1"/>
  <c r="BA45" i="1"/>
  <c r="AZ45" i="1" s="1"/>
  <c r="BA44" i="1"/>
  <c r="AZ44" i="1" s="1"/>
  <c r="BA43" i="1"/>
  <c r="AZ43" i="1" s="1"/>
  <c r="BA42" i="1"/>
  <c r="AZ42" i="1" s="1"/>
  <c r="BA41" i="1"/>
  <c r="AZ41" i="1" s="1"/>
  <c r="BA40" i="1"/>
  <c r="AZ40" i="1" s="1"/>
  <c r="BA39" i="1"/>
  <c r="AZ39" i="1" s="1"/>
  <c r="BA38" i="1"/>
  <c r="AZ38" i="1" s="1"/>
  <c r="BA37" i="1"/>
  <c r="AZ37" i="1" s="1"/>
  <c r="BA36" i="1"/>
  <c r="AZ36" i="1" s="1"/>
  <c r="BA32" i="1"/>
  <c r="AZ32" i="1" s="1"/>
  <c r="BA31" i="1"/>
  <c r="AZ31" i="1" s="1"/>
  <c r="BA30" i="1"/>
  <c r="AZ30" i="1" s="1"/>
  <c r="BA29" i="1"/>
  <c r="AZ29" i="1" s="1"/>
  <c r="BA28" i="1"/>
  <c r="AZ28" i="1" s="1"/>
  <c r="BA20" i="1"/>
  <c r="AZ20" i="1" s="1"/>
  <c r="BA19" i="1"/>
  <c r="AZ19" i="1" s="1"/>
  <c r="BA18" i="1"/>
  <c r="AZ18" i="1" s="1"/>
  <c r="BA17" i="1"/>
  <c r="AZ17" i="1" s="1"/>
  <c r="BA16" i="1"/>
  <c r="AZ16" i="1" s="1"/>
  <c r="BA15" i="1"/>
  <c r="AZ15" i="1" s="1"/>
  <c r="BA14" i="1"/>
  <c r="AZ14" i="1" s="1"/>
  <c r="BA13" i="1"/>
  <c r="AZ13" i="1" s="1"/>
  <c r="BK255" i="1"/>
  <c r="BK259" i="1" s="1"/>
  <c r="BJ255" i="1"/>
  <c r="BJ259" i="1" s="1"/>
  <c r="BI255" i="1"/>
  <c r="BI259" i="1" s="1"/>
  <c r="BH255" i="1"/>
  <c r="BH259" i="1" s="1"/>
  <c r="BG255" i="1"/>
  <c r="BG259" i="1" s="1"/>
  <c r="BF255" i="1"/>
  <c r="BF259" i="1" s="1"/>
  <c r="BE255" i="1"/>
  <c r="BE259" i="1" s="1"/>
  <c r="BD255" i="1"/>
  <c r="BD259" i="1" s="1"/>
  <c r="BC255" i="1"/>
  <c r="BC259" i="1" s="1"/>
  <c r="BB255" i="1"/>
  <c r="BB259" i="1" s="1"/>
  <c r="BK229" i="1"/>
  <c r="BJ229" i="1"/>
  <c r="BI229" i="1"/>
  <c r="BH229" i="1"/>
  <c r="BG229" i="1"/>
  <c r="BF229" i="1"/>
  <c r="BE229" i="1"/>
  <c r="BD229" i="1"/>
  <c r="BC229" i="1"/>
  <c r="BB229" i="1"/>
  <c r="BK134" i="1"/>
  <c r="BJ134" i="1"/>
  <c r="BI134" i="1"/>
  <c r="BH134" i="1"/>
  <c r="BG134" i="1"/>
  <c r="BF134" i="1"/>
  <c r="BE134" i="1"/>
  <c r="BD134" i="1"/>
  <c r="BC134" i="1"/>
  <c r="BB134" i="1"/>
  <c r="BK97" i="1"/>
  <c r="BJ97" i="1"/>
  <c r="BI97" i="1"/>
  <c r="BH97" i="1"/>
  <c r="BG97" i="1"/>
  <c r="BF97" i="1"/>
  <c r="BE97" i="1"/>
  <c r="BD97" i="1"/>
  <c r="BC97" i="1"/>
  <c r="BB97" i="1"/>
  <c r="BK89" i="1"/>
  <c r="BJ89" i="1"/>
  <c r="BI89" i="1"/>
  <c r="BH89" i="1"/>
  <c r="BG89" i="1"/>
  <c r="BF89" i="1"/>
  <c r="BE89" i="1"/>
  <c r="BD89" i="1"/>
  <c r="BC89" i="1"/>
  <c r="BB89" i="1"/>
  <c r="BK72" i="1"/>
  <c r="BJ72" i="1"/>
  <c r="BI72" i="1"/>
  <c r="BH72" i="1"/>
  <c r="BG72" i="1"/>
  <c r="BF72" i="1"/>
  <c r="BE72" i="1"/>
  <c r="BD72" i="1"/>
  <c r="BC72" i="1"/>
  <c r="BB72" i="1"/>
  <c r="BK61" i="1"/>
  <c r="BJ61" i="1"/>
  <c r="BI61" i="1"/>
  <c r="BH61" i="1"/>
  <c r="BG61" i="1"/>
  <c r="BF61" i="1"/>
  <c r="BE61" i="1"/>
  <c r="BD61" i="1"/>
  <c r="BC61" i="1"/>
  <c r="BB61" i="1"/>
  <c r="BK35" i="1"/>
  <c r="BJ35" i="1"/>
  <c r="BI35" i="1"/>
  <c r="BH35" i="1"/>
  <c r="BG35" i="1"/>
  <c r="BF35" i="1"/>
  <c r="BE35" i="1"/>
  <c r="BD35" i="1"/>
  <c r="BC35" i="1"/>
  <c r="BB35" i="1"/>
  <c r="BK27" i="1"/>
  <c r="BJ27" i="1"/>
  <c r="BI27" i="1"/>
  <c r="BH27" i="1"/>
  <c r="BG27" i="1"/>
  <c r="BF27" i="1"/>
  <c r="BE27" i="1"/>
  <c r="BD27" i="1"/>
  <c r="BC27" i="1"/>
  <c r="BB27" i="1"/>
  <c r="BK12" i="1"/>
  <c r="BJ12" i="1"/>
  <c r="BI12" i="1"/>
  <c r="BH12" i="1"/>
  <c r="BG12" i="1"/>
  <c r="BF12" i="1"/>
  <c r="BE12" i="1"/>
  <c r="BD12" i="1"/>
  <c r="BC12" i="1"/>
  <c r="BB12" i="1"/>
  <c r="AT256" i="1"/>
  <c r="AS256" i="1" s="1"/>
  <c r="D10" i="5" s="1"/>
  <c r="AT251" i="1"/>
  <c r="AS251" i="1" s="1"/>
  <c r="AT250" i="1"/>
  <c r="AS250" i="1" s="1"/>
  <c r="AT249" i="1"/>
  <c r="AS249" i="1" s="1"/>
  <c r="AT248" i="1"/>
  <c r="AS248" i="1" s="1"/>
  <c r="AT247" i="1"/>
  <c r="AS247" i="1" s="1"/>
  <c r="AT246" i="1"/>
  <c r="AS246" i="1" s="1"/>
  <c r="AT245" i="1"/>
  <c r="AS245" i="1" s="1"/>
  <c r="AT244" i="1"/>
  <c r="AS244" i="1" s="1"/>
  <c r="AT243" i="1"/>
  <c r="AS243" i="1" s="1"/>
  <c r="AT242" i="1"/>
  <c r="AS242" i="1" s="1"/>
  <c r="AT241" i="1"/>
  <c r="AS241" i="1" s="1"/>
  <c r="AT239" i="1"/>
  <c r="AS239" i="1" s="1"/>
  <c r="AT238" i="1"/>
  <c r="AS238" i="1" s="1"/>
  <c r="AT237" i="1"/>
  <c r="AS237" i="1" s="1"/>
  <c r="AT236" i="1"/>
  <c r="AS236" i="1" s="1"/>
  <c r="AT235" i="1"/>
  <c r="AS235" i="1" s="1"/>
  <c r="AT234" i="1"/>
  <c r="AS234" i="1" s="1"/>
  <c r="AT233" i="1"/>
  <c r="AS233" i="1" s="1"/>
  <c r="AT232" i="1"/>
  <c r="AS232" i="1" s="1"/>
  <c r="AT231" i="1"/>
  <c r="AS231" i="1" s="1"/>
  <c r="AT230" i="1"/>
  <c r="AS230" i="1" s="1"/>
  <c r="AT223" i="1"/>
  <c r="AS223" i="1" s="1"/>
  <c r="AT221" i="1"/>
  <c r="AS221" i="1" s="1"/>
  <c r="AT220" i="1"/>
  <c r="AS220" i="1" s="1"/>
  <c r="AT218" i="1"/>
  <c r="AS218" i="1" s="1"/>
  <c r="AT217" i="1"/>
  <c r="AS217" i="1" s="1"/>
  <c r="AT216" i="1"/>
  <c r="AS216" i="1" s="1"/>
  <c r="AT215" i="1"/>
  <c r="AS215" i="1" s="1"/>
  <c r="AT214" i="1"/>
  <c r="AS214" i="1" s="1"/>
  <c r="AT213" i="1"/>
  <c r="AS213" i="1" s="1"/>
  <c r="AT211" i="1"/>
  <c r="AS211" i="1" s="1"/>
  <c r="AT210" i="1"/>
  <c r="AS210" i="1" s="1"/>
  <c r="AT209" i="1"/>
  <c r="AS209" i="1" s="1"/>
  <c r="AT208" i="1"/>
  <c r="AS208" i="1" s="1"/>
  <c r="AT207" i="1"/>
  <c r="AS207" i="1" s="1"/>
  <c r="AT206" i="1"/>
  <c r="AS206" i="1" s="1"/>
  <c r="AT205" i="1"/>
  <c r="AS205" i="1" s="1"/>
  <c r="AT204" i="1"/>
  <c r="AS204" i="1" s="1"/>
  <c r="AT202" i="1"/>
  <c r="AS202" i="1" s="1"/>
  <c r="AT201" i="1"/>
  <c r="AS201" i="1" s="1"/>
  <c r="AT200" i="1"/>
  <c r="AS200" i="1" s="1"/>
  <c r="AT199" i="1"/>
  <c r="AS199" i="1" s="1"/>
  <c r="AT198" i="1"/>
  <c r="AS198" i="1" s="1"/>
  <c r="AT197" i="1"/>
  <c r="AS197" i="1" s="1"/>
  <c r="AT196" i="1"/>
  <c r="AS196" i="1" s="1"/>
  <c r="AT195" i="1"/>
  <c r="AS195" i="1" s="1"/>
  <c r="AT194" i="1"/>
  <c r="AS194" i="1" s="1"/>
  <c r="AT193" i="1"/>
  <c r="AS193" i="1" s="1"/>
  <c r="AT192" i="1"/>
  <c r="AS192" i="1" s="1"/>
  <c r="AT191" i="1"/>
  <c r="AS191" i="1" s="1"/>
  <c r="AT190" i="1"/>
  <c r="AS190" i="1" s="1"/>
  <c r="AT189" i="1"/>
  <c r="AS189" i="1" s="1"/>
  <c r="AT188" i="1"/>
  <c r="AS188" i="1" s="1"/>
  <c r="AT187" i="1"/>
  <c r="AS187" i="1" s="1"/>
  <c r="AT186" i="1"/>
  <c r="AS186" i="1" s="1"/>
  <c r="AT185" i="1"/>
  <c r="AS185" i="1" s="1"/>
  <c r="AT184" i="1"/>
  <c r="AS184" i="1" s="1"/>
  <c r="AT183" i="1"/>
  <c r="AS183" i="1" s="1"/>
  <c r="AT182" i="1"/>
  <c r="AS182" i="1" s="1"/>
  <c r="AT181" i="1"/>
  <c r="AS181" i="1" s="1"/>
  <c r="AT180" i="1"/>
  <c r="AS180" i="1" s="1"/>
  <c r="AT178" i="1"/>
  <c r="AS178" i="1" s="1"/>
  <c r="AT176" i="1"/>
  <c r="AS176" i="1" s="1"/>
  <c r="AT175" i="1"/>
  <c r="AS175" i="1" s="1"/>
  <c r="AT173" i="1"/>
  <c r="AS173" i="1" s="1"/>
  <c r="AT172" i="1"/>
  <c r="AS172" i="1" s="1"/>
  <c r="AT170" i="1"/>
  <c r="AS170" i="1" s="1"/>
  <c r="AT169" i="1"/>
  <c r="AS169" i="1" s="1"/>
  <c r="AT168" i="1"/>
  <c r="AS168" i="1" s="1"/>
  <c r="AT167" i="1"/>
  <c r="AS167" i="1" s="1"/>
  <c r="AT166" i="1"/>
  <c r="AS166" i="1" s="1"/>
  <c r="AT165" i="1"/>
  <c r="AS165" i="1" s="1"/>
  <c r="AT164" i="1"/>
  <c r="AS164" i="1" s="1"/>
  <c r="AT163" i="1"/>
  <c r="AS163" i="1" s="1"/>
  <c r="AT162" i="1"/>
  <c r="AS162" i="1" s="1"/>
  <c r="AT160" i="1"/>
  <c r="AS160" i="1" s="1"/>
  <c r="AT159" i="1"/>
  <c r="AS159" i="1" s="1"/>
  <c r="AT158" i="1"/>
  <c r="AS158" i="1" s="1"/>
  <c r="AT157" i="1"/>
  <c r="AS157" i="1" s="1"/>
  <c r="AT153" i="1"/>
  <c r="AS153" i="1" s="1"/>
  <c r="AT152" i="1"/>
  <c r="AS152" i="1" s="1"/>
  <c r="AT151" i="1"/>
  <c r="AS151" i="1" s="1"/>
  <c r="AT150" i="1"/>
  <c r="AS150" i="1" s="1"/>
  <c r="AT149" i="1"/>
  <c r="AS149" i="1" s="1"/>
  <c r="AT148" i="1"/>
  <c r="AS148" i="1" s="1"/>
  <c r="AT147" i="1"/>
  <c r="AS147" i="1" s="1"/>
  <c r="AT146" i="1"/>
  <c r="AS146" i="1" s="1"/>
  <c r="AT143" i="1"/>
  <c r="AS143" i="1" s="1"/>
  <c r="AT142" i="1"/>
  <c r="AS142" i="1" s="1"/>
  <c r="AT141" i="1"/>
  <c r="AS141" i="1" s="1"/>
  <c r="AT140" i="1"/>
  <c r="AS140" i="1" s="1"/>
  <c r="AT139" i="1"/>
  <c r="AS139" i="1" s="1"/>
  <c r="AT138" i="1"/>
  <c r="AS138" i="1" s="1"/>
  <c r="AT137" i="1"/>
  <c r="AT136" i="1"/>
  <c r="AS136" i="1" s="1"/>
  <c r="AT135" i="1"/>
  <c r="AS135" i="1" s="1"/>
  <c r="AT130" i="1"/>
  <c r="AS130" i="1" s="1"/>
  <c r="AT129" i="1"/>
  <c r="AS129" i="1" s="1"/>
  <c r="AT127" i="1"/>
  <c r="AS127" i="1" s="1"/>
  <c r="AT126" i="1"/>
  <c r="AS126" i="1" s="1"/>
  <c r="AT125" i="1"/>
  <c r="AS125" i="1" s="1"/>
  <c r="AT124" i="1"/>
  <c r="AS124" i="1" s="1"/>
  <c r="AT123" i="1"/>
  <c r="AS123" i="1" s="1"/>
  <c r="AT122" i="1"/>
  <c r="AS122" i="1" s="1"/>
  <c r="AT121" i="1"/>
  <c r="AS121" i="1" s="1"/>
  <c r="AT120" i="1"/>
  <c r="AS120" i="1" s="1"/>
  <c r="AT119" i="1"/>
  <c r="AS119" i="1" s="1"/>
  <c r="AT118" i="1"/>
  <c r="AS118" i="1" s="1"/>
  <c r="AT117" i="1"/>
  <c r="AS117" i="1" s="1"/>
  <c r="AT116" i="1"/>
  <c r="AS116" i="1" s="1"/>
  <c r="AT115" i="1"/>
  <c r="AS115" i="1" s="1"/>
  <c r="AT114" i="1"/>
  <c r="AS114" i="1" s="1"/>
  <c r="AT113" i="1"/>
  <c r="AS113" i="1" s="1"/>
  <c r="AT112" i="1"/>
  <c r="AS112" i="1" s="1"/>
  <c r="AT111" i="1"/>
  <c r="AS111" i="1" s="1"/>
  <c r="AT110" i="1"/>
  <c r="AS110" i="1" s="1"/>
  <c r="AT109" i="1"/>
  <c r="AS109" i="1" s="1"/>
  <c r="AT108" i="1"/>
  <c r="AS108" i="1" s="1"/>
  <c r="AT107" i="1"/>
  <c r="AS107" i="1" s="1"/>
  <c r="AT106" i="1"/>
  <c r="AS106" i="1" s="1"/>
  <c r="AT105" i="1"/>
  <c r="AS105" i="1" s="1"/>
  <c r="AT104" i="1"/>
  <c r="AS104" i="1" s="1"/>
  <c r="AT103" i="1"/>
  <c r="AS103" i="1" s="1"/>
  <c r="AT102" i="1"/>
  <c r="AS102" i="1" s="1"/>
  <c r="AT101" i="1"/>
  <c r="AS101" i="1" s="1"/>
  <c r="AT100" i="1"/>
  <c r="AS100" i="1" s="1"/>
  <c r="AT99" i="1"/>
  <c r="AS99" i="1" s="1"/>
  <c r="AT98" i="1"/>
  <c r="AT95" i="1"/>
  <c r="AS95" i="1" s="1"/>
  <c r="AT94" i="1"/>
  <c r="AS94" i="1" s="1"/>
  <c r="AT92" i="1"/>
  <c r="AS92" i="1" s="1"/>
  <c r="AT91" i="1"/>
  <c r="AS91" i="1" s="1"/>
  <c r="AT90" i="1"/>
  <c r="AS90" i="1" s="1"/>
  <c r="AT83" i="1"/>
  <c r="AS83" i="1" s="1"/>
  <c r="AT82" i="1"/>
  <c r="AS82" i="1" s="1"/>
  <c r="AT80" i="1"/>
  <c r="AS80" i="1" s="1"/>
  <c r="AT79" i="1"/>
  <c r="AS79" i="1" s="1"/>
  <c r="AT78" i="1"/>
  <c r="AS78" i="1" s="1"/>
  <c r="AT77" i="1"/>
  <c r="AS77" i="1" s="1"/>
  <c r="AT76" i="1"/>
  <c r="AS76" i="1" s="1"/>
  <c r="AT75" i="1"/>
  <c r="AS75" i="1" s="1"/>
  <c r="AT74" i="1"/>
  <c r="AT73" i="1"/>
  <c r="AS73" i="1" s="1"/>
  <c r="AT69" i="1"/>
  <c r="AS69" i="1" s="1"/>
  <c r="AT68" i="1"/>
  <c r="AS68" i="1" s="1"/>
  <c r="AT67" i="1"/>
  <c r="AS67" i="1" s="1"/>
  <c r="AT66" i="1"/>
  <c r="AS66" i="1" s="1"/>
  <c r="AT65" i="1"/>
  <c r="AS65" i="1" s="1"/>
  <c r="AT64" i="1"/>
  <c r="AS64" i="1" s="1"/>
  <c r="AT63" i="1"/>
  <c r="AS63" i="1" s="1"/>
  <c r="AT62" i="1"/>
  <c r="AS62" i="1" s="1"/>
  <c r="AT51" i="1"/>
  <c r="AS51" i="1" s="1"/>
  <c r="AT50" i="1"/>
  <c r="AS50" i="1" s="1"/>
  <c r="AT48" i="1"/>
  <c r="AS48" i="1" s="1"/>
  <c r="AT47" i="1"/>
  <c r="AS47" i="1" s="1"/>
  <c r="AT46" i="1"/>
  <c r="AS46" i="1" s="1"/>
  <c r="AT45" i="1"/>
  <c r="AS45" i="1" s="1"/>
  <c r="AT44" i="1"/>
  <c r="AS44" i="1" s="1"/>
  <c r="AT43" i="1"/>
  <c r="AS43" i="1" s="1"/>
  <c r="AT42" i="1"/>
  <c r="AS42" i="1" s="1"/>
  <c r="AT41" i="1"/>
  <c r="AS41" i="1" s="1"/>
  <c r="AT40" i="1"/>
  <c r="AS40" i="1" s="1"/>
  <c r="AT39" i="1"/>
  <c r="AS39" i="1" s="1"/>
  <c r="AT38" i="1"/>
  <c r="AS38" i="1" s="1"/>
  <c r="AT37" i="1"/>
  <c r="AS37" i="1" s="1"/>
  <c r="AT36" i="1"/>
  <c r="AT31" i="1"/>
  <c r="AS31" i="1" s="1"/>
  <c r="AT32" i="1"/>
  <c r="AS32" i="1" s="1"/>
  <c r="AT30" i="1"/>
  <c r="AS30" i="1" s="1"/>
  <c r="AT29" i="1"/>
  <c r="AS29" i="1" s="1"/>
  <c r="AT28" i="1"/>
  <c r="AS28" i="1" s="1"/>
  <c r="AT20" i="1"/>
  <c r="AS20" i="1" s="1"/>
  <c r="AT19" i="1"/>
  <c r="AS19" i="1" s="1"/>
  <c r="AT18" i="1"/>
  <c r="AS18" i="1" s="1"/>
  <c r="AT17" i="1"/>
  <c r="AS17" i="1" s="1"/>
  <c r="AT16" i="1"/>
  <c r="AS16" i="1" s="1"/>
  <c r="AT15" i="1"/>
  <c r="AS15" i="1" s="1"/>
  <c r="AT14" i="1"/>
  <c r="AS14" i="1" s="1"/>
  <c r="AT13" i="1"/>
  <c r="AS13" i="1" s="1"/>
  <c r="AX255" i="1"/>
  <c r="AX259" i="1" s="1"/>
  <c r="AW255" i="1"/>
  <c r="AW259" i="1" s="1"/>
  <c r="AV255" i="1"/>
  <c r="AV259" i="1" s="1"/>
  <c r="AU255" i="1"/>
  <c r="AU259" i="1" s="1"/>
  <c r="AX229" i="1"/>
  <c r="AW229" i="1"/>
  <c r="AV229" i="1"/>
  <c r="AU229" i="1"/>
  <c r="AX134" i="1"/>
  <c r="AW134" i="1"/>
  <c r="AV134" i="1"/>
  <c r="AU134" i="1"/>
  <c r="AX97" i="1"/>
  <c r="AW97" i="1"/>
  <c r="AV97" i="1"/>
  <c r="AU97" i="1"/>
  <c r="AX89" i="1"/>
  <c r="AW89" i="1"/>
  <c r="AV89" i="1"/>
  <c r="AU89" i="1"/>
  <c r="AX72" i="1"/>
  <c r="AW72" i="1"/>
  <c r="AV72" i="1"/>
  <c r="AU72" i="1"/>
  <c r="AX61" i="1"/>
  <c r="AW61" i="1"/>
  <c r="AV61" i="1"/>
  <c r="AU61" i="1"/>
  <c r="AX35" i="1"/>
  <c r="AW35" i="1"/>
  <c r="AV35" i="1"/>
  <c r="AU35" i="1"/>
  <c r="AX27" i="1"/>
  <c r="AW27" i="1"/>
  <c r="AV27" i="1"/>
  <c r="AU27" i="1"/>
  <c r="AX12" i="1"/>
  <c r="AW12" i="1"/>
  <c r="AV12" i="1"/>
  <c r="AU12" i="1"/>
  <c r="AU257" i="1" s="1"/>
  <c r="AH256" i="1"/>
  <c r="AG256" i="1" s="1"/>
  <c r="AG255" i="1" s="1"/>
  <c r="AH251" i="1"/>
  <c r="AG251" i="1" s="1"/>
  <c r="AH250" i="1"/>
  <c r="AG250" i="1" s="1"/>
  <c r="AH249" i="1"/>
  <c r="AG249" i="1" s="1"/>
  <c r="AH248" i="1"/>
  <c r="AG248" i="1" s="1"/>
  <c r="AH247" i="1"/>
  <c r="AG247" i="1" s="1"/>
  <c r="AH246" i="1"/>
  <c r="AG246" i="1" s="1"/>
  <c r="AH245" i="1"/>
  <c r="AG245" i="1" s="1"/>
  <c r="AH244" i="1"/>
  <c r="AG244" i="1" s="1"/>
  <c r="AH243" i="1"/>
  <c r="AG243" i="1" s="1"/>
  <c r="AH242" i="1"/>
  <c r="AG242" i="1" s="1"/>
  <c r="AH241" i="1"/>
  <c r="AG241" i="1" s="1"/>
  <c r="AH239" i="1"/>
  <c r="AG239" i="1" s="1"/>
  <c r="AH238" i="1"/>
  <c r="AG238" i="1" s="1"/>
  <c r="AH237" i="1"/>
  <c r="AG237" i="1" s="1"/>
  <c r="AH236" i="1"/>
  <c r="AG236" i="1" s="1"/>
  <c r="AH235" i="1"/>
  <c r="AG235" i="1" s="1"/>
  <c r="AH234" i="1"/>
  <c r="AG234" i="1" s="1"/>
  <c r="AH233" i="1"/>
  <c r="AG233" i="1" s="1"/>
  <c r="AH232" i="1"/>
  <c r="AG232" i="1" s="1"/>
  <c r="AH231" i="1"/>
  <c r="AG231" i="1" s="1"/>
  <c r="AH230" i="1"/>
  <c r="AG230" i="1" s="1"/>
  <c r="AH223" i="1"/>
  <c r="AG223" i="1" s="1"/>
  <c r="AH221" i="1"/>
  <c r="AG221" i="1" s="1"/>
  <c r="AH220" i="1"/>
  <c r="AG220" i="1" s="1"/>
  <c r="AH218" i="1"/>
  <c r="AG218" i="1" s="1"/>
  <c r="AH217" i="1"/>
  <c r="AG217" i="1" s="1"/>
  <c r="AH216" i="1"/>
  <c r="AG216" i="1" s="1"/>
  <c r="AH215" i="1"/>
  <c r="AG215" i="1" s="1"/>
  <c r="AH214" i="1"/>
  <c r="AG214" i="1" s="1"/>
  <c r="AH213" i="1"/>
  <c r="AG213" i="1" s="1"/>
  <c r="AH211" i="1"/>
  <c r="AG211" i="1" s="1"/>
  <c r="AH210" i="1"/>
  <c r="AG210" i="1" s="1"/>
  <c r="AH209" i="1"/>
  <c r="AG209" i="1" s="1"/>
  <c r="AH208" i="1"/>
  <c r="AG208" i="1" s="1"/>
  <c r="AH207" i="1"/>
  <c r="AG207" i="1" s="1"/>
  <c r="AH206" i="1"/>
  <c r="AG206" i="1" s="1"/>
  <c r="AH205" i="1"/>
  <c r="AG205" i="1" s="1"/>
  <c r="AH204" i="1"/>
  <c r="AG204" i="1" s="1"/>
  <c r="AH202" i="1"/>
  <c r="AG202" i="1" s="1"/>
  <c r="AH201" i="1"/>
  <c r="AG201" i="1" s="1"/>
  <c r="AH200" i="1"/>
  <c r="AG200" i="1" s="1"/>
  <c r="AH199" i="1"/>
  <c r="AG199" i="1" s="1"/>
  <c r="AH198" i="1"/>
  <c r="AG198" i="1" s="1"/>
  <c r="AH197" i="1"/>
  <c r="AG197" i="1" s="1"/>
  <c r="AH196" i="1"/>
  <c r="AG196" i="1" s="1"/>
  <c r="AH195" i="1"/>
  <c r="AG195" i="1" s="1"/>
  <c r="AH194" i="1"/>
  <c r="AG194" i="1" s="1"/>
  <c r="AH193" i="1"/>
  <c r="AG193" i="1" s="1"/>
  <c r="AH192" i="1"/>
  <c r="AG192" i="1" s="1"/>
  <c r="AH191" i="1"/>
  <c r="AG191" i="1" s="1"/>
  <c r="AH190" i="1"/>
  <c r="AG190" i="1" s="1"/>
  <c r="AH189" i="1"/>
  <c r="AG189" i="1" s="1"/>
  <c r="AH188" i="1"/>
  <c r="AG188" i="1" s="1"/>
  <c r="AH187" i="1"/>
  <c r="AG187" i="1" s="1"/>
  <c r="AH186" i="1"/>
  <c r="AG186" i="1" s="1"/>
  <c r="AH185" i="1"/>
  <c r="AG185" i="1" s="1"/>
  <c r="AH184" i="1"/>
  <c r="AG184" i="1" s="1"/>
  <c r="AH183" i="1"/>
  <c r="AG183" i="1" s="1"/>
  <c r="AH182" i="1"/>
  <c r="AG182" i="1" s="1"/>
  <c r="AH181" i="1"/>
  <c r="AG181" i="1" s="1"/>
  <c r="AH180" i="1"/>
  <c r="AG180" i="1" s="1"/>
  <c r="AH178" i="1"/>
  <c r="AG178" i="1" s="1"/>
  <c r="AH176" i="1"/>
  <c r="AG176" i="1" s="1"/>
  <c r="AH175" i="1"/>
  <c r="AG175" i="1" s="1"/>
  <c r="AH173" i="1"/>
  <c r="AG173" i="1" s="1"/>
  <c r="AH172" i="1"/>
  <c r="AG172" i="1" s="1"/>
  <c r="AH170" i="1"/>
  <c r="AG170" i="1" s="1"/>
  <c r="AH169" i="1"/>
  <c r="AG169" i="1" s="1"/>
  <c r="AH168" i="1"/>
  <c r="AG168" i="1" s="1"/>
  <c r="AH167" i="1"/>
  <c r="AG167" i="1" s="1"/>
  <c r="AH166" i="1"/>
  <c r="AG166" i="1" s="1"/>
  <c r="AH165" i="1"/>
  <c r="AG165" i="1" s="1"/>
  <c r="AH164" i="1"/>
  <c r="AG164" i="1" s="1"/>
  <c r="AH163" i="1"/>
  <c r="AG163" i="1" s="1"/>
  <c r="AH162" i="1"/>
  <c r="AG162" i="1" s="1"/>
  <c r="AH160" i="1"/>
  <c r="AG160" i="1" s="1"/>
  <c r="AH159" i="1"/>
  <c r="AG159" i="1" s="1"/>
  <c r="AH158" i="1"/>
  <c r="AG158" i="1" s="1"/>
  <c r="AH157" i="1"/>
  <c r="AG157" i="1" s="1"/>
  <c r="AH153" i="1"/>
  <c r="AG153" i="1" s="1"/>
  <c r="AH152" i="1"/>
  <c r="AG152" i="1" s="1"/>
  <c r="AH151" i="1"/>
  <c r="AG151" i="1" s="1"/>
  <c r="AH150" i="1"/>
  <c r="AG150" i="1" s="1"/>
  <c r="AH149" i="1"/>
  <c r="AG149" i="1" s="1"/>
  <c r="AH148" i="1"/>
  <c r="AG148" i="1" s="1"/>
  <c r="AH147" i="1"/>
  <c r="AG147" i="1" s="1"/>
  <c r="AH146" i="1"/>
  <c r="AG146" i="1" s="1"/>
  <c r="AH143" i="1"/>
  <c r="AG143" i="1" s="1"/>
  <c r="AH142" i="1"/>
  <c r="AG142" i="1" s="1"/>
  <c r="AH141" i="1"/>
  <c r="AG141" i="1" s="1"/>
  <c r="AH140" i="1"/>
  <c r="AG140" i="1" s="1"/>
  <c r="AH139" i="1"/>
  <c r="AG139" i="1" s="1"/>
  <c r="AH138" i="1"/>
  <c r="AG138" i="1" s="1"/>
  <c r="AH137" i="1"/>
  <c r="AG137" i="1" s="1"/>
  <c r="AH136" i="1"/>
  <c r="AG136" i="1" s="1"/>
  <c r="AH135" i="1"/>
  <c r="AG135" i="1" s="1"/>
  <c r="AH130" i="1"/>
  <c r="AG130" i="1" s="1"/>
  <c r="AH129" i="1"/>
  <c r="AG129" i="1" s="1"/>
  <c r="AH127" i="1"/>
  <c r="AG127" i="1" s="1"/>
  <c r="AH126" i="1"/>
  <c r="AG126" i="1" s="1"/>
  <c r="AH125" i="1"/>
  <c r="AG125" i="1" s="1"/>
  <c r="AH124" i="1"/>
  <c r="AG124" i="1" s="1"/>
  <c r="AH123" i="1"/>
  <c r="AG123" i="1" s="1"/>
  <c r="AH122" i="1"/>
  <c r="AG122" i="1" s="1"/>
  <c r="AH121" i="1"/>
  <c r="AG121" i="1" s="1"/>
  <c r="AH120" i="1"/>
  <c r="AG120" i="1" s="1"/>
  <c r="AH119" i="1"/>
  <c r="AG119" i="1" s="1"/>
  <c r="AH118" i="1"/>
  <c r="AG118" i="1" s="1"/>
  <c r="AH117" i="1"/>
  <c r="AG117" i="1" s="1"/>
  <c r="AH116" i="1"/>
  <c r="AG116" i="1" s="1"/>
  <c r="AH115" i="1"/>
  <c r="AG115" i="1" s="1"/>
  <c r="AH114" i="1"/>
  <c r="AG114" i="1" s="1"/>
  <c r="AH113" i="1"/>
  <c r="AG113" i="1" s="1"/>
  <c r="AH112" i="1"/>
  <c r="AG112" i="1" s="1"/>
  <c r="AH111" i="1"/>
  <c r="AG111" i="1" s="1"/>
  <c r="AH110" i="1"/>
  <c r="AG110" i="1" s="1"/>
  <c r="AH109" i="1"/>
  <c r="AG109" i="1" s="1"/>
  <c r="AH108" i="1"/>
  <c r="AG108" i="1" s="1"/>
  <c r="AH107" i="1"/>
  <c r="AG107" i="1" s="1"/>
  <c r="AH106" i="1"/>
  <c r="AG106" i="1" s="1"/>
  <c r="AH105" i="1"/>
  <c r="AG105" i="1" s="1"/>
  <c r="AH104" i="1"/>
  <c r="AG104" i="1" s="1"/>
  <c r="AH103" i="1"/>
  <c r="AG103" i="1" s="1"/>
  <c r="AH102" i="1"/>
  <c r="AG102" i="1" s="1"/>
  <c r="AH101" i="1"/>
  <c r="AG101" i="1" s="1"/>
  <c r="AH100" i="1"/>
  <c r="AH99" i="1"/>
  <c r="AG99" i="1" s="1"/>
  <c r="AH98" i="1"/>
  <c r="AG98" i="1" s="1"/>
  <c r="AH95" i="1"/>
  <c r="AG95" i="1" s="1"/>
  <c r="AH94" i="1"/>
  <c r="AG94" i="1" s="1"/>
  <c r="AH92" i="1"/>
  <c r="AG92" i="1" s="1"/>
  <c r="AH91" i="1"/>
  <c r="AH90" i="1"/>
  <c r="AG90" i="1" s="1"/>
  <c r="AH83" i="1"/>
  <c r="AG83" i="1" s="1"/>
  <c r="AH82" i="1"/>
  <c r="AG82" i="1" s="1"/>
  <c r="AH80" i="1"/>
  <c r="AG80" i="1" s="1"/>
  <c r="AH79" i="1"/>
  <c r="AG79" i="1" s="1"/>
  <c r="AH78" i="1"/>
  <c r="AG78" i="1" s="1"/>
  <c r="AH77" i="1"/>
  <c r="AG77" i="1" s="1"/>
  <c r="AH76" i="1"/>
  <c r="AG76" i="1" s="1"/>
  <c r="AH75" i="1"/>
  <c r="AG75" i="1" s="1"/>
  <c r="AH74" i="1"/>
  <c r="AG74" i="1" s="1"/>
  <c r="AH73" i="1"/>
  <c r="AG73" i="1" s="1"/>
  <c r="AH69" i="1"/>
  <c r="AG69" i="1" s="1"/>
  <c r="AH68" i="1"/>
  <c r="AG68" i="1" s="1"/>
  <c r="AH67" i="1"/>
  <c r="AG67" i="1" s="1"/>
  <c r="AH66" i="1"/>
  <c r="AG66" i="1" s="1"/>
  <c r="AH65" i="1"/>
  <c r="AG65" i="1" s="1"/>
  <c r="AH64" i="1"/>
  <c r="AG64" i="1" s="1"/>
  <c r="AH63" i="1"/>
  <c r="AG63" i="1" s="1"/>
  <c r="AH62" i="1"/>
  <c r="AG62" i="1" s="1"/>
  <c r="AH51" i="1"/>
  <c r="AG51" i="1" s="1"/>
  <c r="AH50" i="1"/>
  <c r="AG50" i="1" s="1"/>
  <c r="AH48" i="1"/>
  <c r="AG48" i="1" s="1"/>
  <c r="AH47" i="1"/>
  <c r="AG47" i="1" s="1"/>
  <c r="AH46" i="1"/>
  <c r="AG46" i="1" s="1"/>
  <c r="AH45" i="1"/>
  <c r="AG45" i="1" s="1"/>
  <c r="AH44" i="1"/>
  <c r="AG44" i="1" s="1"/>
  <c r="AH43" i="1"/>
  <c r="AG43" i="1" s="1"/>
  <c r="AH42" i="1"/>
  <c r="AG42" i="1" s="1"/>
  <c r="AH41" i="1"/>
  <c r="AG41" i="1" s="1"/>
  <c r="AH40" i="1"/>
  <c r="AG40" i="1" s="1"/>
  <c r="AH39" i="1"/>
  <c r="AG39" i="1" s="1"/>
  <c r="AH38" i="1"/>
  <c r="AG38" i="1" s="1"/>
  <c r="AH37" i="1"/>
  <c r="AG37" i="1" s="1"/>
  <c r="AH36" i="1"/>
  <c r="AG36" i="1" s="1"/>
  <c r="AH32" i="1"/>
  <c r="AG32" i="1" s="1"/>
  <c r="AH31" i="1"/>
  <c r="AG31" i="1" s="1"/>
  <c r="AH30" i="1"/>
  <c r="AG30" i="1" s="1"/>
  <c r="AH29" i="1"/>
  <c r="AG29" i="1" s="1"/>
  <c r="AH28" i="1"/>
  <c r="AG28" i="1" s="1"/>
  <c r="AH14" i="1"/>
  <c r="AG14" i="1" s="1"/>
  <c r="AH15" i="1"/>
  <c r="AH16" i="1"/>
  <c r="AG16" i="1" s="1"/>
  <c r="AH17" i="1"/>
  <c r="AG17" i="1" s="1"/>
  <c r="AH18" i="1"/>
  <c r="AG18" i="1" s="1"/>
  <c r="AH19" i="1"/>
  <c r="AG19" i="1" s="1"/>
  <c r="AH20" i="1"/>
  <c r="AG20" i="1" s="1"/>
  <c r="AH13" i="1"/>
  <c r="AG13" i="1" s="1"/>
  <c r="AP255" i="1"/>
  <c r="AP259" i="1" s="1"/>
  <c r="AO255" i="1"/>
  <c r="AO259" i="1" s="1"/>
  <c r="AN255" i="1"/>
  <c r="AN259" i="1" s="1"/>
  <c r="AM255" i="1"/>
  <c r="AM259" i="1" s="1"/>
  <c r="AL255" i="1"/>
  <c r="AL259" i="1" s="1"/>
  <c r="AK255" i="1"/>
  <c r="AK259" i="1" s="1"/>
  <c r="AJ255" i="1"/>
  <c r="AJ259" i="1" s="1"/>
  <c r="AI255" i="1"/>
  <c r="AI259" i="1" s="1"/>
  <c r="AP229" i="1"/>
  <c r="AO229" i="1"/>
  <c r="AN229" i="1"/>
  <c r="AM229" i="1"/>
  <c r="AL229" i="1"/>
  <c r="AK229" i="1"/>
  <c r="AJ229" i="1"/>
  <c r="AI229" i="1"/>
  <c r="AP134" i="1"/>
  <c r="AO134" i="1"/>
  <c r="AN134" i="1"/>
  <c r="AM134" i="1"/>
  <c r="AL134" i="1"/>
  <c r="AK134" i="1"/>
  <c r="AJ134" i="1"/>
  <c r="AI134" i="1"/>
  <c r="AP97" i="1"/>
  <c r="AO97" i="1"/>
  <c r="AN97" i="1"/>
  <c r="AM97" i="1"/>
  <c r="AL97" i="1"/>
  <c r="AK97" i="1"/>
  <c r="AJ97" i="1"/>
  <c r="AI97" i="1"/>
  <c r="AP89" i="1"/>
  <c r="AO89" i="1"/>
  <c r="AN89" i="1"/>
  <c r="AM89" i="1"/>
  <c r="AL89" i="1"/>
  <c r="AK89" i="1"/>
  <c r="AJ89" i="1"/>
  <c r="AI89" i="1"/>
  <c r="AP72" i="1"/>
  <c r="AO72" i="1"/>
  <c r="AN72" i="1"/>
  <c r="AM72" i="1"/>
  <c r="AL72" i="1"/>
  <c r="AK72" i="1"/>
  <c r="AJ72" i="1"/>
  <c r="AI72" i="1"/>
  <c r="AP61" i="1"/>
  <c r="AO61" i="1"/>
  <c r="AN61" i="1"/>
  <c r="AM61" i="1"/>
  <c r="AL61" i="1"/>
  <c r="AK61" i="1"/>
  <c r="AJ61" i="1"/>
  <c r="AI61" i="1"/>
  <c r="AP35" i="1"/>
  <c r="AO35" i="1"/>
  <c r="AN35" i="1"/>
  <c r="AM35" i="1"/>
  <c r="AL35" i="1"/>
  <c r="AK35" i="1"/>
  <c r="AJ35" i="1"/>
  <c r="AI35" i="1"/>
  <c r="AP27" i="1"/>
  <c r="AO27" i="1"/>
  <c r="AN27" i="1"/>
  <c r="AM27" i="1"/>
  <c r="AL27" i="1"/>
  <c r="AK27" i="1"/>
  <c r="AJ27" i="1"/>
  <c r="AI27" i="1"/>
  <c r="AP12" i="1"/>
  <c r="AO12" i="1"/>
  <c r="AN12" i="1"/>
  <c r="AM12" i="1"/>
  <c r="AL12" i="1"/>
  <c r="AK12" i="1"/>
  <c r="AJ12" i="1"/>
  <c r="AI12" i="1"/>
  <c r="Y256" i="1"/>
  <c r="Y255" i="1" s="1"/>
  <c r="Y251" i="1"/>
  <c r="X251" i="1" s="1"/>
  <c r="Y250" i="1"/>
  <c r="X250" i="1" s="1"/>
  <c r="Y249" i="1"/>
  <c r="X249" i="1" s="1"/>
  <c r="Y248" i="1"/>
  <c r="X248" i="1" s="1"/>
  <c r="Y247" i="1"/>
  <c r="X247" i="1" s="1"/>
  <c r="Y246" i="1"/>
  <c r="X246" i="1" s="1"/>
  <c r="Y245" i="1"/>
  <c r="X245" i="1" s="1"/>
  <c r="Y244" i="1"/>
  <c r="X244" i="1" s="1"/>
  <c r="Y243" i="1"/>
  <c r="X243" i="1" s="1"/>
  <c r="Y242" i="1"/>
  <c r="X242" i="1" s="1"/>
  <c r="Y241" i="1"/>
  <c r="X241" i="1" s="1"/>
  <c r="Y239" i="1"/>
  <c r="X239" i="1" s="1"/>
  <c r="Y238" i="1"/>
  <c r="X238" i="1" s="1"/>
  <c r="Y237" i="1"/>
  <c r="X237" i="1" s="1"/>
  <c r="Y236" i="1"/>
  <c r="X236" i="1" s="1"/>
  <c r="Y235" i="1"/>
  <c r="X235" i="1" s="1"/>
  <c r="Y234" i="1"/>
  <c r="X234" i="1" s="1"/>
  <c r="Y233" i="1"/>
  <c r="X233" i="1" s="1"/>
  <c r="Y232" i="1"/>
  <c r="X232" i="1" s="1"/>
  <c r="Y231" i="1"/>
  <c r="X231" i="1" s="1"/>
  <c r="Y230" i="1"/>
  <c r="X230" i="1" s="1"/>
  <c r="Y223" i="1"/>
  <c r="X223" i="1" s="1"/>
  <c r="Y221" i="1"/>
  <c r="X221" i="1" s="1"/>
  <c r="Y220" i="1"/>
  <c r="X220" i="1" s="1"/>
  <c r="Y218" i="1"/>
  <c r="X218" i="1" s="1"/>
  <c r="Y217" i="1"/>
  <c r="X217" i="1" s="1"/>
  <c r="Y216" i="1"/>
  <c r="X216" i="1" s="1"/>
  <c r="Y215" i="1"/>
  <c r="X215" i="1" s="1"/>
  <c r="Y214" i="1"/>
  <c r="X214" i="1" s="1"/>
  <c r="Y213" i="1"/>
  <c r="X213" i="1" s="1"/>
  <c r="Y211" i="1"/>
  <c r="X211" i="1" s="1"/>
  <c r="Y210" i="1"/>
  <c r="X210" i="1" s="1"/>
  <c r="Y209" i="1"/>
  <c r="X209" i="1" s="1"/>
  <c r="Y208" i="1"/>
  <c r="X208" i="1" s="1"/>
  <c r="Y207" i="1"/>
  <c r="X207" i="1" s="1"/>
  <c r="Y206" i="1"/>
  <c r="X206" i="1" s="1"/>
  <c r="Y205" i="1"/>
  <c r="X205" i="1" s="1"/>
  <c r="Y204" i="1"/>
  <c r="X204" i="1" s="1"/>
  <c r="Y202" i="1"/>
  <c r="X202" i="1" s="1"/>
  <c r="Y201" i="1"/>
  <c r="X201" i="1" s="1"/>
  <c r="Y200" i="1"/>
  <c r="X200" i="1" s="1"/>
  <c r="Y199" i="1"/>
  <c r="X199" i="1" s="1"/>
  <c r="Y198" i="1"/>
  <c r="X198" i="1" s="1"/>
  <c r="Y197" i="1"/>
  <c r="X197" i="1" s="1"/>
  <c r="Y196" i="1"/>
  <c r="X196" i="1" s="1"/>
  <c r="Y195" i="1"/>
  <c r="X195" i="1" s="1"/>
  <c r="Y194" i="1"/>
  <c r="X194" i="1" s="1"/>
  <c r="Y193" i="1"/>
  <c r="X193" i="1" s="1"/>
  <c r="Y192" i="1"/>
  <c r="X192" i="1" s="1"/>
  <c r="Y191" i="1"/>
  <c r="X191" i="1" s="1"/>
  <c r="Y190" i="1"/>
  <c r="X190" i="1" s="1"/>
  <c r="Y189" i="1"/>
  <c r="X189" i="1" s="1"/>
  <c r="Y188" i="1"/>
  <c r="X188" i="1" s="1"/>
  <c r="Y187" i="1"/>
  <c r="X187" i="1" s="1"/>
  <c r="Y186" i="1"/>
  <c r="X186" i="1" s="1"/>
  <c r="Y185" i="1"/>
  <c r="X185" i="1" s="1"/>
  <c r="Y184" i="1"/>
  <c r="X184" i="1" s="1"/>
  <c r="Y183" i="1"/>
  <c r="X183" i="1" s="1"/>
  <c r="Y182" i="1"/>
  <c r="X182" i="1" s="1"/>
  <c r="Y181" i="1"/>
  <c r="X181" i="1" s="1"/>
  <c r="Y180" i="1"/>
  <c r="X180" i="1" s="1"/>
  <c r="Y178" i="1"/>
  <c r="X178" i="1" s="1"/>
  <c r="Y176" i="1"/>
  <c r="X176" i="1" s="1"/>
  <c r="Y175" i="1"/>
  <c r="X175" i="1" s="1"/>
  <c r="Y173" i="1"/>
  <c r="X173" i="1" s="1"/>
  <c r="Y172" i="1"/>
  <c r="X172" i="1" s="1"/>
  <c r="Y170" i="1"/>
  <c r="X170" i="1" s="1"/>
  <c r="Y169" i="1"/>
  <c r="X169" i="1" s="1"/>
  <c r="Y168" i="1"/>
  <c r="X168" i="1" s="1"/>
  <c r="Y167" i="1"/>
  <c r="X167" i="1" s="1"/>
  <c r="Y166" i="1"/>
  <c r="X166" i="1" s="1"/>
  <c r="Y165" i="1"/>
  <c r="X165" i="1" s="1"/>
  <c r="Y164" i="1"/>
  <c r="X164" i="1" s="1"/>
  <c r="Y163" i="1"/>
  <c r="X163" i="1" s="1"/>
  <c r="Y162" i="1"/>
  <c r="X162" i="1" s="1"/>
  <c r="Y160" i="1"/>
  <c r="X160" i="1" s="1"/>
  <c r="Y159" i="1"/>
  <c r="X159" i="1" s="1"/>
  <c r="Y158" i="1"/>
  <c r="X158" i="1" s="1"/>
  <c r="Y157" i="1"/>
  <c r="X157" i="1" s="1"/>
  <c r="Y153" i="1"/>
  <c r="X153" i="1" s="1"/>
  <c r="Y152" i="1"/>
  <c r="X152" i="1" s="1"/>
  <c r="Y151" i="1"/>
  <c r="X151" i="1" s="1"/>
  <c r="Y150" i="1"/>
  <c r="X150" i="1" s="1"/>
  <c r="Y149" i="1"/>
  <c r="X149" i="1" s="1"/>
  <c r="Y148" i="1"/>
  <c r="X148" i="1" s="1"/>
  <c r="Y147" i="1"/>
  <c r="X147" i="1" s="1"/>
  <c r="Y146" i="1"/>
  <c r="X146" i="1" s="1"/>
  <c r="Y143" i="1"/>
  <c r="X143" i="1" s="1"/>
  <c r="Y142" i="1"/>
  <c r="X142" i="1" s="1"/>
  <c r="Y141" i="1"/>
  <c r="X141" i="1" s="1"/>
  <c r="Y140" i="1"/>
  <c r="X140" i="1" s="1"/>
  <c r="Y139" i="1"/>
  <c r="X139" i="1" s="1"/>
  <c r="Y138" i="1"/>
  <c r="X138" i="1" s="1"/>
  <c r="Y137" i="1"/>
  <c r="X137" i="1" s="1"/>
  <c r="Y136" i="1"/>
  <c r="X136" i="1" s="1"/>
  <c r="Y135" i="1"/>
  <c r="X135" i="1" s="1"/>
  <c r="Y130" i="1"/>
  <c r="X130" i="1" s="1"/>
  <c r="Y129" i="1"/>
  <c r="X129" i="1" s="1"/>
  <c r="Y127" i="1"/>
  <c r="X127" i="1" s="1"/>
  <c r="Y126" i="1"/>
  <c r="X126" i="1" s="1"/>
  <c r="Y125" i="1"/>
  <c r="X125" i="1" s="1"/>
  <c r="Y124" i="1"/>
  <c r="X124" i="1" s="1"/>
  <c r="Y123" i="1"/>
  <c r="X123" i="1" s="1"/>
  <c r="Y122" i="1"/>
  <c r="X122" i="1" s="1"/>
  <c r="Y121" i="1"/>
  <c r="X121" i="1" s="1"/>
  <c r="Y120" i="1"/>
  <c r="X120" i="1" s="1"/>
  <c r="Y119" i="1"/>
  <c r="X119" i="1" s="1"/>
  <c r="Y118" i="1"/>
  <c r="X118" i="1" s="1"/>
  <c r="Y117" i="1"/>
  <c r="X117" i="1" s="1"/>
  <c r="Y116" i="1"/>
  <c r="X116" i="1" s="1"/>
  <c r="Y115" i="1"/>
  <c r="X115" i="1" s="1"/>
  <c r="Y114" i="1"/>
  <c r="X114" i="1" s="1"/>
  <c r="Y113" i="1"/>
  <c r="X113" i="1" s="1"/>
  <c r="Y112" i="1"/>
  <c r="X112" i="1" s="1"/>
  <c r="Y111" i="1"/>
  <c r="X111" i="1" s="1"/>
  <c r="Y110" i="1"/>
  <c r="X110" i="1" s="1"/>
  <c r="Y109" i="1"/>
  <c r="X109" i="1" s="1"/>
  <c r="Y108" i="1"/>
  <c r="X108" i="1" s="1"/>
  <c r="Y107" i="1"/>
  <c r="X107" i="1" s="1"/>
  <c r="Y106" i="1"/>
  <c r="X106" i="1" s="1"/>
  <c r="Y105" i="1"/>
  <c r="X105" i="1" s="1"/>
  <c r="Y104" i="1"/>
  <c r="X104" i="1" s="1"/>
  <c r="Y103" i="1"/>
  <c r="X103" i="1" s="1"/>
  <c r="Y102" i="1"/>
  <c r="X102" i="1" s="1"/>
  <c r="Y101" i="1"/>
  <c r="X101" i="1" s="1"/>
  <c r="Y100" i="1"/>
  <c r="X100" i="1" s="1"/>
  <c r="Y99" i="1"/>
  <c r="X99" i="1" s="1"/>
  <c r="Y98" i="1"/>
  <c r="X98" i="1" s="1"/>
  <c r="Y95" i="1"/>
  <c r="X95" i="1" s="1"/>
  <c r="Y94" i="1"/>
  <c r="X94" i="1" s="1"/>
  <c r="Y92" i="1"/>
  <c r="X92" i="1" s="1"/>
  <c r="Y91" i="1"/>
  <c r="X91" i="1" s="1"/>
  <c r="Y90" i="1"/>
  <c r="X90" i="1" s="1"/>
  <c r="Y83" i="1"/>
  <c r="X83" i="1" s="1"/>
  <c r="Y82" i="1"/>
  <c r="X82" i="1" s="1"/>
  <c r="Y80" i="1"/>
  <c r="X80" i="1" s="1"/>
  <c r="Y79" i="1"/>
  <c r="X79" i="1" s="1"/>
  <c r="Y78" i="1"/>
  <c r="X78" i="1" s="1"/>
  <c r="Y77" i="1"/>
  <c r="X77" i="1" s="1"/>
  <c r="Y76" i="1"/>
  <c r="X76" i="1" s="1"/>
  <c r="Y75" i="1"/>
  <c r="X75" i="1" s="1"/>
  <c r="Y74" i="1"/>
  <c r="X74" i="1" s="1"/>
  <c r="Y73" i="1"/>
  <c r="X73" i="1" s="1"/>
  <c r="Y69" i="1"/>
  <c r="X69" i="1" s="1"/>
  <c r="Y68" i="1"/>
  <c r="X68" i="1" s="1"/>
  <c r="Y67" i="1"/>
  <c r="X67" i="1" s="1"/>
  <c r="Y66" i="1"/>
  <c r="X66" i="1" s="1"/>
  <c r="Y65" i="1"/>
  <c r="X65" i="1" s="1"/>
  <c r="Y64" i="1"/>
  <c r="X64" i="1" s="1"/>
  <c r="Y63" i="1"/>
  <c r="X63" i="1" s="1"/>
  <c r="Y62" i="1"/>
  <c r="X62" i="1" s="1"/>
  <c r="Y51" i="1"/>
  <c r="X51" i="1" s="1"/>
  <c r="Y50" i="1"/>
  <c r="X50" i="1" s="1"/>
  <c r="Y48" i="1"/>
  <c r="X48" i="1" s="1"/>
  <c r="Y47" i="1"/>
  <c r="X47" i="1" s="1"/>
  <c r="Y46" i="1"/>
  <c r="X46" i="1" s="1"/>
  <c r="Y45" i="1"/>
  <c r="X45" i="1" s="1"/>
  <c r="Y44" i="1"/>
  <c r="X44" i="1" s="1"/>
  <c r="Y43" i="1"/>
  <c r="X43" i="1" s="1"/>
  <c r="Y42" i="1"/>
  <c r="X42" i="1" s="1"/>
  <c r="Y41" i="1"/>
  <c r="X41" i="1" s="1"/>
  <c r="Y40" i="1"/>
  <c r="X40" i="1" s="1"/>
  <c r="Y39" i="1"/>
  <c r="X39" i="1" s="1"/>
  <c r="Y38" i="1"/>
  <c r="X38" i="1" s="1"/>
  <c r="Y37" i="1"/>
  <c r="X37" i="1" s="1"/>
  <c r="Y36" i="1"/>
  <c r="X36" i="1" s="1"/>
  <c r="Y32" i="1"/>
  <c r="X32" i="1" s="1"/>
  <c r="Y31" i="1"/>
  <c r="X31" i="1" s="1"/>
  <c r="Y30" i="1"/>
  <c r="X30" i="1" s="1"/>
  <c r="Y29" i="1"/>
  <c r="X29" i="1" s="1"/>
  <c r="Y28" i="1"/>
  <c r="Y14" i="1"/>
  <c r="X14" i="1" s="1"/>
  <c r="Y15" i="1"/>
  <c r="X15" i="1" s="1"/>
  <c r="Y16" i="1"/>
  <c r="X16" i="1" s="1"/>
  <c r="Y17" i="1"/>
  <c r="X17" i="1" s="1"/>
  <c r="Y18" i="1"/>
  <c r="X18" i="1" s="1"/>
  <c r="Y19" i="1"/>
  <c r="X19" i="1" s="1"/>
  <c r="Y20" i="1"/>
  <c r="X20" i="1" s="1"/>
  <c r="Y21" i="1"/>
  <c r="X21" i="1" s="1"/>
  <c r="Y22" i="1"/>
  <c r="X22" i="1" s="1"/>
  <c r="Y23" i="1"/>
  <c r="X23" i="1" s="1"/>
  <c r="Y24" i="1"/>
  <c r="X24" i="1" s="1"/>
  <c r="Y25" i="1"/>
  <c r="X25" i="1" s="1"/>
  <c r="Y13" i="1"/>
  <c r="X13" i="1" s="1"/>
  <c r="AE255" i="1"/>
  <c r="AE259" i="1" s="1"/>
  <c r="AD255" i="1"/>
  <c r="AD259" i="1" s="1"/>
  <c r="AC255" i="1"/>
  <c r="AC259" i="1" s="1"/>
  <c r="AB255" i="1"/>
  <c r="AB259" i="1" s="1"/>
  <c r="AA255" i="1"/>
  <c r="AA259" i="1" s="1"/>
  <c r="Z255" i="1"/>
  <c r="Z259" i="1" s="1"/>
  <c r="AE229" i="1"/>
  <c r="AD229" i="1"/>
  <c r="AC229" i="1"/>
  <c r="AB229" i="1"/>
  <c r="AA229" i="1"/>
  <c r="Z229" i="1"/>
  <c r="AE134" i="1"/>
  <c r="AD134" i="1"/>
  <c r="AC134" i="1"/>
  <c r="AB134" i="1"/>
  <c r="AA134" i="1"/>
  <c r="Z134" i="1"/>
  <c r="AE97" i="1"/>
  <c r="AD97" i="1"/>
  <c r="AC97" i="1"/>
  <c r="AB97" i="1"/>
  <c r="AA97" i="1"/>
  <c r="Z97" i="1"/>
  <c r="AE89" i="1"/>
  <c r="AD89" i="1"/>
  <c r="AC89" i="1"/>
  <c r="AB89" i="1"/>
  <c r="AA89" i="1"/>
  <c r="Z89" i="1"/>
  <c r="AE72" i="1"/>
  <c r="AD72" i="1"/>
  <c r="AC72" i="1"/>
  <c r="AB72" i="1"/>
  <c r="AA72" i="1"/>
  <c r="Z72" i="1"/>
  <c r="AE61" i="1"/>
  <c r="AD61" i="1"/>
  <c r="AC61" i="1"/>
  <c r="AB61" i="1"/>
  <c r="AA61" i="1"/>
  <c r="Z61" i="1"/>
  <c r="AE35" i="1"/>
  <c r="AD35" i="1"/>
  <c r="AC35" i="1"/>
  <c r="AB35" i="1"/>
  <c r="AA35" i="1"/>
  <c r="Z35" i="1"/>
  <c r="AE27" i="1"/>
  <c r="AD27" i="1"/>
  <c r="AC27" i="1"/>
  <c r="AB27" i="1"/>
  <c r="AA27" i="1"/>
  <c r="Z27" i="1"/>
  <c r="AE12" i="1"/>
  <c r="AD12" i="1"/>
  <c r="AC12" i="1"/>
  <c r="AB12" i="1"/>
  <c r="AA12" i="1"/>
  <c r="Z12" i="1"/>
  <c r="J13" i="1"/>
  <c r="I13" i="1" s="1"/>
  <c r="J256" i="1"/>
  <c r="J251" i="1"/>
  <c r="I251" i="1" s="1"/>
  <c r="J250" i="1"/>
  <c r="I250" i="1" s="1"/>
  <c r="J249" i="1"/>
  <c r="I249" i="1" s="1"/>
  <c r="J248" i="1"/>
  <c r="I248" i="1" s="1"/>
  <c r="J247" i="1"/>
  <c r="I247" i="1" s="1"/>
  <c r="J246" i="1"/>
  <c r="I246" i="1" s="1"/>
  <c r="J245" i="1"/>
  <c r="I245" i="1" s="1"/>
  <c r="J244" i="1"/>
  <c r="I244" i="1" s="1"/>
  <c r="J243" i="1"/>
  <c r="I243" i="1" s="1"/>
  <c r="J242" i="1"/>
  <c r="I242" i="1" s="1"/>
  <c r="J241" i="1"/>
  <c r="I241" i="1" s="1"/>
  <c r="J239" i="1"/>
  <c r="I239" i="1" s="1"/>
  <c r="J238" i="1"/>
  <c r="I238" i="1" s="1"/>
  <c r="J237" i="1"/>
  <c r="I237" i="1" s="1"/>
  <c r="J236" i="1"/>
  <c r="I236" i="1" s="1"/>
  <c r="J235" i="1"/>
  <c r="I235" i="1" s="1"/>
  <c r="J234" i="1"/>
  <c r="I234" i="1" s="1"/>
  <c r="J233" i="1"/>
  <c r="I233" i="1" s="1"/>
  <c r="J232" i="1"/>
  <c r="I232" i="1" s="1"/>
  <c r="J231" i="1"/>
  <c r="I231" i="1" s="1"/>
  <c r="J230" i="1"/>
  <c r="I230" i="1" s="1"/>
  <c r="J223" i="1"/>
  <c r="I223" i="1" s="1"/>
  <c r="J221" i="1"/>
  <c r="I221" i="1" s="1"/>
  <c r="J220" i="1"/>
  <c r="I220" i="1" s="1"/>
  <c r="J218" i="1"/>
  <c r="I218" i="1" s="1"/>
  <c r="J217" i="1"/>
  <c r="I217" i="1" s="1"/>
  <c r="J216" i="1"/>
  <c r="I216" i="1" s="1"/>
  <c r="J215" i="1"/>
  <c r="I215" i="1" s="1"/>
  <c r="J214" i="1"/>
  <c r="I214" i="1" s="1"/>
  <c r="J213" i="1"/>
  <c r="I213" i="1" s="1"/>
  <c r="J211" i="1"/>
  <c r="I211" i="1" s="1"/>
  <c r="J210" i="1"/>
  <c r="I210" i="1" s="1"/>
  <c r="J209" i="1"/>
  <c r="I209" i="1" s="1"/>
  <c r="J208" i="1"/>
  <c r="I208" i="1" s="1"/>
  <c r="J207" i="1"/>
  <c r="I207" i="1" s="1"/>
  <c r="J206" i="1"/>
  <c r="I206" i="1" s="1"/>
  <c r="J205" i="1"/>
  <c r="I205" i="1" s="1"/>
  <c r="J204" i="1"/>
  <c r="I204" i="1" s="1"/>
  <c r="J202" i="1"/>
  <c r="I202" i="1" s="1"/>
  <c r="J201" i="1"/>
  <c r="I201" i="1" s="1"/>
  <c r="J200" i="1"/>
  <c r="I200" i="1" s="1"/>
  <c r="J199" i="1"/>
  <c r="I199" i="1" s="1"/>
  <c r="J198" i="1"/>
  <c r="I198" i="1" s="1"/>
  <c r="J197" i="1"/>
  <c r="I197" i="1" s="1"/>
  <c r="J196" i="1"/>
  <c r="I196" i="1" s="1"/>
  <c r="J195" i="1"/>
  <c r="I195" i="1" s="1"/>
  <c r="J194" i="1"/>
  <c r="I194" i="1" s="1"/>
  <c r="J193" i="1"/>
  <c r="I193" i="1" s="1"/>
  <c r="J192" i="1"/>
  <c r="I192" i="1" s="1"/>
  <c r="J191" i="1"/>
  <c r="I191" i="1" s="1"/>
  <c r="J190" i="1"/>
  <c r="I190" i="1" s="1"/>
  <c r="J189" i="1"/>
  <c r="I189" i="1" s="1"/>
  <c r="J188" i="1"/>
  <c r="I188" i="1" s="1"/>
  <c r="J187" i="1"/>
  <c r="I187" i="1" s="1"/>
  <c r="J186" i="1"/>
  <c r="I186" i="1" s="1"/>
  <c r="J185" i="1"/>
  <c r="I185" i="1" s="1"/>
  <c r="J184" i="1"/>
  <c r="I184" i="1" s="1"/>
  <c r="J183" i="1"/>
  <c r="I183" i="1" s="1"/>
  <c r="J182" i="1"/>
  <c r="I182" i="1" s="1"/>
  <c r="J181" i="1"/>
  <c r="I181" i="1" s="1"/>
  <c r="J180" i="1"/>
  <c r="I180" i="1" s="1"/>
  <c r="J178" i="1"/>
  <c r="I178" i="1" s="1"/>
  <c r="J176" i="1"/>
  <c r="I176" i="1" s="1"/>
  <c r="J175" i="1"/>
  <c r="I175" i="1" s="1"/>
  <c r="J173" i="1"/>
  <c r="I173" i="1" s="1"/>
  <c r="J172" i="1"/>
  <c r="I172" i="1" s="1"/>
  <c r="J170" i="1"/>
  <c r="I170" i="1" s="1"/>
  <c r="J169" i="1"/>
  <c r="I169" i="1" s="1"/>
  <c r="J168" i="1"/>
  <c r="I168" i="1" s="1"/>
  <c r="J167" i="1"/>
  <c r="I167" i="1" s="1"/>
  <c r="J166" i="1"/>
  <c r="I166" i="1" s="1"/>
  <c r="J165" i="1"/>
  <c r="I165" i="1" s="1"/>
  <c r="J164" i="1"/>
  <c r="I164" i="1" s="1"/>
  <c r="J163" i="1"/>
  <c r="I163" i="1" s="1"/>
  <c r="J162" i="1"/>
  <c r="I162" i="1" s="1"/>
  <c r="J160" i="1"/>
  <c r="I160" i="1" s="1"/>
  <c r="J159" i="1"/>
  <c r="I159" i="1" s="1"/>
  <c r="J158" i="1"/>
  <c r="I158" i="1" s="1"/>
  <c r="J157" i="1"/>
  <c r="I157" i="1" s="1"/>
  <c r="J153" i="1"/>
  <c r="I153" i="1" s="1"/>
  <c r="J152" i="1"/>
  <c r="I152" i="1" s="1"/>
  <c r="J151" i="1"/>
  <c r="I151" i="1" s="1"/>
  <c r="J150" i="1"/>
  <c r="I150" i="1" s="1"/>
  <c r="J149" i="1"/>
  <c r="I149" i="1" s="1"/>
  <c r="J148" i="1"/>
  <c r="I148" i="1" s="1"/>
  <c r="J147" i="1"/>
  <c r="I147" i="1" s="1"/>
  <c r="J146" i="1"/>
  <c r="I146" i="1" s="1"/>
  <c r="J143" i="1"/>
  <c r="I143" i="1" s="1"/>
  <c r="J142" i="1"/>
  <c r="I142" i="1" s="1"/>
  <c r="J141" i="1"/>
  <c r="I141" i="1" s="1"/>
  <c r="J140" i="1"/>
  <c r="I140" i="1" s="1"/>
  <c r="J139" i="1"/>
  <c r="I139" i="1" s="1"/>
  <c r="J138" i="1"/>
  <c r="I138" i="1" s="1"/>
  <c r="J137" i="1"/>
  <c r="I137" i="1" s="1"/>
  <c r="J136" i="1"/>
  <c r="I136" i="1" s="1"/>
  <c r="J135" i="1"/>
  <c r="I135" i="1" s="1"/>
  <c r="J130" i="1"/>
  <c r="I130" i="1" s="1"/>
  <c r="J129" i="1"/>
  <c r="I129" i="1" s="1"/>
  <c r="J127" i="1"/>
  <c r="I127" i="1" s="1"/>
  <c r="J126" i="1"/>
  <c r="I126" i="1" s="1"/>
  <c r="J125" i="1"/>
  <c r="I125" i="1" s="1"/>
  <c r="J124" i="1"/>
  <c r="I124" i="1" s="1"/>
  <c r="J123" i="1"/>
  <c r="I123" i="1" s="1"/>
  <c r="J122" i="1"/>
  <c r="I122" i="1" s="1"/>
  <c r="J121" i="1"/>
  <c r="I121" i="1" s="1"/>
  <c r="J120" i="1"/>
  <c r="I120" i="1" s="1"/>
  <c r="J119" i="1"/>
  <c r="I119" i="1" s="1"/>
  <c r="J118" i="1"/>
  <c r="I118" i="1" s="1"/>
  <c r="J117" i="1"/>
  <c r="I117" i="1" s="1"/>
  <c r="J116" i="1"/>
  <c r="I116" i="1" s="1"/>
  <c r="J115" i="1"/>
  <c r="I115" i="1" s="1"/>
  <c r="J114" i="1"/>
  <c r="I114" i="1" s="1"/>
  <c r="J113" i="1"/>
  <c r="I113" i="1" s="1"/>
  <c r="J112" i="1"/>
  <c r="I112" i="1" s="1"/>
  <c r="J111" i="1"/>
  <c r="I111" i="1" s="1"/>
  <c r="J110" i="1"/>
  <c r="I110" i="1" s="1"/>
  <c r="J109" i="1"/>
  <c r="I109" i="1" s="1"/>
  <c r="J108" i="1"/>
  <c r="I108" i="1" s="1"/>
  <c r="J107" i="1"/>
  <c r="I107" i="1" s="1"/>
  <c r="J106" i="1"/>
  <c r="I106" i="1" s="1"/>
  <c r="J105" i="1"/>
  <c r="I105" i="1" s="1"/>
  <c r="J104" i="1"/>
  <c r="I104" i="1" s="1"/>
  <c r="J103" i="1"/>
  <c r="I103" i="1" s="1"/>
  <c r="J102" i="1"/>
  <c r="I102" i="1" s="1"/>
  <c r="J101" i="1"/>
  <c r="I101" i="1" s="1"/>
  <c r="J100" i="1"/>
  <c r="I100" i="1" s="1"/>
  <c r="J99" i="1"/>
  <c r="I99" i="1" s="1"/>
  <c r="J98" i="1"/>
  <c r="I98" i="1" s="1"/>
  <c r="J95" i="1"/>
  <c r="I95" i="1" s="1"/>
  <c r="J94" i="1"/>
  <c r="I94" i="1" s="1"/>
  <c r="J92" i="1"/>
  <c r="I92" i="1" s="1"/>
  <c r="J91" i="1"/>
  <c r="I91" i="1" s="1"/>
  <c r="J90" i="1"/>
  <c r="I90" i="1" s="1"/>
  <c r="J83" i="1"/>
  <c r="I83" i="1" s="1"/>
  <c r="J82" i="1"/>
  <c r="I82" i="1" s="1"/>
  <c r="J80" i="1"/>
  <c r="I80" i="1" s="1"/>
  <c r="J79" i="1"/>
  <c r="I79" i="1" s="1"/>
  <c r="J78" i="1"/>
  <c r="I78" i="1" s="1"/>
  <c r="J77" i="1"/>
  <c r="I77" i="1" s="1"/>
  <c r="J76" i="1"/>
  <c r="I76" i="1" s="1"/>
  <c r="J75" i="1"/>
  <c r="I75" i="1" s="1"/>
  <c r="J74" i="1"/>
  <c r="I74" i="1" s="1"/>
  <c r="J73" i="1"/>
  <c r="I73" i="1" s="1"/>
  <c r="J69" i="1"/>
  <c r="I69" i="1" s="1"/>
  <c r="J68" i="1"/>
  <c r="I68" i="1" s="1"/>
  <c r="J67" i="1"/>
  <c r="I67" i="1" s="1"/>
  <c r="J66" i="1"/>
  <c r="I66" i="1" s="1"/>
  <c r="J65" i="1"/>
  <c r="I65" i="1" s="1"/>
  <c r="J64" i="1"/>
  <c r="I64" i="1" s="1"/>
  <c r="J63" i="1"/>
  <c r="I63" i="1" s="1"/>
  <c r="J62" i="1"/>
  <c r="I62" i="1" s="1"/>
  <c r="J55" i="1"/>
  <c r="I55" i="1" s="1"/>
  <c r="G55" i="1" s="1"/>
  <c r="J54" i="1"/>
  <c r="I54" i="1" s="1"/>
  <c r="G54" i="1" s="1"/>
  <c r="J53" i="1"/>
  <c r="I53" i="1" s="1"/>
  <c r="G53" i="1" s="1"/>
  <c r="J52" i="1"/>
  <c r="I52" i="1" s="1"/>
  <c r="G52" i="1" s="1"/>
  <c r="J51" i="1"/>
  <c r="I51" i="1" s="1"/>
  <c r="J50" i="1"/>
  <c r="I50" i="1" s="1"/>
  <c r="J48" i="1"/>
  <c r="I48" i="1" s="1"/>
  <c r="J47" i="1"/>
  <c r="I47" i="1" s="1"/>
  <c r="J46" i="1"/>
  <c r="I46" i="1" s="1"/>
  <c r="J45" i="1"/>
  <c r="I45" i="1" s="1"/>
  <c r="J44" i="1"/>
  <c r="I44" i="1" s="1"/>
  <c r="J43" i="1"/>
  <c r="I43" i="1" s="1"/>
  <c r="J42" i="1"/>
  <c r="I42" i="1" s="1"/>
  <c r="J41" i="1"/>
  <c r="I41" i="1" s="1"/>
  <c r="J40" i="1"/>
  <c r="I40" i="1" s="1"/>
  <c r="J39" i="1"/>
  <c r="I39" i="1" s="1"/>
  <c r="J38" i="1"/>
  <c r="I38" i="1" s="1"/>
  <c r="J37" i="1"/>
  <c r="I37" i="1" s="1"/>
  <c r="J36" i="1"/>
  <c r="I36" i="1" s="1"/>
  <c r="J33" i="1"/>
  <c r="I33" i="1" s="1"/>
  <c r="G33" i="1" s="1"/>
  <c r="J32" i="1"/>
  <c r="I32" i="1" s="1"/>
  <c r="J31" i="1"/>
  <c r="I31" i="1" s="1"/>
  <c r="J30" i="1"/>
  <c r="I30" i="1" s="1"/>
  <c r="J29" i="1"/>
  <c r="I29" i="1" s="1"/>
  <c r="J28" i="1"/>
  <c r="I28" i="1" s="1"/>
  <c r="J15" i="1"/>
  <c r="I15" i="1" s="1"/>
  <c r="J16" i="1"/>
  <c r="J17" i="1"/>
  <c r="I17" i="1" s="1"/>
  <c r="J18" i="1"/>
  <c r="I18" i="1" s="1"/>
  <c r="J19" i="1"/>
  <c r="I19" i="1" s="1"/>
  <c r="J20" i="1"/>
  <c r="I20" i="1" s="1"/>
  <c r="J21" i="1"/>
  <c r="J22" i="1"/>
  <c r="J23" i="1"/>
  <c r="J24" i="1"/>
  <c r="J25" i="1"/>
  <c r="I25" i="1" s="1"/>
  <c r="J14" i="1"/>
  <c r="I14" i="1" s="1"/>
  <c r="V255" i="1"/>
  <c r="V259" i="1" s="1"/>
  <c r="U255" i="1"/>
  <c r="U259" i="1" s="1"/>
  <c r="T255" i="1"/>
  <c r="T259" i="1" s="1"/>
  <c r="S255" i="1"/>
  <c r="S259" i="1" s="1"/>
  <c r="R255" i="1"/>
  <c r="R259" i="1" s="1"/>
  <c r="Q255" i="1"/>
  <c r="Q259" i="1" s="1"/>
  <c r="P255" i="1"/>
  <c r="P259" i="1" s="1"/>
  <c r="O255" i="1"/>
  <c r="O259" i="1" s="1"/>
  <c r="N255" i="1"/>
  <c r="N259" i="1" s="1"/>
  <c r="M255" i="1"/>
  <c r="M259" i="1" s="1"/>
  <c r="L255" i="1"/>
  <c r="L259" i="1" s="1"/>
  <c r="K255" i="1"/>
  <c r="K259" i="1" s="1"/>
  <c r="V229" i="1"/>
  <c r="U229" i="1"/>
  <c r="T229" i="1"/>
  <c r="S229" i="1"/>
  <c r="R229" i="1"/>
  <c r="Q229" i="1"/>
  <c r="P229" i="1"/>
  <c r="O229" i="1"/>
  <c r="N229" i="1"/>
  <c r="M229" i="1"/>
  <c r="L229" i="1"/>
  <c r="K229" i="1"/>
  <c r="V134" i="1"/>
  <c r="U134" i="1"/>
  <c r="T134" i="1"/>
  <c r="S134" i="1"/>
  <c r="R134" i="1"/>
  <c r="Q134" i="1"/>
  <c r="P134" i="1"/>
  <c r="O134" i="1"/>
  <c r="N134" i="1"/>
  <c r="M134" i="1"/>
  <c r="L134" i="1"/>
  <c r="K134" i="1"/>
  <c r="V97" i="1"/>
  <c r="U97" i="1"/>
  <c r="T97" i="1"/>
  <c r="S97" i="1"/>
  <c r="R97" i="1"/>
  <c r="Q97" i="1"/>
  <c r="P97" i="1"/>
  <c r="O97" i="1"/>
  <c r="N97" i="1"/>
  <c r="M97" i="1"/>
  <c r="L97" i="1"/>
  <c r="K97" i="1"/>
  <c r="V89" i="1"/>
  <c r="U89" i="1"/>
  <c r="T89" i="1"/>
  <c r="S89" i="1"/>
  <c r="R89" i="1"/>
  <c r="Q89" i="1"/>
  <c r="P89" i="1"/>
  <c r="O89" i="1"/>
  <c r="M89" i="1"/>
  <c r="L89" i="1"/>
  <c r="K89" i="1"/>
  <c r="V72" i="1"/>
  <c r="U72" i="1"/>
  <c r="T72" i="1"/>
  <c r="S72" i="1"/>
  <c r="R72" i="1"/>
  <c r="Q72" i="1"/>
  <c r="P72" i="1"/>
  <c r="O72" i="1"/>
  <c r="N72" i="1"/>
  <c r="M72" i="1"/>
  <c r="L72" i="1"/>
  <c r="K72" i="1"/>
  <c r="V61" i="1"/>
  <c r="U61" i="1"/>
  <c r="T61" i="1"/>
  <c r="S61" i="1"/>
  <c r="R61" i="1"/>
  <c r="Q61" i="1"/>
  <c r="P61" i="1"/>
  <c r="O61" i="1"/>
  <c r="N61" i="1"/>
  <c r="M61" i="1"/>
  <c r="L61" i="1"/>
  <c r="K61" i="1"/>
  <c r="V35" i="1"/>
  <c r="U35" i="1"/>
  <c r="T35" i="1"/>
  <c r="S35" i="1"/>
  <c r="R35" i="1"/>
  <c r="Q35" i="1"/>
  <c r="P35" i="1"/>
  <c r="O35" i="1"/>
  <c r="N35" i="1"/>
  <c r="M35" i="1"/>
  <c r="L35" i="1"/>
  <c r="K35" i="1"/>
  <c r="V27" i="1"/>
  <c r="U27" i="1"/>
  <c r="T27" i="1"/>
  <c r="S27" i="1"/>
  <c r="R27" i="1"/>
  <c r="Q27" i="1"/>
  <c r="P27" i="1"/>
  <c r="O27" i="1"/>
  <c r="N27" i="1"/>
  <c r="M27" i="1"/>
  <c r="L27" i="1"/>
  <c r="K27" i="1"/>
  <c r="V12" i="1"/>
  <c r="U12" i="1"/>
  <c r="T12" i="1"/>
  <c r="S12" i="1"/>
  <c r="R12" i="1"/>
  <c r="Q12" i="1"/>
  <c r="P12" i="1"/>
  <c r="O12" i="1"/>
  <c r="N12" i="1"/>
  <c r="M12" i="1"/>
  <c r="L12" i="1"/>
  <c r="K12" i="1"/>
  <c r="I140" i="4"/>
  <c r="AH255" i="1" l="1"/>
  <c r="BA255" i="1"/>
  <c r="BE260" i="1"/>
  <c r="BI260" i="1"/>
  <c r="BF260" i="1"/>
  <c r="BJ260" i="1"/>
  <c r="G245" i="1"/>
  <c r="AT255" i="1"/>
  <c r="AT259" i="1" s="1"/>
  <c r="BK257" i="1"/>
  <c r="G13" i="1"/>
  <c r="AV257" i="1"/>
  <c r="AH229" i="1"/>
  <c r="BC260" i="1"/>
  <c r="BG258" i="1"/>
  <c r="G243" i="1"/>
  <c r="G247" i="1"/>
  <c r="BD260" i="1"/>
  <c r="BH260" i="1"/>
  <c r="G249" i="1"/>
  <c r="G230" i="1"/>
  <c r="G244" i="1"/>
  <c r="Y229" i="1"/>
  <c r="G242" i="1"/>
  <c r="G246" i="1"/>
  <c r="G250" i="1"/>
  <c r="X229" i="1"/>
  <c r="G251" i="1"/>
  <c r="G248" i="1"/>
  <c r="G237" i="1"/>
  <c r="G208" i="1"/>
  <c r="G221" i="1"/>
  <c r="G211" i="1"/>
  <c r="G233" i="1"/>
  <c r="G239" i="1"/>
  <c r="G232" i="1"/>
  <c r="G234" i="1"/>
  <c r="G236" i="1"/>
  <c r="G238" i="1"/>
  <c r="BA229" i="1"/>
  <c r="G235" i="1"/>
  <c r="AT229" i="1"/>
  <c r="G241" i="1"/>
  <c r="AS255" i="1"/>
  <c r="AS229" i="1"/>
  <c r="G143" i="1"/>
  <c r="G164" i="1"/>
  <c r="G172" i="1"/>
  <c r="AH35" i="1"/>
  <c r="G191" i="1"/>
  <c r="G231" i="1"/>
  <c r="I229" i="1"/>
  <c r="J229" i="1"/>
  <c r="G25" i="1"/>
  <c r="G150" i="1"/>
  <c r="G160" i="1"/>
  <c r="G190" i="1"/>
  <c r="G197" i="1"/>
  <c r="AH61" i="1"/>
  <c r="G17" i="1"/>
  <c r="G184" i="1"/>
  <c r="AH72" i="1"/>
  <c r="G92" i="1"/>
  <c r="G170" i="1"/>
  <c r="G181" i="1"/>
  <c r="AH27" i="1"/>
  <c r="AH89" i="1"/>
  <c r="BA27" i="1"/>
  <c r="BB260" i="1"/>
  <c r="AZ27" i="1"/>
  <c r="G19" i="1"/>
  <c r="G176" i="1"/>
  <c r="G194" i="1"/>
  <c r="AG35" i="1"/>
  <c r="G18" i="1"/>
  <c r="G30" i="1"/>
  <c r="G78" i="1"/>
  <c r="G83" i="1"/>
  <c r="G94" i="1"/>
  <c r="G106" i="1"/>
  <c r="G122" i="1"/>
  <c r="G148" i="1"/>
  <c r="G151" i="1"/>
  <c r="G165" i="1"/>
  <c r="G168" i="1"/>
  <c r="G188" i="1"/>
  <c r="G206" i="1"/>
  <c r="G209" i="1"/>
  <c r="G213" i="1"/>
  <c r="G14" i="1"/>
  <c r="BA12" i="1"/>
  <c r="G205" i="1"/>
  <c r="G40" i="1"/>
  <c r="G44" i="1"/>
  <c r="G48" i="1"/>
  <c r="G79" i="1"/>
  <c r="G95" i="1"/>
  <c r="G110" i="1"/>
  <c r="G126" i="1"/>
  <c r="G146" i="1"/>
  <c r="G149" i="1"/>
  <c r="G152" i="1"/>
  <c r="G158" i="1"/>
  <c r="G166" i="1"/>
  <c r="G169" i="1"/>
  <c r="G173" i="1"/>
  <c r="G178" i="1"/>
  <c r="G186" i="1"/>
  <c r="G189" i="1"/>
  <c r="G192" i="1"/>
  <c r="G195" i="1"/>
  <c r="G202" i="1"/>
  <c r="G207" i="1"/>
  <c r="G210" i="1"/>
  <c r="G214" i="1"/>
  <c r="G217" i="1"/>
  <c r="Y27" i="1"/>
  <c r="AS89" i="1"/>
  <c r="G157" i="1"/>
  <c r="G200" i="1"/>
  <c r="G41" i="1"/>
  <c r="G50" i="1"/>
  <c r="G80" i="1"/>
  <c r="G114" i="1"/>
  <c r="G135" i="1"/>
  <c r="G138" i="1"/>
  <c r="G141" i="1"/>
  <c r="G159" i="1"/>
  <c r="G163" i="1"/>
  <c r="G175" i="1"/>
  <c r="G180" i="1"/>
  <c r="G183" i="1"/>
  <c r="G193" i="1"/>
  <c r="G196" i="1"/>
  <c r="G199" i="1"/>
  <c r="G215" i="1"/>
  <c r="G218" i="1"/>
  <c r="AG91" i="1"/>
  <c r="AG89" i="1" s="1"/>
  <c r="BA35" i="1"/>
  <c r="AZ61" i="1"/>
  <c r="J255" i="1"/>
  <c r="J259" i="1" s="1"/>
  <c r="G77" i="1"/>
  <c r="G82" i="1"/>
  <c r="G102" i="1"/>
  <c r="G118" i="1"/>
  <c r="G142" i="1"/>
  <c r="X61" i="1"/>
  <c r="X97" i="1"/>
  <c r="I89" i="1"/>
  <c r="G37" i="1"/>
  <c r="G101" i="1"/>
  <c r="G117" i="1"/>
  <c r="G136" i="1"/>
  <c r="AZ75" i="1"/>
  <c r="AZ72" i="1" s="1"/>
  <c r="BA72" i="1"/>
  <c r="G20" i="1"/>
  <c r="G38" i="1"/>
  <c r="G42" i="1"/>
  <c r="G46" i="1"/>
  <c r="G51" i="1"/>
  <c r="G65" i="1"/>
  <c r="G69" i="1"/>
  <c r="I97" i="1"/>
  <c r="G99" i="1"/>
  <c r="G107" i="1"/>
  <c r="G115" i="1"/>
  <c r="G123" i="1"/>
  <c r="G139" i="1"/>
  <c r="AH134" i="1"/>
  <c r="AH12" i="1"/>
  <c r="AT89" i="1"/>
  <c r="AS98" i="1"/>
  <c r="AS97" i="1" s="1"/>
  <c r="AT97" i="1"/>
  <c r="AS137" i="1"/>
  <c r="AS134" i="1" s="1"/>
  <c r="AT134" i="1"/>
  <c r="G32" i="1"/>
  <c r="G45" i="1"/>
  <c r="G64" i="1"/>
  <c r="G109" i="1"/>
  <c r="G120" i="1"/>
  <c r="G129" i="1"/>
  <c r="G39" i="1"/>
  <c r="G43" i="1"/>
  <c r="G47" i="1"/>
  <c r="G62" i="1"/>
  <c r="G66" i="1"/>
  <c r="G73" i="1"/>
  <c r="G105" i="1"/>
  <c r="G108" i="1"/>
  <c r="G113" i="1"/>
  <c r="G116" i="1"/>
  <c r="G121" i="1"/>
  <c r="G124" i="1"/>
  <c r="G130" i="1"/>
  <c r="G140" i="1"/>
  <c r="G147" i="1"/>
  <c r="G162" i="1"/>
  <c r="G167" i="1"/>
  <c r="G182" i="1"/>
  <c r="G187" i="1"/>
  <c r="G198" i="1"/>
  <c r="G204" i="1"/>
  <c r="G216" i="1"/>
  <c r="G223" i="1"/>
  <c r="Y35" i="1"/>
  <c r="Y61" i="1"/>
  <c r="Y97" i="1"/>
  <c r="AG100" i="1"/>
  <c r="G100" i="1" s="1"/>
  <c r="AH97" i="1"/>
  <c r="AZ90" i="1"/>
  <c r="G90" i="1" s="1"/>
  <c r="BA89" i="1"/>
  <c r="G29" i="1"/>
  <c r="G68" i="1"/>
  <c r="G104" i="1"/>
  <c r="G112" i="1"/>
  <c r="G125" i="1"/>
  <c r="J89" i="1"/>
  <c r="J134" i="1"/>
  <c r="J12" i="1"/>
  <c r="G31" i="1"/>
  <c r="G63" i="1"/>
  <c r="G67" i="1"/>
  <c r="G103" i="1"/>
  <c r="G111" i="1"/>
  <c r="G119" i="1"/>
  <c r="G127" i="1"/>
  <c r="G153" i="1"/>
  <c r="G185" i="1"/>
  <c r="G201" i="1"/>
  <c r="G220" i="1"/>
  <c r="X28" i="1"/>
  <c r="X27" i="1" s="1"/>
  <c r="Y134" i="1"/>
  <c r="AS36" i="1"/>
  <c r="G36" i="1" s="1"/>
  <c r="AT35" i="1"/>
  <c r="AS74" i="1"/>
  <c r="G74" i="1" s="1"/>
  <c r="AT72" i="1"/>
  <c r="AZ97" i="1"/>
  <c r="AT12" i="1"/>
  <c r="AZ134" i="1"/>
  <c r="AG27" i="1"/>
  <c r="AG61" i="1"/>
  <c r="AG72" i="1"/>
  <c r="AZ35" i="1"/>
  <c r="BA97" i="1"/>
  <c r="G76" i="1"/>
  <c r="I72" i="1"/>
  <c r="J72" i="1"/>
  <c r="AZ229" i="1"/>
  <c r="BA134" i="1"/>
  <c r="BA61" i="1"/>
  <c r="BA259" i="1"/>
  <c r="AZ12" i="1"/>
  <c r="BG260" i="1"/>
  <c r="BD257" i="1"/>
  <c r="BH257" i="1"/>
  <c r="BD258" i="1"/>
  <c r="BH258" i="1"/>
  <c r="BG257" i="1"/>
  <c r="BC258" i="1"/>
  <c r="BK258" i="1"/>
  <c r="BK260" i="1"/>
  <c r="BE257" i="1"/>
  <c r="BI257" i="1"/>
  <c r="BE258" i="1"/>
  <c r="BI258" i="1"/>
  <c r="BC257" i="1"/>
  <c r="BB257" i="1"/>
  <c r="BF257" i="1"/>
  <c r="BJ257" i="1"/>
  <c r="BB258" i="1"/>
  <c r="BF258" i="1"/>
  <c r="BJ258" i="1"/>
  <c r="AJ257" i="1"/>
  <c r="AN257" i="1"/>
  <c r="AW260" i="1"/>
  <c r="AX260" i="1"/>
  <c r="AL260" i="1"/>
  <c r="AP260" i="1"/>
  <c r="AU260" i="1"/>
  <c r="AS61" i="1"/>
  <c r="AT61" i="1"/>
  <c r="AT27" i="1"/>
  <c r="AS27" i="1"/>
  <c r="AS12" i="1"/>
  <c r="AW257" i="1"/>
  <c r="AU258" i="1"/>
  <c r="AX257" i="1"/>
  <c r="AV258" i="1"/>
  <c r="AV260" i="1"/>
  <c r="AW258" i="1"/>
  <c r="AX258" i="1"/>
  <c r="Z260" i="1"/>
  <c r="AD260" i="1"/>
  <c r="AI257" i="1"/>
  <c r="AM257" i="1"/>
  <c r="N260" i="1"/>
  <c r="R260" i="1"/>
  <c r="V260" i="1"/>
  <c r="AI260" i="1"/>
  <c r="AM258" i="1"/>
  <c r="AK260" i="1"/>
  <c r="AO257" i="1"/>
  <c r="AG229" i="1"/>
  <c r="AG134" i="1"/>
  <c r="AH259" i="1"/>
  <c r="AG15" i="1"/>
  <c r="AG12" i="1" s="1"/>
  <c r="AM260" i="1"/>
  <c r="AL257" i="1"/>
  <c r="AP257" i="1"/>
  <c r="AJ258" i="1"/>
  <c r="AN258" i="1"/>
  <c r="AJ260" i="1"/>
  <c r="AN260" i="1"/>
  <c r="AK257" i="1"/>
  <c r="AI258" i="1"/>
  <c r="AK258" i="1"/>
  <c r="AO258" i="1"/>
  <c r="AO260" i="1"/>
  <c r="AL258" i="1"/>
  <c r="AP258" i="1"/>
  <c r="AA260" i="1"/>
  <c r="AE260" i="1"/>
  <c r="T257" i="1"/>
  <c r="AB260" i="1"/>
  <c r="L257" i="1"/>
  <c r="P257" i="1"/>
  <c r="AC260" i="1"/>
  <c r="X134" i="1"/>
  <c r="X89" i="1"/>
  <c r="Y89" i="1"/>
  <c r="X72" i="1"/>
  <c r="Y72" i="1"/>
  <c r="X35" i="1"/>
  <c r="Y12" i="1"/>
  <c r="Y259" i="1"/>
  <c r="X12" i="1"/>
  <c r="AC257" i="1"/>
  <c r="AC258" i="1"/>
  <c r="AD258" i="1"/>
  <c r="AB257" i="1"/>
  <c r="AB258" i="1"/>
  <c r="Z257" i="1"/>
  <c r="AD257" i="1"/>
  <c r="Z258" i="1"/>
  <c r="AA257" i="1"/>
  <c r="AE257" i="1"/>
  <c r="AA258" i="1"/>
  <c r="AE258" i="1"/>
  <c r="K257" i="1"/>
  <c r="O257" i="1"/>
  <c r="S257" i="1"/>
  <c r="K260" i="1"/>
  <c r="O260" i="1"/>
  <c r="S260" i="1"/>
  <c r="J35" i="1"/>
  <c r="I61" i="1"/>
  <c r="M260" i="1"/>
  <c r="Q260" i="1"/>
  <c r="U260" i="1"/>
  <c r="I134" i="1"/>
  <c r="J97" i="1"/>
  <c r="J61" i="1"/>
  <c r="I35" i="1"/>
  <c r="I27" i="1"/>
  <c r="J27" i="1"/>
  <c r="I16" i="1"/>
  <c r="G16" i="1" s="1"/>
  <c r="Q257" i="1"/>
  <c r="U257" i="1"/>
  <c r="O258" i="1"/>
  <c r="N257" i="1"/>
  <c r="R257" i="1"/>
  <c r="V257" i="1"/>
  <c r="L258" i="1"/>
  <c r="P258" i="1"/>
  <c r="T258" i="1"/>
  <c r="L260" i="1"/>
  <c r="P260" i="1"/>
  <c r="T260" i="1"/>
  <c r="M257" i="1"/>
  <c r="K258" i="1"/>
  <c r="S258" i="1"/>
  <c r="M258" i="1"/>
  <c r="Q258" i="1"/>
  <c r="U258" i="1"/>
  <c r="N258" i="1"/>
  <c r="R258" i="1"/>
  <c r="V258" i="1"/>
  <c r="AI121" i="4"/>
  <c r="AZ89" i="1" l="1"/>
  <c r="AZ257" i="1" s="1"/>
  <c r="G137" i="1"/>
  <c r="G75" i="1"/>
  <c r="G72" i="1" s="1"/>
  <c r="G229" i="1"/>
  <c r="Y257" i="1"/>
  <c r="G91" i="1"/>
  <c r="G89" i="1" s="1"/>
  <c r="BA258" i="1"/>
  <c r="G98" i="1"/>
  <c r="G97" i="1" s="1"/>
  <c r="BA260" i="1"/>
  <c r="AH260" i="1"/>
  <c r="AT260" i="1"/>
  <c r="AG97" i="1"/>
  <c r="AG258" i="1" s="1"/>
  <c r="AH257" i="1"/>
  <c r="G35" i="1"/>
  <c r="J258" i="1"/>
  <c r="AH258" i="1"/>
  <c r="AG259" i="1"/>
  <c r="G134" i="1"/>
  <c r="BA257" i="1"/>
  <c r="G15" i="1"/>
  <c r="AS72" i="1"/>
  <c r="G61" i="1"/>
  <c r="G28" i="1"/>
  <c r="G27" i="1" s="1"/>
  <c r="Y258" i="1"/>
  <c r="AT258" i="1"/>
  <c r="AT257" i="1"/>
  <c r="Y260" i="1"/>
  <c r="X257" i="1"/>
  <c r="J257" i="1"/>
  <c r="J260" i="1"/>
  <c r="V174" i="4"/>
  <c r="U174" i="4" s="1"/>
  <c r="V173" i="4"/>
  <c r="U173" i="4" s="1"/>
  <c r="V168" i="4"/>
  <c r="U168" i="4" s="1"/>
  <c r="V167" i="4"/>
  <c r="V161" i="4"/>
  <c r="U161" i="4" s="1"/>
  <c r="V160" i="4"/>
  <c r="U160" i="4" s="1"/>
  <c r="V159" i="4"/>
  <c r="U159" i="4" s="1"/>
  <c r="V158" i="4"/>
  <c r="U158" i="4" s="1"/>
  <c r="V157" i="4"/>
  <c r="U157" i="4" s="1"/>
  <c r="V156" i="4"/>
  <c r="U156" i="4" s="1"/>
  <c r="V154" i="4"/>
  <c r="U154" i="4" s="1"/>
  <c r="V153" i="4"/>
  <c r="U153" i="4" s="1"/>
  <c r="V152" i="4"/>
  <c r="U152" i="4" s="1"/>
  <c r="V151" i="4"/>
  <c r="U151" i="4" s="1"/>
  <c r="V150" i="4"/>
  <c r="U150" i="4" s="1"/>
  <c r="V148" i="4"/>
  <c r="U148" i="4" s="1"/>
  <c r="V147" i="4"/>
  <c r="U147" i="4" s="1"/>
  <c r="V146" i="4"/>
  <c r="U146" i="4" s="1"/>
  <c r="V145" i="4"/>
  <c r="U145" i="4" s="1"/>
  <c r="V143" i="4"/>
  <c r="U143" i="4" s="1"/>
  <c r="V142" i="4"/>
  <c r="U142" i="4" s="1"/>
  <c r="V141" i="4"/>
  <c r="U141" i="4" s="1"/>
  <c r="V138" i="4"/>
  <c r="U138" i="4" s="1"/>
  <c r="V137" i="4"/>
  <c r="U137" i="4" s="1"/>
  <c r="V136" i="4"/>
  <c r="U136" i="4" s="1"/>
  <c r="V135" i="4"/>
  <c r="U135" i="4" s="1"/>
  <c r="V134" i="4"/>
  <c r="U134" i="4" s="1"/>
  <c r="V133" i="4"/>
  <c r="U133" i="4" s="1"/>
  <c r="V132" i="4"/>
  <c r="U132" i="4" s="1"/>
  <c r="V131" i="4"/>
  <c r="U131" i="4" s="1"/>
  <c r="V130" i="4"/>
  <c r="U130" i="4" s="1"/>
  <c r="V129" i="4"/>
  <c r="U129" i="4" s="1"/>
  <c r="V128" i="4"/>
  <c r="U128" i="4" s="1"/>
  <c r="V127" i="4"/>
  <c r="U127" i="4" s="1"/>
  <c r="V126" i="4"/>
  <c r="U126" i="4" s="1"/>
  <c r="V125" i="4"/>
  <c r="U125" i="4" s="1"/>
  <c r="V124" i="4"/>
  <c r="U124" i="4" s="1"/>
  <c r="V123" i="4"/>
  <c r="U123" i="4" s="1"/>
  <c r="V120" i="4"/>
  <c r="U120" i="4" s="1"/>
  <c r="V119" i="4"/>
  <c r="U119" i="4" s="1"/>
  <c r="V118" i="4"/>
  <c r="U118" i="4" s="1"/>
  <c r="V110" i="4"/>
  <c r="V109" i="4"/>
  <c r="U109" i="4" s="1"/>
  <c r="V106" i="4"/>
  <c r="U106" i="4" s="1"/>
  <c r="V105" i="4"/>
  <c r="U105" i="4" s="1"/>
  <c r="V104" i="4"/>
  <c r="U104" i="4" s="1"/>
  <c r="V102" i="4"/>
  <c r="U102" i="4" s="1"/>
  <c r="V101" i="4"/>
  <c r="U101" i="4" s="1"/>
  <c r="V99" i="4"/>
  <c r="U99" i="4" s="1"/>
  <c r="V97" i="4"/>
  <c r="U97" i="4" s="1"/>
  <c r="V96" i="4"/>
  <c r="U96" i="4" s="1"/>
  <c r="V95" i="4"/>
  <c r="U95" i="4" s="1"/>
  <c r="V92" i="4"/>
  <c r="U92" i="4" s="1"/>
  <c r="V91" i="4"/>
  <c r="U91" i="4" s="1"/>
  <c r="V88" i="4"/>
  <c r="V86" i="4"/>
  <c r="V84" i="4"/>
  <c r="U84" i="4" s="1"/>
  <c r="V82" i="4"/>
  <c r="U82" i="4" s="1"/>
  <c r="V81" i="4"/>
  <c r="U81" i="4" s="1"/>
  <c r="V80" i="4"/>
  <c r="U80" i="4" s="1"/>
  <c r="V75" i="4"/>
  <c r="U75" i="4" s="1"/>
  <c r="V74" i="4"/>
  <c r="U74" i="4" s="1"/>
  <c r="V73" i="4"/>
  <c r="U73" i="4" s="1"/>
  <c r="V71" i="4"/>
  <c r="U71" i="4" s="1"/>
  <c r="V70" i="4"/>
  <c r="U70" i="4" s="1"/>
  <c r="V69" i="4"/>
  <c r="U69" i="4" s="1"/>
  <c r="V67" i="4"/>
  <c r="U67" i="4" s="1"/>
  <c r="V65" i="4"/>
  <c r="U65" i="4" s="1"/>
  <c r="V64" i="4"/>
  <c r="U64" i="4" s="1"/>
  <c r="V62" i="4"/>
  <c r="U62" i="4" s="1"/>
  <c r="V59" i="4"/>
  <c r="U59" i="4" s="1"/>
  <c r="V56" i="4"/>
  <c r="U56" i="4" s="1"/>
  <c r="V55" i="4"/>
  <c r="U55" i="4" s="1"/>
  <c r="V52" i="4"/>
  <c r="U52" i="4" s="1"/>
  <c r="V51" i="4"/>
  <c r="U51" i="4" s="1"/>
  <c r="V50" i="4"/>
  <c r="U50" i="4" s="1"/>
  <c r="V49" i="4"/>
  <c r="U49" i="4" s="1"/>
  <c r="V48" i="4"/>
  <c r="U48" i="4" s="1"/>
  <c r="V47" i="4"/>
  <c r="U47" i="4" s="1"/>
  <c r="V45" i="4"/>
  <c r="U45" i="4" s="1"/>
  <c r="V44" i="4"/>
  <c r="U44" i="4" s="1"/>
  <c r="V40" i="4"/>
  <c r="U40" i="4" s="1"/>
  <c r="V38" i="4"/>
  <c r="U38" i="4" s="1"/>
  <c r="V35" i="4"/>
  <c r="U35" i="4" s="1"/>
  <c r="V32" i="4"/>
  <c r="U32" i="4" s="1"/>
  <c r="V29" i="4"/>
  <c r="U29" i="4" s="1"/>
  <c r="V26" i="4"/>
  <c r="U26" i="4" s="1"/>
  <c r="V25" i="4"/>
  <c r="U25" i="4" s="1"/>
  <c r="V23" i="4"/>
  <c r="U23" i="4" s="1"/>
  <c r="V22" i="4"/>
  <c r="U22" i="4" s="1"/>
  <c r="V20" i="4"/>
  <c r="U20" i="4" s="1"/>
  <c r="V19" i="4"/>
  <c r="U19" i="4" s="1"/>
  <c r="V15" i="4"/>
  <c r="U15" i="4" s="1"/>
  <c r="V14" i="4"/>
  <c r="U14" i="4" s="1"/>
  <c r="AG172" i="4"/>
  <c r="AG171" i="4" s="1"/>
  <c r="AF172" i="4"/>
  <c r="AF171" i="4" s="1"/>
  <c r="AE172" i="4"/>
  <c r="AE171" i="4" s="1"/>
  <c r="AD172" i="4"/>
  <c r="AD171" i="4" s="1"/>
  <c r="AC172" i="4"/>
  <c r="AC171" i="4" s="1"/>
  <c r="AB172" i="4"/>
  <c r="AB171" i="4" s="1"/>
  <c r="AA172" i="4"/>
  <c r="AA171" i="4" s="1"/>
  <c r="Z172" i="4"/>
  <c r="Z171" i="4" s="1"/>
  <c r="Y172" i="4"/>
  <c r="Y171" i="4" s="1"/>
  <c r="X172" i="4"/>
  <c r="X171" i="4" s="1"/>
  <c r="W172" i="4"/>
  <c r="W171" i="4" s="1"/>
  <c r="AG166" i="4"/>
  <c r="AF166" i="4"/>
  <c r="AE166" i="4"/>
  <c r="AD166" i="4"/>
  <c r="AC166" i="4"/>
  <c r="AB166" i="4"/>
  <c r="AA166" i="4"/>
  <c r="Z166" i="4"/>
  <c r="Y166" i="4"/>
  <c r="X166" i="4"/>
  <c r="W166" i="4"/>
  <c r="AG140" i="4"/>
  <c r="AF140" i="4"/>
  <c r="AE140" i="4"/>
  <c r="AD140" i="4"/>
  <c r="AC140" i="4"/>
  <c r="AB140" i="4"/>
  <c r="AA140" i="4"/>
  <c r="Z140" i="4"/>
  <c r="Y140" i="4"/>
  <c r="X140" i="4"/>
  <c r="W140" i="4"/>
  <c r="AG122" i="4"/>
  <c r="AF122" i="4"/>
  <c r="AE122" i="4"/>
  <c r="AD122" i="4"/>
  <c r="AC122" i="4"/>
  <c r="AB122" i="4"/>
  <c r="AA122" i="4"/>
  <c r="Z122" i="4"/>
  <c r="Y122" i="4"/>
  <c r="X122" i="4"/>
  <c r="W122" i="4"/>
  <c r="AG116" i="4"/>
  <c r="AF116" i="4"/>
  <c r="AE116" i="4"/>
  <c r="AD116" i="4"/>
  <c r="AC116" i="4"/>
  <c r="AB116" i="4"/>
  <c r="AA116" i="4"/>
  <c r="Z116" i="4"/>
  <c r="Y116" i="4"/>
  <c r="X116" i="4"/>
  <c r="W116" i="4"/>
  <c r="AG108" i="4"/>
  <c r="AG107" i="4" s="1"/>
  <c r="AF108" i="4"/>
  <c r="AF107" i="4" s="1"/>
  <c r="AE108" i="4"/>
  <c r="AE107" i="4" s="1"/>
  <c r="AD108" i="4"/>
  <c r="AD107" i="4" s="1"/>
  <c r="AC108" i="4"/>
  <c r="AC107" i="4" s="1"/>
  <c r="AB108" i="4"/>
  <c r="AB107" i="4" s="1"/>
  <c r="AA108" i="4"/>
  <c r="AA107" i="4" s="1"/>
  <c r="Z108" i="4"/>
  <c r="Z107" i="4" s="1"/>
  <c r="Y108" i="4"/>
  <c r="Y107" i="4" s="1"/>
  <c r="X108" i="4"/>
  <c r="X107" i="4" s="1"/>
  <c r="W108" i="4"/>
  <c r="W107" i="4" s="1"/>
  <c r="AG103" i="4"/>
  <c r="AF103" i="4"/>
  <c r="AE103" i="4"/>
  <c r="AD103" i="4"/>
  <c r="AC103" i="4"/>
  <c r="AB103" i="4"/>
  <c r="AA103" i="4"/>
  <c r="Z103" i="4"/>
  <c r="Y103" i="4"/>
  <c r="X103" i="4"/>
  <c r="W103" i="4"/>
  <c r="AG100" i="4"/>
  <c r="AF100" i="4"/>
  <c r="AE100" i="4"/>
  <c r="AD100" i="4"/>
  <c r="AC100" i="4"/>
  <c r="AB100" i="4"/>
  <c r="AA100" i="4"/>
  <c r="Z100" i="4"/>
  <c r="Y100" i="4"/>
  <c r="X100" i="4"/>
  <c r="W100" i="4"/>
  <c r="AG98" i="4"/>
  <c r="AF98" i="4"/>
  <c r="AE98" i="4"/>
  <c r="AD98" i="4"/>
  <c r="AC98" i="4"/>
  <c r="AB98" i="4"/>
  <c r="AA98" i="4"/>
  <c r="Z98" i="4"/>
  <c r="Y98" i="4"/>
  <c r="X98" i="4"/>
  <c r="W98" i="4"/>
  <c r="AG94" i="4"/>
  <c r="AF94" i="4"/>
  <c r="AE94" i="4"/>
  <c r="AD94" i="4"/>
  <c r="AC94" i="4"/>
  <c r="AB94" i="4"/>
  <c r="AA94" i="4"/>
  <c r="Z94" i="4"/>
  <c r="Y94" i="4"/>
  <c r="X94" i="4"/>
  <c r="W94" i="4"/>
  <c r="AG90" i="4"/>
  <c r="AF90" i="4"/>
  <c r="AE90" i="4"/>
  <c r="AD90" i="4"/>
  <c r="AC90" i="4"/>
  <c r="AB90" i="4"/>
  <c r="AA90" i="4"/>
  <c r="Z90" i="4"/>
  <c r="Y90" i="4"/>
  <c r="X90" i="4"/>
  <c r="W90" i="4"/>
  <c r="AG83" i="4"/>
  <c r="AF83" i="4"/>
  <c r="AE83" i="4"/>
  <c r="AD83" i="4"/>
  <c r="AC83" i="4"/>
  <c r="AB83" i="4"/>
  <c r="AA83" i="4"/>
  <c r="Z83" i="4"/>
  <c r="Y83" i="4"/>
  <c r="X83" i="4"/>
  <c r="W83" i="4"/>
  <c r="AG79" i="4"/>
  <c r="AG78" i="4" s="1"/>
  <c r="AF79" i="4"/>
  <c r="AF78" i="4" s="1"/>
  <c r="AE79" i="4"/>
  <c r="AE78" i="4" s="1"/>
  <c r="AD79" i="4"/>
  <c r="AD78" i="4" s="1"/>
  <c r="AC79" i="4"/>
  <c r="AC78" i="4" s="1"/>
  <c r="AB79" i="4"/>
  <c r="AB78" i="4" s="1"/>
  <c r="AA79" i="4"/>
  <c r="AA78" i="4" s="1"/>
  <c r="Z79" i="4"/>
  <c r="Z78" i="4" s="1"/>
  <c r="Y79" i="4"/>
  <c r="Y78" i="4" s="1"/>
  <c r="X79" i="4"/>
  <c r="X78" i="4" s="1"/>
  <c r="W79" i="4"/>
  <c r="W78" i="4" s="1"/>
  <c r="AG72" i="4"/>
  <c r="AF72" i="4"/>
  <c r="AE72" i="4"/>
  <c r="AD72" i="4"/>
  <c r="AC72" i="4"/>
  <c r="AB72" i="4"/>
  <c r="AA72" i="4"/>
  <c r="Z72" i="4"/>
  <c r="Y72" i="4"/>
  <c r="X72" i="4"/>
  <c r="W72" i="4"/>
  <c r="AG68" i="4"/>
  <c r="AF68" i="4"/>
  <c r="AE68" i="4"/>
  <c r="AD68" i="4"/>
  <c r="AC68" i="4"/>
  <c r="AB68" i="4"/>
  <c r="AA68" i="4"/>
  <c r="Z68" i="4"/>
  <c r="Y68" i="4"/>
  <c r="X68" i="4"/>
  <c r="W68" i="4"/>
  <c r="AG63" i="4"/>
  <c r="AF63" i="4"/>
  <c r="AE63" i="4"/>
  <c r="AD63" i="4"/>
  <c r="AC63" i="4"/>
  <c r="AB63" i="4"/>
  <c r="AA63" i="4"/>
  <c r="Z63" i="4"/>
  <c r="Y63" i="4"/>
  <c r="X63" i="4"/>
  <c r="W63" i="4"/>
  <c r="AG61" i="4"/>
  <c r="AF61" i="4"/>
  <c r="AE61" i="4"/>
  <c r="AD61" i="4"/>
  <c r="AC61" i="4"/>
  <c r="AB61" i="4"/>
  <c r="AA61" i="4"/>
  <c r="Z61" i="4"/>
  <c r="Y61" i="4"/>
  <c r="X61" i="4"/>
  <c r="W61" i="4"/>
  <c r="AG58" i="4"/>
  <c r="AF58" i="4"/>
  <c r="AE58" i="4"/>
  <c r="AD58" i="4"/>
  <c r="AC58" i="4"/>
  <c r="AB58" i="4"/>
  <c r="AA58" i="4"/>
  <c r="Z58" i="4"/>
  <c r="Y58" i="4"/>
  <c r="X58" i="4"/>
  <c r="W58" i="4"/>
  <c r="AG54" i="4"/>
  <c r="AG53" i="4" s="1"/>
  <c r="AF54" i="4"/>
  <c r="AF53" i="4" s="1"/>
  <c r="AE54" i="4"/>
  <c r="AE53" i="4" s="1"/>
  <c r="AD54" i="4"/>
  <c r="AD53" i="4" s="1"/>
  <c r="AC54" i="4"/>
  <c r="AC53" i="4" s="1"/>
  <c r="AB54" i="4"/>
  <c r="AB53" i="4" s="1"/>
  <c r="AA54" i="4"/>
  <c r="AA53" i="4" s="1"/>
  <c r="Z54" i="4"/>
  <c r="Z53" i="4" s="1"/>
  <c r="Y54" i="4"/>
  <c r="Y53" i="4" s="1"/>
  <c r="X54" i="4"/>
  <c r="X53" i="4" s="1"/>
  <c r="W54" i="4"/>
  <c r="W53" i="4" s="1"/>
  <c r="AG46" i="4"/>
  <c r="AF46" i="4"/>
  <c r="AE46" i="4"/>
  <c r="AD46" i="4"/>
  <c r="AC46" i="4"/>
  <c r="AB46" i="4"/>
  <c r="AA46" i="4"/>
  <c r="Z46" i="4"/>
  <c r="Y46" i="4"/>
  <c r="X46" i="4"/>
  <c r="W46" i="4"/>
  <c r="AG43" i="4"/>
  <c r="AF43" i="4"/>
  <c r="AE43" i="4"/>
  <c r="AD43" i="4"/>
  <c r="AC43" i="4"/>
  <c r="AB43" i="4"/>
  <c r="AA43" i="4"/>
  <c r="Z43" i="4"/>
  <c r="Y43" i="4"/>
  <c r="X43" i="4"/>
  <c r="W43" i="4"/>
  <c r="AG39" i="4"/>
  <c r="AF39" i="4"/>
  <c r="AE39" i="4"/>
  <c r="AD39" i="4"/>
  <c r="AC39" i="4"/>
  <c r="AB39" i="4"/>
  <c r="AA39" i="4"/>
  <c r="Z39" i="4"/>
  <c r="Y39" i="4"/>
  <c r="X39" i="4"/>
  <c r="W39" i="4"/>
  <c r="AG37" i="4"/>
  <c r="AF37" i="4"/>
  <c r="AE37" i="4"/>
  <c r="AD37" i="4"/>
  <c r="AC37" i="4"/>
  <c r="AB37" i="4"/>
  <c r="AA37" i="4"/>
  <c r="Z37" i="4"/>
  <c r="Y37" i="4"/>
  <c r="X37" i="4"/>
  <c r="W37" i="4"/>
  <c r="AG34" i="4"/>
  <c r="AF34" i="4"/>
  <c r="AE34" i="4"/>
  <c r="AD34" i="4"/>
  <c r="AC34" i="4"/>
  <c r="AB34" i="4"/>
  <c r="AA34" i="4"/>
  <c r="Z34" i="4"/>
  <c r="Y34" i="4"/>
  <c r="X34" i="4"/>
  <c r="W34" i="4"/>
  <c r="AG31" i="4"/>
  <c r="AG30" i="4" s="1"/>
  <c r="AF31" i="4"/>
  <c r="AF30" i="4" s="1"/>
  <c r="AE31" i="4"/>
  <c r="AE30" i="4" s="1"/>
  <c r="AD31" i="4"/>
  <c r="AD30" i="4" s="1"/>
  <c r="AC31" i="4"/>
  <c r="AC30" i="4" s="1"/>
  <c r="AB31" i="4"/>
  <c r="AB30" i="4" s="1"/>
  <c r="AA31" i="4"/>
  <c r="AA30" i="4" s="1"/>
  <c r="Z31" i="4"/>
  <c r="Z30" i="4" s="1"/>
  <c r="Y31" i="4"/>
  <c r="Y30" i="4" s="1"/>
  <c r="X31" i="4"/>
  <c r="X30" i="4" s="1"/>
  <c r="W31" i="4"/>
  <c r="W30" i="4" s="1"/>
  <c r="AG28" i="4"/>
  <c r="AF28" i="4"/>
  <c r="AE28" i="4"/>
  <c r="AD28" i="4"/>
  <c r="AC28" i="4"/>
  <c r="AB28" i="4"/>
  <c r="AA28" i="4"/>
  <c r="Z28" i="4"/>
  <c r="Y28" i="4"/>
  <c r="X28" i="4"/>
  <c r="W28" i="4"/>
  <c r="AG24" i="4"/>
  <c r="AF24" i="4"/>
  <c r="AE24" i="4"/>
  <c r="AD24" i="4"/>
  <c r="AC24" i="4"/>
  <c r="AB24" i="4"/>
  <c r="AA24" i="4"/>
  <c r="Z24" i="4"/>
  <c r="Y24" i="4"/>
  <c r="X24" i="4"/>
  <c r="W24" i="4"/>
  <c r="AG21" i="4"/>
  <c r="AF21" i="4"/>
  <c r="AE21" i="4"/>
  <c r="AD21" i="4"/>
  <c r="AC21" i="4"/>
  <c r="AB21" i="4"/>
  <c r="AA21" i="4"/>
  <c r="Z21" i="4"/>
  <c r="Y21" i="4"/>
  <c r="X21" i="4"/>
  <c r="W21" i="4"/>
  <c r="AG18" i="4"/>
  <c r="AF18" i="4"/>
  <c r="AE18" i="4"/>
  <c r="AD18" i="4"/>
  <c r="AC18" i="4"/>
  <c r="AB18" i="4"/>
  <c r="AA18" i="4"/>
  <c r="Z18" i="4"/>
  <c r="Y18" i="4"/>
  <c r="X18" i="4"/>
  <c r="W18" i="4"/>
  <c r="AG13" i="4"/>
  <c r="AG12" i="4" s="1"/>
  <c r="AG11" i="4" s="1"/>
  <c r="AF13" i="4"/>
  <c r="AF12" i="4" s="1"/>
  <c r="AF11" i="4" s="1"/>
  <c r="AE13" i="4"/>
  <c r="AE12" i="4" s="1"/>
  <c r="AE11" i="4" s="1"/>
  <c r="AD13" i="4"/>
  <c r="AD12" i="4" s="1"/>
  <c r="AD11" i="4" s="1"/>
  <c r="AC13" i="4"/>
  <c r="AC12" i="4" s="1"/>
  <c r="AC11" i="4" s="1"/>
  <c r="AB13" i="4"/>
  <c r="AB12" i="4" s="1"/>
  <c r="AB11" i="4" s="1"/>
  <c r="AA13" i="4"/>
  <c r="AA12" i="4" s="1"/>
  <c r="AA11" i="4" s="1"/>
  <c r="Z13" i="4"/>
  <c r="Z12" i="4" s="1"/>
  <c r="Z11" i="4" s="1"/>
  <c r="Y13" i="4"/>
  <c r="Y12" i="4" s="1"/>
  <c r="Y11" i="4" s="1"/>
  <c r="X13" i="4"/>
  <c r="X12" i="4" s="1"/>
  <c r="X11" i="4" s="1"/>
  <c r="W13" i="4"/>
  <c r="W12" i="4" s="1"/>
  <c r="W11" i="4" s="1"/>
  <c r="G174" i="4"/>
  <c r="F174" i="4" s="1"/>
  <c r="G173" i="4"/>
  <c r="G168" i="4"/>
  <c r="F168" i="4" s="1"/>
  <c r="G167" i="4"/>
  <c r="G161" i="4"/>
  <c r="F161" i="4" s="1"/>
  <c r="G160" i="4"/>
  <c r="F160" i="4" s="1"/>
  <c r="G159" i="4"/>
  <c r="F159" i="4" s="1"/>
  <c r="G158" i="4"/>
  <c r="G157" i="4"/>
  <c r="F157" i="4" s="1"/>
  <c r="G156" i="4"/>
  <c r="F156" i="4" s="1"/>
  <c r="G154" i="4"/>
  <c r="F154" i="4" s="1"/>
  <c r="G153" i="4"/>
  <c r="F153" i="4" s="1"/>
  <c r="G152" i="4"/>
  <c r="F152" i="4" s="1"/>
  <c r="G151" i="4"/>
  <c r="F151" i="4" s="1"/>
  <c r="G150" i="4"/>
  <c r="F150" i="4" s="1"/>
  <c r="G148" i="4"/>
  <c r="F148" i="4" s="1"/>
  <c r="G147" i="4"/>
  <c r="F147" i="4" s="1"/>
  <c r="G146" i="4"/>
  <c r="F146" i="4" s="1"/>
  <c r="G145" i="4"/>
  <c r="F145" i="4" s="1"/>
  <c r="G143" i="4"/>
  <c r="F143" i="4" s="1"/>
  <c r="G142" i="4"/>
  <c r="F142" i="4" s="1"/>
  <c r="G141" i="4"/>
  <c r="G138" i="4"/>
  <c r="F138" i="4" s="1"/>
  <c r="G137" i="4"/>
  <c r="F137" i="4" s="1"/>
  <c r="G136" i="4"/>
  <c r="F136" i="4" s="1"/>
  <c r="G135" i="4"/>
  <c r="F135" i="4" s="1"/>
  <c r="G134" i="4"/>
  <c r="F134" i="4" s="1"/>
  <c r="G133" i="4"/>
  <c r="F133" i="4" s="1"/>
  <c r="G132" i="4"/>
  <c r="F132" i="4" s="1"/>
  <c r="G131" i="4"/>
  <c r="F131" i="4" s="1"/>
  <c r="G130" i="4"/>
  <c r="F130" i="4" s="1"/>
  <c r="G129" i="4"/>
  <c r="F129" i="4" s="1"/>
  <c r="G128" i="4"/>
  <c r="F128" i="4" s="1"/>
  <c r="G127" i="4"/>
  <c r="F127" i="4" s="1"/>
  <c r="G126" i="4"/>
  <c r="F126" i="4" s="1"/>
  <c r="G125" i="4"/>
  <c r="F125" i="4" s="1"/>
  <c r="G124" i="4"/>
  <c r="F124" i="4" s="1"/>
  <c r="G123" i="4"/>
  <c r="G120" i="4"/>
  <c r="F120" i="4" s="1"/>
  <c r="G119" i="4"/>
  <c r="F119" i="4" s="1"/>
  <c r="G118" i="4"/>
  <c r="F118" i="4" s="1"/>
  <c r="G110" i="4"/>
  <c r="G109" i="4"/>
  <c r="F109" i="4" s="1"/>
  <c r="F108" i="4" s="1"/>
  <c r="G106" i="4"/>
  <c r="F106" i="4" s="1"/>
  <c r="G105" i="4"/>
  <c r="F105" i="4" s="1"/>
  <c r="G104" i="4"/>
  <c r="F104" i="4" s="1"/>
  <c r="G102" i="4"/>
  <c r="F102" i="4" s="1"/>
  <c r="G101" i="4"/>
  <c r="F101" i="4" s="1"/>
  <c r="G99" i="4"/>
  <c r="F99" i="4" s="1"/>
  <c r="F98" i="4" s="1"/>
  <c r="G97" i="4"/>
  <c r="F97" i="4" s="1"/>
  <c r="G96" i="4"/>
  <c r="F96" i="4" s="1"/>
  <c r="G95" i="4"/>
  <c r="F95" i="4" s="1"/>
  <c r="G92" i="4"/>
  <c r="G91" i="4"/>
  <c r="F91" i="4" s="1"/>
  <c r="G88" i="4"/>
  <c r="F88" i="4" s="1"/>
  <c r="G86" i="4"/>
  <c r="G84" i="4"/>
  <c r="F84" i="4" s="1"/>
  <c r="G82" i="4"/>
  <c r="G81" i="4"/>
  <c r="F81" i="4" s="1"/>
  <c r="G80" i="4"/>
  <c r="F80" i="4" s="1"/>
  <c r="G75" i="4"/>
  <c r="F75" i="4" s="1"/>
  <c r="G74" i="4"/>
  <c r="F74" i="4" s="1"/>
  <c r="G73" i="4"/>
  <c r="F73" i="4" s="1"/>
  <c r="G71" i="4"/>
  <c r="F71" i="4" s="1"/>
  <c r="G70" i="4"/>
  <c r="G69" i="4"/>
  <c r="G67" i="4"/>
  <c r="F67" i="4" s="1"/>
  <c r="G65" i="4"/>
  <c r="F65" i="4" s="1"/>
  <c r="G64" i="4"/>
  <c r="G62" i="4"/>
  <c r="F62" i="4" s="1"/>
  <c r="F61" i="4" s="1"/>
  <c r="G59" i="4"/>
  <c r="G58" i="4" s="1"/>
  <c r="G56" i="4"/>
  <c r="F56" i="4" s="1"/>
  <c r="G55" i="4"/>
  <c r="F55" i="4" s="1"/>
  <c r="F54" i="4" s="1"/>
  <c r="G52" i="4"/>
  <c r="F52" i="4" s="1"/>
  <c r="G51" i="4"/>
  <c r="F51" i="4" s="1"/>
  <c r="G50" i="4"/>
  <c r="F50" i="4" s="1"/>
  <c r="G49" i="4"/>
  <c r="F49" i="4" s="1"/>
  <c r="G48" i="4"/>
  <c r="F48" i="4" s="1"/>
  <c r="G47" i="4"/>
  <c r="F47" i="4" s="1"/>
  <c r="G45" i="4"/>
  <c r="F45" i="4" s="1"/>
  <c r="G44" i="4"/>
  <c r="G40" i="4"/>
  <c r="F40" i="4" s="1"/>
  <c r="F39" i="4" s="1"/>
  <c r="G38" i="4"/>
  <c r="G37" i="4" s="1"/>
  <c r="G35" i="4"/>
  <c r="G34" i="4" s="1"/>
  <c r="G32" i="4"/>
  <c r="G31" i="4" s="1"/>
  <c r="G30" i="4" s="1"/>
  <c r="G29" i="4"/>
  <c r="F29" i="4" s="1"/>
  <c r="F28" i="4" s="1"/>
  <c r="G26" i="4"/>
  <c r="G25" i="4"/>
  <c r="F25" i="4" s="1"/>
  <c r="G23" i="4"/>
  <c r="G22" i="4"/>
  <c r="F22" i="4" s="1"/>
  <c r="G20" i="4"/>
  <c r="F20" i="4" s="1"/>
  <c r="G19" i="4"/>
  <c r="G15" i="4"/>
  <c r="G14" i="4"/>
  <c r="F14" i="4" s="1"/>
  <c r="S172" i="4"/>
  <c r="S171" i="4" s="1"/>
  <c r="R172" i="4"/>
  <c r="R171" i="4" s="1"/>
  <c r="Q172" i="4"/>
  <c r="Q171" i="4" s="1"/>
  <c r="P172" i="4"/>
  <c r="P171" i="4" s="1"/>
  <c r="O172" i="4"/>
  <c r="N172" i="4"/>
  <c r="N171" i="4" s="1"/>
  <c r="M172" i="4"/>
  <c r="M171" i="4" s="1"/>
  <c r="L172" i="4"/>
  <c r="L171" i="4" s="1"/>
  <c r="K172" i="4"/>
  <c r="K171" i="4" s="1"/>
  <c r="J172" i="4"/>
  <c r="J171" i="4" s="1"/>
  <c r="I172" i="4"/>
  <c r="I171" i="4" s="1"/>
  <c r="H172" i="4"/>
  <c r="H171" i="4" s="1"/>
  <c r="O171" i="4"/>
  <c r="S166" i="4"/>
  <c r="R166" i="4"/>
  <c r="Q166" i="4"/>
  <c r="P166" i="4"/>
  <c r="O166" i="4"/>
  <c r="N166" i="4"/>
  <c r="M166" i="4"/>
  <c r="L166" i="4"/>
  <c r="K166" i="4"/>
  <c r="J166" i="4"/>
  <c r="I166" i="4"/>
  <c r="H166" i="4"/>
  <c r="S140" i="4"/>
  <c r="R140" i="4"/>
  <c r="Q140" i="4"/>
  <c r="P140" i="4"/>
  <c r="O140" i="4"/>
  <c r="N140" i="4"/>
  <c r="M140" i="4"/>
  <c r="L140" i="4"/>
  <c r="K140" i="4"/>
  <c r="J140" i="4"/>
  <c r="S122" i="4"/>
  <c r="R122" i="4"/>
  <c r="Q122" i="4"/>
  <c r="P122" i="4"/>
  <c r="O122" i="4"/>
  <c r="N122" i="4"/>
  <c r="M122" i="4"/>
  <c r="L122" i="4"/>
  <c r="K122" i="4"/>
  <c r="J122" i="4"/>
  <c r="I122" i="4"/>
  <c r="H122" i="4"/>
  <c r="S116" i="4"/>
  <c r="R116" i="4"/>
  <c r="Q116" i="4"/>
  <c r="P116" i="4"/>
  <c r="O116" i="4"/>
  <c r="N116" i="4"/>
  <c r="M116" i="4"/>
  <c r="M115" i="4" s="1"/>
  <c r="M114" i="4" s="1"/>
  <c r="L116" i="4"/>
  <c r="K116" i="4"/>
  <c r="J116" i="4"/>
  <c r="I116" i="4"/>
  <c r="H116" i="4"/>
  <c r="S108" i="4"/>
  <c r="S107" i="4" s="1"/>
  <c r="R108" i="4"/>
  <c r="R107" i="4" s="1"/>
  <c r="Q108" i="4"/>
  <c r="Q107" i="4" s="1"/>
  <c r="P108" i="4"/>
  <c r="P107" i="4" s="1"/>
  <c r="O108" i="4"/>
  <c r="O107" i="4" s="1"/>
  <c r="N108" i="4"/>
  <c r="N107" i="4" s="1"/>
  <c r="M108" i="4"/>
  <c r="M107" i="4" s="1"/>
  <c r="L108" i="4"/>
  <c r="L107" i="4" s="1"/>
  <c r="K108" i="4"/>
  <c r="K107" i="4" s="1"/>
  <c r="J108" i="4"/>
  <c r="J107" i="4" s="1"/>
  <c r="I108" i="4"/>
  <c r="I107" i="4" s="1"/>
  <c r="H108" i="4"/>
  <c r="H107" i="4" s="1"/>
  <c r="S103" i="4"/>
  <c r="R103" i="4"/>
  <c r="Q103" i="4"/>
  <c r="P103" i="4"/>
  <c r="O103" i="4"/>
  <c r="N103" i="4"/>
  <c r="M103" i="4"/>
  <c r="L103" i="4"/>
  <c r="K103" i="4"/>
  <c r="J103" i="4"/>
  <c r="I103" i="4"/>
  <c r="H103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S98" i="4"/>
  <c r="R98" i="4"/>
  <c r="Q98" i="4"/>
  <c r="P98" i="4"/>
  <c r="O98" i="4"/>
  <c r="N98" i="4"/>
  <c r="M98" i="4"/>
  <c r="L98" i="4"/>
  <c r="K98" i="4"/>
  <c r="J98" i="4"/>
  <c r="I98" i="4"/>
  <c r="H98" i="4"/>
  <c r="S94" i="4"/>
  <c r="R94" i="4"/>
  <c r="Q94" i="4"/>
  <c r="Q93" i="4" s="1"/>
  <c r="P94" i="4"/>
  <c r="O94" i="4"/>
  <c r="N94" i="4"/>
  <c r="M94" i="4"/>
  <c r="M93" i="4" s="1"/>
  <c r="L94" i="4"/>
  <c r="K94" i="4"/>
  <c r="J94" i="4"/>
  <c r="I94" i="4"/>
  <c r="I93" i="4" s="1"/>
  <c r="H94" i="4"/>
  <c r="S90" i="4"/>
  <c r="R90" i="4"/>
  <c r="Q90" i="4"/>
  <c r="P90" i="4"/>
  <c r="O90" i="4"/>
  <c r="N90" i="4"/>
  <c r="M90" i="4"/>
  <c r="L90" i="4"/>
  <c r="K90" i="4"/>
  <c r="J90" i="4"/>
  <c r="I90" i="4"/>
  <c r="H90" i="4"/>
  <c r="S83" i="4"/>
  <c r="R83" i="4"/>
  <c r="Q83" i="4"/>
  <c r="P83" i="4"/>
  <c r="O83" i="4"/>
  <c r="N83" i="4"/>
  <c r="M83" i="4"/>
  <c r="L83" i="4"/>
  <c r="K83" i="4"/>
  <c r="J83" i="4"/>
  <c r="I83" i="4"/>
  <c r="H83" i="4"/>
  <c r="S79" i="4"/>
  <c r="S78" i="4" s="1"/>
  <c r="R79" i="4"/>
  <c r="R78" i="4" s="1"/>
  <c r="Q79" i="4"/>
  <c r="Q78" i="4" s="1"/>
  <c r="P79" i="4"/>
  <c r="P78" i="4" s="1"/>
  <c r="O79" i="4"/>
  <c r="O78" i="4" s="1"/>
  <c r="N79" i="4"/>
  <c r="N78" i="4" s="1"/>
  <c r="M79" i="4"/>
  <c r="M78" i="4" s="1"/>
  <c r="L79" i="4"/>
  <c r="L78" i="4" s="1"/>
  <c r="K79" i="4"/>
  <c r="K78" i="4" s="1"/>
  <c r="J79" i="4"/>
  <c r="J78" i="4" s="1"/>
  <c r="I79" i="4"/>
  <c r="I78" i="4" s="1"/>
  <c r="H78" i="4"/>
  <c r="S72" i="4"/>
  <c r="R72" i="4"/>
  <c r="Q72" i="4"/>
  <c r="P72" i="4"/>
  <c r="O72" i="4"/>
  <c r="N72" i="4"/>
  <c r="M72" i="4"/>
  <c r="L72" i="4"/>
  <c r="K72" i="4"/>
  <c r="J72" i="4"/>
  <c r="I72" i="4"/>
  <c r="H72" i="4"/>
  <c r="S68" i="4"/>
  <c r="R68" i="4"/>
  <c r="Q68" i="4"/>
  <c r="P68" i="4"/>
  <c r="O68" i="4"/>
  <c r="N68" i="4"/>
  <c r="M68" i="4"/>
  <c r="L68" i="4"/>
  <c r="K68" i="4"/>
  <c r="J68" i="4"/>
  <c r="I68" i="4"/>
  <c r="H68" i="4"/>
  <c r="S66" i="4"/>
  <c r="S63" i="4"/>
  <c r="R63" i="4"/>
  <c r="Q63" i="4"/>
  <c r="P63" i="4"/>
  <c r="O63" i="4"/>
  <c r="N63" i="4"/>
  <c r="M63" i="4"/>
  <c r="L63" i="4"/>
  <c r="K63" i="4"/>
  <c r="J63" i="4"/>
  <c r="I63" i="4"/>
  <c r="H63" i="4"/>
  <c r="S61" i="4"/>
  <c r="S60" i="4" s="1"/>
  <c r="R61" i="4"/>
  <c r="Q61" i="4"/>
  <c r="Q60" i="4" s="1"/>
  <c r="P61" i="4"/>
  <c r="O61" i="4"/>
  <c r="O60" i="4" s="1"/>
  <c r="N61" i="4"/>
  <c r="N60" i="4" s="1"/>
  <c r="M61" i="4"/>
  <c r="M60" i="4" s="1"/>
  <c r="L61" i="4"/>
  <c r="K61" i="4"/>
  <c r="K60" i="4" s="1"/>
  <c r="J61" i="4"/>
  <c r="I61" i="4"/>
  <c r="I60" i="4" s="1"/>
  <c r="H61" i="4"/>
  <c r="S58" i="4"/>
  <c r="R58" i="4"/>
  <c r="Q58" i="4"/>
  <c r="P58" i="4"/>
  <c r="O58" i="4"/>
  <c r="N58" i="4"/>
  <c r="M58" i="4"/>
  <c r="L58" i="4"/>
  <c r="K58" i="4"/>
  <c r="J58" i="4"/>
  <c r="I58" i="4"/>
  <c r="H58" i="4"/>
  <c r="S54" i="4"/>
  <c r="S53" i="4" s="1"/>
  <c r="R54" i="4"/>
  <c r="R53" i="4" s="1"/>
  <c r="Q54" i="4"/>
  <c r="Q53" i="4" s="1"/>
  <c r="P54" i="4"/>
  <c r="P53" i="4" s="1"/>
  <c r="O54" i="4"/>
  <c r="N54" i="4"/>
  <c r="N53" i="4" s="1"/>
  <c r="M54" i="4"/>
  <c r="M53" i="4" s="1"/>
  <c r="L54" i="4"/>
  <c r="L53" i="4" s="1"/>
  <c r="K54" i="4"/>
  <c r="K53" i="4" s="1"/>
  <c r="J54" i="4"/>
  <c r="J53" i="4" s="1"/>
  <c r="I54" i="4"/>
  <c r="I53" i="4" s="1"/>
  <c r="H54" i="4"/>
  <c r="H53" i="4" s="1"/>
  <c r="O53" i="4"/>
  <c r="S46" i="4"/>
  <c r="R46" i="4"/>
  <c r="Q46" i="4"/>
  <c r="P46" i="4"/>
  <c r="O46" i="4"/>
  <c r="N46" i="4"/>
  <c r="M46" i="4"/>
  <c r="L46" i="4"/>
  <c r="K46" i="4"/>
  <c r="J46" i="4"/>
  <c r="I46" i="4"/>
  <c r="H46" i="4"/>
  <c r="S43" i="4"/>
  <c r="R43" i="4"/>
  <c r="Q43" i="4"/>
  <c r="P43" i="4"/>
  <c r="O43" i="4"/>
  <c r="N43" i="4"/>
  <c r="M43" i="4"/>
  <c r="M42" i="4" s="1"/>
  <c r="L43" i="4"/>
  <c r="L42" i="4" s="1"/>
  <c r="K43" i="4"/>
  <c r="J43" i="4"/>
  <c r="I43" i="4"/>
  <c r="H43" i="4"/>
  <c r="H42" i="4" s="1"/>
  <c r="S39" i="4"/>
  <c r="R39" i="4"/>
  <c r="Q39" i="4"/>
  <c r="P39" i="4"/>
  <c r="O39" i="4"/>
  <c r="N39" i="4"/>
  <c r="M39" i="4"/>
  <c r="L39" i="4"/>
  <c r="K39" i="4"/>
  <c r="J39" i="4"/>
  <c r="I39" i="4"/>
  <c r="H39" i="4"/>
  <c r="S37" i="4"/>
  <c r="S36" i="4" s="1"/>
  <c r="R37" i="4"/>
  <c r="Q37" i="4"/>
  <c r="P37" i="4"/>
  <c r="P36" i="4" s="1"/>
  <c r="O37" i="4"/>
  <c r="O36" i="4" s="1"/>
  <c r="N37" i="4"/>
  <c r="M37" i="4"/>
  <c r="L37" i="4"/>
  <c r="L36" i="4" s="1"/>
  <c r="K37" i="4"/>
  <c r="K36" i="4" s="1"/>
  <c r="J37" i="4"/>
  <c r="I37" i="4"/>
  <c r="H37" i="4"/>
  <c r="H36" i="4" s="1"/>
  <c r="S34" i="4"/>
  <c r="R34" i="4"/>
  <c r="Q34" i="4"/>
  <c r="P34" i="4"/>
  <c r="O34" i="4"/>
  <c r="N34" i="4"/>
  <c r="M34" i="4"/>
  <c r="L34" i="4"/>
  <c r="K34" i="4"/>
  <c r="J34" i="4"/>
  <c r="I34" i="4"/>
  <c r="H34" i="4"/>
  <c r="S31" i="4"/>
  <c r="S30" i="4" s="1"/>
  <c r="R31" i="4"/>
  <c r="R30" i="4" s="1"/>
  <c r="Q31" i="4"/>
  <c r="Q30" i="4" s="1"/>
  <c r="P31" i="4"/>
  <c r="P30" i="4" s="1"/>
  <c r="O31" i="4"/>
  <c r="O30" i="4" s="1"/>
  <c r="N31" i="4"/>
  <c r="N30" i="4" s="1"/>
  <c r="M31" i="4"/>
  <c r="M30" i="4" s="1"/>
  <c r="L31" i="4"/>
  <c r="L30" i="4" s="1"/>
  <c r="K31" i="4"/>
  <c r="K30" i="4" s="1"/>
  <c r="J31" i="4"/>
  <c r="J30" i="4" s="1"/>
  <c r="I31" i="4"/>
  <c r="I30" i="4" s="1"/>
  <c r="H31" i="4"/>
  <c r="H30" i="4" s="1"/>
  <c r="S28" i="4"/>
  <c r="R28" i="4"/>
  <c r="Q28" i="4"/>
  <c r="P28" i="4"/>
  <c r="O28" i="4"/>
  <c r="N28" i="4"/>
  <c r="M28" i="4"/>
  <c r="L28" i="4"/>
  <c r="K28" i="4"/>
  <c r="J28" i="4"/>
  <c r="I28" i="4"/>
  <c r="H28" i="4"/>
  <c r="S24" i="4"/>
  <c r="R24" i="4"/>
  <c r="Q24" i="4"/>
  <c r="P24" i="4"/>
  <c r="O24" i="4"/>
  <c r="N24" i="4"/>
  <c r="M24" i="4"/>
  <c r="L24" i="4"/>
  <c r="K24" i="4"/>
  <c r="J24" i="4"/>
  <c r="I24" i="4"/>
  <c r="H24" i="4"/>
  <c r="S21" i="4"/>
  <c r="R21" i="4"/>
  <c r="Q21" i="4"/>
  <c r="P21" i="4"/>
  <c r="O21" i="4"/>
  <c r="N21" i="4"/>
  <c r="M21" i="4"/>
  <c r="L21" i="4"/>
  <c r="K21" i="4"/>
  <c r="J21" i="4"/>
  <c r="I21" i="4"/>
  <c r="H21" i="4"/>
  <c r="S18" i="4"/>
  <c r="S17" i="4" s="1"/>
  <c r="S16" i="4" s="1"/>
  <c r="R18" i="4"/>
  <c r="Q18" i="4"/>
  <c r="P18" i="4"/>
  <c r="O18" i="4"/>
  <c r="O17" i="4" s="1"/>
  <c r="O16" i="4" s="1"/>
  <c r="N18" i="4"/>
  <c r="M18" i="4"/>
  <c r="L18" i="4"/>
  <c r="K18" i="4"/>
  <c r="K17" i="4" s="1"/>
  <c r="K16" i="4" s="1"/>
  <c r="J18" i="4"/>
  <c r="I18" i="4"/>
  <c r="H18" i="4"/>
  <c r="S13" i="4"/>
  <c r="R13" i="4"/>
  <c r="R12" i="4" s="1"/>
  <c r="R11" i="4" s="1"/>
  <c r="Q13" i="4"/>
  <c r="Q12" i="4" s="1"/>
  <c r="Q11" i="4" s="1"/>
  <c r="P13" i="4"/>
  <c r="P12" i="4" s="1"/>
  <c r="P11" i="4" s="1"/>
  <c r="O13" i="4"/>
  <c r="O12" i="4" s="1"/>
  <c r="O11" i="4" s="1"/>
  <c r="N13" i="4"/>
  <c r="N12" i="4" s="1"/>
  <c r="N11" i="4" s="1"/>
  <c r="M13" i="4"/>
  <c r="M12" i="4" s="1"/>
  <c r="M11" i="4" s="1"/>
  <c r="L13" i="4"/>
  <c r="L12" i="4" s="1"/>
  <c r="L11" i="4" s="1"/>
  <c r="K13" i="4"/>
  <c r="K12" i="4" s="1"/>
  <c r="K11" i="4" s="1"/>
  <c r="J13" i="4"/>
  <c r="J12" i="4" s="1"/>
  <c r="J11" i="4" s="1"/>
  <c r="I13" i="4"/>
  <c r="I12" i="4" s="1"/>
  <c r="I11" i="4" s="1"/>
  <c r="H13" i="4"/>
  <c r="H12" i="4" s="1"/>
  <c r="H11" i="4" s="1"/>
  <c r="S12" i="4"/>
  <c r="S11" i="4" s="1"/>
  <c r="U86" i="4" l="1"/>
  <c r="U85" i="4" s="1"/>
  <c r="V85" i="4"/>
  <c r="F86" i="4"/>
  <c r="F85" i="4" s="1"/>
  <c r="F83" i="4" s="1"/>
  <c r="G85" i="4"/>
  <c r="G83" i="4" s="1"/>
  <c r="V166" i="4"/>
  <c r="V31" i="4"/>
  <c r="V30" i="4" s="1"/>
  <c r="V98" i="4"/>
  <c r="AG257" i="1"/>
  <c r="AG260" i="1"/>
  <c r="AF36" i="4"/>
  <c r="AF33" i="4" s="1"/>
  <c r="Z42" i="4"/>
  <c r="AD42" i="4"/>
  <c r="W115" i="4"/>
  <c r="W114" i="4" s="1"/>
  <c r="AE115" i="4"/>
  <c r="AE114" i="4" s="1"/>
  <c r="W60" i="4"/>
  <c r="W57" i="4" s="1"/>
  <c r="G122" i="4"/>
  <c r="AF27" i="4"/>
  <c r="AD36" i="4"/>
  <c r="AD33" i="4" s="1"/>
  <c r="X42" i="4"/>
  <c r="AB42" i="4"/>
  <c r="AF42" i="4"/>
  <c r="Z17" i="4"/>
  <c r="Z16" i="4" s="1"/>
  <c r="AD17" i="4"/>
  <c r="AD16" i="4" s="1"/>
  <c r="AD60" i="4"/>
  <c r="AD57" i="4" s="1"/>
  <c r="AI45" i="4"/>
  <c r="Z60" i="4"/>
  <c r="Z57" i="4" s="1"/>
  <c r="X66" i="4"/>
  <c r="AB66" i="4"/>
  <c r="AF66" i="4"/>
  <c r="AI71" i="4"/>
  <c r="V54" i="4"/>
  <c r="V53" i="4" s="1"/>
  <c r="AI101" i="4"/>
  <c r="AD93" i="4"/>
  <c r="AD89" i="4" s="1"/>
  <c r="V108" i="4"/>
  <c r="V107" i="4" s="1"/>
  <c r="AI129" i="4"/>
  <c r="Y17" i="4"/>
  <c r="Y16" i="4" s="1"/>
  <c r="AC17" i="4"/>
  <c r="AC16" i="4" s="1"/>
  <c r="AG17" i="4"/>
  <c r="AG16" i="4" s="1"/>
  <c r="X60" i="4"/>
  <c r="X57" i="4" s="1"/>
  <c r="AF60" i="4"/>
  <c r="AF57" i="4" s="1"/>
  <c r="Z66" i="4"/>
  <c r="AD66" i="4"/>
  <c r="AI67" i="4"/>
  <c r="AI84" i="4"/>
  <c r="AI96" i="4"/>
  <c r="AI118" i="4"/>
  <c r="AI126" i="4"/>
  <c r="AI136" i="4"/>
  <c r="AI145" i="4"/>
  <c r="AI159" i="4"/>
  <c r="V21" i="4"/>
  <c r="W93" i="4"/>
  <c r="W89" i="4" s="1"/>
  <c r="AA93" i="4"/>
  <c r="AA89" i="4" s="1"/>
  <c r="AE93" i="4"/>
  <c r="AI25" i="4"/>
  <c r="AI56" i="4"/>
  <c r="AI119" i="4"/>
  <c r="AI137" i="4"/>
  <c r="V58" i="4"/>
  <c r="Y66" i="4"/>
  <c r="AC66" i="4"/>
  <c r="AG66" i="4"/>
  <c r="AI20" i="4"/>
  <c r="AI51" i="4"/>
  <c r="AI81" i="4"/>
  <c r="AI128" i="4"/>
  <c r="AI134" i="4"/>
  <c r="U167" i="4"/>
  <c r="U166" i="4" s="1"/>
  <c r="AI151" i="4"/>
  <c r="AI156" i="4"/>
  <c r="AI160" i="4"/>
  <c r="AI148" i="4"/>
  <c r="U98" i="4"/>
  <c r="AI99" i="4"/>
  <c r="AI98" i="4" s="1"/>
  <c r="U108" i="4"/>
  <c r="AI109" i="4"/>
  <c r="AI108" i="4" s="1"/>
  <c r="U37" i="4"/>
  <c r="U54" i="4"/>
  <c r="U53" i="4" s="1"/>
  <c r="AI55" i="4"/>
  <c r="AI54" i="4" s="1"/>
  <c r="U31" i="4"/>
  <c r="U30" i="4" s="1"/>
  <c r="AI49" i="4"/>
  <c r="AI142" i="4"/>
  <c r="AI152" i="4"/>
  <c r="AI174" i="4"/>
  <c r="V18" i="4"/>
  <c r="V24" i="4"/>
  <c r="Y36" i="4"/>
  <c r="Y33" i="4" s="1"/>
  <c r="AC36" i="4"/>
  <c r="AC33" i="4" s="1"/>
  <c r="AG36" i="4"/>
  <c r="AG33" i="4" s="1"/>
  <c r="W42" i="4"/>
  <c r="AA42" i="4"/>
  <c r="AE42" i="4"/>
  <c r="Y60" i="4"/>
  <c r="Y57" i="4" s="1"/>
  <c r="AC60" i="4"/>
  <c r="AC57" i="4" s="1"/>
  <c r="AG60" i="4"/>
  <c r="AG57" i="4" s="1"/>
  <c r="U21" i="4"/>
  <c r="AI22" i="4"/>
  <c r="U39" i="4"/>
  <c r="AI40" i="4"/>
  <c r="AI39" i="4" s="1"/>
  <c r="AI47" i="4"/>
  <c r="AI52" i="4"/>
  <c r="U58" i="4"/>
  <c r="AI73" i="4"/>
  <c r="AI97" i="4"/>
  <c r="AI102" i="4"/>
  <c r="AI120" i="4"/>
  <c r="AI127" i="4"/>
  <c r="AI130" i="4"/>
  <c r="AI135" i="4"/>
  <c r="AI138" i="4"/>
  <c r="AI146" i="4"/>
  <c r="AI150" i="4"/>
  <c r="AI153" i="4"/>
  <c r="AI157" i="4"/>
  <c r="V37" i="4"/>
  <c r="Y164" i="4"/>
  <c r="U34" i="4"/>
  <c r="AI50" i="4"/>
  <c r="AI65" i="4"/>
  <c r="AI80" i="4"/>
  <c r="AI95" i="4"/>
  <c r="AI106" i="4"/>
  <c r="AI125" i="4"/>
  <c r="AI133" i="4"/>
  <c r="AI143" i="4"/>
  <c r="AI147" i="4"/>
  <c r="AI168" i="4"/>
  <c r="AI75" i="4"/>
  <c r="AI105" i="4"/>
  <c r="AI124" i="4"/>
  <c r="AI132" i="4"/>
  <c r="W36" i="4"/>
  <c r="W33" i="4" s="1"/>
  <c r="AA36" i="4"/>
  <c r="AA33" i="4" s="1"/>
  <c r="AE36" i="4"/>
  <c r="AE33" i="4" s="1"/>
  <c r="AC42" i="4"/>
  <c r="AA60" i="4"/>
  <c r="AA57" i="4" s="1"/>
  <c r="AE60" i="4"/>
  <c r="AE57" i="4" s="1"/>
  <c r="AI14" i="4"/>
  <c r="U28" i="4"/>
  <c r="AI29" i="4"/>
  <c r="AI28" i="4" s="1"/>
  <c r="AI48" i="4"/>
  <c r="U61" i="4"/>
  <c r="AI62" i="4"/>
  <c r="AI61" i="4" s="1"/>
  <c r="AI74" i="4"/>
  <c r="U90" i="4"/>
  <c r="AI91" i="4"/>
  <c r="AI104" i="4"/>
  <c r="AI131" i="4"/>
  <c r="AI154" i="4"/>
  <c r="AI161" i="4"/>
  <c r="U94" i="4"/>
  <c r="V13" i="4"/>
  <c r="V12" i="4" s="1"/>
  <c r="V11" i="4" s="1"/>
  <c r="V28" i="4"/>
  <c r="V27" i="4" s="1"/>
  <c r="Y42" i="4"/>
  <c r="V68" i="4"/>
  <c r="V72" i="4"/>
  <c r="V116" i="4"/>
  <c r="V122" i="4"/>
  <c r="V140" i="4"/>
  <c r="AD27" i="4"/>
  <c r="V39" i="4"/>
  <c r="V83" i="4"/>
  <c r="V90" i="4"/>
  <c r="X27" i="4"/>
  <c r="V34" i="4"/>
  <c r="X36" i="4"/>
  <c r="X33" i="4" s="1"/>
  <c r="AB36" i="4"/>
  <c r="AB33" i="4" s="1"/>
  <c r="V43" i="4"/>
  <c r="V46" i="4"/>
  <c r="V61" i="4"/>
  <c r="V63" i="4"/>
  <c r="W66" i="4"/>
  <c r="AE66" i="4"/>
  <c r="V79" i="4"/>
  <c r="V78" i="4" s="1"/>
  <c r="V94" i="4"/>
  <c r="V100" i="4"/>
  <c r="V103" i="4"/>
  <c r="AA115" i="4"/>
  <c r="AA114" i="4" s="1"/>
  <c r="W164" i="4"/>
  <c r="AE164" i="4"/>
  <c r="V172" i="4"/>
  <c r="V171" i="4" s="1"/>
  <c r="V164" i="4" s="1"/>
  <c r="U140" i="4"/>
  <c r="AG42" i="4"/>
  <c r="Y115" i="4"/>
  <c r="Y114" i="4" s="1"/>
  <c r="X17" i="4"/>
  <c r="X16" i="4" s="1"/>
  <c r="AB17" i="4"/>
  <c r="AB16" i="4" s="1"/>
  <c r="AF17" i="4"/>
  <c r="AF16" i="4" s="1"/>
  <c r="AC164" i="4"/>
  <c r="AA164" i="4"/>
  <c r="AC115" i="4"/>
  <c r="AC114" i="4" s="1"/>
  <c r="U122" i="4"/>
  <c r="Z36" i="4"/>
  <c r="Z33" i="4" s="1"/>
  <c r="U18" i="4"/>
  <c r="U24" i="4"/>
  <c r="U43" i="4"/>
  <c r="U46" i="4"/>
  <c r="U63" i="4"/>
  <c r="U68" i="4"/>
  <c r="U72" i="4"/>
  <c r="U79" i="4"/>
  <c r="U78" i="4" s="1"/>
  <c r="U100" i="4"/>
  <c r="U103" i="4"/>
  <c r="U116" i="4"/>
  <c r="AG115" i="4"/>
  <c r="AG114" i="4" s="1"/>
  <c r="U172" i="4"/>
  <c r="U171" i="4" s="1"/>
  <c r="X93" i="4"/>
  <c r="X89" i="4" s="1"/>
  <c r="AB93" i="4"/>
  <c r="AB89" i="4" s="1"/>
  <c r="AF93" i="4"/>
  <c r="AF89" i="4" s="1"/>
  <c r="AG164" i="4"/>
  <c r="U13" i="4"/>
  <c r="U12" i="4" s="1"/>
  <c r="U11" i="4" s="1"/>
  <c r="W27" i="4"/>
  <c r="AA27" i="4"/>
  <c r="AE27" i="4"/>
  <c r="AA66" i="4"/>
  <c r="X115" i="4"/>
  <c r="X114" i="4" s="1"/>
  <c r="AB115" i="4"/>
  <c r="AB114" i="4" s="1"/>
  <c r="AF115" i="4"/>
  <c r="AF114" i="4" s="1"/>
  <c r="Z27" i="4"/>
  <c r="AB60" i="4"/>
  <c r="AB57" i="4" s="1"/>
  <c r="G172" i="4"/>
  <c r="G171" i="4" s="1"/>
  <c r="AB27" i="4"/>
  <c r="Z93" i="4"/>
  <c r="Z89" i="4" s="1"/>
  <c r="Y27" i="4"/>
  <c r="AG27" i="4"/>
  <c r="Z115" i="4"/>
  <c r="Z114" i="4" s="1"/>
  <c r="AD115" i="4"/>
  <c r="AD114" i="4" s="1"/>
  <c r="W17" i="4"/>
  <c r="W16" i="4" s="1"/>
  <c r="AA17" i="4"/>
  <c r="AA16" i="4" s="1"/>
  <c r="AE17" i="4"/>
  <c r="AE16" i="4" s="1"/>
  <c r="AE89" i="4"/>
  <c r="Z164" i="4"/>
  <c r="AD164" i="4"/>
  <c r="AC27" i="4"/>
  <c r="Y93" i="4"/>
  <c r="Y89" i="4" s="1"/>
  <c r="AC93" i="4"/>
  <c r="AC89" i="4" s="1"/>
  <c r="AG93" i="4"/>
  <c r="AG89" i="4" s="1"/>
  <c r="X164" i="4"/>
  <c r="AB164" i="4"/>
  <c r="AF164" i="4"/>
  <c r="K66" i="4"/>
  <c r="O66" i="4"/>
  <c r="N57" i="4"/>
  <c r="Q115" i="4"/>
  <c r="Q114" i="4" s="1"/>
  <c r="L66" i="4"/>
  <c r="G108" i="4"/>
  <c r="G107" i="4" s="1"/>
  <c r="R115" i="4"/>
  <c r="R114" i="4" s="1"/>
  <c r="M164" i="4"/>
  <c r="Q164" i="4"/>
  <c r="J27" i="4"/>
  <c r="R27" i="4"/>
  <c r="G18" i="4"/>
  <c r="G166" i="4"/>
  <c r="F19" i="4"/>
  <c r="F18" i="4" s="1"/>
  <c r="F35" i="4"/>
  <c r="F34" i="4" s="1"/>
  <c r="I27" i="4"/>
  <c r="Q27" i="4"/>
  <c r="K27" i="4"/>
  <c r="O27" i="4"/>
  <c r="S27" i="4"/>
  <c r="I36" i="4"/>
  <c r="I33" i="4" s="1"/>
  <c r="M36" i="4"/>
  <c r="M33" i="4" s="1"/>
  <c r="G103" i="4"/>
  <c r="I115" i="4"/>
  <c r="I114" i="4" s="1"/>
  <c r="G24" i="4"/>
  <c r="G100" i="4"/>
  <c r="F38" i="4"/>
  <c r="F37" i="4" s="1"/>
  <c r="F36" i="4" s="1"/>
  <c r="F33" i="4" s="1"/>
  <c r="H66" i="4"/>
  <c r="I42" i="4"/>
  <c r="Q42" i="4"/>
  <c r="J115" i="4"/>
  <c r="J114" i="4" s="1"/>
  <c r="N115" i="4"/>
  <c r="N114" i="4" s="1"/>
  <c r="F103" i="4"/>
  <c r="P66" i="4"/>
  <c r="K33" i="4"/>
  <c r="O33" i="4"/>
  <c r="S33" i="4"/>
  <c r="N93" i="4"/>
  <c r="N89" i="4" s="1"/>
  <c r="G43" i="4"/>
  <c r="F53" i="4"/>
  <c r="G63" i="4"/>
  <c r="F26" i="4"/>
  <c r="F24" i="4" s="1"/>
  <c r="F59" i="4"/>
  <c r="F58" i="4" s="1"/>
  <c r="F72" i="4"/>
  <c r="F94" i="4"/>
  <c r="R60" i="4"/>
  <c r="R57" i="4" s="1"/>
  <c r="J36" i="4"/>
  <c r="J33" i="4" s="1"/>
  <c r="R42" i="4"/>
  <c r="M66" i="4"/>
  <c r="G79" i="4"/>
  <c r="G78" i="4" s="1"/>
  <c r="G13" i="4"/>
  <c r="G12" i="4" s="1"/>
  <c r="G11" i="4" s="1"/>
  <c r="J60" i="4"/>
  <c r="J57" i="4" s="1"/>
  <c r="R36" i="4"/>
  <c r="R33" i="4" s="1"/>
  <c r="N42" i="4"/>
  <c r="G61" i="4"/>
  <c r="I66" i="4"/>
  <c r="G90" i="4"/>
  <c r="F46" i="4"/>
  <c r="F100" i="4"/>
  <c r="G28" i="4"/>
  <c r="G27" i="4" s="1"/>
  <c r="G39" i="4"/>
  <c r="G36" i="4" s="1"/>
  <c r="G33" i="4" s="1"/>
  <c r="G46" i="4"/>
  <c r="G54" i="4"/>
  <c r="G53" i="4" s="1"/>
  <c r="H60" i="4"/>
  <c r="H57" i="4" s="1"/>
  <c r="R93" i="4"/>
  <c r="R89" i="4" s="1"/>
  <c r="G116" i="4"/>
  <c r="K115" i="4"/>
  <c r="K114" i="4" s="1"/>
  <c r="O115" i="4"/>
  <c r="O114" i="4" s="1"/>
  <c r="S115" i="4"/>
  <c r="S114" i="4" s="1"/>
  <c r="I164" i="4"/>
  <c r="F123" i="4"/>
  <c r="F122" i="4" s="1"/>
  <c r="F167" i="4"/>
  <c r="F166" i="4" s="1"/>
  <c r="F173" i="4"/>
  <c r="F172" i="4" s="1"/>
  <c r="F171" i="4" s="1"/>
  <c r="N36" i="4"/>
  <c r="N33" i="4" s="1"/>
  <c r="J42" i="4"/>
  <c r="Q66" i="4"/>
  <c r="G21" i="4"/>
  <c r="G68" i="4"/>
  <c r="F116" i="4"/>
  <c r="Q36" i="4"/>
  <c r="Q33" i="4" s="1"/>
  <c r="G98" i="4"/>
  <c r="K93" i="4"/>
  <c r="K89" i="4" s="1"/>
  <c r="O93" i="4"/>
  <c r="O89" i="4" s="1"/>
  <c r="S93" i="4"/>
  <c r="S89" i="4" s="1"/>
  <c r="J93" i="4"/>
  <c r="J89" i="4" s="1"/>
  <c r="G72" i="4"/>
  <c r="G66" i="4" s="1"/>
  <c r="G94" i="4"/>
  <c r="G140" i="4"/>
  <c r="F15" i="4"/>
  <c r="F13" i="4" s="1"/>
  <c r="F12" i="4" s="1"/>
  <c r="F11" i="4" s="1"/>
  <c r="F23" i="4"/>
  <c r="F21" i="4" s="1"/>
  <c r="F32" i="4"/>
  <c r="F31" i="4" s="1"/>
  <c r="F30" i="4" s="1"/>
  <c r="F27" i="4" s="1"/>
  <c r="F44" i="4"/>
  <c r="F43" i="4" s="1"/>
  <c r="F64" i="4"/>
  <c r="F63" i="4" s="1"/>
  <c r="F60" i="4" s="1"/>
  <c r="F70" i="4"/>
  <c r="AI70" i="4" s="1"/>
  <c r="F92" i="4"/>
  <c r="F90" i="4" s="1"/>
  <c r="K57" i="4"/>
  <c r="S57" i="4"/>
  <c r="M89" i="4"/>
  <c r="P27" i="4"/>
  <c r="L27" i="4"/>
  <c r="L33" i="4"/>
  <c r="H33" i="4"/>
  <c r="P33" i="4"/>
  <c r="P42" i="4"/>
  <c r="K42" i="4"/>
  <c r="O42" i="4"/>
  <c r="S42" i="4"/>
  <c r="O57" i="4"/>
  <c r="N27" i="4"/>
  <c r="I57" i="4"/>
  <c r="M57" i="4"/>
  <c r="Q57" i="4"/>
  <c r="L60" i="4"/>
  <c r="L57" i="4" s="1"/>
  <c r="P60" i="4"/>
  <c r="P57" i="4" s="1"/>
  <c r="J164" i="4"/>
  <c r="N164" i="4"/>
  <c r="R164" i="4"/>
  <c r="H27" i="4"/>
  <c r="J17" i="4"/>
  <c r="J16" i="4" s="1"/>
  <c r="N17" i="4"/>
  <c r="N16" i="4" s="1"/>
  <c r="R17" i="4"/>
  <c r="R16" i="4" s="1"/>
  <c r="H93" i="4"/>
  <c r="H89" i="4" s="1"/>
  <c r="L93" i="4"/>
  <c r="L89" i="4" s="1"/>
  <c r="P93" i="4"/>
  <c r="P89" i="4" s="1"/>
  <c r="M27" i="4"/>
  <c r="N66" i="4"/>
  <c r="I89" i="4"/>
  <c r="Q89" i="4"/>
  <c r="H115" i="4"/>
  <c r="H114" i="4" s="1"/>
  <c r="L115" i="4"/>
  <c r="L114" i="4" s="1"/>
  <c r="P115" i="4"/>
  <c r="P114" i="4" s="1"/>
  <c r="J66" i="4"/>
  <c r="R66" i="4"/>
  <c r="I17" i="4"/>
  <c r="I16" i="4" s="1"/>
  <c r="M17" i="4"/>
  <c r="M16" i="4" s="1"/>
  <c r="Q17" i="4"/>
  <c r="Q16" i="4" s="1"/>
  <c r="H17" i="4"/>
  <c r="H16" i="4" s="1"/>
  <c r="L17" i="4"/>
  <c r="L16" i="4" s="1"/>
  <c r="P17" i="4"/>
  <c r="P16" i="4" s="1"/>
  <c r="P112" i="4" s="1"/>
  <c r="H164" i="4"/>
  <c r="L164" i="4"/>
  <c r="P164" i="4"/>
  <c r="K164" i="4"/>
  <c r="O164" i="4"/>
  <c r="S164" i="4"/>
  <c r="H61" i="1"/>
  <c r="H35" i="1"/>
  <c r="Q112" i="4" l="1"/>
  <c r="M112" i="4"/>
  <c r="N112" i="4"/>
  <c r="O112" i="4"/>
  <c r="O9" i="4" s="1"/>
  <c r="O178" i="4" s="1"/>
  <c r="AA112" i="4"/>
  <c r="L112" i="4"/>
  <c r="L177" i="4" s="1"/>
  <c r="H112" i="4"/>
  <c r="K112" i="4"/>
  <c r="K9" i="4" s="1"/>
  <c r="K178" i="4" s="1"/>
  <c r="J112" i="4"/>
  <c r="W112" i="4"/>
  <c r="W177" i="4" s="1"/>
  <c r="Y112" i="4"/>
  <c r="AF112" i="4"/>
  <c r="AF177" i="4" s="1"/>
  <c r="AB112" i="4"/>
  <c r="AD112" i="4"/>
  <c r="AD177" i="4" s="1"/>
  <c r="I112" i="4"/>
  <c r="I177" i="4" s="1"/>
  <c r="R112" i="4"/>
  <c r="R177" i="4" s="1"/>
  <c r="AG112" i="4"/>
  <c r="S112" i="4"/>
  <c r="AE112" i="4"/>
  <c r="AE9" i="4" s="1"/>
  <c r="AE178" i="4" s="1"/>
  <c r="X112" i="4"/>
  <c r="X9" i="4" s="1"/>
  <c r="X178" i="4" s="1"/>
  <c r="AC112" i="4"/>
  <c r="Z112" i="4"/>
  <c r="Z177" i="4" s="1"/>
  <c r="AI86" i="4"/>
  <c r="AI85" i="4" s="1"/>
  <c r="AI100" i="4"/>
  <c r="V17" i="4"/>
  <c r="V16" i="4" s="1"/>
  <c r="AI53" i="4"/>
  <c r="U60" i="4"/>
  <c r="U57" i="4" s="1"/>
  <c r="AI103" i="4"/>
  <c r="U27" i="4"/>
  <c r="U36" i="4"/>
  <c r="U33" i="4" s="1"/>
  <c r="AI116" i="4"/>
  <c r="AI94" i="4"/>
  <c r="G164" i="4"/>
  <c r="V36" i="4"/>
  <c r="V33" i="4" s="1"/>
  <c r="V93" i="4"/>
  <c r="V89" i="4" s="1"/>
  <c r="AI93" i="4"/>
  <c r="AI15" i="4"/>
  <c r="AI13" i="4" s="1"/>
  <c r="AI12" i="4" s="1"/>
  <c r="AI11" i="4" s="1"/>
  <c r="V42" i="4"/>
  <c r="AI35" i="4"/>
  <c r="AI34" i="4" s="1"/>
  <c r="U93" i="4"/>
  <c r="U115" i="4"/>
  <c r="U114" i="4" s="1"/>
  <c r="AI64" i="4"/>
  <c r="AI63" i="4" s="1"/>
  <c r="AI60" i="4" s="1"/>
  <c r="AI38" i="4"/>
  <c r="AI37" i="4" s="1"/>
  <c r="AI36" i="4" s="1"/>
  <c r="AI33" i="4" s="1"/>
  <c r="AI59" i="4"/>
  <c r="AI58" i="4" s="1"/>
  <c r="V115" i="4"/>
  <c r="V114" i="4" s="1"/>
  <c r="AI173" i="4"/>
  <c r="AI172" i="4" s="1"/>
  <c r="AI171" i="4" s="1"/>
  <c r="D9" i="5" s="1"/>
  <c r="D8" i="5" s="1"/>
  <c r="AI19" i="4"/>
  <c r="AI18" i="4" s="1"/>
  <c r="AI72" i="4"/>
  <c r="AI26" i="4"/>
  <c r="AI24" i="4" s="1"/>
  <c r="AI32" i="4"/>
  <c r="AI31" i="4" s="1"/>
  <c r="AI30" i="4" s="1"/>
  <c r="AI27" i="4" s="1"/>
  <c r="U66" i="4"/>
  <c r="AI123" i="4"/>
  <c r="AI122" i="4" s="1"/>
  <c r="AI92" i="4"/>
  <c r="AI90" i="4" s="1"/>
  <c r="AI167" i="4"/>
  <c r="AI166" i="4" s="1"/>
  <c r="D4" i="5" s="1"/>
  <c r="AI46" i="4"/>
  <c r="AI23" i="4"/>
  <c r="AI21" i="4" s="1"/>
  <c r="AI44" i="4"/>
  <c r="AI43" i="4" s="1"/>
  <c r="AB9" i="4"/>
  <c r="AB178" i="4" s="1"/>
  <c r="U42" i="4"/>
  <c r="F42" i="4"/>
  <c r="U164" i="4"/>
  <c r="V60" i="4"/>
  <c r="V57" i="4" s="1"/>
  <c r="V66" i="4"/>
  <c r="U17" i="4"/>
  <c r="U16" i="4" s="1"/>
  <c r="G17" i="4"/>
  <c r="G16" i="4" s="1"/>
  <c r="AA9" i="4"/>
  <c r="AA178" i="4" s="1"/>
  <c r="AG177" i="4"/>
  <c r="F115" i="4"/>
  <c r="F114" i="4" s="1"/>
  <c r="S177" i="4"/>
  <c r="G115" i="4"/>
  <c r="G114" i="4" s="1"/>
  <c r="G42" i="4"/>
  <c r="F57" i="4"/>
  <c r="G93" i="4"/>
  <c r="G89" i="4" s="1"/>
  <c r="G60" i="4"/>
  <c r="G57" i="4" s="1"/>
  <c r="F93" i="4"/>
  <c r="R9" i="4"/>
  <c r="R178" i="4" s="1"/>
  <c r="F17" i="4"/>
  <c r="F16" i="4" s="1"/>
  <c r="J9" i="4"/>
  <c r="J178" i="4" s="1"/>
  <c r="P9" i="4"/>
  <c r="P178" i="4" s="1"/>
  <c r="F164" i="4"/>
  <c r="H9" i="4"/>
  <c r="H178" i="4" s="1"/>
  <c r="N177" i="4"/>
  <c r="M177" i="4"/>
  <c r="Q9" i="4"/>
  <c r="Q178" i="4" s="1"/>
  <c r="H23" i="1"/>
  <c r="H22" i="1"/>
  <c r="G112" i="4" l="1"/>
  <c r="V112" i="4"/>
  <c r="V177" i="4" s="1"/>
  <c r="F23" i="1"/>
  <c r="I23" i="1"/>
  <c r="G23" i="1" s="1"/>
  <c r="F22" i="1"/>
  <c r="I22" i="1"/>
  <c r="G22" i="1" s="1"/>
  <c r="AI164" i="4"/>
  <c r="AF9" i="4"/>
  <c r="AF178" i="4" s="1"/>
  <c r="W9" i="4"/>
  <c r="W178" i="4" s="1"/>
  <c r="Z9" i="4"/>
  <c r="Z178" i="4" s="1"/>
  <c r="AI42" i="4"/>
  <c r="AG9" i="4"/>
  <c r="AG178" i="4" s="1"/>
  <c r="X177" i="4"/>
  <c r="AI115" i="4"/>
  <c r="AI114" i="4" s="1"/>
  <c r="B11" i="5" s="1"/>
  <c r="AE177" i="4"/>
  <c r="AI17" i="4"/>
  <c r="AI16" i="4" s="1"/>
  <c r="AI57" i="4"/>
  <c r="AB177" i="4"/>
  <c r="S9" i="4"/>
  <c r="S178" i="4" s="1"/>
  <c r="AD9" i="4"/>
  <c r="AD178" i="4" s="1"/>
  <c r="AA177" i="4"/>
  <c r="L9" i="4"/>
  <c r="L178" i="4" s="1"/>
  <c r="K177" i="4"/>
  <c r="AC177" i="4"/>
  <c r="AC9" i="4"/>
  <c r="AC178" i="4" s="1"/>
  <c r="Y177" i="4"/>
  <c r="Y9" i="4"/>
  <c r="Y178" i="4" s="1"/>
  <c r="N9" i="4"/>
  <c r="N178" i="4" s="1"/>
  <c r="I9" i="4"/>
  <c r="I178" i="4" s="1"/>
  <c r="M9" i="4"/>
  <c r="M178" i="4" s="1"/>
  <c r="P177" i="4"/>
  <c r="O177" i="4"/>
  <c r="J177" i="4"/>
  <c r="H177" i="4"/>
  <c r="Q177" i="4"/>
  <c r="E110" i="4"/>
  <c r="F110" i="4" s="1"/>
  <c r="V9" i="4" l="1"/>
  <c r="V178" i="4" s="1"/>
  <c r="F107" i="4"/>
  <c r="F89" i="4" s="1"/>
  <c r="G9" i="4"/>
  <c r="G178" i="4" s="1"/>
  <c r="G177" i="4"/>
  <c r="H24" i="1"/>
  <c r="H21" i="1"/>
  <c r="F21" i="1" l="1"/>
  <c r="H12" i="1"/>
  <c r="I21" i="1"/>
  <c r="F24" i="1"/>
  <c r="I24" i="1"/>
  <c r="G24" i="1" s="1"/>
  <c r="E141" i="4"/>
  <c r="F141" i="4" s="1"/>
  <c r="H256" i="1"/>
  <c r="E69" i="4"/>
  <c r="F69" i="4" s="1"/>
  <c r="H255" i="1" l="1"/>
  <c r="I256" i="1"/>
  <c r="G21" i="1"/>
  <c r="I12" i="1"/>
  <c r="F12" i="1"/>
  <c r="F257" i="1" s="1"/>
  <c r="AI141" i="4"/>
  <c r="F68" i="4"/>
  <c r="F66" i="4" s="1"/>
  <c r="AI69" i="4"/>
  <c r="AI68" i="4" s="1"/>
  <c r="AI66" i="4" s="1"/>
  <c r="AQ35" i="1"/>
  <c r="G12" i="1" l="1"/>
  <c r="I255" i="1"/>
  <c r="I259" i="1" s="1"/>
  <c r="I257" i="1"/>
  <c r="T110" i="4"/>
  <c r="U110" i="4" s="1"/>
  <c r="T88" i="4"/>
  <c r="I260" i="1" l="1"/>
  <c r="I258" i="1"/>
  <c r="G257" i="1"/>
  <c r="AH88" i="4"/>
  <c r="U88" i="4"/>
  <c r="U107" i="4"/>
  <c r="U89" i="4" s="1"/>
  <c r="AI110" i="4"/>
  <c r="AI107" i="4" s="1"/>
  <c r="AI89" i="4" s="1"/>
  <c r="AY256" i="1"/>
  <c r="AZ256" i="1" s="1"/>
  <c r="AZ255" i="1" s="1"/>
  <c r="AZ258" i="1" l="1"/>
  <c r="AZ259" i="1"/>
  <c r="AZ260" i="1"/>
  <c r="AI88" i="4"/>
  <c r="AI83" i="4" s="1"/>
  <c r="U83" i="4"/>
  <c r="U112" i="4" s="1"/>
  <c r="AH92" i="4"/>
  <c r="U9" i="4" l="1"/>
  <c r="U178" i="4" s="1"/>
  <c r="U177" i="4"/>
  <c r="AH124" i="4" l="1"/>
  <c r="AH125" i="4"/>
  <c r="AH126" i="4"/>
  <c r="AH127" i="4"/>
  <c r="AH128" i="4"/>
  <c r="AH129" i="4"/>
  <c r="AH130" i="4"/>
  <c r="AH131" i="4"/>
  <c r="AH132" i="4"/>
  <c r="AH133" i="4"/>
  <c r="AH134" i="4"/>
  <c r="AH135" i="4"/>
  <c r="AH136" i="4"/>
  <c r="AH137" i="4"/>
  <c r="AH138" i="4"/>
  <c r="W256" i="1" l="1"/>
  <c r="X256" i="1" l="1"/>
  <c r="F256" i="1"/>
  <c r="F255" i="1" s="1"/>
  <c r="F259" i="1" s="1"/>
  <c r="E83" i="4"/>
  <c r="E82" i="4"/>
  <c r="F82" i="4" s="1"/>
  <c r="X255" i="1" l="1"/>
  <c r="G256" i="1"/>
  <c r="F79" i="4"/>
  <c r="F78" i="4" s="1"/>
  <c r="AI82" i="4"/>
  <c r="AI79" i="4" s="1"/>
  <c r="AI78" i="4" s="1"/>
  <c r="E158" i="4"/>
  <c r="F158" i="4" s="1"/>
  <c r="F140" i="4" s="1"/>
  <c r="AI112" i="4" l="1"/>
  <c r="B4" i="5" s="1"/>
  <c r="F112" i="4"/>
  <c r="F9" i="4" s="1"/>
  <c r="F178" i="4" s="1"/>
  <c r="B10" i="5"/>
  <c r="G255" i="1"/>
  <c r="X259" i="1"/>
  <c r="X258" i="1"/>
  <c r="X260" i="1"/>
  <c r="AI158" i="4"/>
  <c r="AI140" i="4" s="1"/>
  <c r="AI177" i="4" l="1"/>
  <c r="F177" i="4"/>
  <c r="G259" i="1"/>
  <c r="G258" i="1"/>
  <c r="G260" i="1"/>
  <c r="AI9" i="4"/>
  <c r="AI178" i="4" s="1"/>
  <c r="B9" i="5"/>
  <c r="T90" i="4"/>
  <c r="E90" i="4"/>
  <c r="F264" i="1" l="1"/>
  <c r="AH41" i="4"/>
  <c r="AH14" i="4" l="1"/>
  <c r="AY229" i="1" l="1"/>
  <c r="AH174" i="4" l="1"/>
  <c r="AH173" i="4"/>
  <c r="AH168" i="4"/>
  <c r="AH167" i="4"/>
  <c r="AH161" i="4"/>
  <c r="AH160" i="4"/>
  <c r="AH159" i="4"/>
  <c r="AH157" i="4"/>
  <c r="AH156" i="4"/>
  <c r="AH154" i="4"/>
  <c r="AH153" i="4"/>
  <c r="AH152" i="4"/>
  <c r="AH151" i="4"/>
  <c r="AH148" i="4"/>
  <c r="AH147" i="4"/>
  <c r="AH146" i="4"/>
  <c r="AH145" i="4"/>
  <c r="AH143" i="4"/>
  <c r="AH142" i="4"/>
  <c r="AH141" i="4"/>
  <c r="AH123" i="4"/>
  <c r="AH122" i="4" s="1"/>
  <c r="AH121" i="4"/>
  <c r="AH120" i="4"/>
  <c r="AH119" i="4"/>
  <c r="AH118" i="4"/>
  <c r="AH110" i="4"/>
  <c r="AH109" i="4"/>
  <c r="AH106" i="4"/>
  <c r="AH105" i="4"/>
  <c r="AH104" i="4"/>
  <c r="AH102" i="4"/>
  <c r="AH101" i="4"/>
  <c r="AH99" i="4"/>
  <c r="AH97" i="4"/>
  <c r="AH96" i="4"/>
  <c r="AH95" i="4"/>
  <c r="AH91" i="4"/>
  <c r="AH90" i="4" s="1"/>
  <c r="AH86" i="4"/>
  <c r="AH85" i="4" s="1"/>
  <c r="AH84" i="4"/>
  <c r="AH82" i="4"/>
  <c r="AH81" i="4"/>
  <c r="AH80" i="4"/>
  <c r="AH75" i="4"/>
  <c r="AH74" i="4"/>
  <c r="AH73" i="4"/>
  <c r="AH71" i="4"/>
  <c r="AH70" i="4"/>
  <c r="AH69" i="4"/>
  <c r="AH67" i="4"/>
  <c r="AH65" i="4"/>
  <c r="AH64" i="4"/>
  <c r="AH62" i="4"/>
  <c r="AH59" i="4"/>
  <c r="AH55" i="4"/>
  <c r="AH52" i="4"/>
  <c r="AH51" i="4"/>
  <c r="AH50" i="4"/>
  <c r="AH49" i="4"/>
  <c r="AH48" i="4"/>
  <c r="AH47" i="4"/>
  <c r="AH45" i="4"/>
  <c r="AH44" i="4"/>
  <c r="AH40" i="4"/>
  <c r="AH38" i="4"/>
  <c r="AH35" i="4"/>
  <c r="AH32" i="4"/>
  <c r="AH29" i="4"/>
  <c r="AH26" i="4"/>
  <c r="AH25" i="4"/>
  <c r="AH23" i="4"/>
  <c r="AH22" i="4"/>
  <c r="AH20" i="4"/>
  <c r="AH19" i="4"/>
  <c r="AH15" i="4"/>
  <c r="AH158" i="4" l="1"/>
  <c r="AY255" i="1" l="1"/>
  <c r="AY259" i="1" s="1"/>
  <c r="AH172" i="4" l="1"/>
  <c r="AH171" i="4" s="1"/>
  <c r="AH166" i="4"/>
  <c r="AH116" i="4"/>
  <c r="AH108" i="4"/>
  <c r="AH98" i="4"/>
  <c r="AH83" i="4"/>
  <c r="AH79" i="4"/>
  <c r="AH78" i="4" s="1"/>
  <c r="AH72" i="4"/>
  <c r="AH68" i="4"/>
  <c r="AH63" i="4"/>
  <c r="AH61" i="4"/>
  <c r="AH54" i="4"/>
  <c r="AH53" i="4" s="1"/>
  <c r="AH43" i="4"/>
  <c r="AH37" i="4"/>
  <c r="AH34" i="4"/>
  <c r="AH31" i="4"/>
  <c r="AH30" i="4" s="1"/>
  <c r="AH24" i="4"/>
  <c r="AH21" i="4"/>
  <c r="AH18" i="4"/>
  <c r="AH58" i="4"/>
  <c r="AH39" i="4"/>
  <c r="AH28" i="4"/>
  <c r="T172" i="4"/>
  <c r="T171" i="4" s="1"/>
  <c r="T166" i="4"/>
  <c r="T140" i="4"/>
  <c r="T122" i="4"/>
  <c r="T116" i="4"/>
  <c r="T108" i="4"/>
  <c r="T107" i="4" s="1"/>
  <c r="T103" i="4"/>
  <c r="T100" i="4"/>
  <c r="T98" i="4"/>
  <c r="T94" i="4"/>
  <c r="T83" i="4"/>
  <c r="T79" i="4"/>
  <c r="T78" i="4" s="1"/>
  <c r="T72" i="4"/>
  <c r="T68" i="4"/>
  <c r="T63" i="4"/>
  <c r="T61" i="4"/>
  <c r="T58" i="4"/>
  <c r="T54" i="4"/>
  <c r="T53" i="4" s="1"/>
  <c r="T46" i="4"/>
  <c r="T43" i="4"/>
  <c r="T39" i="4"/>
  <c r="T37" i="4"/>
  <c r="T34" i="4"/>
  <c r="T31" i="4"/>
  <c r="T30" i="4" s="1"/>
  <c r="T28" i="4"/>
  <c r="T24" i="4"/>
  <c r="T21" i="4"/>
  <c r="T18" i="4"/>
  <c r="T13" i="4"/>
  <c r="T12" i="4" s="1"/>
  <c r="T11" i="4" s="1"/>
  <c r="T36" i="4" l="1"/>
  <c r="T33" i="4" s="1"/>
  <c r="AH36" i="4"/>
  <c r="AH33" i="4" s="1"/>
  <c r="T66" i="4"/>
  <c r="AH66" i="4"/>
  <c r="T115" i="4"/>
  <c r="T114" i="4" s="1"/>
  <c r="AH46" i="4"/>
  <c r="AH42" i="4" s="1"/>
  <c r="AH103" i="4"/>
  <c r="AH94" i="4"/>
  <c r="AH100" i="4"/>
  <c r="AH13" i="4"/>
  <c r="AH12" i="4" s="1"/>
  <c r="AH11" i="4" s="1"/>
  <c r="AH115" i="4"/>
  <c r="AH114" i="4" s="1"/>
  <c r="T42" i="4"/>
  <c r="T60" i="4"/>
  <c r="T57" i="4" s="1"/>
  <c r="T17" i="4"/>
  <c r="T16" i="4" s="1"/>
  <c r="AH60" i="4"/>
  <c r="AH57" i="4" s="1"/>
  <c r="AH27" i="4"/>
  <c r="T27" i="4"/>
  <c r="T93" i="4"/>
  <c r="T89" i="4" s="1"/>
  <c r="T164" i="4"/>
  <c r="AH17" i="4"/>
  <c r="AH16" i="4" s="1"/>
  <c r="AH164" i="4"/>
  <c r="T112" i="4" l="1"/>
  <c r="T9" i="4" s="1"/>
  <c r="T178" i="4" s="1"/>
  <c r="AH93" i="4"/>
  <c r="T177" i="4" l="1"/>
  <c r="AY12" i="1" l="1"/>
  <c r="AY27" i="1"/>
  <c r="AY35" i="1"/>
  <c r="AY61" i="1"/>
  <c r="AY72" i="1"/>
  <c r="AY89" i="1"/>
  <c r="AY97" i="1"/>
  <c r="AY134" i="1"/>
  <c r="AY260" i="1" l="1"/>
  <c r="AY258" i="1"/>
  <c r="AY257" i="1"/>
  <c r="AH150" i="4" l="1"/>
  <c r="AH140" i="4" s="1"/>
  <c r="W61" i="1" l="1"/>
  <c r="AF61" i="1"/>
  <c r="AR229" i="1" l="1"/>
  <c r="E24" i="4" l="1"/>
  <c r="E21" i="4"/>
  <c r="E18" i="4"/>
  <c r="E17" i="4" l="1"/>
  <c r="E37" i="4"/>
  <c r="E54" i="4" l="1"/>
  <c r="E34" i="4" l="1"/>
  <c r="E31" i="4"/>
  <c r="AQ134" i="1" l="1"/>
  <c r="AQ72" i="1" l="1"/>
  <c r="AQ12" i="1"/>
  <c r="E61" i="4" l="1"/>
  <c r="AQ255" i="1" l="1"/>
  <c r="AQ259" i="1" s="1"/>
  <c r="AQ229" i="1"/>
  <c r="AQ97" i="1"/>
  <c r="AQ89" i="1"/>
  <c r="AQ61" i="1"/>
  <c r="AQ27" i="1"/>
  <c r="AQ257" i="1" l="1"/>
  <c r="AQ258" i="1"/>
  <c r="E39" i="4" l="1"/>
  <c r="E36" i="4" s="1"/>
  <c r="E33" i="4" s="1"/>
  <c r="E63" i="4" l="1"/>
  <c r="E60" i="4" s="1"/>
  <c r="E172" i="4" l="1"/>
  <c r="E166" i="4"/>
  <c r="E122" i="4"/>
  <c r="E116" i="4"/>
  <c r="E108" i="4"/>
  <c r="E98" i="4"/>
  <c r="E72" i="4"/>
  <c r="E68" i="4"/>
  <c r="E58" i="4"/>
  <c r="E53" i="4"/>
  <c r="E46" i="4"/>
  <c r="E43" i="4"/>
  <c r="E30" i="4"/>
  <c r="E28" i="4"/>
  <c r="E13" i="4"/>
  <c r="E66" i="4" l="1"/>
  <c r="E27" i="4"/>
  <c r="E171" i="4"/>
  <c r="E100" i="4"/>
  <c r="E12" i="4"/>
  <c r="E11" i="4" s="1"/>
  <c r="E107" i="4"/>
  <c r="E42" i="4"/>
  <c r="E57" i="4"/>
  <c r="E103" i="4"/>
  <c r="E79" i="4"/>
  <c r="E94" i="4"/>
  <c r="E115" i="4"/>
  <c r="E114" i="4" s="1"/>
  <c r="AH107" i="4" l="1"/>
  <c r="AH89" i="4" s="1"/>
  <c r="E164" i="4"/>
  <c r="E16" i="4"/>
  <c r="E93" i="4"/>
  <c r="E89" i="4" s="1"/>
  <c r="E112" i="4" s="1"/>
  <c r="E78" i="4"/>
  <c r="E9" i="4" l="1"/>
  <c r="E178" i="4" s="1"/>
  <c r="E177" i="4"/>
  <c r="AH112" i="4"/>
  <c r="AH177" i="4" s="1"/>
  <c r="AH9" i="4" l="1"/>
  <c r="AH178" i="4" s="1"/>
  <c r="W229" i="1"/>
  <c r="AF229" i="1"/>
  <c r="AH180" i="4" l="1"/>
  <c r="W89" i="1" l="1"/>
  <c r="AF89" i="1"/>
  <c r="AR89" i="1"/>
  <c r="AR255" i="1" l="1"/>
  <c r="W255" i="1" l="1"/>
  <c r="AF255" i="1"/>
  <c r="BL259" i="1"/>
  <c r="BL260" i="1"/>
  <c r="AQ260" i="1" l="1"/>
  <c r="B12" i="5"/>
  <c r="B8" i="5" s="1"/>
  <c r="BL261" i="1"/>
  <c r="AQ261" i="1" l="1"/>
  <c r="H89" i="1" l="1"/>
  <c r="AR61" i="1" l="1"/>
  <c r="W134" i="1" l="1"/>
  <c r="AR134" i="1"/>
  <c r="AF134" i="1" l="1"/>
  <c r="AF27" i="1" l="1"/>
  <c r="W27" i="1" l="1"/>
  <c r="AR27" i="1"/>
  <c r="W12" i="1"/>
  <c r="AR12" i="1" l="1"/>
  <c r="AF12" i="1"/>
  <c r="AR97" i="1" l="1"/>
  <c r="AF97" i="1"/>
  <c r="W97" i="1" l="1"/>
  <c r="W35" i="1"/>
  <c r="H27" i="1" l="1"/>
  <c r="H229" i="1"/>
  <c r="AR35" i="1"/>
  <c r="AF35" i="1"/>
  <c r="AR72" i="1" l="1"/>
  <c r="AF72" i="1"/>
  <c r="AF259" i="1"/>
  <c r="AR259" i="1" l="1"/>
  <c r="AF258" i="1"/>
  <c r="AF260" i="1"/>
  <c r="AF257" i="1"/>
  <c r="W72" i="1"/>
  <c r="W259" i="1"/>
  <c r="AR257" i="1"/>
  <c r="AR260" i="1"/>
  <c r="AR258" i="1"/>
  <c r="AF261" i="1" l="1"/>
  <c r="H72" i="1"/>
  <c r="W258" i="1"/>
  <c r="W260" i="1"/>
  <c r="W257" i="1"/>
  <c r="AR261" i="1"/>
  <c r="W261" i="1" l="1"/>
  <c r="H134" i="1" l="1"/>
  <c r="H259" i="1" l="1"/>
  <c r="H97" i="1"/>
  <c r="H257" i="1" l="1"/>
  <c r="H260" i="1"/>
  <c r="H258" i="1"/>
  <c r="H261" i="1" l="1"/>
  <c r="AS259" i="1"/>
  <c r="AS35" i="1"/>
  <c r="AS258" i="1" s="1"/>
  <c r="F258" i="1" s="1"/>
  <c r="AS257" i="1" l="1"/>
  <c r="D5" i="5" s="1"/>
  <c r="D7" i="5" s="1"/>
  <c r="F260" i="1"/>
  <c r="F261" i="1" s="1"/>
  <c r="AS260" i="1"/>
  <c r="B5" i="5" l="1"/>
  <c r="B7" i="5" s="1"/>
</calcChain>
</file>

<file path=xl/comments1.xml><?xml version="1.0" encoding="utf-8"?>
<comments xmlns="http://schemas.openxmlformats.org/spreadsheetml/2006/main">
  <authors>
    <author>Sandra Dzērve</author>
  </authors>
  <commentList>
    <comment ref="E145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bijušais privatizācijas fonds</t>
        </r>
      </text>
    </comment>
    <comment ref="E150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decembrī ieskaitīts par janvāri 54 954 €</t>
        </r>
      </text>
    </comment>
    <comment ref="E158" authorId="0">
      <text>
        <r>
          <rPr>
            <b/>
            <sz val="8"/>
            <color indexed="81"/>
            <rFont val="Times New Roman"/>
            <family val="1"/>
            <charset val="186"/>
          </rPr>
          <t>Sandra Dzērve:</t>
        </r>
        <r>
          <rPr>
            <sz val="8"/>
            <color indexed="81"/>
            <rFont val="Times New Roman"/>
            <family val="1"/>
            <charset val="186"/>
          </rPr>
          <t xml:space="preserve">
zveja - 9 103.62 €; ūdenstilpj.noma 73 791.38 €</t>
        </r>
      </text>
    </comment>
  </commentList>
</comments>
</file>

<file path=xl/sharedStrings.xml><?xml version="1.0" encoding="utf-8"?>
<sst xmlns="http://schemas.openxmlformats.org/spreadsheetml/2006/main" count="956" uniqueCount="793">
  <si>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</si>
  <si>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</si>
  <si>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</si>
  <si>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</si>
  <si>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</si>
  <si>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</si>
  <si>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</si>
  <si>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</si>
  <si>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</si>
  <si>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</si>
  <si>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</si>
  <si>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</si>
  <si>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</si>
  <si>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</si>
  <si>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</si>
  <si>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</si>
  <si>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</si>
  <si>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</si>
  <si>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</si>
  <si>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</si>
  <si>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</si>
  <si>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10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</si>
  <si>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</si>
  <si>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</si>
  <si>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</si>
  <si>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</si>
  <si>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</si>
  <si>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</si>
  <si>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</si>
  <si>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</si>
  <si>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</si>
  <si>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</si>
  <si>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</si>
  <si>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</si>
  <si>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</si>
  <si>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1.1.1.2.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</si>
  <si>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</si>
  <si>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</si>
  <si>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</si>
  <si>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</si>
  <si>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</si>
  <si>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</si>
  <si>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</si>
  <si>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</si>
  <si>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</si>
  <si>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</si>
  <si>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</si>
  <si>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</si>
  <si>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</si>
  <si>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</si>
  <si>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</si>
  <si>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</si>
  <si>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</si>
  <si>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</si>
  <si>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</si>
  <si>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</si>
  <si>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</si>
  <si>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</si>
  <si>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</si>
  <si>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8.6.1.0.</t>
  </si>
  <si>
    <t>8.6.1.2.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</si>
  <si>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</si>
  <si>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</si>
  <si>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</si>
  <si>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</si>
  <si>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</si>
  <si>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</si>
  <si>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</si>
  <si>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</si>
  <si>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9.5.1.3.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</si>
  <si>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</si>
  <si>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</si>
  <si>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</si>
  <si>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</si>
  <si>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</si>
  <si>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</si>
  <si>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</si>
  <si>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</si>
  <si>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</si>
  <si>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</si>
  <si>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</si>
  <si>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</si>
  <si>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</si>
  <si>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</si>
  <si>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</si>
  <si>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</si>
  <si>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</si>
  <si>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</si>
  <si>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</si>
  <si>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</si>
  <si>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</si>
  <si>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</si>
  <si>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</si>
  <si>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</si>
  <si>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</si>
  <si>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 xml:space="preserve">19.2.1.0. </t>
  </si>
  <si>
    <t>Ieņēmumi izglītības funkciju nodrošināšanai</t>
  </si>
  <si>
    <t>21.0.0.0.</t>
  </si>
  <si>
    <t>21.1.0.0.</t>
  </si>
  <si>
    <t>21.3.0.0.</t>
  </si>
  <si>
    <t>21.3.5.0.</t>
  </si>
  <si>
    <t>Maksa par izglītības pakalpojumiem</t>
  </si>
  <si>
    <t>21.3.5.1.</t>
  </si>
  <si>
    <t>21.3.5.2.</t>
  </si>
  <si>
    <t>Ieņēmumi no vecāku maksām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</si>
  <si>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</si>
  <si>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</si>
  <si>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</si>
  <si>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</si>
  <si>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</si>
  <si>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</si>
  <si>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</si>
  <si>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</si>
  <si>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</si>
  <si>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</si>
  <si>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</si>
  <si>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</si>
  <si>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</si>
  <si>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</si>
  <si>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</si>
  <si>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</si>
  <si>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</si>
  <si>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</si>
  <si>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</si>
  <si>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</si>
  <si>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</si>
  <si>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</si>
  <si>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</si>
  <si>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</si>
  <si>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</si>
  <si>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18.6.9.0.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</si>
  <si>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</si>
  <si>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</si>
  <si>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</si>
  <si>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</si>
  <si>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</si>
  <si>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izdevumi bez atlikuma gada beigās un atdotajiem kredītiem</t>
  </si>
  <si>
    <t>Pavisam kopā izdevumi</t>
  </si>
  <si>
    <t>Kopā pašvaldības konsolidētā budžeta ieņēmumi bez atlikumiem gada sākumā un plānotajiem kredītiem</t>
  </si>
  <si>
    <t>Kopā atlikums gada beigās, t.sk.:</t>
  </si>
  <si>
    <t>Mērķdotācija pedagogu atalgojumam</t>
  </si>
  <si>
    <t>Aizņēmumi</t>
  </si>
  <si>
    <t>Atlikums pārskaitītajam pamatkapitāla palielinājumam</t>
  </si>
  <si>
    <t>F40220010</t>
  </si>
  <si>
    <t>9.5.2.1.</t>
  </si>
  <si>
    <t>12.3.9.2.</t>
  </si>
  <si>
    <t>Maksājumi par konkursa vai izsoles nolikumu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</si>
  <si>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</si>
  <si>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</si>
  <si>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</si>
  <si>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</si>
  <si>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</si>
  <si>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</si>
  <si>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</si>
  <si>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>Kredīta atmaksa - Slokas pamatskolas ēkas rekonstrukcija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</si>
  <si>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</si>
  <si>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</si>
  <si>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atpūtnieku un tūristu uzņemšanu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</si>
  <si>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</si>
  <si>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</si>
  <si>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</si>
  <si>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</si>
  <si>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</si>
  <si>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</si>
  <si>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</si>
  <si>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</si>
  <si>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</si>
  <si>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</si>
  <si>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 xml:space="preserve">Procentu ieņēmumi par depozītiem </t>
  </si>
  <si>
    <t>Pašvaldību budžeta procentu ieņēmumi par noguldījumiem depozītā Valsts kasē (Latvijas Bankā) vai kredītiestādēs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</si>
  <si>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</si>
  <si>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</si>
  <si>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</si>
  <si>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</si>
  <si>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</si>
  <si>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</si>
  <si>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 xml:space="preserve">                                                                                        Tāmes Nr.</t>
  </si>
  <si>
    <t>Programma</t>
  </si>
  <si>
    <t>Nozares pēc valdības funkciju klasifikācijas / Budžeta finansēta institūcija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</si>
  <si>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</si>
  <si>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</si>
  <si>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</si>
  <si>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</si>
  <si>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</si>
  <si>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</si>
  <si>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</si>
  <si>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</si>
  <si>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</si>
  <si>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</si>
  <si>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</si>
  <si>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</si>
  <si>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</si>
  <si>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</si>
  <si>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</si>
  <si>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</si>
  <si>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</si>
  <si>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</si>
  <si>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</si>
  <si>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</si>
  <si>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</si>
  <si>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</si>
  <si>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</si>
  <si>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</si>
  <si>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Maksas pakalpojumu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</si>
  <si>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</si>
  <si>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</si>
  <si>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</si>
  <si>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</si>
  <si>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</si>
  <si>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Sociālā palīdzība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</si>
  <si>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</si>
  <si>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</si>
  <si>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</si>
  <si>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</si>
  <si>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</si>
  <si>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</si>
  <si>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</si>
  <si>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</si>
  <si>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</si>
  <si>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</si>
  <si>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</si>
  <si>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</si>
  <si>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Jūrmalas Kauguru vidusskola</t>
  </si>
  <si>
    <t>Majoru vidusskola</t>
  </si>
  <si>
    <t>Sākumskola "Ābelīte"</t>
  </si>
  <si>
    <t>Jūrmalas sākumskola "Taurenītis"</t>
  </si>
  <si>
    <t>Slokas pamatskola</t>
  </si>
  <si>
    <t>21.4.2.9.</t>
  </si>
  <si>
    <t>Pārējie iepriekš neklasificētie maksas pakalpojumi un pašu ieņēmumi</t>
  </si>
  <si>
    <t>Ieņēmumi no ēku un būvju īpašuma pārdošanas</t>
  </si>
  <si>
    <t>13.1.0.0.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</si>
  <si>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</si>
  <si>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</si>
  <si>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</si>
  <si>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</si>
  <si>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</si>
  <si>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</si>
  <si>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</si>
  <si>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</si>
  <si>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</si>
  <si>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</si>
  <si>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</si>
  <si>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13.2.2.0.</t>
  </si>
  <si>
    <t>Ieņēmumi no meža īpašuma pārdošanas</t>
  </si>
  <si>
    <t>Ieņēmumi no zemes, meža īpašuma pārdošanas</t>
  </si>
  <si>
    <t>13.4.0.0.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</si>
  <si>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</si>
  <si>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</si>
  <si>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</si>
  <si>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</si>
  <si>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</si>
  <si>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</si>
  <si>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</si>
  <si>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</si>
  <si>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</si>
  <si>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Mērķdotācija pašvaldību spec. skolu izdevumiem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</si>
  <si>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</si>
  <si>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</si>
  <si>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</si>
  <si>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</si>
  <si>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</si>
  <si>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Mērķdotācija grāmatu iegādei</t>
  </si>
  <si>
    <t>Pašvaldību saņemtie valsts budžeta transferti noteiktam mērķim</t>
  </si>
  <si>
    <t>Pašvaldību no valsts budžeta iestādēm saņemtie transferti Eiropas Savienības politiku instrumentu un pārējās ārvalstu finanšu palīdzības līdzfinansētajiem projektiem (pasākumiem)</t>
  </si>
  <si>
    <t xml:space="preserve">Pārējie pašvaldību saņemtie valsts budžeta iestāžu transferti </t>
  </si>
  <si>
    <t>Pašvaldību saņemtie transferti no citām pašvaldībām</t>
  </si>
  <si>
    <t>Pašvaldību saņemtie transferti no valsts budžeta</t>
  </si>
  <si>
    <t>Citi iepriekš neklasificētie pašu ieņēmumi</t>
  </si>
  <si>
    <t>Vidēja termiņa un ilgtermiņa aizņēmumi</t>
  </si>
  <si>
    <t>Dzintaru koncertzāles slēgtās zāles rekonstrukcijai/ restaurācijai Turaidas ielā 1, Jūrmalā</t>
  </si>
  <si>
    <t>Aspazijas mājas Nr.002 restaurācijai un ēkas Nr.001 rekonstrukcijai, saglabājot funkciju muzejs Z.Meirovica prospektā 18/20, Jūrmalā</t>
  </si>
  <si>
    <t>21.4.9.9.</t>
  </si>
  <si>
    <t>Pārējie iepriekš neklasificētie pašu ieņēmumi</t>
  </si>
  <si>
    <t>21.4.0.0.</t>
  </si>
  <si>
    <t>8.3.0.0.</t>
  </si>
  <si>
    <t>8.3.9.0.</t>
  </si>
  <si>
    <t>Ieņēmumi no dividendēm (ieņēmumi no valsts (pašvaldību) kapitāla izmantošanas)</t>
  </si>
  <si>
    <t>Pārējie ieņēmumi no dividendēm (ieņēmumi no valsts (pašvaldību) kapitāla izmantosanas)</t>
  </si>
  <si>
    <t>Kredīta atmaksa - Kompleksi risinājumi siltumnīcefekta gāzu emisiju samazināšanai Jūrmalas pašvaldības izglītības iestāžu ēkās</t>
  </si>
  <si>
    <t>Vidēja termiņa aizņēmumi</t>
  </si>
  <si>
    <t>Ilgtermiņa aizņēmumi</t>
  </si>
  <si>
    <t xml:space="preserve">Projekts "Jūrmalas pilsētas tranzītielas P 128 (Talsu šoseja/Kolkas iela) izbūve" </t>
  </si>
  <si>
    <t>Bērnudārza jaunbūve Tukuma ielā 9, Jūrmalā</t>
  </si>
  <si>
    <t>Jūrmalas Valsts ģimnāzijas un sākumskolas "Atvase" daudzfunkcionālās sporta halles projektēšana un celtniecība</t>
  </si>
  <si>
    <t>Pilsētas kultūrvēsturiskā mantojuma saglabāšana</t>
  </si>
  <si>
    <t>Budžeta finansētas institūcijas reģistrācijas  Nr.</t>
  </si>
  <si>
    <t>Brīvpusdienu nodrošināšana</t>
  </si>
  <si>
    <t>Jūrmalas pilsētas internātpamatskola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</si>
  <si>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</si>
  <si>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</si>
  <si>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</si>
  <si>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</si>
  <si>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</si>
  <si>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Kredīta atmaksa - Mācību korpusa lit.002 rekonstrukcija bez apjoma palielināšanas Dūņu ceļš 2, Jūrmalā</t>
  </si>
  <si>
    <t>Notekūdeņu apsaimniekošana (meliorācijas sistēmas apsaimniekošana)</t>
  </si>
  <si>
    <t>Metadona kabinets</t>
  </si>
  <si>
    <t>Reģionālā metodiskā centra un pedagogu tālākizglītības centra darbības nodrošināšana</t>
  </si>
  <si>
    <t>Iestādes uzturēšana,interešu un profesionālās ievirzes izglītības nodrošināšana</t>
  </si>
  <si>
    <t>Projekts "Atcere – totalitārisms Eiropā un vēsturiskā apziņa Eiropas kontekstā"</t>
  </si>
  <si>
    <t>Saņemts  no Valsts kases sadales konta pārskata gadā ieskaitītais iedzīvotāju ienākuma nodoklis</t>
  </si>
  <si>
    <t>Ieņēmumi no valsts un pašvaldību kustamā īpašuma un mantas realizācijas</t>
  </si>
  <si>
    <t>Ielu asfalta seguma kapitālajam remontam</t>
  </si>
  <si>
    <t>Mācību korpusa lit.002 rekonstrukcijai bez apjoma palielināšanas Dūņu ceļā 2, Jūrmalā</t>
  </si>
  <si>
    <t>Ēkas lit.002 rekonstrukcija par mākslas skolu Strēlnieku pr.30 un Jāņa Poruka prospekta izbūve posmā no Friča Brīvzemnieka ielas līdz sporta zālei "Taurenītis"</t>
  </si>
  <si>
    <t>Mērķdotācija pedagogu atalgojumam profesionālās ievirzes izglītības programmu finansēšanai</t>
  </si>
  <si>
    <t>Kredīta atmaksa - Bērnudārza jaunbūve Tukuma ielā 9, Jūrmalā</t>
  </si>
  <si>
    <t>Kredīta atmaksa - Ēkas rekonstrukcija ar funkcijas maiņu par sociālās aprūpes ēku ar publiski pieejamām telpām 1.stāvā Skolas ielā 44</t>
  </si>
  <si>
    <t>Kredīta atmaksa - Aspazijas mājas Nr.002 restaurācija un ēkas Nr.001 rekonstrukcija, saglabājot funkciju muzejs Z.Meierovica prospektā 18/20, Jūrmalā</t>
  </si>
  <si>
    <t>Kredīta atmaksa - Jūrmalas Valsts ģimnāzijas un sākumskolas "Atvase" daudzfunkcionālās sporta halles projektēšana un celtniecība</t>
  </si>
  <si>
    <t>Kredīta atmaksa - Jūrmalas pilsētas tranzītielas P128 (Talsu šoseja/Kolkas iela) izbūve</t>
  </si>
  <si>
    <t>Sporta skolas pasākumi</t>
  </si>
  <si>
    <t>Kredīta atmaksa - Dzintaru koncertzāles slēgtās zāles rekonstrukcija/restaurācija Turaidas ielā 1, Jūrmalā</t>
  </si>
  <si>
    <t>Kredīta atmaksa - Ēkas lit.002 rekonstrukcija par Mākslas skolu Strēlnieku prospektā 30 un Jāņa Poruka prospekta izbūve posmā no Friča Brīvzemnieka ielas līdz sporta zālei "Taurenītis" Jūrmalā</t>
  </si>
  <si>
    <t>Kredīta atmaksa - Kompleksi risinājumi siltumnīcefekta gāzu emisiju samazināšanai Jūrmalas pilsētas Mežmalas vidusskolā</t>
  </si>
  <si>
    <t>Aizņēmumu atmaksa F40020020</t>
  </si>
  <si>
    <t>Jūrmalas ūdenssaimniecības projekts III kārta</t>
  </si>
  <si>
    <t>Jūrmalas ūdenssaimniecības projekts II kārta</t>
  </si>
  <si>
    <t>5.5.3.1.</t>
  </si>
  <si>
    <t>Dabas resursu nodoklis par dabas resursu ieguvi un vides piesārņošanu</t>
  </si>
  <si>
    <t>Procentu ieņēmumi par kontu atlikumiem</t>
  </si>
  <si>
    <t>8.6.2.0.</t>
  </si>
  <si>
    <t>8.6.2.2.</t>
  </si>
  <si>
    <t>Pašvaldību budžeta procentu ieņēmumi par kontu atlikumiem Valsts kasē (Latvijas Bankā) vai kredītiestādēs</t>
  </si>
  <si>
    <t>10.3.0.0.</t>
  </si>
  <si>
    <t>Soda sankcijas par vispārējiem nodokļu maksāšanas pārkāpumiem</t>
  </si>
  <si>
    <t>Pilsētas ekonomiskās attīstības pasākumi</t>
  </si>
  <si>
    <t>Pašvaldības autobusa uzturēšanas izdevumi</t>
  </si>
  <si>
    <t>Centralizēti pasākumi</t>
  </si>
  <si>
    <t>Administratīvo ēku būvniecība, atjaunošana un uzlabošana</t>
  </si>
  <si>
    <t>Glābšanas staciju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</si>
  <si>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</si>
  <si>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</si>
  <si>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</si>
  <si>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</si>
  <si>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</si>
  <si>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</si>
  <si>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</si>
  <si>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</si>
  <si>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</si>
  <si>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</si>
  <si>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</si>
  <si>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</si>
  <si>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</si>
  <si>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</si>
  <si>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</si>
  <si>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</si>
  <si>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</si>
  <si>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</si>
  <si>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</si>
  <si>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</si>
  <si>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</si>
  <si>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9.5.1.9.</t>
  </si>
  <si>
    <t>Pašvaldības nodeva par pašvaldības simbolikas izmantošanu</t>
  </si>
  <si>
    <t>12.3.1.0.</t>
  </si>
  <si>
    <t>12.3.1.2.</t>
  </si>
  <si>
    <t>Ieņēmumi no privatizācijs</t>
  </si>
  <si>
    <t>Ieņēmumi no dzīvojamo māju privatizācijas</t>
  </si>
  <si>
    <t>19.1.0.0.</t>
  </si>
  <si>
    <t>Pašvaldības budžeta iekšējie transferti starp vienas pašvaldības budžeta veidiem</t>
  </si>
  <si>
    <t>Jūrmalas pilsētas muzeja filiāles, Aspazijas mājas digitālās ekspozīcijas ieviešana</t>
  </si>
  <si>
    <t>Mājas aprūpes un pavadoņu pakalpojuma nodrošināšana</t>
  </si>
  <si>
    <t>Iepriekšējo gadu pamatkapitāla palielināšana</t>
  </si>
  <si>
    <t>Pilsētas teritoriju labiekārtošanas pasākumi</t>
  </si>
  <si>
    <t>Pilsētas ielu apgaismojuma nodrošināšana</t>
  </si>
  <si>
    <t>Pilsētas kultūras un atpūtas pasākumi</t>
  </si>
  <si>
    <t>Lielupes vidusskolas rekonstrukcija 2 kārtās (t.sk. sporta zāles būvniecība), (2.kārtas projektēšana, skolas ēkas būvniecība)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</si>
  <si>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</si>
  <si>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</si>
  <si>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</si>
  <si>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</si>
  <si>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</si>
  <si>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</si>
  <si>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Projekts "Kompleksi risinājumi siltumnīcefekta gāzu emisiju samazināšanai Jūrmalas pilsētas Mežmalas vidusskolā"</t>
  </si>
  <si>
    <t>F40020010</t>
  </si>
  <si>
    <t>Procentu ieņēmumi par depozītiem, kontu atlikumiem, valsts parāda vērtspapīriem un atlikto maksājumu</t>
  </si>
  <si>
    <t>Valsts nodevas par laulības reģistrāciju, civilstāvokļa aktu reģistra ieraksta aktualizēšanu vai atjaunošanu un atkārtotas civilstāvokļa aktu reģistrācijas apliecības izsniegšanu</t>
  </si>
  <si>
    <t>IESTĀDES IEŅĒMUMI</t>
  </si>
  <si>
    <t>Iestādes ieņēmumi no ārvalstu finanšu palīdzības</t>
  </si>
  <si>
    <t>Ieņēmumi no iestāžu sniegtajiem maksas pakalpojumiem un citi pašu ieņēmumi</t>
  </si>
  <si>
    <t>Ieņēmumi par pārējiem iestāžu sniegtajiem maksas pakalpojumiem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</si>
  <si>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</si>
  <si>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</si>
  <si>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</si>
  <si>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</si>
  <si>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</si>
  <si>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</si>
  <si>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</si>
  <si>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Ostas būvniecība, atjaunošana un uzlabošana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</si>
  <si>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</si>
  <si>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</si>
  <si>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</si>
  <si>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</si>
  <si>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</si>
  <si>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</si>
  <si>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Projekts "PROTI un DARI"</t>
  </si>
  <si>
    <t>"LATVIJAS STARPTAUTISKĀ SKOLA"</t>
  </si>
  <si>
    <t>Jūrmalas pilsētas pašvaldības iestāde "Sprīdītis"</t>
  </si>
  <si>
    <t>Sabiedrība ar ierobežotu atbildību "Jūrmalas ūdens"</t>
  </si>
  <si>
    <t>Ledus laukuma noma</t>
  </si>
  <si>
    <t>Mēķdotācija māksliniecisko kolektīvu vadītājiem (Mūz.sk.)</t>
  </si>
  <si>
    <t>Projekts "Eiropas galda klāšana"</t>
  </si>
  <si>
    <t>Kredīta atmaksa - SIA "Jūrmalas ūdens" pamatkapitāla palielināšanai, Jūrmalas ūdenssaimniecības attīstības projekta II kārta īstenošanai</t>
  </si>
  <si>
    <t>Kredīta atmaksa - SIA "Jūrmalas ūdens" pamatkapitāla palielināšanai, Jūrmalas ūdenssaimniecības attīstības projekta III kārta īstenošanai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</si>
  <si>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</si>
  <si>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</si>
  <si>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</si>
  <si>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</si>
  <si>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</si>
  <si>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</si>
  <si>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01.2.1.</t>
  </si>
  <si>
    <t>03.1.1.</t>
  </si>
  <si>
    <t>03.1.2.</t>
  </si>
  <si>
    <t>03.1.3.</t>
  </si>
  <si>
    <t>03.4.1.</t>
  </si>
  <si>
    <t>04.1.1.,
04.1.2.</t>
  </si>
  <si>
    <t>04.1.3.</t>
  </si>
  <si>
    <t>04.1.4.</t>
  </si>
  <si>
    <t>04.1.5.</t>
  </si>
  <si>
    <t>04.1.6.</t>
  </si>
  <si>
    <t>04.1.7.</t>
  </si>
  <si>
    <t>04.1.9.</t>
  </si>
  <si>
    <t>04.1.10.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</si>
  <si>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</si>
  <si>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</si>
  <si>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</si>
  <si>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</si>
  <si>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</si>
  <si>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</si>
  <si>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</si>
  <si>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</si>
  <si>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</si>
  <si>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</si>
  <si>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</si>
  <si>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</si>
  <si>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</si>
  <si>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</si>
  <si>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</si>
  <si>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</si>
  <si>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</si>
  <si>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</si>
  <si>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</si>
  <si>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</si>
  <si>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</si>
  <si>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</si>
  <si>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</si>
  <si>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</si>
  <si>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10.1.1.</t>
  </si>
  <si>
    <t>03.2.1.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</si>
  <si>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</si>
  <si>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</si>
  <si>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</si>
  <si>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</si>
  <si>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</si>
  <si>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</si>
  <si>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</si>
  <si>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</si>
  <si>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07.2.2.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</si>
  <si>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</si>
  <si>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</si>
  <si>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</si>
  <si>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</si>
  <si>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</si>
  <si>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</si>
  <si>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</si>
  <si>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</si>
  <si>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</si>
  <si>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</si>
  <si>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</si>
  <si>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</si>
  <si>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</si>
  <si>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</si>
  <si>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</si>
  <si>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</si>
  <si>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08.6.2.</t>
  </si>
  <si>
    <t>08.6.3.</t>
  </si>
  <si>
    <t>08.7.1.</t>
  </si>
  <si>
    <t>08.7.2.</t>
  </si>
  <si>
    <t>09.2.1.</t>
  </si>
  <si>
    <t>09.2.2.</t>
  </si>
  <si>
    <t>09.3.1.</t>
  </si>
  <si>
    <t>09.3.2.</t>
  </si>
  <si>
    <t>09.3.3.</t>
  </si>
  <si>
    <t>09.4.1.</t>
  </si>
  <si>
    <t>09.5.1.</t>
  </si>
  <si>
    <t>09.5.2.</t>
  </si>
  <si>
    <t>09.5.3.</t>
  </si>
  <si>
    <t>09.5.4.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</si>
  <si>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</si>
  <si>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</si>
  <si>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</si>
  <si>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</si>
  <si>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</si>
  <si>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</si>
  <si>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</si>
  <si>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</si>
  <si>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</si>
  <si>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</si>
  <si>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</si>
  <si>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</si>
  <si>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</si>
  <si>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</si>
  <si>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</si>
  <si>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</si>
  <si>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</si>
  <si>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</si>
  <si>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</si>
  <si>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</si>
  <si>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</si>
  <si>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</si>
  <si>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</si>
  <si>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</si>
  <si>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</si>
  <si>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</si>
  <si>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</si>
  <si>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</si>
  <si>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</si>
  <si>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</si>
  <si>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</si>
  <si>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</si>
  <si>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</si>
  <si>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</si>
  <si>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09.23.3.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</si>
  <si>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</si>
  <si>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</si>
  <si>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</si>
  <si>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</si>
  <si>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</si>
  <si>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</si>
  <si>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</si>
  <si>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</si>
  <si>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</si>
  <si>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</si>
  <si>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</si>
  <si>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09.30.1.</t>
  </si>
  <si>
    <t>09.31.1.</t>
  </si>
  <si>
    <t>09.31.2.</t>
  </si>
  <si>
    <t>09.32.1.</t>
  </si>
  <si>
    <t>09.32.2.</t>
  </si>
  <si>
    <t>09.33.1.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</si>
  <si>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</si>
  <si>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</si>
  <si>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</si>
  <si>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</si>
  <si>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</si>
  <si>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</si>
  <si>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</si>
  <si>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</si>
  <si>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10.3.2.</t>
  </si>
  <si>
    <t>10.3.4.</t>
  </si>
  <si>
    <t>10.3.5.</t>
  </si>
  <si>
    <t>10.3.6.</t>
  </si>
  <si>
    <t>10.3.7.</t>
  </si>
  <si>
    <t>10.4.1.</t>
  </si>
  <si>
    <t>10.4.2.</t>
  </si>
  <si>
    <t>10.5.1.</t>
  </si>
  <si>
    <t>Konsolidējamie izdevumi</t>
  </si>
  <si>
    <t>4.pielikums</t>
  </si>
  <si>
    <t>5.pielikums</t>
  </si>
  <si>
    <t>6.pielikums</t>
  </si>
  <si>
    <t>7.pielikums</t>
  </si>
  <si>
    <t>13.pielikums</t>
  </si>
  <si>
    <t>8.pielikums</t>
  </si>
  <si>
    <t>3.pielikums</t>
  </si>
  <si>
    <t>21.pielikums</t>
  </si>
  <si>
    <t>15.pielikums</t>
  </si>
  <si>
    <t>10.pielikums</t>
  </si>
  <si>
    <t>04.2.1.</t>
  </si>
  <si>
    <t>26.pielikums</t>
  </si>
  <si>
    <t>27.pielikums</t>
  </si>
  <si>
    <t>24.pielikums</t>
  </si>
  <si>
    <t>Jūrmalas Valsts ģimnāzijas sporta halles uzturēšana</t>
  </si>
  <si>
    <t>Jūrmalas Sporta servisa centrs</t>
  </si>
  <si>
    <t>25.pielikums</t>
  </si>
  <si>
    <t>29.pielikums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</si>
  <si>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</si>
  <si>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</si>
  <si>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</si>
  <si>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</si>
  <si>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</si>
  <si>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</si>
  <si>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Projekts „Atbalsts integrētu teritoriālo investīciju īstenošanai Jūrmalas pilsētas pašvaldībā”</t>
  </si>
  <si>
    <t>01.1.8.</t>
  </si>
  <si>
    <t>Jūrmalas ūdenssaimniecības projekts IV kārta</t>
  </si>
  <si>
    <t>Procentu maksājumi Valsts kasei</t>
  </si>
  <si>
    <t>Pārējo sociālo iestāžu būvniecība, atjaunošana un uzlabošana</t>
  </si>
  <si>
    <t>Pamatkapitāla palielināšana</t>
  </si>
  <si>
    <t>06.1.7.,
06.1.8.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</si>
  <si>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</si>
  <si>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</si>
  <si>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</si>
  <si>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</si>
  <si>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Ieņēmumi</t>
  </si>
  <si>
    <t>Izdevumi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</si>
  <si>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</si>
  <si>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</si>
  <si>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</si>
  <si>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</si>
  <si>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</si>
  <si>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</si>
  <si>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</si>
  <si>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</si>
  <si>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</si>
  <si>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r>
      <t>Jūrmalas pilsētas pašvaldības budžeta izdevumi 2017.gadam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</si>
  <si>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Asignējumu apjoms 2017.gadam</t>
  </si>
  <si>
    <r>
      <t>Jūrmalas pilsētas pašvaldības 2017.gada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</si>
  <si>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 xml:space="preserve">Projekts "Eiropas jaunieši aktīvā mācīšanās procesā" </t>
  </si>
  <si>
    <t>Jūrmalas pilsētas pašvaldības iestāde "Jūrmalas veselības veicināšanas un sociālo pakalpojumu centrs"</t>
  </si>
  <si>
    <t>Jūrmalas pilsētas pāsvaldības iestāde "Jūrmalas kapi"</t>
  </si>
  <si>
    <t>Jūrmalas pilsētas Lielupes pamatskola</t>
  </si>
  <si>
    <t>Ķemeru pamatskola</t>
  </si>
  <si>
    <t>Projekts "Algoti pagaidu sabiedriskie darbi 2016"</t>
  </si>
  <si>
    <t>Projekts "Skolotāja profesionālā pilnveide"</t>
  </si>
  <si>
    <t>Projekts "Sniegt iespēju bērniem/EmpowerKids"</t>
  </si>
  <si>
    <t>Projekts "Antropogēnās slodzes mazināšana dabas liegumā "Lielupes grīvas pļavās", izveidojot trīs labiekārtotas peldvietas pie Lielupes"</t>
  </si>
  <si>
    <t>Projekts "Antropogēnās slodzes un klimata pārmaiņu mazināšana izmantojot vides resursus - uzstādot ar alternatīvo enerģiju darbināmas laternas piecās izejās uz jūras pludmali"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</si>
  <si>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</si>
  <si>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nodeva par būvatļaujas saņemšanu vai būvniecības ieceres akceptu</t>
  </si>
  <si>
    <t>Pašvaldības un tās iestāžu savstarpējie transferti</t>
  </si>
  <si>
    <t>Jūrmalas pludmales centra uzturēšana</t>
  </si>
  <si>
    <t>Līdzfinansējums privātajām  izglītības iestādēm</t>
  </si>
  <si>
    <t>Kultūrizglītības un vides  izglītības pasākumi</t>
  </si>
  <si>
    <t>04.1.8.</t>
  </si>
  <si>
    <t>14.pielikums</t>
  </si>
  <si>
    <t>20.pielikums</t>
  </si>
  <si>
    <t>08.1.8.</t>
  </si>
  <si>
    <t>09.1.6.</t>
  </si>
  <si>
    <t>09.1.7.</t>
  </si>
  <si>
    <t>Jūrmalas pilsētas vēlēšanu komisija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</si>
  <si>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</si>
  <si>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</si>
  <si>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</si>
  <si>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</si>
  <si>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Procentu ieņēmumi par atlikto maksājumu no vēl nesamaksātās pirkuma daļas</t>
  </si>
  <si>
    <t>Ceļu un to kompleksa investīciju projektiem</t>
  </si>
  <si>
    <t>Dubultu kultūras un izglītības centra Strēlnieku prospektā 30, Jūrmalā būvniecība</t>
  </si>
  <si>
    <t>Mērķdotācija pansionāta iemītniekiem</t>
  </si>
  <si>
    <t>21.1.9.4.</t>
  </si>
  <si>
    <t xml:space="preserve">Ieņēmumi no vadošā partnera partneru grupas īstenotajiem Eiropas Savienības politiku instrumentu </t>
  </si>
  <si>
    <t>Līdzfinansējuma nodrošināšana konferenču, semināru un starpnozaru pasākumu īstenošanai</t>
  </si>
  <si>
    <t>01.3.1.</t>
  </si>
  <si>
    <t>01.3.2.</t>
  </si>
  <si>
    <t>01.3.3.</t>
  </si>
  <si>
    <t>01.3.4.</t>
  </si>
  <si>
    <t>04.3.4.</t>
  </si>
  <si>
    <t>Veselības aprūpes pieejamības palielināšana</t>
  </si>
  <si>
    <t>09.20.2.</t>
  </si>
  <si>
    <t>Pašvaldības budžeta norēķini ar valsts budžetu</t>
  </si>
  <si>
    <t>01.3.5.</t>
  </si>
  <si>
    <t>01.1.7.</t>
  </si>
  <si>
    <t>10., 15.pielikums</t>
  </si>
  <si>
    <t>08.1.11.</t>
  </si>
  <si>
    <t>08.1.12.</t>
  </si>
  <si>
    <t>04.1.13.</t>
  </si>
  <si>
    <t>04.1.14.</t>
  </si>
  <si>
    <t>04.1.15.</t>
  </si>
  <si>
    <t>04.2.2.</t>
  </si>
  <si>
    <t>05.2.3.</t>
  </si>
  <si>
    <t>06.1.9.</t>
  </si>
  <si>
    <t>06.1.10.</t>
  </si>
  <si>
    <t>08.1.9.</t>
  </si>
  <si>
    <t>08.5.6.</t>
  </si>
  <si>
    <t>09.2.3.</t>
  </si>
  <si>
    <t>09.4.2.</t>
  </si>
  <si>
    <t>09.6.3.</t>
  </si>
  <si>
    <t>10.2.9.</t>
  </si>
  <si>
    <t>10.3.3.</t>
  </si>
  <si>
    <t>15., 18., 19.pielikums</t>
  </si>
  <si>
    <t>18.pielikums</t>
  </si>
  <si>
    <t xml:space="preserve">16., 17.pielikums </t>
  </si>
  <si>
    <t>28.pielikums</t>
  </si>
  <si>
    <t>22.pielikums</t>
  </si>
  <si>
    <t>24., 25.pielikums</t>
  </si>
  <si>
    <t>23., 24.pielikums</t>
  </si>
  <si>
    <t>23., 24., 25.pielikums</t>
  </si>
  <si>
    <t>Projekts "Exploring Nature and Environmental Issues"</t>
  </si>
  <si>
    <t>Projekts "Latvijas starptautiskās konkurētspējas veicināšana tūrismā/ 2017.gada aktivitātes"</t>
  </si>
  <si>
    <t>Pasākumi kvalitatīvas un daudzveidīgas izglītības attīstībai un atbalstam</t>
  </si>
  <si>
    <t>10.6.1.</t>
  </si>
  <si>
    <t>Jūrmalas pilsētas pašvaldības 2017.-2019.gada Ceļu fonda izlietojuma programma</t>
  </si>
  <si>
    <t xml:space="preserve">Pašvaldības sabiedrība ar ierobežotu atbildību "Veselības un sociālās aprūpes centrs-Sloka" </t>
  </si>
  <si>
    <t>Projekts "Latvijas starptautiskās konkurētspējas veicināšana tūrismā/izstādes-2016"</t>
  </si>
  <si>
    <t>Projekts "Moderns un pievilcīgs mazo ostu tīkls ar interaktīvu pārrobežu informācijas sistēmu, kopēju mārketingu un uzlabotiem ostu pakalpojumiem/Smart ports"</t>
  </si>
  <si>
    <t>Sociālo pakalpojumu centra "Ķemeri" darbības nodrošināšana</t>
  </si>
  <si>
    <t>Pirmsskolas izglītības iestādes "Bitīte" pārbūve</t>
  </si>
  <si>
    <t>Mellužu estrādes un Piena paviljona/bāra ēkas atjaunošana, t.sk.teritorijas labiekārtošana</t>
  </si>
  <si>
    <t>Jūrmalas pilsētas Lielupes pamatskolas ēku Jūrmalas Valsts ģimnāzijas telpu pārbūve, sporta zāles būvniecība Aizputes ielā 1A, Jūrmalā</t>
  </si>
  <si>
    <t>Atpūtu un sportu veicinošas infrastruktūras izveide, atjaunošana un labiekārtošana</t>
  </si>
  <si>
    <t>Jūrmalas pilsētas pašvaldības 2017.-2019.gada Ceļu fonda izlietojuma programma: Kredīta atmaksa - Ielu asfalta seguma kapitālais remonts</t>
  </si>
  <si>
    <t>Jūrmalas pilsētas pašvaldības 2017.-2019.gada Ceļu fonda izlietojuma programma: Kredīta atmaksa - Raiņa ielas rekonstrukcija posmā no Satiksmes ielas līdz Nometņu ielai</t>
  </si>
  <si>
    <t>Kredīta atmaksa - Raiņa ielas rekonstrukcija posmā no Satiksmes ielas līdz Nometņu ielai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</si>
  <si>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</si>
  <si>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</si>
  <si>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</si>
  <si>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</si>
  <si>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</si>
  <si>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</si>
  <si>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</si>
  <si>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</si>
  <si>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</si>
  <si>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</si>
  <si>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</si>
  <si>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</si>
  <si>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</si>
  <si>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04.1.11., 04.1.12.</t>
  </si>
  <si>
    <t>08.1.10., 08.1.13.</t>
  </si>
  <si>
    <t>09.1.8., 09.1.11.</t>
  </si>
  <si>
    <t>2017.gada budžets</t>
  </si>
  <si>
    <t>2017.gada budžets kopā ar konsolidāciju</t>
  </si>
  <si>
    <t>11</t>
  </si>
  <si>
    <t xml:space="preserve"> 1.pielikums Jūrmalas pilsētas domes</t>
  </si>
  <si>
    <t>2016.gada 16.decembra saistošajiem noteikumiem Nr.47</t>
  </si>
  <si>
    <t>(protokols Nr.19, 19.punkts)</t>
  </si>
  <si>
    <t>2017.gada budžets, apstiprināts</t>
  </si>
  <si>
    <t>2017.gada budžets, izmaiņas kopā</t>
  </si>
  <si>
    <t>Konsolidē-jamie ieņēmumi, apstiprināti</t>
  </si>
  <si>
    <t>2017.gada budžets kopā ar konsolidāciju, apstiprināts</t>
  </si>
  <si>
    <t>Konsolidējamie ieņēmumi, izmaiņas kopā</t>
  </si>
  <si>
    <t>2.pielikums Jūrmalas pilsētas domes</t>
  </si>
  <si>
    <t>Kopā, apstiprināts</t>
  </si>
  <si>
    <t>Pamatbudžets, apstiprināts</t>
  </si>
  <si>
    <t>Pamatbudžets, izmaiņas kopā</t>
  </si>
  <si>
    <t>SN/Rīkojuma Nr.</t>
  </si>
  <si>
    <t>Maksas pakalpojumi, apstiprināti</t>
  </si>
  <si>
    <t>Maksas pakalpojumi, izmaiņas kopā</t>
  </si>
  <si>
    <t>Ziedojumi, apstiprināti</t>
  </si>
  <si>
    <t>Ziedojumi, izmaiņas kopā</t>
  </si>
  <si>
    <t>Konsolidējamie izdevumi, apstiprināti</t>
  </si>
  <si>
    <t>Konsolidējamie izdevumi, izmaiņas kopā</t>
  </si>
  <si>
    <t>Atlikums no projektu līdzekļiem (Dome)</t>
  </si>
  <si>
    <t>Atlikums no projektu līdzekļiem (iestāžu kontos)</t>
  </si>
  <si>
    <t>Projekts  "Dažādu metožu izmantošana dabaszinātņu mācīšanā, lai veicinātu skolēnu motivāciju un uzlabotu viņu izglītības līmeni"</t>
  </si>
  <si>
    <t>09.31.3.</t>
  </si>
  <si>
    <t>09.1.9.,
09.1.10.,
09.1.12.</t>
  </si>
  <si>
    <t>Projekts "Tālmācības materiālu izveidošana vakarskolas skolēniem"</t>
  </si>
  <si>
    <t>09.32.3.</t>
  </si>
  <si>
    <t>Projekts "Be prepared"</t>
  </si>
  <si>
    <t>09.4.3.</t>
  </si>
  <si>
    <t>Projekts "Iedvesmojies.Mācies.Radi!"</t>
  </si>
  <si>
    <t>09.23.4.</t>
  </si>
  <si>
    <t>Mērķdotācija reģionālā metodiskā centra darbības nodrošināšanai</t>
  </si>
  <si>
    <t>Mērķdotācija mācību līedzekļu iegādei</t>
  </si>
  <si>
    <t>Kredīti valsts kases kontos</t>
  </si>
  <si>
    <t>Projekts "Deinstitucionalizācija un sociālie pakalpojumi personām ar invaliditāti un bērniem"</t>
  </si>
  <si>
    <t>10.2.10.</t>
  </si>
  <si>
    <t>R 09.01. Nr.1.1-14/9, R 16.01. Nr.1.1-14/21, R 20.01. Nr.1.1-14/23, R 25.01. Nr.1.1-14/40</t>
  </si>
  <si>
    <t>SN 30.01. Nr.10</t>
  </si>
  <si>
    <t>Pasākums "Algoti pagaidu sabiedriskie darbi 2017"</t>
  </si>
  <si>
    <t>04.1.16.</t>
  </si>
  <si>
    <t>06.1.11.</t>
  </si>
  <si>
    <t>Projekts "SUNShINE paātrināšana (Accelerate SUNShINE)"</t>
  </si>
  <si>
    <t>Projekts "Jūrmalas Mākslas skolas keramikas un veidošanas stundu mācību procesa kvalitatīva nodrošināšana un pilnveidošana"</t>
  </si>
  <si>
    <t>09.10.3.</t>
  </si>
  <si>
    <t>Projekts ''Pasākumi vietējās sabiedrības veselības veicināšanai un slimību profilaksei Jūrmalā''</t>
  </si>
  <si>
    <t>R 31.01. Nr.1.1-14/43, R 07.02. Nr.1.1-14/53, R 14.02. Nr.1.1-14/58, R 21.02. Nr.1.1-14/69, R 10.03. Nr.1.1-14/92, R xx.03. Nr.1.1-14/xx</t>
  </si>
  <si>
    <t>Projekts "Izstādes "Bērns kūrortā" modernizācija un pieejamības veicināšana"</t>
  </si>
  <si>
    <t>08.6.4.</t>
  </si>
  <si>
    <t>Projekts ''Karjeras atbalsts vispārējās un profesionālās izglītības iestādēs''</t>
  </si>
  <si>
    <t>09.1.13.</t>
  </si>
  <si>
    <t>09.5.5.</t>
  </si>
  <si>
    <t>09.11.3.</t>
  </si>
  <si>
    <t>09.27.3.</t>
  </si>
  <si>
    <t>SN 23.03. Nr.14</t>
  </si>
  <si>
    <t>07.1.4.</t>
  </si>
  <si>
    <t>09.4.4.</t>
  </si>
  <si>
    <t>Sporta veidu attīstība</t>
  </si>
  <si>
    <t>Projekts "Eurodesk reģionālā koordinatora pakalpojumi 2017.gadā"</t>
  </si>
  <si>
    <t>09.4.5.</t>
  </si>
  <si>
    <t>Projekts "Fingerprint of Cultures"/"Kultūras pirkstu nospiedums"</t>
  </si>
  <si>
    <t>Valsts un citu pašvaldību (iestāžu) budžeta transferti, apstiprināti</t>
  </si>
  <si>
    <t>Valsts un citu pašvaldību (iestāžu) budžeta transferti</t>
  </si>
  <si>
    <t>Valsts un citu pašvaldību (iestāžu) budžeta transferti, izmaiņas kopā</t>
  </si>
  <si>
    <t>12.pielikums
34.pielikums</t>
  </si>
  <si>
    <t>9.pielikums, 11.pielikums, 12.pielikums, 33.pielikums, 34.pielikums</t>
  </si>
  <si>
    <t xml:space="preserve">19.2.2.0. </t>
  </si>
  <si>
    <t>Ieņēmumi sociālo un veselības funkciju nodrošināšanai</t>
  </si>
  <si>
    <t>Projekts "Tikai uz augšu!"</t>
  </si>
  <si>
    <t>09.1.14.</t>
  </si>
  <si>
    <t>SN 27.04.2017. Nr.19</t>
  </si>
  <si>
    <t>SN 27.04. Nr.19</t>
  </si>
  <si>
    <t>Projekts "Jūrmalas Mūzikas vidusskolas stundu kvalitatīva mācību procesa nodrošināšana un audzēkņu konkurētspējas paaugstināšana"</t>
  </si>
  <si>
    <t>09.12.2.</t>
  </si>
  <si>
    <t>10.3.1., 10.3.8.</t>
  </si>
  <si>
    <t>R 16.05. Nr.1.1-14/177, R 19.05. Nr.1.1-14/183, R 30.05. Nr.1.1-14/196, R 06.05. Nr.1.1-14/207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</si>
  <si>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</si>
  <si>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</si>
  <si>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</si>
  <si>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</si>
  <si>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Projekts "Vēro, dalies, audz"</t>
  </si>
  <si>
    <t>09.9.3.</t>
  </si>
  <si>
    <t>SN 09.06. Nr.21</t>
  </si>
  <si>
    <t>SN 09.06.2017. Nr.21</t>
  </si>
  <si>
    <t>nākamie</t>
  </si>
  <si>
    <t>R 21.06. Nr.1.1-14/219, R 05.07. Nr.1.1-14/234, R 06.07. Nr.1.1-14/236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</si>
</sst>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8"/>
      <color indexed="81"/>
      <name val="Times New Roman"/>
      <family val="1"/>
      <charset val="186"/>
    </font>
    <font>
      <sz val="8"/>
      <color indexed="8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66"/>
        <bgColor indexed="64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90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4" fillId="0" borderId="23" xfId="0" applyNumberFormat="1" applyFont="1" applyFill="1" applyBorder="1" applyAlignment="1">
      <alignment horizontal="right" vertical="center" wrapText="1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8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3" fontId="7" fillId="0" borderId="29" xfId="2" applyNumberFormat="1" applyFont="1" applyFill="1" applyBorder="1" applyAlignment="1">
      <alignment horizontal="right" vertical="center" wrapText="1"/>
    </xf>
    <xf numFmtId="0" fontId="8" fillId="3" borderId="29" xfId="2" applyFont="1" applyFill="1" applyBorder="1" applyAlignment="1">
      <alignment horizontal="left" vertical="center" wrapText="1"/>
    </xf>
    <xf numFmtId="3" fontId="8" fillId="3" borderId="29" xfId="2" applyNumberFormat="1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vertical="center"/>
    </xf>
    <xf numFmtId="0" fontId="5" fillId="0" borderId="29" xfId="2" applyFont="1" applyFill="1" applyBorder="1" applyAlignment="1">
      <alignment vertical="center" wrapText="1"/>
    </xf>
    <xf numFmtId="3" fontId="5" fillId="0" borderId="29" xfId="2" applyNumberFormat="1" applyFont="1" applyFill="1" applyBorder="1" applyAlignment="1">
      <alignment horizontal="right" vertical="center" wrapText="1"/>
    </xf>
    <xf numFmtId="0" fontId="4" fillId="0" borderId="30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 wrapText="1"/>
    </xf>
    <xf numFmtId="3" fontId="4" fillId="0" borderId="31" xfId="2" applyNumberFormat="1" applyFont="1" applyFill="1" applyBorder="1" applyAlignment="1">
      <alignment vertical="center"/>
    </xf>
    <xf numFmtId="0" fontId="4" fillId="0" borderId="32" xfId="2" applyFont="1" applyFill="1" applyBorder="1" applyAlignment="1">
      <alignment vertical="center"/>
    </xf>
    <xf numFmtId="0" fontId="4" fillId="0" borderId="33" xfId="2" applyFont="1" applyFill="1" applyBorder="1" applyAlignment="1">
      <alignment vertical="center" wrapText="1"/>
    </xf>
    <xf numFmtId="3" fontId="4" fillId="0" borderId="33" xfId="2" applyNumberFormat="1" applyFont="1" applyFill="1" applyBorder="1" applyAlignment="1">
      <alignment vertical="center"/>
    </xf>
    <xf numFmtId="0" fontId="4" fillId="0" borderId="34" xfId="2" applyFont="1" applyFill="1" applyBorder="1" applyAlignment="1">
      <alignment vertical="center"/>
    </xf>
    <xf numFmtId="0" fontId="4" fillId="0" borderId="35" xfId="2" applyFont="1" applyFill="1" applyBorder="1" applyAlignment="1">
      <alignment vertical="center" wrapText="1"/>
    </xf>
    <xf numFmtId="3" fontId="4" fillId="0" borderId="35" xfId="2" applyNumberFormat="1" applyFont="1" applyFill="1" applyBorder="1" applyAlignment="1">
      <alignment vertical="center"/>
    </xf>
    <xf numFmtId="3" fontId="8" fillId="3" borderId="29" xfId="2" applyNumberFormat="1" applyFont="1" applyFill="1" applyBorder="1" applyAlignment="1">
      <alignment vertical="center"/>
    </xf>
    <xf numFmtId="3" fontId="5" fillId="0" borderId="29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vertical="center"/>
    </xf>
    <xf numFmtId="0" fontId="4" fillId="0" borderId="29" xfId="2" applyFont="1" applyFill="1" applyBorder="1" applyAlignment="1">
      <alignment vertical="center" wrapText="1"/>
    </xf>
    <xf numFmtId="3" fontId="4" fillId="0" borderId="29" xfId="2" applyNumberFormat="1" applyFont="1" applyFill="1" applyBorder="1" applyAlignment="1">
      <alignment vertical="center"/>
    </xf>
    <xf numFmtId="0" fontId="5" fillId="0" borderId="29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3" fontId="4" fillId="0" borderId="3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wrapText="1"/>
    </xf>
    <xf numFmtId="0" fontId="4" fillId="0" borderId="28" xfId="2" applyFont="1" applyFill="1" applyBorder="1"/>
    <xf numFmtId="0" fontId="4" fillId="0" borderId="29" xfId="2" applyFont="1" applyFill="1" applyBorder="1" applyAlignment="1">
      <alignment wrapText="1"/>
    </xf>
    <xf numFmtId="0" fontId="8" fillId="3" borderId="29" xfId="2" applyFont="1" applyFill="1" applyBorder="1" applyAlignment="1">
      <alignment vertical="center" wrapText="1"/>
    </xf>
    <xf numFmtId="0" fontId="4" fillId="0" borderId="13" xfId="2" applyFont="1" applyFill="1" applyBorder="1" applyAlignment="1">
      <alignment vertical="center"/>
    </xf>
    <xf numFmtId="0" fontId="4" fillId="0" borderId="15" xfId="2" applyFont="1" applyFill="1" applyBorder="1" applyAlignment="1">
      <alignment vertical="center" wrapText="1"/>
    </xf>
    <xf numFmtId="3" fontId="4" fillId="0" borderId="15" xfId="2" applyNumberFormat="1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0" fontId="4" fillId="0" borderId="37" xfId="2" applyFont="1" applyFill="1" applyBorder="1" applyAlignment="1">
      <alignment vertical="center" wrapText="1"/>
    </xf>
    <xf numFmtId="3" fontId="4" fillId="0" borderId="37" xfId="2" applyNumberFormat="1" applyFont="1" applyFill="1" applyBorder="1" applyAlignment="1">
      <alignment vertical="center"/>
    </xf>
    <xf numFmtId="0" fontId="5" fillId="0" borderId="15" xfId="2" applyFont="1" applyFill="1" applyBorder="1" applyAlignment="1">
      <alignment vertical="top" wrapText="1"/>
    </xf>
    <xf numFmtId="0" fontId="4" fillId="0" borderId="29" xfId="2" applyFont="1" applyFill="1" applyBorder="1" applyAlignment="1">
      <alignment vertical="top" wrapText="1"/>
    </xf>
    <xf numFmtId="0" fontId="5" fillId="0" borderId="28" xfId="2" applyFont="1" applyFill="1" applyBorder="1" applyAlignment="1">
      <alignment horizontal="left" vertical="center"/>
    </xf>
    <xf numFmtId="0" fontId="5" fillId="0" borderId="28" xfId="2" applyFont="1" applyFill="1" applyBorder="1"/>
    <xf numFmtId="0" fontId="5" fillId="0" borderId="29" xfId="2" applyFont="1" applyFill="1" applyBorder="1" applyAlignment="1">
      <alignment wrapText="1"/>
    </xf>
    <xf numFmtId="0" fontId="4" fillId="0" borderId="39" xfId="2" applyFont="1" applyFill="1" applyBorder="1" applyAlignment="1">
      <alignment vertical="center"/>
    </xf>
    <xf numFmtId="0" fontId="4" fillId="0" borderId="40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/>
    </xf>
    <xf numFmtId="0" fontId="4" fillId="0" borderId="25" xfId="2" applyFont="1" applyFill="1" applyBorder="1"/>
    <xf numFmtId="0" fontId="4" fillId="0" borderId="26" xfId="2" applyFont="1" applyFill="1" applyBorder="1"/>
    <xf numFmtId="0" fontId="5" fillId="0" borderId="25" xfId="2" applyFont="1" applyFill="1" applyBorder="1"/>
    <xf numFmtId="0" fontId="5" fillId="0" borderId="26" xfId="2" applyFont="1" applyFill="1" applyBorder="1"/>
    <xf numFmtId="0" fontId="4" fillId="0" borderId="13" xfId="2" applyFont="1" applyFill="1" applyBorder="1"/>
    <xf numFmtId="0" fontId="4" fillId="0" borderId="14" xfId="2" applyFont="1" applyFill="1" applyBorder="1"/>
    <xf numFmtId="0" fontId="4" fillId="0" borderId="41" xfId="2" applyFont="1" applyFill="1" applyBorder="1"/>
    <xf numFmtId="3" fontId="5" fillId="0" borderId="42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5" xfId="2" applyNumberFormat="1" applyFont="1" applyFill="1" applyBorder="1" applyAlignment="1">
      <alignment horizontal="right" vertical="center"/>
    </xf>
    <xf numFmtId="0" fontId="9" fillId="0" borderId="44" xfId="2" applyFont="1" applyFill="1" applyBorder="1" applyAlignment="1">
      <alignment horizontal="center" vertical="center"/>
    </xf>
    <xf numFmtId="0" fontId="9" fillId="0" borderId="44" xfId="2" applyFont="1" applyFill="1" applyBorder="1" applyAlignment="1">
      <alignment horizontal="center" vertical="center" wrapText="1"/>
    </xf>
    <xf numFmtId="0" fontId="8" fillId="4" borderId="29" xfId="2" applyFont="1" applyFill="1" applyBorder="1" applyAlignment="1">
      <alignment wrapText="1"/>
    </xf>
    <xf numFmtId="3" fontId="8" fillId="4" borderId="15" xfId="2" applyNumberFormat="1" applyFont="1" applyFill="1" applyBorder="1" applyAlignment="1">
      <alignment horizontal="right" vertical="center"/>
    </xf>
    <xf numFmtId="0" fontId="4" fillId="0" borderId="29" xfId="2" applyFont="1" applyFill="1" applyBorder="1" applyAlignment="1">
      <alignment horizontal="right" wrapText="1"/>
    </xf>
    <xf numFmtId="0" fontId="4" fillId="0" borderId="45" xfId="2" applyFont="1" applyFill="1" applyBorder="1" applyAlignment="1">
      <alignment vertical="center" wrapText="1"/>
    </xf>
    <xf numFmtId="3" fontId="4" fillId="0" borderId="45" xfId="2" applyNumberFormat="1" applyFont="1" applyFill="1" applyBorder="1" applyAlignment="1">
      <alignment vertical="center"/>
    </xf>
    <xf numFmtId="3" fontId="5" fillId="0" borderId="15" xfId="2" applyNumberFormat="1" applyFont="1" applyFill="1" applyBorder="1" applyAlignment="1">
      <alignment horizontal="right" vertical="center"/>
    </xf>
    <xf numFmtId="49" fontId="4" fillId="0" borderId="46" xfId="0" applyNumberFormat="1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3" fontId="4" fillId="0" borderId="37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3" fontId="4" fillId="0" borderId="50" xfId="0" applyNumberFormat="1" applyFont="1" applyFill="1" applyBorder="1" applyAlignment="1">
      <alignment horizontal="righ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0" fontId="5" fillId="0" borderId="35" xfId="2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31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3" fontId="4" fillId="0" borderId="29" xfId="2" applyNumberFormat="1" applyFont="1" applyFill="1" applyBorder="1" applyAlignment="1">
      <alignment horizontal="right" vertical="center"/>
    </xf>
    <xf numFmtId="0" fontId="11" fillId="0" borderId="28" xfId="2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58" xfId="2" applyNumberFormat="1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58" xfId="2" applyFont="1" applyFill="1" applyBorder="1" applyAlignment="1">
      <alignment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3" fontId="4" fillId="0" borderId="66" xfId="0" applyNumberFormat="1" applyFont="1" applyFill="1" applyBorder="1" applyAlignment="1">
      <alignment horizontal="right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4" fillId="0" borderId="68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left" vertical="center" wrapText="1"/>
    </xf>
    <xf numFmtId="3" fontId="4" fillId="0" borderId="69" xfId="0" applyNumberFormat="1" applyFont="1" applyFill="1" applyBorder="1" applyAlignment="1">
      <alignment horizontal="right" vertical="center" wrapText="1"/>
    </xf>
    <xf numFmtId="3" fontId="4" fillId="0" borderId="70" xfId="0" applyNumberFormat="1" applyFont="1" applyFill="1" applyBorder="1" applyAlignment="1">
      <alignment horizontal="right" vertical="center" wrapText="1"/>
    </xf>
    <xf numFmtId="0" fontId="8" fillId="0" borderId="28" xfId="2" applyFont="1" applyFill="1" applyBorder="1" applyAlignment="1">
      <alignment horizontal="left" vertical="center"/>
    </xf>
    <xf numFmtId="0" fontId="4" fillId="0" borderId="30" xfId="2" applyFont="1" applyFill="1" applyBorder="1"/>
    <xf numFmtId="0" fontId="4" fillId="0" borderId="39" xfId="2" applyFont="1" applyFill="1" applyBorder="1"/>
    <xf numFmtId="0" fontId="5" fillId="0" borderId="39" xfId="0" applyFont="1" applyBorder="1" applyAlignment="1">
      <alignment horizontal="center"/>
    </xf>
    <xf numFmtId="0" fontId="4" fillId="0" borderId="31" xfId="2" applyFont="1" applyFill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6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5" fillId="0" borderId="25" xfId="0" applyFont="1" applyBorder="1" applyAlignment="1">
      <alignment horizontal="center"/>
    </xf>
    <xf numFmtId="0" fontId="5" fillId="0" borderId="25" xfId="2" applyFont="1" applyFill="1" applyBorder="1" applyAlignment="1">
      <alignment horizontal="left" vertical="center"/>
    </xf>
    <xf numFmtId="0" fontId="4" fillId="0" borderId="97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11" xfId="2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4" fillId="0" borderId="111" xfId="2" applyFont="1" applyFill="1" applyBorder="1" applyAlignment="1">
      <alignment horizontal="left" vertical="center"/>
    </xf>
    <xf numFmtId="3" fontId="11" fillId="0" borderId="29" xfId="2" applyNumberFormat="1" applyFont="1" applyFill="1" applyBorder="1" applyAlignment="1">
      <alignment vertical="center"/>
    </xf>
    <xf numFmtId="0" fontId="11" fillId="0" borderId="0" xfId="2" applyFont="1" applyFill="1" applyBorder="1"/>
    <xf numFmtId="0" fontId="9" fillId="0" borderId="93" xfId="2" applyFont="1" applyFill="1" applyBorder="1" applyAlignment="1">
      <alignment horizontal="center" vertical="center" wrapText="1"/>
    </xf>
    <xf numFmtId="0" fontId="4" fillId="0" borderId="9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25" xfId="2" applyFont="1" applyFill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1" fontId="10" fillId="0" borderId="57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30" xfId="2" applyFont="1" applyFill="1" applyBorder="1" applyAlignment="1">
      <alignment vertical="center"/>
    </xf>
    <xf numFmtId="0" fontId="4" fillId="0" borderId="68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righ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15" fillId="0" borderId="47" xfId="0" applyFont="1" applyFill="1" applyBorder="1" applyAlignment="1">
      <alignment horizontal="center" vertical="center" wrapText="1"/>
    </xf>
    <xf numFmtId="3" fontId="15" fillId="0" borderId="48" xfId="0" applyNumberFormat="1" applyFont="1" applyFill="1" applyBorder="1" applyAlignment="1">
      <alignment horizontal="right" vertical="center" wrapText="1"/>
    </xf>
    <xf numFmtId="3" fontId="15" fillId="0" borderId="67" xfId="0" applyNumberFormat="1" applyFont="1" applyFill="1" applyBorder="1" applyAlignment="1">
      <alignment horizontal="righ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left" vertical="center"/>
    </xf>
    <xf numFmtId="0" fontId="9" fillId="0" borderId="2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4" fillId="0" borderId="60" xfId="0" applyNumberFormat="1" applyFont="1" applyFill="1" applyBorder="1" applyAlignment="1">
      <alignment horizontal="right" vertical="center" wrapText="1"/>
    </xf>
    <xf numFmtId="3" fontId="4" fillId="0" borderId="11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5" xfId="0" applyFont="1" applyFill="1" applyBorder="1"/>
    <xf numFmtId="0" fontId="4" fillId="0" borderId="115" xfId="2" applyFont="1" applyFill="1" applyBorder="1" applyAlignment="1">
      <alignment horizontal="center" vertical="center" wrapText="1"/>
    </xf>
    <xf numFmtId="3" fontId="5" fillId="0" borderId="31" xfId="2" applyNumberFormat="1" applyFont="1" applyFill="1" applyBorder="1" applyAlignment="1">
      <alignment vertical="center"/>
    </xf>
    <xf numFmtId="3" fontId="13" fillId="0" borderId="31" xfId="2" applyNumberFormat="1" applyFont="1" applyFill="1" applyBorder="1" applyAlignment="1">
      <alignment vertical="center"/>
    </xf>
    <xf numFmtId="3" fontId="5" fillId="0" borderId="117" xfId="2" applyNumberFormat="1" applyFont="1" applyFill="1" applyBorder="1" applyAlignment="1">
      <alignment vertical="center"/>
    </xf>
    <xf numFmtId="0" fontId="5" fillId="0" borderId="25" xfId="2" applyFont="1" applyFill="1" applyBorder="1" applyAlignment="1">
      <alignment horizontal="left" vertical="center"/>
    </xf>
    <xf numFmtId="0" fontId="5" fillId="0" borderId="118" xfId="2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" fontId="18" fillId="5" borderId="15" xfId="2" applyNumberFormat="1" applyFont="1" applyFill="1" applyBorder="1" applyAlignment="1">
      <alignment horizontal="right" vertic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9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wrapText="1"/>
    </xf>
    <xf numFmtId="0" fontId="22" fillId="0" borderId="0" xfId="0" applyFont="1" applyBorder="1"/>
    <xf numFmtId="3" fontId="22" fillId="0" borderId="0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wrapText="1"/>
    </xf>
    <xf numFmtId="3" fontId="2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3" fontId="15" fillId="0" borderId="37" xfId="0" applyNumberFormat="1" applyFont="1" applyFill="1" applyBorder="1" applyAlignment="1">
      <alignment horizontal="righ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2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59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4" fillId="0" borderId="6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49" fontId="4" fillId="0" borderId="56" xfId="0" applyNumberFormat="1" applyFont="1" applyFill="1" applyBorder="1" applyAlignment="1">
      <alignment horizontal="left" vertical="center" wrapText="1"/>
    </xf>
    <xf numFmtId="49" fontId="4" fillId="0" borderId="53" xfId="0" applyNumberFormat="1" applyFont="1" applyFill="1" applyBorder="1" applyAlignment="1">
      <alignment horizontal="left" vertical="center" wrapText="1"/>
    </xf>
    <xf numFmtId="49" fontId="4" fillId="0" borderId="55" xfId="0" applyNumberFormat="1" applyFont="1" applyFill="1" applyBorder="1" applyAlignment="1">
      <alignment horizontal="left" vertical="center" wrapText="1"/>
    </xf>
    <xf numFmtId="3" fontId="4" fillId="0" borderId="5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114" xfId="2" applyFont="1" applyFill="1" applyBorder="1" applyAlignment="1">
      <alignment vertical="center" wrapText="1"/>
    </xf>
    <xf numFmtId="0" fontId="4" fillId="0" borderId="30" xfId="2" applyFont="1" applyFill="1" applyBorder="1" applyAlignment="1">
      <alignment horizontal="left" vertical="center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13" fillId="0" borderId="37" xfId="2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horizontal="right" vertical="center" wrapText="1"/>
    </xf>
    <xf numFmtId="49" fontId="4" fillId="0" borderId="54" xfId="0" applyNumberFormat="1" applyFont="1" applyFill="1" applyBorder="1" applyAlignment="1">
      <alignment horizontal="left" vertical="center" wrapText="1"/>
    </xf>
    <xf numFmtId="49" fontId="15" fillId="0" borderId="4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9" fillId="0" borderId="90" xfId="0" applyFont="1" applyFill="1" applyBorder="1" applyAlignment="1">
      <alignment horizontal="center" vertical="center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72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13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27" xfId="2" applyFont="1" applyFill="1" applyBorder="1" applyAlignment="1">
      <alignment horizontal="center" vertical="center" wrapText="1"/>
    </xf>
    <xf numFmtId="0" fontId="4" fillId="0" borderId="112" xfId="2" applyFont="1" applyFill="1" applyBorder="1"/>
    <xf numFmtId="0" fontId="4" fillId="0" borderId="99" xfId="2" applyFont="1" applyFill="1" applyBorder="1"/>
    <xf numFmtId="0" fontId="4" fillId="0" borderId="100" xfId="2" applyFont="1" applyFill="1" applyBorder="1"/>
    <xf numFmtId="0" fontId="4" fillId="0" borderId="45" xfId="2" applyFont="1" applyFill="1" applyBorder="1" applyAlignment="1">
      <alignment horizontal="left" wrapText="1"/>
    </xf>
    <xf numFmtId="0" fontId="4" fillId="0" borderId="36" xfId="2" applyFont="1" applyFill="1" applyBorder="1"/>
    <xf numFmtId="0" fontId="4" fillId="0" borderId="47" xfId="2" applyFont="1" applyFill="1" applyBorder="1"/>
    <xf numFmtId="0" fontId="4" fillId="0" borderId="62" xfId="2" applyFont="1" applyFill="1" applyBorder="1"/>
    <xf numFmtId="0" fontId="4" fillId="0" borderId="37" xfId="2" applyFont="1" applyFill="1" applyBorder="1" applyAlignment="1">
      <alignment horizontal="left" wrapText="1"/>
    </xf>
    <xf numFmtId="0" fontId="4" fillId="0" borderId="37" xfId="2" applyFont="1" applyFill="1" applyBorder="1" applyAlignment="1">
      <alignment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9" fillId="0" borderId="121" xfId="0" applyFont="1" applyFill="1" applyBorder="1" applyAlignment="1">
      <alignment horizontal="center" vertical="center" wrapText="1"/>
    </xf>
    <xf numFmtId="0" fontId="4" fillId="0" borderId="122" xfId="0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right" vertical="center" wrapText="1"/>
    </xf>
    <xf numFmtId="3" fontId="4" fillId="0" borderId="113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3" fontId="4" fillId="0" borderId="123" xfId="0" applyNumberFormat="1" applyFont="1" applyFill="1" applyBorder="1" applyAlignment="1">
      <alignment horizontal="right" vertical="center" wrapText="1"/>
    </xf>
    <xf numFmtId="3" fontId="4" fillId="0" borderId="124" xfId="0" applyNumberFormat="1" applyFont="1" applyFill="1" applyBorder="1" applyAlignment="1">
      <alignment horizontal="right" vertical="center" wrapText="1"/>
    </xf>
    <xf numFmtId="3" fontId="15" fillId="0" borderId="113" xfId="0" applyNumberFormat="1" applyFont="1" applyFill="1" applyBorder="1" applyAlignment="1">
      <alignment horizontal="right" vertical="center" wrapText="1"/>
    </xf>
    <xf numFmtId="3" fontId="4" fillId="0" borderId="125" xfId="0" applyNumberFormat="1" applyFont="1" applyFill="1" applyBorder="1" applyAlignment="1">
      <alignment horizontal="right" vertical="center" wrapText="1"/>
    </xf>
    <xf numFmtId="3" fontId="4" fillId="0" borderId="121" xfId="0" applyNumberFormat="1" applyFont="1" applyFill="1" applyBorder="1" applyAlignment="1">
      <alignment horizontal="right" vertical="center" wrapText="1"/>
    </xf>
    <xf numFmtId="3" fontId="4" fillId="0" borderId="126" xfId="0" applyNumberFormat="1" applyFont="1" applyFill="1" applyBorder="1" applyAlignment="1">
      <alignment horizontal="right" vertical="center" wrapText="1"/>
    </xf>
    <xf numFmtId="3" fontId="4" fillId="0" borderId="127" xfId="0" applyNumberFormat="1" applyFont="1" applyFill="1" applyBorder="1" applyAlignment="1">
      <alignment horizontal="right" vertical="center" wrapText="1"/>
    </xf>
    <xf numFmtId="3" fontId="4" fillId="0" borderId="98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center" vertical="center" wrapText="1"/>
    </xf>
    <xf numFmtId="0" fontId="5" fillId="0" borderId="83" xfId="0" applyFont="1" applyFill="1" applyBorder="1" applyAlignment="1">
      <alignment horizontal="center" vertical="center" wrapText="1"/>
    </xf>
    <xf numFmtId="3" fontId="5" fillId="0" borderId="130" xfId="0" applyNumberFormat="1" applyFont="1" applyFill="1" applyBorder="1" applyAlignment="1">
      <alignment horizontal="right" vertical="center" wrapText="1"/>
    </xf>
    <xf numFmtId="3" fontId="4" fillId="0" borderId="36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5" fillId="0" borderId="73" xfId="0" applyNumberFormat="1" applyFont="1" applyFill="1" applyBorder="1" applyAlignment="1">
      <alignment horizontal="right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131" xfId="0" applyNumberFormat="1" applyFont="1" applyFill="1" applyBorder="1" applyAlignment="1">
      <alignment horizontal="right" vertical="center" wrapText="1"/>
    </xf>
    <xf numFmtId="3" fontId="15" fillId="0" borderId="36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5" fillId="0" borderId="90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3" fontId="5" fillId="0" borderId="0" xfId="2" applyNumberFormat="1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3" fontId="24" fillId="0" borderId="0" xfId="0" applyNumberFormat="1" applyFont="1" applyBorder="1" applyAlignment="1">
      <alignment horizontal="right"/>
    </xf>
    <xf numFmtId="3" fontId="25" fillId="0" borderId="0" xfId="0" applyNumberFormat="1" applyFont="1" applyBorder="1" applyAlignment="1">
      <alignment horizontal="left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4" fillId="7" borderId="44" xfId="0" applyFont="1" applyFill="1" applyBorder="1" applyAlignment="1">
      <alignment horizontal="center" vertical="center" textRotation="90" wrapText="1"/>
    </xf>
    <xf numFmtId="0" fontId="9" fillId="7" borderId="23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3" fontId="4" fillId="7" borderId="11" xfId="0" applyNumberFormat="1" applyFont="1" applyFill="1" applyBorder="1" applyAlignment="1">
      <alignment horizontal="right" vertical="center" wrapText="1"/>
    </xf>
    <xf numFmtId="3" fontId="4" fillId="7" borderId="37" xfId="0" applyNumberFormat="1" applyFont="1" applyFill="1" applyBorder="1" applyAlignment="1">
      <alignment horizontal="right" vertical="center" wrapText="1"/>
    </xf>
    <xf numFmtId="3" fontId="4" fillId="7" borderId="3" xfId="0" applyNumberFormat="1" applyFont="1" applyFill="1" applyBorder="1" applyAlignment="1">
      <alignment horizontal="right" vertical="center" wrapText="1"/>
    </xf>
    <xf numFmtId="3" fontId="4" fillId="7" borderId="33" xfId="0" applyNumberFormat="1" applyFont="1" applyFill="1" applyBorder="1" applyAlignment="1">
      <alignment horizontal="right" vertical="center" wrapText="1"/>
    </xf>
    <xf numFmtId="3" fontId="4" fillId="7" borderId="51" xfId="0" applyNumberFormat="1" applyFont="1" applyFill="1" applyBorder="1" applyAlignment="1">
      <alignment horizontal="right" vertical="center" wrapText="1"/>
    </xf>
    <xf numFmtId="3" fontId="15" fillId="7" borderId="37" xfId="0" applyNumberFormat="1" applyFont="1" applyFill="1" applyBorder="1" applyAlignment="1">
      <alignment horizontal="right" vertical="center" wrapText="1"/>
    </xf>
    <xf numFmtId="3" fontId="4" fillId="7" borderId="66" xfId="0" applyNumberFormat="1" applyFont="1" applyFill="1" applyBorder="1" applyAlignment="1">
      <alignment horizontal="right" vertical="center" wrapText="1"/>
    </xf>
    <xf numFmtId="4" fontId="4" fillId="7" borderId="37" xfId="0" applyNumberFormat="1" applyFont="1" applyFill="1" applyBorder="1" applyAlignment="1">
      <alignment horizontal="right" vertical="center" wrapText="1"/>
    </xf>
    <xf numFmtId="3" fontId="4" fillId="7" borderId="35" xfId="0" applyNumberFormat="1" applyFont="1" applyFill="1" applyBorder="1" applyAlignment="1">
      <alignment horizontal="right" vertical="center" wrapText="1"/>
    </xf>
    <xf numFmtId="3" fontId="4" fillId="7" borderId="23" xfId="0" applyNumberFormat="1" applyFont="1" applyFill="1" applyBorder="1" applyAlignment="1">
      <alignment horizontal="right" vertical="center" wrapText="1"/>
    </xf>
    <xf numFmtId="3" fontId="4" fillId="7" borderId="15" xfId="0" applyNumberFormat="1" applyFont="1" applyFill="1" applyBorder="1" applyAlignment="1">
      <alignment horizontal="right" vertical="center" wrapText="1"/>
    </xf>
    <xf numFmtId="3" fontId="5" fillId="7" borderId="0" xfId="0" applyNumberFormat="1" applyFont="1" applyFill="1" applyBorder="1" applyAlignment="1">
      <alignment horizontal="right" vertical="center" wrapText="1"/>
    </xf>
    <xf numFmtId="0" fontId="5" fillId="7" borderId="25" xfId="0" applyFont="1" applyFill="1" applyBorder="1" applyAlignment="1">
      <alignment horizontal="center" vertical="center" wrapText="1"/>
    </xf>
    <xf numFmtId="3" fontId="6" fillId="7" borderId="0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 textRotation="90" wrapText="1"/>
    </xf>
    <xf numFmtId="0" fontId="9" fillId="8" borderId="23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3" fontId="4" fillId="8" borderId="11" xfId="0" applyNumberFormat="1" applyFont="1" applyFill="1" applyBorder="1" applyAlignment="1">
      <alignment horizontal="right" vertical="center" wrapText="1"/>
    </xf>
    <xf numFmtId="3" fontId="4" fillId="8" borderId="37" xfId="0" applyNumberFormat="1" applyFont="1" applyFill="1" applyBorder="1" applyAlignment="1">
      <alignment horizontal="right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4" fillId="8" borderId="33" xfId="0" applyNumberFormat="1" applyFont="1" applyFill="1" applyBorder="1" applyAlignment="1">
      <alignment horizontal="right" vertical="center" wrapText="1"/>
    </xf>
    <xf numFmtId="3" fontId="4" fillId="8" borderId="51" xfId="0" applyNumberFormat="1" applyFont="1" applyFill="1" applyBorder="1" applyAlignment="1">
      <alignment horizontal="right" vertical="center" wrapText="1"/>
    </xf>
    <xf numFmtId="3" fontId="15" fillId="8" borderId="37" xfId="0" applyNumberFormat="1" applyFont="1" applyFill="1" applyBorder="1" applyAlignment="1">
      <alignment horizontal="right" vertical="center" wrapText="1"/>
    </xf>
    <xf numFmtId="3" fontId="4" fillId="8" borderId="66" xfId="0" applyNumberFormat="1" applyFont="1" applyFill="1" applyBorder="1" applyAlignment="1">
      <alignment horizontal="right" vertical="center" wrapText="1"/>
    </xf>
    <xf numFmtId="4" fontId="4" fillId="8" borderId="37" xfId="0" applyNumberFormat="1" applyFont="1" applyFill="1" applyBorder="1" applyAlignment="1">
      <alignment horizontal="right" vertical="center" wrapText="1"/>
    </xf>
    <xf numFmtId="3" fontId="4" fillId="8" borderId="35" xfId="0" applyNumberFormat="1" applyFont="1" applyFill="1" applyBorder="1" applyAlignment="1">
      <alignment horizontal="right" vertical="center" wrapText="1"/>
    </xf>
    <xf numFmtId="3" fontId="4" fillId="8" borderId="23" xfId="0" applyNumberFormat="1" applyFont="1" applyFill="1" applyBorder="1" applyAlignment="1">
      <alignment horizontal="right" vertical="center" wrapText="1"/>
    </xf>
    <xf numFmtId="3" fontId="4" fillId="8" borderId="15" xfId="0" applyNumberFormat="1" applyFont="1" applyFill="1" applyBorder="1" applyAlignment="1">
      <alignment horizontal="right" vertical="center" wrapText="1"/>
    </xf>
    <xf numFmtId="3" fontId="5" fillId="8" borderId="0" xfId="0" applyNumberFormat="1" applyFont="1" applyFill="1" applyBorder="1" applyAlignment="1">
      <alignment horizontal="right" vertical="center" wrapText="1"/>
    </xf>
    <xf numFmtId="0" fontId="5" fillId="8" borderId="25" xfId="0" applyFont="1" applyFill="1" applyBorder="1" applyAlignment="1">
      <alignment horizontal="center" vertical="center" wrapText="1"/>
    </xf>
    <xf numFmtId="3" fontId="6" fillId="8" borderId="0" xfId="0" applyNumberFormat="1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left" vertical="center"/>
    </xf>
    <xf numFmtId="0" fontId="4" fillId="8" borderId="115" xfId="2" applyFont="1" applyFill="1" applyBorder="1" applyAlignment="1">
      <alignment horizontal="center" vertical="center" wrapText="1"/>
    </xf>
    <xf numFmtId="0" fontId="4" fillId="8" borderId="116" xfId="0" applyFont="1" applyFill="1" applyBorder="1" applyAlignment="1">
      <alignment horizontal="center" vertical="center" textRotation="90" wrapText="1"/>
    </xf>
    <xf numFmtId="0" fontId="9" fillId="8" borderId="50" xfId="0" applyFont="1" applyFill="1" applyBorder="1" applyAlignment="1">
      <alignment horizontal="center" vertical="center" wrapText="1"/>
    </xf>
    <xf numFmtId="0" fontId="4" fillId="8" borderId="65" xfId="0" applyFont="1" applyFill="1" applyBorder="1" applyAlignment="1">
      <alignment horizontal="center" vertical="center" wrapText="1"/>
    </xf>
    <xf numFmtId="3" fontId="4" fillId="8" borderId="67" xfId="0" applyNumberFormat="1" applyFont="1" applyFill="1" applyBorder="1" applyAlignment="1">
      <alignment horizontal="right" vertical="center" wrapText="1"/>
    </xf>
    <xf numFmtId="3" fontId="4" fillId="8" borderId="64" xfId="0" applyNumberFormat="1" applyFont="1" applyFill="1" applyBorder="1" applyAlignment="1">
      <alignment horizontal="right" vertical="center" wrapText="1"/>
    </xf>
    <xf numFmtId="3" fontId="4" fillId="8" borderId="69" xfId="0" applyNumberFormat="1" applyFont="1" applyFill="1" applyBorder="1" applyAlignment="1">
      <alignment horizontal="right" vertical="center" wrapText="1"/>
    </xf>
    <xf numFmtId="3" fontId="4" fillId="8" borderId="68" xfId="0" applyNumberFormat="1" applyFont="1" applyFill="1" applyBorder="1" applyAlignment="1">
      <alignment horizontal="right" vertical="center" wrapText="1"/>
    </xf>
    <xf numFmtId="3" fontId="15" fillId="8" borderId="67" xfId="0" applyNumberFormat="1" applyFont="1" applyFill="1" applyBorder="1" applyAlignment="1">
      <alignment horizontal="right" vertical="center" wrapText="1"/>
    </xf>
    <xf numFmtId="3" fontId="4" fillId="8" borderId="114" xfId="0" applyNumberFormat="1" applyFont="1" applyFill="1" applyBorder="1" applyAlignment="1">
      <alignment horizontal="right" vertical="center" wrapText="1"/>
    </xf>
    <xf numFmtId="3" fontId="4" fillId="8" borderId="50" xfId="0" applyNumberFormat="1" applyFont="1" applyFill="1" applyBorder="1" applyAlignment="1">
      <alignment horizontal="right" vertical="center" wrapText="1"/>
    </xf>
    <xf numFmtId="3" fontId="4" fillId="8" borderId="70" xfId="0" applyNumberFormat="1" applyFont="1" applyFill="1" applyBorder="1" applyAlignment="1">
      <alignment horizontal="right" vertical="center" wrapText="1"/>
    </xf>
    <xf numFmtId="0" fontId="4" fillId="8" borderId="95" xfId="0" applyFont="1" applyFill="1" applyBorder="1"/>
    <xf numFmtId="3" fontId="4" fillId="8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wrapText="1"/>
    </xf>
    <xf numFmtId="0" fontId="4" fillId="0" borderId="120" xfId="0" applyFont="1" applyFill="1" applyBorder="1" applyAlignment="1">
      <alignment horizontal="center" vertical="center" wrapText="1"/>
    </xf>
    <xf numFmtId="0" fontId="4" fillId="0" borderId="119" xfId="0" applyFont="1" applyFill="1" applyBorder="1" applyAlignment="1">
      <alignment horizontal="center" vertical="center" wrapText="1"/>
    </xf>
    <xf numFmtId="0" fontId="4" fillId="0" borderId="115" xfId="0" applyFont="1" applyFill="1" applyBorder="1" applyAlignment="1">
      <alignment horizontal="center" vertical="center" textRotation="90" wrapText="1"/>
    </xf>
    <xf numFmtId="0" fontId="4" fillId="0" borderId="116" xfId="0" applyFont="1" applyFill="1" applyBorder="1" applyAlignment="1">
      <alignment horizontal="center" vertical="center" textRotation="90" wrapText="1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88" xfId="0" applyFont="1" applyFill="1" applyBorder="1" applyAlignment="1">
      <alignment horizontal="center" vertical="center" wrapText="1"/>
    </xf>
    <xf numFmtId="0" fontId="4" fillId="0" borderId="89" xfId="0" applyFont="1" applyFill="1" applyBorder="1" applyAlignment="1">
      <alignment horizontal="center" vertical="center" wrapText="1"/>
    </xf>
    <xf numFmtId="0" fontId="4" fillId="0" borderId="89" xfId="0" applyFont="1" applyFill="1" applyBorder="1"/>
    <xf numFmtId="0" fontId="4" fillId="0" borderId="27" xfId="0" applyFont="1" applyFill="1" applyBorder="1" applyAlignment="1">
      <alignment horizontal="center" vertical="center" textRotation="90" wrapText="1"/>
    </xf>
    <xf numFmtId="0" fontId="4" fillId="0" borderId="44" xfId="0" applyFont="1" applyFill="1" applyBorder="1" applyAlignment="1">
      <alignment horizontal="center" vertical="center" textRotation="90" wrapText="1"/>
    </xf>
    <xf numFmtId="49" fontId="4" fillId="0" borderId="76" xfId="0" applyNumberFormat="1" applyFont="1" applyFill="1" applyBorder="1" applyAlignment="1">
      <alignment horizontal="center" vertical="center" textRotation="90" wrapText="1"/>
    </xf>
    <xf numFmtId="49" fontId="4" fillId="0" borderId="77" xfId="0" applyNumberFormat="1" applyFont="1" applyFill="1" applyBorder="1" applyAlignment="1">
      <alignment horizontal="center" vertical="center" textRotation="90" wrapText="1"/>
    </xf>
    <xf numFmtId="49" fontId="4" fillId="0" borderId="78" xfId="0" applyNumberFormat="1" applyFont="1" applyFill="1" applyBorder="1" applyAlignment="1">
      <alignment horizontal="center" vertical="center" textRotation="90" wrapText="1"/>
    </xf>
    <xf numFmtId="0" fontId="4" fillId="0" borderId="92" xfId="0" applyFont="1" applyFill="1" applyBorder="1" applyAlignment="1">
      <alignment horizontal="center" vertical="center" textRotation="90" wrapText="1"/>
    </xf>
    <xf numFmtId="0" fontId="4" fillId="0" borderId="93" xfId="0" applyFont="1" applyFill="1" applyBorder="1" applyAlignment="1">
      <alignment horizontal="center" vertical="center" textRotation="90" wrapText="1"/>
    </xf>
    <xf numFmtId="0" fontId="4" fillId="0" borderId="94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textRotation="90" wrapText="1"/>
    </xf>
    <xf numFmtId="0" fontId="4" fillId="0" borderId="98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textRotation="90" wrapText="1"/>
    </xf>
    <xf numFmtId="0" fontId="5" fillId="0" borderId="81" xfId="0" applyFont="1" applyFill="1" applyBorder="1" applyAlignment="1">
      <alignment horizontal="center" vertical="center" textRotation="90" wrapText="1"/>
    </xf>
    <xf numFmtId="0" fontId="4" fillId="0" borderId="71" xfId="0" applyFont="1" applyFill="1" applyBorder="1" applyAlignment="1">
      <alignment horizontal="left" vertical="center" wrapText="1"/>
    </xf>
    <xf numFmtId="0" fontId="4" fillId="0" borderId="79" xfId="0" applyFont="1" applyFill="1" applyBorder="1" applyAlignment="1">
      <alignment horizontal="left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49" fontId="4" fillId="0" borderId="74" xfId="0" applyNumberFormat="1" applyFont="1" applyFill="1" applyBorder="1" applyAlignment="1">
      <alignment horizontal="left" vertical="center" wrapText="1"/>
    </xf>
    <xf numFmtId="49" fontId="4" fillId="0" borderId="75" xfId="0" applyNumberFormat="1" applyFont="1" applyFill="1" applyBorder="1" applyAlignment="1">
      <alignment horizontal="left" vertical="center" wrapText="1"/>
    </xf>
    <xf numFmtId="0" fontId="12" fillId="0" borderId="47" xfId="0" applyFont="1" applyFill="1" applyBorder="1" applyAlignment="1">
      <alignment horizontal="left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91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41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72" xfId="0" applyNumberFormat="1" applyFont="1" applyFill="1" applyBorder="1" applyAlignment="1">
      <alignment horizontal="left" vertical="center" wrapText="1"/>
    </xf>
    <xf numFmtId="49" fontId="12" fillId="0" borderId="74" xfId="0" applyNumberFormat="1" applyFont="1" applyFill="1" applyBorder="1" applyAlignment="1">
      <alignment horizontal="left" vertical="center" wrapText="1"/>
    </xf>
    <xf numFmtId="49" fontId="12" fillId="0" borderId="75" xfId="0" applyNumberFormat="1" applyFont="1" applyFill="1" applyBorder="1" applyAlignment="1">
      <alignment horizontal="left" vertical="center" wrapText="1"/>
    </xf>
    <xf numFmtId="0" fontId="4" fillId="0" borderId="128" xfId="0" applyFont="1" applyFill="1" applyBorder="1" applyAlignment="1">
      <alignment horizontal="center" vertical="center" wrapText="1"/>
    </xf>
    <xf numFmtId="0" fontId="5" fillId="0" borderId="129" xfId="0" applyFont="1" applyFill="1" applyBorder="1" applyAlignment="1">
      <alignment horizontal="center" vertical="center" textRotation="90" wrapText="1"/>
    </xf>
    <xf numFmtId="0" fontId="5" fillId="0" borderId="104" xfId="0" applyFont="1" applyFill="1" applyBorder="1" applyAlignment="1">
      <alignment horizontal="center" vertical="center" textRotation="90" wrapText="1"/>
    </xf>
    <xf numFmtId="0" fontId="4" fillId="0" borderId="8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49" fontId="5" fillId="0" borderId="73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91" xfId="0" applyFont="1" applyFill="1" applyBorder="1" applyAlignment="1">
      <alignment horizontal="center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49" fontId="4" fillId="0" borderId="75" xfId="0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/>
    </xf>
    <xf numFmtId="0" fontId="4" fillId="0" borderId="80" xfId="2" applyFont="1" applyFill="1" applyBorder="1" applyAlignment="1">
      <alignment horizontal="center" vertical="center" wrapText="1"/>
    </xf>
    <xf numFmtId="0" fontId="4" fillId="0" borderId="97" xfId="2" applyFont="1" applyFill="1" applyBorder="1" applyAlignment="1">
      <alignment horizontal="center" vertical="center" wrapText="1"/>
    </xf>
    <xf numFmtId="0" fontId="9" fillId="0" borderId="104" xfId="2" applyFont="1" applyFill="1" applyBorder="1" applyAlignment="1">
      <alignment horizontal="center" vertical="center" wrapText="1"/>
    </xf>
    <xf numFmtId="0" fontId="9" fillId="0" borderId="105" xfId="2" applyFont="1" applyFill="1" applyBorder="1" applyAlignment="1">
      <alignment horizontal="center" vertical="center" wrapText="1"/>
    </xf>
    <xf numFmtId="0" fontId="9" fillId="0" borderId="106" xfId="2" applyFont="1" applyFill="1" applyBorder="1" applyAlignment="1">
      <alignment horizontal="center" vertical="center" wrapText="1"/>
    </xf>
    <xf numFmtId="0" fontId="4" fillId="0" borderId="59" xfId="2" applyFont="1" applyFill="1" applyBorder="1" applyAlignment="1">
      <alignment horizontal="right" vertical="center" wrapText="1"/>
    </xf>
    <xf numFmtId="0" fontId="4" fillId="0" borderId="61" xfId="2" applyFont="1" applyFill="1" applyBorder="1" applyAlignment="1">
      <alignment horizontal="right" vertical="center"/>
    </xf>
    <xf numFmtId="0" fontId="8" fillId="3" borderId="28" xfId="2" applyFont="1" applyFill="1" applyBorder="1" applyAlignment="1">
      <alignment horizontal="left" vertical="center"/>
    </xf>
    <xf numFmtId="0" fontId="8" fillId="3" borderId="25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/>
    </xf>
    <xf numFmtId="0" fontId="5" fillId="0" borderId="41" xfId="2" applyFont="1" applyFill="1" applyBorder="1" applyAlignment="1">
      <alignment horizontal="left"/>
    </xf>
    <xf numFmtId="0" fontId="4" fillId="0" borderId="25" xfId="2" applyFont="1" applyFill="1" applyBorder="1" applyAlignment="1">
      <alignment horizontal="center" vertical="center"/>
    </xf>
    <xf numFmtId="0" fontId="4" fillId="0" borderId="59" xfId="2" applyFont="1" applyFill="1" applyBorder="1" applyAlignment="1">
      <alignment horizontal="right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72" xfId="2" applyFont="1" applyFill="1" applyBorder="1" applyAlignment="1">
      <alignment horizontal="center" vertical="center" wrapText="1"/>
    </xf>
    <xf numFmtId="0" fontId="4" fillId="0" borderId="39" xfId="2" applyFont="1" applyFill="1" applyBorder="1" applyAlignment="1">
      <alignment horizontal="center" vertical="center"/>
    </xf>
    <xf numFmtId="0" fontId="4" fillId="0" borderId="61" xfId="2" applyFont="1" applyFill="1" applyBorder="1" applyAlignment="1">
      <alignment horizontal="right" vertical="center" wrapText="1"/>
    </xf>
    <xf numFmtId="0" fontId="4" fillId="0" borderId="14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center"/>
    </xf>
    <xf numFmtId="0" fontId="4" fillId="0" borderId="26" xfId="2" applyFont="1" applyFill="1" applyBorder="1" applyAlignment="1">
      <alignment horizontal="center"/>
    </xf>
    <xf numFmtId="0" fontId="5" fillId="0" borderId="26" xfId="2" applyFont="1" applyFill="1" applyBorder="1" applyAlignment="1">
      <alignment horizontal="left" vertical="center"/>
    </xf>
    <xf numFmtId="0" fontId="4" fillId="0" borderId="26" xfId="2" applyFont="1" applyFill="1" applyBorder="1" applyAlignment="1">
      <alignment horizontal="center" vertical="center"/>
    </xf>
    <xf numFmtId="0" fontId="4" fillId="0" borderId="4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horizontal="right" vertical="center"/>
    </xf>
    <xf numFmtId="0" fontId="4" fillId="0" borderId="99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left" vertical="top"/>
    </xf>
    <xf numFmtId="0" fontId="5" fillId="0" borderId="41" xfId="2" applyFont="1" applyFill="1" applyBorder="1" applyAlignment="1">
      <alignment horizontal="left" vertical="top"/>
    </xf>
    <xf numFmtId="0" fontId="4" fillId="0" borderId="25" xfId="2" applyFont="1" applyFill="1" applyBorder="1" applyAlignment="1">
      <alignment horizontal="center" vertical="top"/>
    </xf>
    <xf numFmtId="0" fontId="4" fillId="0" borderId="26" xfId="2" applyFont="1" applyFill="1" applyBorder="1" applyAlignment="1">
      <alignment horizontal="center" vertical="top"/>
    </xf>
    <xf numFmtId="0" fontId="4" fillId="0" borderId="99" xfId="2" applyFont="1" applyFill="1" applyBorder="1" applyAlignment="1">
      <alignment horizontal="right" vertical="center"/>
    </xf>
    <xf numFmtId="0" fontId="4" fillId="0" borderId="100" xfId="2" applyFont="1" applyFill="1" applyBorder="1" applyAlignment="1">
      <alignment horizontal="right" vertical="center"/>
    </xf>
    <xf numFmtId="0" fontId="4" fillId="0" borderId="25" xfId="2" applyFont="1" applyFill="1" applyBorder="1" applyAlignment="1">
      <alignment horizontal="right" vertical="center"/>
    </xf>
    <xf numFmtId="0" fontId="4" fillId="0" borderId="26" xfId="2" applyFont="1" applyFill="1" applyBorder="1" applyAlignment="1">
      <alignment horizontal="right" vertical="center"/>
    </xf>
    <xf numFmtId="0" fontId="4" fillId="0" borderId="102" xfId="2" applyFont="1" applyFill="1" applyBorder="1" applyAlignment="1">
      <alignment horizontal="right" vertical="center"/>
    </xf>
    <xf numFmtId="0" fontId="4" fillId="0" borderId="103" xfId="2" applyFont="1" applyFill="1" applyBorder="1" applyAlignment="1">
      <alignment horizontal="right" vertical="center"/>
    </xf>
    <xf numFmtId="0" fontId="8" fillId="3" borderId="26" xfId="2" applyFont="1" applyFill="1" applyBorder="1" applyAlignment="1">
      <alignment horizontal="left" vertical="center"/>
    </xf>
    <xf numFmtId="0" fontId="4" fillId="0" borderId="101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8" xfId="2" applyFont="1" applyFill="1" applyBorder="1" applyAlignment="1">
      <alignment horizontal="center"/>
    </xf>
    <xf numFmtId="0" fontId="8" fillId="4" borderId="25" xfId="2" applyFont="1" applyFill="1" applyBorder="1" applyAlignment="1">
      <alignment horizontal="center"/>
    </xf>
    <xf numFmtId="0" fontId="8" fillId="4" borderId="26" xfId="2" applyFont="1" applyFill="1" applyBorder="1" applyAlignment="1">
      <alignment horizontal="center"/>
    </xf>
    <xf numFmtId="0" fontId="5" fillId="0" borderId="108" xfId="2" applyFont="1" applyFill="1" applyBorder="1" applyAlignment="1">
      <alignment horizontal="center" vertical="center" wrapText="1"/>
    </xf>
    <xf numFmtId="0" fontId="5" fillId="0" borderId="109" xfId="2" applyFont="1" applyFill="1" applyBorder="1" applyAlignment="1">
      <alignment horizontal="center" vertical="center" wrapText="1"/>
    </xf>
    <xf numFmtId="0" fontId="5" fillId="0" borderId="110" xfId="2" applyFont="1" applyFill="1" applyBorder="1" applyAlignment="1">
      <alignment horizontal="center" vertical="center" wrapText="1"/>
    </xf>
    <xf numFmtId="0" fontId="5" fillId="0" borderId="88" xfId="2" applyFont="1" applyFill="1" applyBorder="1" applyAlignment="1">
      <alignment horizontal="center"/>
    </xf>
    <xf numFmtId="0" fontId="5" fillId="0" borderId="89" xfId="2" applyFont="1" applyFill="1" applyBorder="1" applyAlignment="1">
      <alignment horizontal="center"/>
    </xf>
    <xf numFmtId="0" fontId="5" fillId="0" borderId="107" xfId="2" applyFont="1" applyFill="1" applyBorder="1" applyAlignment="1">
      <alignment horizontal="center"/>
    </xf>
    <xf numFmtId="0" fontId="18" fillId="5" borderId="28" xfId="2" applyFont="1" applyFill="1" applyBorder="1" applyAlignment="1">
      <alignment horizontal="center"/>
    </xf>
    <xf numFmtId="0" fontId="18" fillId="5" borderId="25" xfId="2" applyFont="1" applyFill="1" applyBorder="1" applyAlignment="1">
      <alignment horizontal="center"/>
    </xf>
    <xf numFmtId="0" fontId="18" fillId="5" borderId="26" xfId="2" applyFont="1" applyFill="1" applyBorder="1" applyAlignment="1">
      <alignment horizontal="center"/>
    </xf>
    <xf numFmtId="0" fontId="11" fillId="0" borderId="28" xfId="2" applyFont="1" applyFill="1" applyBorder="1" applyAlignment="1">
      <alignment horizontal="center" vertical="center" wrapText="1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6" xfId="2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BU1395"/>
  <sheetViews>
    <sheetView view="pageLayout" zoomScaleNormal="85" workbookViewId="0">
      <selection activeCell="E4" sqref="E4"/>
    </sheetView>
  </sheetViews>
  <sheetFormatPr defaultColWidth="8.42578125" defaultRowHeight="12" outlineLevelRow="1" outlineLevelCol="1" x14ac:dyDescent="0.2"/>
  <cols>
    <col min="1" max="1" width="11" style="146" customWidth="1"/>
    <col min="2" max="2" width="4.140625" style="1" customWidth="1"/>
    <col min="3" max="3" width="2.140625" style="2" customWidth="1"/>
    <col min="4" max="4" width="20" style="1" customWidth="1"/>
    <col min="5" max="5" width="24.85546875" style="1" customWidth="1"/>
    <col min="6" max="6" width="9.42578125" style="3" hidden="1" customWidth="1" outlineLevel="1"/>
    <col min="7" max="7" width="9.42578125" style="3" customWidth="1" collapsed="1"/>
    <col min="8" max="8" width="9.140625" style="1" hidden="1" customWidth="1" outlineLevel="1"/>
    <col min="9" max="9" width="8.5703125" style="304" customWidth="1" collapsed="1"/>
    <col min="10" max="10" width="9.42578125" style="304" hidden="1" customWidth="1" outlineLevel="1"/>
    <col min="11" max="11" width="6.140625" style="370" hidden="1" customWidth="1" outlineLevel="1"/>
    <col min="12" max="12" width="8" style="370" hidden="1" customWidth="1" outlineLevel="1"/>
    <col min="13" max="13" width="8.28515625" style="391" hidden="1" customWidth="1" outlineLevel="1"/>
    <col min="14" max="14" width="7.140625" style="391" hidden="1" customWidth="1" outlineLevel="1"/>
    <col min="15" max="15" width="8.5703125" style="399" hidden="1" customWidth="1" outlineLevel="1"/>
    <col min="16" max="16" width="16.5703125" style="410" hidden="1" customWidth="1" outlineLevel="1"/>
    <col min="17" max="17" width="7.140625" style="410" hidden="1" customWidth="1" outlineLevel="1"/>
    <col min="18" max="18" width="15.140625" style="411" hidden="1" customWidth="1" outlineLevel="1"/>
    <col min="19" max="19" width="7.42578125" style="430" hidden="1" customWidth="1" outlineLevel="1"/>
    <col min="20" max="22" width="7.42578125" style="304" hidden="1" customWidth="1" outlineLevel="1"/>
    <col min="23" max="23" width="13.42578125" style="296" hidden="1" customWidth="1" outlineLevel="1"/>
    <col min="24" max="24" width="9.42578125" style="304" customWidth="1" collapsed="1"/>
    <col min="25" max="25" width="13" style="304" hidden="1" customWidth="1" outlineLevel="1"/>
    <col min="26" max="26" width="6.7109375" style="370" hidden="1" customWidth="1" outlineLevel="1"/>
    <col min="27" max="27" width="6.7109375" style="391" hidden="1" customWidth="1" outlineLevel="1"/>
    <col min="28" max="28" width="5.85546875" style="399" hidden="1" customWidth="1" outlineLevel="1"/>
    <col min="29" max="29" width="6.7109375" style="404" hidden="1" customWidth="1" outlineLevel="1"/>
    <col min="30" max="31" width="6.7109375" style="304" hidden="1" customWidth="1" outlineLevel="1"/>
    <col min="32" max="32" width="7.7109375" style="1" hidden="1" customWidth="1" outlineLevel="1"/>
    <col min="33" max="33" width="7.7109375" style="304" customWidth="1" collapsed="1"/>
    <col min="34" max="34" width="7.7109375" style="304" hidden="1" customWidth="1" outlineLevel="1"/>
    <col min="35" max="35" width="6.7109375" style="391" hidden="1" customWidth="1" outlineLevel="1"/>
    <col min="36" max="36" width="7.140625" style="399" hidden="1" customWidth="1" outlineLevel="1"/>
    <col min="37" max="37" width="5.7109375" style="410" hidden="1" customWidth="1" outlineLevel="1"/>
    <col min="38" max="38" width="7.140625" style="430" hidden="1" customWidth="1" outlineLevel="1"/>
    <col min="39" max="42" width="7.140625" style="304" hidden="1" customWidth="1" outlineLevel="1"/>
    <col min="43" max="43" width="8.28515625" style="1" customWidth="1" collapsed="1"/>
    <col min="44" max="44" width="6.7109375" style="1" hidden="1" customWidth="1" outlineLevel="1"/>
    <col min="45" max="45" width="6.7109375" style="304" customWidth="1" collapsed="1"/>
    <col min="46" max="46" width="6.7109375" style="304" hidden="1" customWidth="1" outlineLevel="1"/>
    <col min="47" max="47" width="5.7109375" style="370" hidden="1" customWidth="1" outlineLevel="1"/>
    <col min="48" max="48" width="5.7109375" style="391" hidden="1" customWidth="1" outlineLevel="1"/>
    <col min="49" max="49" width="6.7109375" style="430" hidden="1" customWidth="1" outlineLevel="1"/>
    <col min="50" max="50" width="6.7109375" style="304" hidden="1" customWidth="1" outlineLevel="1"/>
    <col min="51" max="51" width="8.28515625" style="230" hidden="1" customWidth="1" outlineLevel="1"/>
    <col min="52" max="52" width="7.28515625" style="304" customWidth="1" collapsed="1"/>
    <col min="53" max="53" width="8.5703125" style="304" hidden="1" customWidth="1" outlineLevel="1"/>
    <col min="54" max="54" width="5.7109375" style="370" hidden="1" customWidth="1" outlineLevel="1"/>
    <col min="55" max="55" width="6.42578125" style="391" hidden="1" customWidth="1" outlineLevel="1"/>
    <col min="56" max="56" width="6.7109375" style="399" hidden="1" customWidth="1" outlineLevel="1"/>
    <col min="57" max="57" width="5.7109375" style="410" hidden="1" customWidth="1" outlineLevel="1"/>
    <col min="58" max="58" width="7.28515625" style="464" hidden="1" customWidth="1" outlineLevel="1"/>
    <col min="59" max="63" width="7.28515625" style="304" hidden="1" customWidth="1" outlineLevel="1"/>
    <col min="64" max="64" width="7.28515625" style="2" customWidth="1" collapsed="1"/>
    <col min="65" max="65" width="10.42578125" style="1" customWidth="1"/>
    <col min="66" max="68" width="8.42578125" style="1" customWidth="1"/>
    <col min="69" max="69" width="11" style="1" customWidth="1"/>
    <col min="70" max="72" width="8.42578125" style="1"/>
    <col min="73" max="73" width="8.42578125" style="315"/>
    <col min="74" max="16384" width="8.42578125" style="1"/>
  </cols>
  <sheetData>
    <row r="1" spans="1:73" s="304" customFormat="1" x14ac:dyDescent="0.2">
      <c r="C1" s="2"/>
      <c r="F1" s="3"/>
      <c r="G1" s="3"/>
      <c r="K1" s="370"/>
      <c r="L1" s="370"/>
      <c r="M1" s="391"/>
      <c r="N1" s="391"/>
      <c r="O1" s="399"/>
      <c r="P1" s="410"/>
      <c r="Q1" s="410"/>
      <c r="R1" s="411"/>
      <c r="S1" s="430"/>
      <c r="Z1" s="370"/>
      <c r="AA1" s="391"/>
      <c r="AB1" s="399"/>
      <c r="AC1" s="404"/>
      <c r="AI1" s="391"/>
      <c r="AJ1" s="399"/>
      <c r="AK1" s="410"/>
      <c r="AL1" s="430"/>
      <c r="AU1" s="370"/>
      <c r="AV1" s="391"/>
      <c r="AW1" s="430"/>
      <c r="BB1" s="370"/>
      <c r="BC1" s="391"/>
      <c r="BD1" s="399"/>
      <c r="BE1" s="410"/>
      <c r="BF1" s="464"/>
      <c r="BL1" s="2"/>
      <c r="BM1" s="317" t="s">
        <v>717</v>
      </c>
      <c r="BU1" s="315"/>
    </row>
    <row r="2" spans="1:73" s="304" customFormat="1" x14ac:dyDescent="0.2">
      <c r="C2" s="2"/>
      <c r="F2" s="3"/>
      <c r="G2" s="3"/>
      <c r="K2" s="370"/>
      <c r="L2" s="370"/>
      <c r="M2" s="391"/>
      <c r="N2" s="391"/>
      <c r="O2" s="399"/>
      <c r="P2" s="410"/>
      <c r="Q2" s="410"/>
      <c r="R2" s="411"/>
      <c r="S2" s="430"/>
      <c r="Z2" s="370"/>
      <c r="AA2" s="391"/>
      <c r="AB2" s="399"/>
      <c r="AC2" s="404"/>
      <c r="AI2" s="391"/>
      <c r="AJ2" s="399"/>
      <c r="AK2" s="410"/>
      <c r="AL2" s="430"/>
      <c r="AU2" s="370"/>
      <c r="AV2" s="391"/>
      <c r="AW2" s="430"/>
      <c r="BB2" s="370"/>
      <c r="BC2" s="391"/>
      <c r="BD2" s="399"/>
      <c r="BE2" s="410"/>
      <c r="BF2" s="464"/>
      <c r="BL2" s="2"/>
      <c r="BM2" s="317" t="s">
        <v>710</v>
      </c>
      <c r="BU2" s="315"/>
    </row>
    <row r="3" spans="1:73" s="304" customFormat="1" x14ac:dyDescent="0.2">
      <c r="C3" s="2"/>
      <c r="F3" s="3"/>
      <c r="G3" s="3"/>
      <c r="K3" s="370"/>
      <c r="L3" s="370"/>
      <c r="M3" s="391"/>
      <c r="N3" s="391"/>
      <c r="O3" s="399"/>
      <c r="P3" s="410"/>
      <c r="Q3" s="410"/>
      <c r="R3" s="411"/>
      <c r="S3" s="430"/>
      <c r="Z3" s="370"/>
      <c r="AA3" s="391"/>
      <c r="AB3" s="399"/>
      <c r="AC3" s="404"/>
      <c r="AI3" s="391"/>
      <c r="AJ3" s="399"/>
      <c r="AK3" s="410"/>
      <c r="AL3" s="430"/>
      <c r="AU3" s="370"/>
      <c r="AV3" s="391"/>
      <c r="AW3" s="430"/>
      <c r="BB3" s="370"/>
      <c r="BC3" s="391"/>
      <c r="BD3" s="399"/>
      <c r="BE3" s="410"/>
      <c r="BF3" s="464"/>
      <c r="BL3" s="2"/>
      <c r="BM3" s="317" t="s">
        <v>711</v>
      </c>
      <c r="BU3" s="315"/>
    </row>
    <row r="4" spans="1:73" s="304" customFormat="1" x14ac:dyDescent="0.2">
      <c r="C4" s="2"/>
      <c r="F4" s="3"/>
      <c r="G4" s="3"/>
      <c r="K4" s="370"/>
      <c r="L4" s="370"/>
      <c r="M4" s="391"/>
      <c r="N4" s="391"/>
      <c r="O4" s="399"/>
      <c r="P4" s="410"/>
      <c r="Q4" s="410"/>
      <c r="R4" s="411"/>
      <c r="S4" s="430"/>
      <c r="Z4" s="370"/>
      <c r="AA4" s="391"/>
      <c r="AB4" s="399"/>
      <c r="AC4" s="404"/>
      <c r="AI4" s="391"/>
      <c r="AJ4" s="399"/>
      <c r="AK4" s="410"/>
      <c r="AL4" s="430"/>
      <c r="AU4" s="370"/>
      <c r="AV4" s="391"/>
      <c r="AW4" s="430"/>
      <c r="BB4" s="370"/>
      <c r="BC4" s="391"/>
      <c r="BD4" s="399"/>
      <c r="BE4" s="410"/>
      <c r="BF4" s="464"/>
      <c r="BL4" s="2"/>
      <c r="BU4" s="315"/>
    </row>
    <row r="5" spans="1:73" ht="18.75" customHeight="1" x14ac:dyDescent="0.2">
      <c r="B5" s="475" t="s">
        <v>602</v>
      </c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475"/>
      <c r="Q5" s="475"/>
      <c r="R5" s="475"/>
      <c r="S5" s="475"/>
      <c r="T5" s="475"/>
      <c r="U5" s="475"/>
      <c r="V5" s="475"/>
      <c r="W5" s="475"/>
      <c r="X5" s="475"/>
      <c r="Y5" s="475"/>
      <c r="Z5" s="475"/>
      <c r="AA5" s="475"/>
      <c r="AB5" s="475"/>
      <c r="AC5" s="475"/>
      <c r="AD5" s="475"/>
      <c r="AE5" s="475"/>
      <c r="AF5" s="475"/>
      <c r="AG5" s="475"/>
      <c r="AH5" s="475"/>
      <c r="AI5" s="475"/>
      <c r="AJ5" s="475"/>
      <c r="AK5" s="475"/>
      <c r="AL5" s="475"/>
      <c r="AM5" s="475"/>
      <c r="AN5" s="475"/>
      <c r="AO5" s="475"/>
      <c r="AP5" s="475"/>
      <c r="AQ5" s="475"/>
      <c r="AR5" s="475"/>
      <c r="AS5" s="475"/>
      <c r="AT5" s="475"/>
      <c r="AU5" s="475"/>
      <c r="AV5" s="475"/>
      <c r="AW5" s="475"/>
      <c r="AX5" s="475"/>
      <c r="AY5" s="475"/>
      <c r="AZ5" s="475"/>
      <c r="BA5" s="475"/>
      <c r="BB5" s="475"/>
      <c r="BC5" s="475"/>
      <c r="BD5" s="475"/>
      <c r="BE5" s="475"/>
      <c r="BF5" s="475"/>
      <c r="BG5" s="475"/>
      <c r="BH5" s="475"/>
      <c r="BI5" s="475"/>
      <c r="BJ5" s="475"/>
      <c r="BK5" s="475"/>
      <c r="BL5" s="475"/>
      <c r="BM5" s="475"/>
    </row>
    <row r="6" spans="1:73" ht="12.75" thickBot="1" x14ac:dyDescent="0.25"/>
    <row r="7" spans="1:73" ht="13.5" customHeight="1" thickBot="1" x14ac:dyDescent="0.25">
      <c r="A7" s="473" t="s">
        <v>285</v>
      </c>
      <c r="B7" s="486" t="s">
        <v>178</v>
      </c>
      <c r="C7" s="487"/>
      <c r="D7" s="488"/>
      <c r="E7" s="494" t="s">
        <v>177</v>
      </c>
      <c r="F7" s="476" t="s">
        <v>603</v>
      </c>
      <c r="G7" s="477"/>
      <c r="H7" s="478"/>
      <c r="I7" s="478"/>
      <c r="J7" s="478"/>
      <c r="K7" s="478"/>
      <c r="L7" s="478"/>
      <c r="M7" s="478"/>
      <c r="N7" s="478"/>
      <c r="O7" s="478"/>
      <c r="P7" s="478"/>
      <c r="Q7" s="478"/>
      <c r="R7" s="478"/>
      <c r="S7" s="478"/>
      <c r="T7" s="478"/>
      <c r="U7" s="478"/>
      <c r="V7" s="478"/>
      <c r="W7" s="478"/>
      <c r="X7" s="478"/>
      <c r="Y7" s="478"/>
      <c r="Z7" s="478"/>
      <c r="AA7" s="478"/>
      <c r="AB7" s="478"/>
      <c r="AC7" s="478"/>
      <c r="AD7" s="478"/>
      <c r="AE7" s="478"/>
      <c r="AF7" s="478"/>
      <c r="AG7" s="478"/>
      <c r="AH7" s="478"/>
      <c r="AI7" s="478"/>
      <c r="AJ7" s="478"/>
      <c r="AK7" s="478"/>
      <c r="AL7" s="478"/>
      <c r="AM7" s="478"/>
      <c r="AN7" s="478"/>
      <c r="AO7" s="478"/>
      <c r="AP7" s="478"/>
      <c r="AQ7" s="478"/>
      <c r="AR7" s="478"/>
      <c r="AS7" s="231"/>
      <c r="AT7" s="231"/>
      <c r="AU7" s="231"/>
      <c r="AV7" s="231"/>
      <c r="AW7" s="462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481" t="s">
        <v>176</v>
      </c>
      <c r="BM7" s="481" t="s">
        <v>216</v>
      </c>
    </row>
    <row r="8" spans="1:73" ht="13.5" customHeight="1" x14ac:dyDescent="0.2">
      <c r="A8" s="474"/>
      <c r="B8" s="489"/>
      <c r="C8" s="490"/>
      <c r="D8" s="491"/>
      <c r="E8" s="495"/>
      <c r="F8" s="517" t="s">
        <v>718</v>
      </c>
      <c r="G8" s="497" t="s">
        <v>0</v>
      </c>
      <c r="H8" s="479" t="s">
        <v>719</v>
      </c>
      <c r="I8" s="479" t="s">
        <v>1</v>
      </c>
      <c r="J8" s="479" t="s">
        <v>720</v>
      </c>
      <c r="K8" s="466" t="s">
        <v>721</v>
      </c>
      <c r="L8" s="467"/>
      <c r="M8" s="467"/>
      <c r="N8" s="467"/>
      <c r="O8" s="467"/>
      <c r="P8" s="467"/>
      <c r="Q8" s="467"/>
      <c r="R8" s="467"/>
      <c r="S8" s="467"/>
      <c r="T8" s="467"/>
      <c r="U8" s="467"/>
      <c r="V8" s="468"/>
      <c r="W8" s="479" t="s">
        <v>768</v>
      </c>
      <c r="X8" s="479" t="s">
        <v>769</v>
      </c>
      <c r="Y8" s="479" t="s">
        <v>770</v>
      </c>
      <c r="Z8" s="466" t="s">
        <v>721</v>
      </c>
      <c r="AA8" s="467"/>
      <c r="AB8" s="467"/>
      <c r="AC8" s="467"/>
      <c r="AD8" s="467"/>
      <c r="AE8" s="468"/>
      <c r="AF8" s="492" t="s">
        <v>722</v>
      </c>
      <c r="AG8" s="492" t="s">
        <v>2</v>
      </c>
      <c r="AH8" s="492" t="s">
        <v>723</v>
      </c>
      <c r="AI8" s="466" t="s">
        <v>721</v>
      </c>
      <c r="AJ8" s="467"/>
      <c r="AK8" s="467"/>
      <c r="AL8" s="467"/>
      <c r="AM8" s="467"/>
      <c r="AN8" s="467"/>
      <c r="AO8" s="467"/>
      <c r="AP8" s="468"/>
      <c r="AQ8" s="484" t="s">
        <v>314</v>
      </c>
      <c r="AR8" s="469" t="s">
        <v>724</v>
      </c>
      <c r="AS8" s="469" t="s">
        <v>3</v>
      </c>
      <c r="AT8" s="469" t="s">
        <v>725</v>
      </c>
      <c r="AU8" s="466" t="s">
        <v>721</v>
      </c>
      <c r="AV8" s="467"/>
      <c r="AW8" s="467"/>
      <c r="AX8" s="468"/>
      <c r="AY8" s="469" t="s">
        <v>726</v>
      </c>
      <c r="AZ8" s="469" t="s">
        <v>555</v>
      </c>
      <c r="BA8" s="469" t="s">
        <v>727</v>
      </c>
      <c r="BB8" s="466" t="s">
        <v>721</v>
      </c>
      <c r="BC8" s="467"/>
      <c r="BD8" s="467"/>
      <c r="BE8" s="467"/>
      <c r="BF8" s="467"/>
      <c r="BG8" s="467"/>
      <c r="BH8" s="467"/>
      <c r="BI8" s="467"/>
      <c r="BJ8" s="467"/>
      <c r="BK8" s="516"/>
      <c r="BL8" s="482"/>
      <c r="BM8" s="482"/>
    </row>
    <row r="9" spans="1:73" ht="60.75" customHeight="1" thickBot="1" x14ac:dyDescent="0.25">
      <c r="A9" s="474"/>
      <c r="B9" s="489"/>
      <c r="C9" s="490"/>
      <c r="D9" s="491"/>
      <c r="E9" s="496"/>
      <c r="F9" s="518"/>
      <c r="G9" s="498"/>
      <c r="H9" s="480"/>
      <c r="I9" s="480"/>
      <c r="J9" s="480"/>
      <c r="K9" s="369" t="s">
        <v>744</v>
      </c>
      <c r="L9" s="369" t="s">
        <v>745</v>
      </c>
      <c r="M9" s="390" t="s">
        <v>753</v>
      </c>
      <c r="N9" s="390" t="s">
        <v>761</v>
      </c>
      <c r="O9" s="398" t="s">
        <v>778</v>
      </c>
      <c r="P9" s="409" t="s">
        <v>782</v>
      </c>
      <c r="Q9" s="409" t="s">
        <v>789</v>
      </c>
      <c r="R9" s="412" t="s">
        <v>792</v>
      </c>
      <c r="S9" s="431" t="s">
        <v>791</v>
      </c>
      <c r="T9" s="301"/>
      <c r="U9" s="301"/>
      <c r="V9" s="301"/>
      <c r="W9" s="480"/>
      <c r="X9" s="480"/>
      <c r="Y9" s="480"/>
      <c r="Z9" s="369" t="s">
        <v>745</v>
      </c>
      <c r="AA9" s="390" t="s">
        <v>761</v>
      </c>
      <c r="AB9" s="398" t="s">
        <v>778</v>
      </c>
      <c r="AC9" s="403"/>
      <c r="AD9" s="305"/>
      <c r="AE9" s="305"/>
      <c r="AF9" s="493"/>
      <c r="AG9" s="493"/>
      <c r="AH9" s="493"/>
      <c r="AI9" s="390" t="s">
        <v>761</v>
      </c>
      <c r="AJ9" s="398" t="s">
        <v>778</v>
      </c>
      <c r="AK9" s="409" t="s">
        <v>789</v>
      </c>
      <c r="AL9" s="451" t="s">
        <v>791</v>
      </c>
      <c r="AM9" s="303"/>
      <c r="AN9" s="303"/>
      <c r="AO9" s="303"/>
      <c r="AP9" s="303"/>
      <c r="AQ9" s="485"/>
      <c r="AR9" s="470"/>
      <c r="AS9" s="470"/>
      <c r="AT9" s="470"/>
      <c r="AU9" s="369" t="s">
        <v>745</v>
      </c>
      <c r="AV9" s="390" t="s">
        <v>761</v>
      </c>
      <c r="AW9" s="451" t="s">
        <v>791</v>
      </c>
      <c r="AX9" s="303"/>
      <c r="AY9" s="470"/>
      <c r="AZ9" s="470"/>
      <c r="BA9" s="470"/>
      <c r="BB9" s="369" t="s">
        <v>745</v>
      </c>
      <c r="BC9" s="390" t="s">
        <v>761</v>
      </c>
      <c r="BD9" s="398" t="s">
        <v>778</v>
      </c>
      <c r="BE9" s="409" t="s">
        <v>789</v>
      </c>
      <c r="BF9" s="465"/>
      <c r="BG9" s="305"/>
      <c r="BH9" s="305"/>
      <c r="BI9" s="305"/>
      <c r="BJ9" s="305"/>
      <c r="BK9" s="328"/>
      <c r="BL9" s="483"/>
      <c r="BM9" s="483"/>
    </row>
    <row r="10" spans="1:73" s="147" customFormat="1" ht="12.75" thickTop="1" thickBot="1" x14ac:dyDescent="0.25">
      <c r="A10" s="220">
        <v>1</v>
      </c>
      <c r="B10" s="523">
        <v>2</v>
      </c>
      <c r="C10" s="524"/>
      <c r="D10" s="525"/>
      <c r="E10" s="300">
        <v>3</v>
      </c>
      <c r="F10" s="302">
        <v>4</v>
      </c>
      <c r="G10" s="309">
        <v>4</v>
      </c>
      <c r="H10" s="310">
        <v>5</v>
      </c>
      <c r="I10" s="310">
        <v>5</v>
      </c>
      <c r="J10" s="310"/>
      <c r="K10" s="310"/>
      <c r="L10" s="310"/>
      <c r="M10" s="310"/>
      <c r="N10" s="310"/>
      <c r="O10" s="310"/>
      <c r="P10" s="310"/>
      <c r="Q10" s="310"/>
      <c r="R10" s="413"/>
      <c r="S10" s="432"/>
      <c r="T10" s="310"/>
      <c r="U10" s="310"/>
      <c r="V10" s="310"/>
      <c r="W10" s="310">
        <v>6</v>
      </c>
      <c r="X10" s="310">
        <v>6</v>
      </c>
      <c r="Y10" s="310"/>
      <c r="Z10" s="310"/>
      <c r="AA10" s="310"/>
      <c r="AB10" s="310"/>
      <c r="AC10" s="310"/>
      <c r="AD10" s="310"/>
      <c r="AE10" s="310"/>
      <c r="AF10" s="310">
        <v>7</v>
      </c>
      <c r="AG10" s="311">
        <v>7</v>
      </c>
      <c r="AH10" s="311"/>
      <c r="AI10" s="311"/>
      <c r="AJ10" s="311"/>
      <c r="AK10" s="311"/>
      <c r="AL10" s="452"/>
      <c r="AM10" s="311"/>
      <c r="AN10" s="311"/>
      <c r="AO10" s="311"/>
      <c r="AP10" s="311"/>
      <c r="AQ10" s="311">
        <v>8</v>
      </c>
      <c r="AR10" s="311">
        <v>9</v>
      </c>
      <c r="AS10" s="311">
        <v>9</v>
      </c>
      <c r="AT10" s="311"/>
      <c r="AU10" s="311"/>
      <c r="AV10" s="311"/>
      <c r="AW10" s="452"/>
      <c r="AX10" s="311"/>
      <c r="AY10" s="311">
        <v>10</v>
      </c>
      <c r="AZ10" s="310">
        <v>10</v>
      </c>
      <c r="BA10" s="310"/>
      <c r="BB10" s="310"/>
      <c r="BC10" s="310"/>
      <c r="BD10" s="310"/>
      <c r="BE10" s="310"/>
      <c r="BF10" s="310"/>
      <c r="BG10" s="310"/>
      <c r="BH10" s="310"/>
      <c r="BI10" s="310"/>
      <c r="BJ10" s="310"/>
      <c r="BK10" s="329"/>
      <c r="BL10" s="312" t="s">
        <v>708</v>
      </c>
      <c r="BM10" s="220">
        <v>12</v>
      </c>
    </row>
    <row r="11" spans="1:73" ht="13.5" thickTop="1" thickBot="1" x14ac:dyDescent="0.25">
      <c r="A11" s="124"/>
      <c r="B11" s="519"/>
      <c r="C11" s="520"/>
      <c r="D11" s="521"/>
      <c r="E11" s="4"/>
      <c r="F11" s="344"/>
      <c r="G11" s="5"/>
      <c r="H11" s="6"/>
      <c r="I11" s="6"/>
      <c r="J11" s="6"/>
      <c r="K11" s="6"/>
      <c r="L11" s="6"/>
      <c r="M11" s="6"/>
      <c r="N11" s="6"/>
      <c r="O11" s="6"/>
      <c r="P11" s="6"/>
      <c r="Q11" s="6"/>
      <c r="R11" s="414"/>
      <c r="S11" s="433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132"/>
      <c r="AH11" s="132"/>
      <c r="AI11" s="132"/>
      <c r="AJ11" s="132"/>
      <c r="AK11" s="132"/>
      <c r="AL11" s="453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453"/>
      <c r="AX11" s="132"/>
      <c r="AY11" s="132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330"/>
      <c r="BL11" s="7"/>
      <c r="BM11" s="115"/>
    </row>
    <row r="12" spans="1:73" ht="24.75" thickBot="1" x14ac:dyDescent="0.25">
      <c r="A12" s="116"/>
      <c r="B12" s="522" t="s">
        <v>4</v>
      </c>
      <c r="C12" s="501"/>
      <c r="D12" s="198" t="s">
        <v>186</v>
      </c>
      <c r="E12" s="8"/>
      <c r="F12" s="345">
        <f t="shared" ref="F12:V12" si="0">SUM(F13:F26)</f>
        <v>17447168</v>
      </c>
      <c r="G12" s="9">
        <f t="shared" si="0"/>
        <v>17511638</v>
      </c>
      <c r="H12" s="10">
        <f>SUM(H13:H26)</f>
        <v>17426439</v>
      </c>
      <c r="I12" s="10">
        <f t="shared" si="0"/>
        <v>17489820</v>
      </c>
      <c r="J12" s="10">
        <f t="shared" si="0"/>
        <v>63381</v>
      </c>
      <c r="K12" s="10">
        <f t="shared" si="0"/>
        <v>-5529</v>
      </c>
      <c r="L12" s="10">
        <f t="shared" si="0"/>
        <v>67918</v>
      </c>
      <c r="M12" s="10">
        <f t="shared" si="0"/>
        <v>-1308</v>
      </c>
      <c r="N12" s="10">
        <f t="shared" si="0"/>
        <v>0</v>
      </c>
      <c r="O12" s="10">
        <f t="shared" si="0"/>
        <v>0</v>
      </c>
      <c r="P12" s="10">
        <f t="shared" si="0"/>
        <v>-8700</v>
      </c>
      <c r="Q12" s="10">
        <f t="shared" si="0"/>
        <v>2000</v>
      </c>
      <c r="R12" s="415">
        <f t="shared" si="0"/>
        <v>-8000</v>
      </c>
      <c r="S12" s="434">
        <f t="shared" si="0"/>
        <v>17000</v>
      </c>
      <c r="T12" s="10">
        <f t="shared" si="0"/>
        <v>0</v>
      </c>
      <c r="U12" s="10">
        <f t="shared" si="0"/>
        <v>0</v>
      </c>
      <c r="V12" s="10">
        <f t="shared" si="0"/>
        <v>0</v>
      </c>
      <c r="W12" s="10">
        <f t="shared" ref="W12:AY12" si="1">SUM(W13:W26)</f>
        <v>683</v>
      </c>
      <c r="X12" s="10">
        <f t="shared" si="1"/>
        <v>1736</v>
      </c>
      <c r="Y12" s="10">
        <f t="shared" si="1"/>
        <v>1053</v>
      </c>
      <c r="Z12" s="10">
        <f t="shared" si="1"/>
        <v>1053</v>
      </c>
      <c r="AA12" s="10">
        <f t="shared" si="1"/>
        <v>0</v>
      </c>
      <c r="AB12" s="10">
        <f t="shared" si="1"/>
        <v>0</v>
      </c>
      <c r="AC12" s="10">
        <f t="shared" si="1"/>
        <v>0</v>
      </c>
      <c r="AD12" s="10">
        <f t="shared" si="1"/>
        <v>0</v>
      </c>
      <c r="AE12" s="10">
        <f t="shared" si="1"/>
        <v>0</v>
      </c>
      <c r="AF12" s="10">
        <f t="shared" si="1"/>
        <v>20046</v>
      </c>
      <c r="AG12" s="10">
        <f t="shared" ref="AG12:AP12" si="2">SUM(AG13:AG26)</f>
        <v>20082</v>
      </c>
      <c r="AH12" s="10">
        <f t="shared" si="2"/>
        <v>36</v>
      </c>
      <c r="AI12" s="10">
        <f t="shared" si="2"/>
        <v>36</v>
      </c>
      <c r="AJ12" s="10">
        <f t="shared" si="2"/>
        <v>0</v>
      </c>
      <c r="AK12" s="10">
        <f t="shared" si="2"/>
        <v>0</v>
      </c>
      <c r="AL12" s="434">
        <f t="shared" si="2"/>
        <v>0</v>
      </c>
      <c r="AM12" s="10">
        <f t="shared" si="2"/>
        <v>0</v>
      </c>
      <c r="AN12" s="10">
        <f t="shared" si="2"/>
        <v>0</v>
      </c>
      <c r="AO12" s="10">
        <f t="shared" si="2"/>
        <v>0</v>
      </c>
      <c r="AP12" s="10">
        <f t="shared" si="2"/>
        <v>0</v>
      </c>
      <c r="AQ12" s="10">
        <f t="shared" si="1"/>
        <v>0</v>
      </c>
      <c r="AR12" s="133">
        <f t="shared" si="1"/>
        <v>0</v>
      </c>
      <c r="AS12" s="133">
        <f t="shared" si="1"/>
        <v>0</v>
      </c>
      <c r="AT12" s="133">
        <f t="shared" si="1"/>
        <v>0</v>
      </c>
      <c r="AU12" s="133">
        <f t="shared" si="1"/>
        <v>0</v>
      </c>
      <c r="AV12" s="133">
        <f t="shared" si="1"/>
        <v>0</v>
      </c>
      <c r="AW12" s="440">
        <f t="shared" si="1"/>
        <v>0</v>
      </c>
      <c r="AX12" s="133">
        <f t="shared" si="1"/>
        <v>0</v>
      </c>
      <c r="AY12" s="133">
        <f t="shared" si="1"/>
        <v>0</v>
      </c>
      <c r="AZ12" s="342">
        <f t="shared" ref="AZ12:BK12" si="3">SUM(AZ13:AZ26)</f>
        <v>0</v>
      </c>
      <c r="BA12" s="342">
        <f t="shared" si="3"/>
        <v>0</v>
      </c>
      <c r="BB12" s="342">
        <f t="shared" si="3"/>
        <v>0</v>
      </c>
      <c r="BC12" s="342">
        <f t="shared" si="3"/>
        <v>0</v>
      </c>
      <c r="BD12" s="342">
        <f t="shared" si="3"/>
        <v>0</v>
      </c>
      <c r="BE12" s="342">
        <f t="shared" si="3"/>
        <v>0</v>
      </c>
      <c r="BF12" s="342">
        <f t="shared" si="3"/>
        <v>0</v>
      </c>
      <c r="BG12" s="342">
        <f t="shared" si="3"/>
        <v>0</v>
      </c>
      <c r="BH12" s="342">
        <f t="shared" si="3"/>
        <v>0</v>
      </c>
      <c r="BI12" s="342">
        <f t="shared" si="3"/>
        <v>0</v>
      </c>
      <c r="BJ12" s="342">
        <f t="shared" si="3"/>
        <v>0</v>
      </c>
      <c r="BK12" s="331">
        <f t="shared" si="3"/>
        <v>0</v>
      </c>
      <c r="BL12" s="11"/>
      <c r="BM12" s="116"/>
      <c r="BO12" s="36"/>
      <c r="BP12" s="36"/>
      <c r="BQ12" s="36"/>
      <c r="BR12" s="36"/>
      <c r="BS12" s="36"/>
      <c r="BT12" s="36"/>
      <c r="BU12" s="36"/>
    </row>
    <row r="13" spans="1:73" ht="12.75" thickTop="1" x14ac:dyDescent="0.2">
      <c r="A13" s="194">
        <v>90000056357</v>
      </c>
      <c r="B13" s="207"/>
      <c r="C13" s="499" t="s">
        <v>5</v>
      </c>
      <c r="D13" s="500"/>
      <c r="E13" s="108" t="s">
        <v>205</v>
      </c>
      <c r="F13" s="346">
        <f>H13+W13+AF13+AQ13+AR13+AY13</f>
        <v>798203</v>
      </c>
      <c r="G13" s="109">
        <f>I13+X13+AG13+AQ13+AS13+AZ13</f>
        <v>820109</v>
      </c>
      <c r="H13" s="110">
        <v>778157</v>
      </c>
      <c r="I13" s="110">
        <f>J13+H13</f>
        <v>800027</v>
      </c>
      <c r="J13" s="110">
        <f>SUM(K13:V13)</f>
        <v>21870</v>
      </c>
      <c r="K13" s="110"/>
      <c r="L13" s="110"/>
      <c r="M13" s="110"/>
      <c r="N13" s="110"/>
      <c r="O13" s="110"/>
      <c r="P13" s="110"/>
      <c r="Q13" s="110"/>
      <c r="R13" s="416">
        <v>4870</v>
      </c>
      <c r="S13" s="435">
        <v>17000</v>
      </c>
      <c r="T13" s="110"/>
      <c r="U13" s="110"/>
      <c r="V13" s="110"/>
      <c r="W13" s="110">
        <v>0</v>
      </c>
      <c r="X13" s="110">
        <f>Y13+W13</f>
        <v>0</v>
      </c>
      <c r="Y13" s="110">
        <f>SUM(Z13:AE13)</f>
        <v>0</v>
      </c>
      <c r="Z13" s="110"/>
      <c r="AA13" s="110"/>
      <c r="AB13" s="110"/>
      <c r="AC13" s="110"/>
      <c r="AD13" s="110"/>
      <c r="AE13" s="110"/>
      <c r="AF13" s="110">
        <v>20046</v>
      </c>
      <c r="AG13" s="135">
        <f>AH13+AF13</f>
        <v>20082</v>
      </c>
      <c r="AH13" s="135">
        <f>SUM(AI13:AP13)</f>
        <v>36</v>
      </c>
      <c r="AI13" s="135">
        <v>36</v>
      </c>
      <c r="AJ13" s="135"/>
      <c r="AK13" s="135"/>
      <c r="AL13" s="454"/>
      <c r="AM13" s="135"/>
      <c r="AN13" s="135"/>
      <c r="AO13" s="135"/>
      <c r="AP13" s="135"/>
      <c r="AQ13" s="135"/>
      <c r="AR13" s="135">
        <v>0</v>
      </c>
      <c r="AS13" s="135">
        <f>AT13+AR13</f>
        <v>0</v>
      </c>
      <c r="AT13" s="135">
        <f>SUM(AU13:AX13)</f>
        <v>0</v>
      </c>
      <c r="AU13" s="135"/>
      <c r="AV13" s="135"/>
      <c r="AW13" s="454"/>
      <c r="AX13" s="135"/>
      <c r="AY13" s="135"/>
      <c r="AZ13" s="110">
        <f>BA13+AY13</f>
        <v>0</v>
      </c>
      <c r="BA13" s="110">
        <f>SUM(BB13:BK13)</f>
        <v>0</v>
      </c>
      <c r="BB13" s="110"/>
      <c r="BC13" s="110"/>
      <c r="BD13" s="110"/>
      <c r="BE13" s="110"/>
      <c r="BF13" s="110"/>
      <c r="BG13" s="110"/>
      <c r="BH13" s="110"/>
      <c r="BI13" s="110"/>
      <c r="BJ13" s="110"/>
      <c r="BK13" s="332"/>
      <c r="BL13" s="111" t="s">
        <v>404</v>
      </c>
      <c r="BM13" s="117"/>
      <c r="BN13" s="36"/>
      <c r="BO13" s="36"/>
      <c r="BP13" s="36"/>
      <c r="BQ13" s="36"/>
      <c r="BR13" s="36"/>
      <c r="BS13" s="36"/>
      <c r="BT13" s="36"/>
      <c r="BU13" s="36"/>
    </row>
    <row r="14" spans="1:73" s="193" customFormat="1" ht="24" x14ac:dyDescent="0.2">
      <c r="A14" s="197"/>
      <c r="C14" s="19"/>
      <c r="D14" s="306"/>
      <c r="E14" s="108" t="s">
        <v>327</v>
      </c>
      <c r="F14" s="346">
        <f t="shared" ref="F14:F25" si="4">H14+W14+AF14+AQ14+AR14+AY14</f>
        <v>152161</v>
      </c>
      <c r="G14" s="109">
        <f t="shared" ref="G14:G25" si="5">I14+X14+AG14+AQ14+AS14+AZ14</f>
        <v>152161</v>
      </c>
      <c r="H14" s="110">
        <v>152161</v>
      </c>
      <c r="I14" s="110">
        <f>J14+H14</f>
        <v>152161</v>
      </c>
      <c r="J14" s="110">
        <f>SUM(K14:V14)</f>
        <v>0</v>
      </c>
      <c r="K14" s="110"/>
      <c r="L14" s="110"/>
      <c r="M14" s="110"/>
      <c r="N14" s="110"/>
      <c r="O14" s="110"/>
      <c r="P14" s="110"/>
      <c r="Q14" s="110"/>
      <c r="R14" s="416"/>
      <c r="S14" s="435"/>
      <c r="T14" s="110"/>
      <c r="U14" s="110"/>
      <c r="V14" s="110"/>
      <c r="W14" s="110">
        <v>0</v>
      </c>
      <c r="X14" s="110">
        <f t="shared" ref="X14:X25" si="6">Y14+W14</f>
        <v>0</v>
      </c>
      <c r="Y14" s="110">
        <f t="shared" ref="Y14:Y25" si="7">SUM(Z14:AE14)</f>
        <v>0</v>
      </c>
      <c r="Z14" s="110"/>
      <c r="AA14" s="110"/>
      <c r="AB14" s="110"/>
      <c r="AC14" s="110"/>
      <c r="AD14" s="110"/>
      <c r="AE14" s="110"/>
      <c r="AF14" s="110">
        <v>0</v>
      </c>
      <c r="AG14" s="135">
        <f t="shared" ref="AG14:AG20" si="8">AH14+AF14</f>
        <v>0</v>
      </c>
      <c r="AH14" s="135">
        <f t="shared" ref="AH14:AH20" si="9">SUM(AI14:AP14)</f>
        <v>0</v>
      </c>
      <c r="AI14" s="135"/>
      <c r="AJ14" s="135"/>
      <c r="AK14" s="135"/>
      <c r="AL14" s="454"/>
      <c r="AM14" s="135"/>
      <c r="AN14" s="135"/>
      <c r="AO14" s="135"/>
      <c r="AP14" s="135"/>
      <c r="AQ14" s="135"/>
      <c r="AR14" s="135">
        <v>0</v>
      </c>
      <c r="AS14" s="135">
        <f t="shared" ref="AS14:AS20" si="10">AT14+AR14</f>
        <v>0</v>
      </c>
      <c r="AT14" s="135">
        <f t="shared" ref="AT14:AT20" si="11">SUM(AU14:AX14)</f>
        <v>0</v>
      </c>
      <c r="AU14" s="135"/>
      <c r="AV14" s="135"/>
      <c r="AW14" s="454"/>
      <c r="AX14" s="135"/>
      <c r="AY14" s="135"/>
      <c r="AZ14" s="110">
        <f t="shared" ref="AZ14:AZ20" si="12">BA14+AY14</f>
        <v>0</v>
      </c>
      <c r="BA14" s="110">
        <f t="shared" ref="BA14:BA20" si="13">SUM(BB14:BK14)</f>
        <v>0</v>
      </c>
      <c r="BB14" s="110"/>
      <c r="BC14" s="110"/>
      <c r="BD14" s="110"/>
      <c r="BE14" s="110"/>
      <c r="BF14" s="110"/>
      <c r="BG14" s="110"/>
      <c r="BH14" s="110"/>
      <c r="BI14" s="110"/>
      <c r="BJ14" s="110"/>
      <c r="BK14" s="332"/>
      <c r="BL14" s="111" t="s">
        <v>405</v>
      </c>
      <c r="BM14" s="117"/>
      <c r="BN14" s="36"/>
      <c r="BO14" s="36"/>
      <c r="BP14" s="36"/>
      <c r="BQ14" s="36"/>
      <c r="BR14" s="36"/>
      <c r="BS14" s="36"/>
      <c r="BT14" s="36"/>
      <c r="BU14" s="36"/>
    </row>
    <row r="15" spans="1:73" ht="36" x14ac:dyDescent="0.2">
      <c r="A15" s="165"/>
      <c r="B15" s="129"/>
      <c r="C15" s="108"/>
      <c r="D15" s="307"/>
      <c r="E15" s="108" t="s">
        <v>256</v>
      </c>
      <c r="F15" s="346">
        <f t="shared" si="4"/>
        <v>600804</v>
      </c>
      <c r="G15" s="109">
        <f t="shared" si="5"/>
        <v>600804</v>
      </c>
      <c r="H15" s="110">
        <v>600804</v>
      </c>
      <c r="I15" s="110">
        <f t="shared" ref="I15:I25" si="14">J15+H15</f>
        <v>600804</v>
      </c>
      <c r="J15" s="110">
        <f t="shared" ref="J15:J25" si="15">SUM(K15:V15)</f>
        <v>0</v>
      </c>
      <c r="K15" s="110"/>
      <c r="L15" s="110"/>
      <c r="M15" s="110"/>
      <c r="N15" s="110"/>
      <c r="O15" s="110"/>
      <c r="P15" s="110"/>
      <c r="Q15" s="110"/>
      <c r="R15" s="416"/>
      <c r="S15" s="435"/>
      <c r="T15" s="110"/>
      <c r="U15" s="110"/>
      <c r="V15" s="110"/>
      <c r="W15" s="110">
        <v>0</v>
      </c>
      <c r="X15" s="110">
        <f t="shared" si="6"/>
        <v>0</v>
      </c>
      <c r="Y15" s="110">
        <f t="shared" si="7"/>
        <v>0</v>
      </c>
      <c r="Z15" s="110"/>
      <c r="AA15" s="110"/>
      <c r="AB15" s="110"/>
      <c r="AC15" s="110"/>
      <c r="AD15" s="110"/>
      <c r="AE15" s="110"/>
      <c r="AF15" s="110">
        <v>0</v>
      </c>
      <c r="AG15" s="135">
        <f t="shared" si="8"/>
        <v>0</v>
      </c>
      <c r="AH15" s="135">
        <f t="shared" si="9"/>
        <v>0</v>
      </c>
      <c r="AI15" s="135"/>
      <c r="AJ15" s="135"/>
      <c r="AK15" s="135"/>
      <c r="AL15" s="454"/>
      <c r="AM15" s="135"/>
      <c r="AN15" s="135"/>
      <c r="AO15" s="135"/>
      <c r="AP15" s="135"/>
      <c r="AQ15" s="135"/>
      <c r="AR15" s="135">
        <v>0</v>
      </c>
      <c r="AS15" s="135">
        <f t="shared" si="10"/>
        <v>0</v>
      </c>
      <c r="AT15" s="135">
        <f t="shared" si="11"/>
        <v>0</v>
      </c>
      <c r="AU15" s="135"/>
      <c r="AV15" s="135"/>
      <c r="AW15" s="454"/>
      <c r="AX15" s="135"/>
      <c r="AY15" s="135"/>
      <c r="AZ15" s="110">
        <f t="shared" si="12"/>
        <v>0</v>
      </c>
      <c r="BA15" s="110">
        <f t="shared" si="13"/>
        <v>0</v>
      </c>
      <c r="BB15" s="110"/>
      <c r="BC15" s="110"/>
      <c r="BD15" s="110"/>
      <c r="BE15" s="110"/>
      <c r="BF15" s="110"/>
      <c r="BG15" s="110"/>
      <c r="BH15" s="110"/>
      <c r="BI15" s="110"/>
      <c r="BJ15" s="110"/>
      <c r="BK15" s="332"/>
      <c r="BL15" s="111" t="s">
        <v>406</v>
      </c>
      <c r="BM15" s="117"/>
      <c r="BN15" s="36"/>
      <c r="BO15" s="36"/>
      <c r="BP15" s="36"/>
      <c r="BQ15" s="36"/>
      <c r="BR15" s="36"/>
      <c r="BS15" s="36"/>
      <c r="BT15" s="36"/>
      <c r="BU15" s="36"/>
    </row>
    <row r="16" spans="1:73" s="193" customFormat="1" ht="24" x14ac:dyDescent="0.2">
      <c r="A16" s="165"/>
      <c r="B16" s="129"/>
      <c r="C16" s="108"/>
      <c r="D16" s="307"/>
      <c r="E16" s="108" t="s">
        <v>340</v>
      </c>
      <c r="F16" s="346">
        <f t="shared" si="4"/>
        <v>3887472</v>
      </c>
      <c r="G16" s="109">
        <f t="shared" si="5"/>
        <v>3887472</v>
      </c>
      <c r="H16" s="110">
        <v>3887472</v>
      </c>
      <c r="I16" s="110">
        <f t="shared" si="14"/>
        <v>3887472</v>
      </c>
      <c r="J16" s="110">
        <f t="shared" si="15"/>
        <v>0</v>
      </c>
      <c r="K16" s="110"/>
      <c r="L16" s="110"/>
      <c r="M16" s="110"/>
      <c r="N16" s="110"/>
      <c r="O16" s="110"/>
      <c r="P16" s="110"/>
      <c r="Q16" s="110"/>
      <c r="R16" s="416"/>
      <c r="S16" s="435"/>
      <c r="T16" s="110"/>
      <c r="U16" s="110"/>
      <c r="V16" s="110"/>
      <c r="W16" s="110">
        <v>0</v>
      </c>
      <c r="X16" s="110">
        <f t="shared" si="6"/>
        <v>0</v>
      </c>
      <c r="Y16" s="110">
        <f t="shared" si="7"/>
        <v>0</v>
      </c>
      <c r="Z16" s="110"/>
      <c r="AA16" s="110"/>
      <c r="AB16" s="110"/>
      <c r="AC16" s="110"/>
      <c r="AD16" s="110"/>
      <c r="AE16" s="110"/>
      <c r="AF16" s="110">
        <v>0</v>
      </c>
      <c r="AG16" s="135">
        <f t="shared" si="8"/>
        <v>0</v>
      </c>
      <c r="AH16" s="135">
        <f t="shared" si="9"/>
        <v>0</v>
      </c>
      <c r="AI16" s="135"/>
      <c r="AJ16" s="135"/>
      <c r="AK16" s="135"/>
      <c r="AL16" s="454"/>
      <c r="AM16" s="135"/>
      <c r="AN16" s="135"/>
      <c r="AO16" s="135"/>
      <c r="AP16" s="135"/>
      <c r="AQ16" s="135"/>
      <c r="AR16" s="135">
        <v>0</v>
      </c>
      <c r="AS16" s="135">
        <f t="shared" si="10"/>
        <v>0</v>
      </c>
      <c r="AT16" s="135">
        <f t="shared" si="11"/>
        <v>0</v>
      </c>
      <c r="AU16" s="135"/>
      <c r="AV16" s="135"/>
      <c r="AW16" s="454"/>
      <c r="AX16" s="135"/>
      <c r="AY16" s="135"/>
      <c r="AZ16" s="110">
        <f t="shared" si="12"/>
        <v>0</v>
      </c>
      <c r="BA16" s="110">
        <f t="shared" si="13"/>
        <v>0</v>
      </c>
      <c r="BB16" s="110"/>
      <c r="BC16" s="110"/>
      <c r="BD16" s="110"/>
      <c r="BE16" s="110"/>
      <c r="BF16" s="110"/>
      <c r="BG16" s="110"/>
      <c r="BH16" s="110"/>
      <c r="BI16" s="110"/>
      <c r="BJ16" s="110"/>
      <c r="BK16" s="332"/>
      <c r="BL16" s="111" t="s">
        <v>407</v>
      </c>
      <c r="BM16" s="117" t="s">
        <v>556</v>
      </c>
      <c r="BN16" s="36"/>
      <c r="BO16" s="36"/>
      <c r="BP16" s="36"/>
      <c r="BQ16" s="36"/>
      <c r="BR16" s="36"/>
      <c r="BS16" s="36"/>
      <c r="BT16" s="36"/>
      <c r="BU16" s="36"/>
    </row>
    <row r="17" spans="1:73" s="193" customFormat="1" ht="36" x14ac:dyDescent="0.2">
      <c r="A17" s="165"/>
      <c r="B17" s="129"/>
      <c r="C17" s="108"/>
      <c r="D17" s="307"/>
      <c r="E17" s="263" t="s">
        <v>341</v>
      </c>
      <c r="F17" s="346">
        <f t="shared" si="4"/>
        <v>2000</v>
      </c>
      <c r="G17" s="109">
        <f t="shared" si="5"/>
        <v>2000</v>
      </c>
      <c r="H17" s="110">
        <v>2000</v>
      </c>
      <c r="I17" s="110">
        <f t="shared" si="14"/>
        <v>2000</v>
      </c>
      <c r="J17" s="110">
        <f t="shared" si="15"/>
        <v>0</v>
      </c>
      <c r="K17" s="110"/>
      <c r="L17" s="110"/>
      <c r="M17" s="110"/>
      <c r="N17" s="110"/>
      <c r="O17" s="110"/>
      <c r="P17" s="110"/>
      <c r="Q17" s="110"/>
      <c r="R17" s="416"/>
      <c r="S17" s="435"/>
      <c r="T17" s="110"/>
      <c r="U17" s="110"/>
      <c r="V17" s="110"/>
      <c r="W17" s="110">
        <v>0</v>
      </c>
      <c r="X17" s="110">
        <f t="shared" si="6"/>
        <v>0</v>
      </c>
      <c r="Y17" s="110">
        <f t="shared" si="7"/>
        <v>0</v>
      </c>
      <c r="Z17" s="110"/>
      <c r="AA17" s="110"/>
      <c r="AB17" s="110"/>
      <c r="AC17" s="110"/>
      <c r="AD17" s="110"/>
      <c r="AE17" s="110"/>
      <c r="AF17" s="110">
        <v>0</v>
      </c>
      <c r="AG17" s="135">
        <f t="shared" si="8"/>
        <v>0</v>
      </c>
      <c r="AH17" s="135">
        <f t="shared" si="9"/>
        <v>0</v>
      </c>
      <c r="AI17" s="135"/>
      <c r="AJ17" s="135"/>
      <c r="AK17" s="135"/>
      <c r="AL17" s="454"/>
      <c r="AM17" s="135"/>
      <c r="AN17" s="135"/>
      <c r="AO17" s="135"/>
      <c r="AP17" s="135"/>
      <c r="AQ17" s="135"/>
      <c r="AR17" s="135">
        <v>0</v>
      </c>
      <c r="AS17" s="135">
        <f t="shared" si="10"/>
        <v>0</v>
      </c>
      <c r="AT17" s="135">
        <f t="shared" si="11"/>
        <v>0</v>
      </c>
      <c r="AU17" s="135"/>
      <c r="AV17" s="135"/>
      <c r="AW17" s="454"/>
      <c r="AX17" s="135"/>
      <c r="AY17" s="135"/>
      <c r="AZ17" s="110">
        <f t="shared" si="12"/>
        <v>0</v>
      </c>
      <c r="BA17" s="110">
        <f t="shared" si="13"/>
        <v>0</v>
      </c>
      <c r="BB17" s="110"/>
      <c r="BC17" s="110"/>
      <c r="BD17" s="110"/>
      <c r="BE17" s="110"/>
      <c r="BF17" s="110"/>
      <c r="BG17" s="110"/>
      <c r="BH17" s="110"/>
      <c r="BI17" s="110"/>
      <c r="BJ17" s="110"/>
      <c r="BK17" s="332"/>
      <c r="BL17" s="111" t="s">
        <v>408</v>
      </c>
      <c r="BM17" s="118" t="s">
        <v>557</v>
      </c>
      <c r="BN17" s="36"/>
      <c r="BO17" s="36"/>
      <c r="BP17" s="36"/>
      <c r="BQ17" s="36"/>
      <c r="BR17" s="36"/>
      <c r="BS17" s="36"/>
      <c r="BT17" s="36"/>
      <c r="BU17" s="36"/>
    </row>
    <row r="18" spans="1:73" s="268" customFormat="1" ht="24" x14ac:dyDescent="0.2">
      <c r="A18" s="165"/>
      <c r="B18" s="129"/>
      <c r="C18" s="108"/>
      <c r="D18" s="307"/>
      <c r="E18" s="108" t="s">
        <v>328</v>
      </c>
      <c r="F18" s="346">
        <f t="shared" si="4"/>
        <v>241782</v>
      </c>
      <c r="G18" s="109">
        <f t="shared" si="5"/>
        <v>261700</v>
      </c>
      <c r="H18" s="110">
        <v>241782</v>
      </c>
      <c r="I18" s="110">
        <f t="shared" si="14"/>
        <v>261700</v>
      </c>
      <c r="J18" s="110">
        <f t="shared" si="15"/>
        <v>19918</v>
      </c>
      <c r="K18" s="110"/>
      <c r="L18" s="110">
        <v>17918</v>
      </c>
      <c r="M18" s="110"/>
      <c r="N18" s="110"/>
      <c r="O18" s="110"/>
      <c r="P18" s="110"/>
      <c r="Q18" s="110">
        <v>2000</v>
      </c>
      <c r="R18" s="416"/>
      <c r="S18" s="435"/>
      <c r="T18" s="110"/>
      <c r="U18" s="110"/>
      <c r="V18" s="110"/>
      <c r="W18" s="110">
        <v>0</v>
      </c>
      <c r="X18" s="110">
        <f t="shared" si="6"/>
        <v>0</v>
      </c>
      <c r="Y18" s="110">
        <f t="shared" si="7"/>
        <v>0</v>
      </c>
      <c r="Z18" s="110"/>
      <c r="AA18" s="110"/>
      <c r="AB18" s="110"/>
      <c r="AC18" s="110"/>
      <c r="AD18" s="110"/>
      <c r="AE18" s="110"/>
      <c r="AF18" s="110">
        <v>0</v>
      </c>
      <c r="AG18" s="135">
        <f t="shared" si="8"/>
        <v>0</v>
      </c>
      <c r="AH18" s="135">
        <f t="shared" si="9"/>
        <v>0</v>
      </c>
      <c r="AI18" s="135"/>
      <c r="AJ18" s="135"/>
      <c r="AK18" s="135"/>
      <c r="AL18" s="454"/>
      <c r="AM18" s="135"/>
      <c r="AN18" s="135"/>
      <c r="AO18" s="135"/>
      <c r="AP18" s="135"/>
      <c r="AQ18" s="135"/>
      <c r="AR18" s="135">
        <v>0</v>
      </c>
      <c r="AS18" s="135">
        <f t="shared" si="10"/>
        <v>0</v>
      </c>
      <c r="AT18" s="135">
        <f t="shared" si="11"/>
        <v>0</v>
      </c>
      <c r="AU18" s="135"/>
      <c r="AV18" s="135"/>
      <c r="AW18" s="454"/>
      <c r="AX18" s="135"/>
      <c r="AY18" s="135"/>
      <c r="AZ18" s="110">
        <f t="shared" si="12"/>
        <v>0</v>
      </c>
      <c r="BA18" s="110">
        <f t="shared" si="13"/>
        <v>0</v>
      </c>
      <c r="BB18" s="110"/>
      <c r="BC18" s="110"/>
      <c r="BD18" s="110"/>
      <c r="BE18" s="110"/>
      <c r="BF18" s="110"/>
      <c r="BG18" s="110"/>
      <c r="BH18" s="110"/>
      <c r="BI18" s="110"/>
      <c r="BJ18" s="110"/>
      <c r="BK18" s="332"/>
      <c r="BL18" s="111" t="s">
        <v>648</v>
      </c>
      <c r="BM18" s="117" t="s">
        <v>565</v>
      </c>
      <c r="BN18" s="36"/>
      <c r="BO18" s="36"/>
      <c r="BP18" s="36"/>
      <c r="BQ18" s="36"/>
      <c r="BR18" s="36"/>
      <c r="BS18" s="36"/>
      <c r="BT18" s="36"/>
      <c r="BU18" s="36"/>
    </row>
    <row r="19" spans="1:73" s="238" customFormat="1" ht="36" x14ac:dyDescent="0.2">
      <c r="A19" s="165"/>
      <c r="B19" s="129"/>
      <c r="C19" s="108"/>
      <c r="D19" s="307"/>
      <c r="E19" s="265" t="s">
        <v>580</v>
      </c>
      <c r="F19" s="346">
        <f t="shared" si="4"/>
        <v>18080</v>
      </c>
      <c r="G19" s="109">
        <f t="shared" si="5"/>
        <v>18080</v>
      </c>
      <c r="H19" s="110">
        <v>18080</v>
      </c>
      <c r="I19" s="110">
        <f t="shared" si="14"/>
        <v>18080</v>
      </c>
      <c r="J19" s="110">
        <f t="shared" si="15"/>
        <v>0</v>
      </c>
      <c r="K19" s="110"/>
      <c r="L19" s="110"/>
      <c r="M19" s="110"/>
      <c r="N19" s="110"/>
      <c r="O19" s="110"/>
      <c r="P19" s="110"/>
      <c r="Q19" s="110"/>
      <c r="R19" s="416"/>
      <c r="S19" s="435"/>
      <c r="T19" s="110"/>
      <c r="U19" s="110"/>
      <c r="V19" s="110"/>
      <c r="W19" s="110">
        <v>0</v>
      </c>
      <c r="X19" s="110">
        <f t="shared" si="6"/>
        <v>0</v>
      </c>
      <c r="Y19" s="110">
        <f t="shared" si="7"/>
        <v>0</v>
      </c>
      <c r="Z19" s="110"/>
      <c r="AA19" s="110"/>
      <c r="AB19" s="110"/>
      <c r="AC19" s="110"/>
      <c r="AD19" s="110"/>
      <c r="AE19" s="110"/>
      <c r="AF19" s="110">
        <v>0</v>
      </c>
      <c r="AG19" s="135">
        <f t="shared" si="8"/>
        <v>0</v>
      </c>
      <c r="AH19" s="135">
        <f t="shared" si="9"/>
        <v>0</v>
      </c>
      <c r="AI19" s="135"/>
      <c r="AJ19" s="135"/>
      <c r="AK19" s="135"/>
      <c r="AL19" s="454"/>
      <c r="AM19" s="135"/>
      <c r="AN19" s="135"/>
      <c r="AO19" s="135"/>
      <c r="AP19" s="135"/>
      <c r="AQ19" s="135"/>
      <c r="AR19" s="135">
        <v>0</v>
      </c>
      <c r="AS19" s="135">
        <f t="shared" si="10"/>
        <v>0</v>
      </c>
      <c r="AT19" s="135">
        <f t="shared" si="11"/>
        <v>0</v>
      </c>
      <c r="AU19" s="135"/>
      <c r="AV19" s="135"/>
      <c r="AW19" s="454"/>
      <c r="AX19" s="135"/>
      <c r="AY19" s="135"/>
      <c r="AZ19" s="110">
        <f t="shared" si="12"/>
        <v>0</v>
      </c>
      <c r="BA19" s="110">
        <f t="shared" si="13"/>
        <v>0</v>
      </c>
      <c r="BB19" s="110"/>
      <c r="BC19" s="110"/>
      <c r="BD19" s="110"/>
      <c r="BE19" s="110"/>
      <c r="BF19" s="110"/>
      <c r="BG19" s="110"/>
      <c r="BH19" s="110"/>
      <c r="BI19" s="110"/>
      <c r="BJ19" s="110"/>
      <c r="BK19" s="332"/>
      <c r="BL19" s="111" t="s">
        <v>581</v>
      </c>
      <c r="BM19" s="117"/>
      <c r="BN19" s="36"/>
      <c r="BO19" s="36"/>
      <c r="BP19" s="36"/>
      <c r="BQ19" s="36"/>
      <c r="BR19" s="36"/>
      <c r="BS19" s="36"/>
      <c r="BT19" s="36"/>
      <c r="BU19" s="36"/>
    </row>
    <row r="20" spans="1:73" s="274" customFormat="1" ht="27.75" customHeight="1" x14ac:dyDescent="0.2">
      <c r="A20" s="165"/>
      <c r="B20" s="129"/>
      <c r="C20" s="471" t="s">
        <v>627</v>
      </c>
      <c r="D20" s="472"/>
      <c r="E20" s="108" t="s">
        <v>205</v>
      </c>
      <c r="F20" s="347">
        <f t="shared" si="4"/>
        <v>52663</v>
      </c>
      <c r="G20" s="95">
        <f t="shared" si="5"/>
        <v>52663</v>
      </c>
      <c r="H20" s="96">
        <v>52663</v>
      </c>
      <c r="I20" s="110">
        <f t="shared" si="14"/>
        <v>52663</v>
      </c>
      <c r="J20" s="110">
        <f t="shared" si="15"/>
        <v>0</v>
      </c>
      <c r="K20" s="96"/>
      <c r="L20" s="96"/>
      <c r="M20" s="96"/>
      <c r="N20" s="96"/>
      <c r="O20" s="96"/>
      <c r="P20" s="96"/>
      <c r="Q20" s="96"/>
      <c r="R20" s="417"/>
      <c r="S20" s="436"/>
      <c r="T20" s="96"/>
      <c r="U20" s="96"/>
      <c r="V20" s="96"/>
      <c r="W20" s="96">
        <v>0</v>
      </c>
      <c r="X20" s="110">
        <f t="shared" si="6"/>
        <v>0</v>
      </c>
      <c r="Y20" s="110">
        <f t="shared" si="7"/>
        <v>0</v>
      </c>
      <c r="Z20" s="96"/>
      <c r="AA20" s="96"/>
      <c r="AB20" s="96"/>
      <c r="AC20" s="96"/>
      <c r="AD20" s="96"/>
      <c r="AE20" s="96"/>
      <c r="AF20" s="96">
        <v>0</v>
      </c>
      <c r="AG20" s="135">
        <f t="shared" si="8"/>
        <v>0</v>
      </c>
      <c r="AH20" s="135">
        <f t="shared" si="9"/>
        <v>0</v>
      </c>
      <c r="AI20" s="134"/>
      <c r="AJ20" s="134"/>
      <c r="AK20" s="134"/>
      <c r="AL20" s="455"/>
      <c r="AM20" s="134"/>
      <c r="AN20" s="134"/>
      <c r="AO20" s="134"/>
      <c r="AP20" s="134"/>
      <c r="AQ20" s="134"/>
      <c r="AR20" s="134">
        <v>0</v>
      </c>
      <c r="AS20" s="134">
        <f t="shared" si="10"/>
        <v>0</v>
      </c>
      <c r="AT20" s="134">
        <f t="shared" si="11"/>
        <v>0</v>
      </c>
      <c r="AU20" s="134"/>
      <c r="AV20" s="134"/>
      <c r="AW20" s="455"/>
      <c r="AX20" s="134"/>
      <c r="AY20" s="134"/>
      <c r="AZ20" s="96">
        <f t="shared" si="12"/>
        <v>0</v>
      </c>
      <c r="BA20" s="96">
        <f t="shared" si="13"/>
        <v>0</v>
      </c>
      <c r="BB20" s="96"/>
      <c r="BC20" s="96"/>
      <c r="BD20" s="96"/>
      <c r="BE20" s="96"/>
      <c r="BF20" s="96"/>
      <c r="BG20" s="96"/>
      <c r="BH20" s="96"/>
      <c r="BI20" s="96"/>
      <c r="BJ20" s="96"/>
      <c r="BK20" s="333"/>
      <c r="BL20" s="270" t="s">
        <v>409</v>
      </c>
      <c r="BM20" s="118"/>
      <c r="BN20" s="36"/>
      <c r="BO20" s="36"/>
      <c r="BP20" s="36"/>
      <c r="BQ20" s="36"/>
      <c r="BR20" s="36"/>
      <c r="BS20" s="36"/>
      <c r="BT20" s="36"/>
      <c r="BU20" s="36"/>
    </row>
    <row r="21" spans="1:73" x14ac:dyDescent="0.2">
      <c r="A21" s="165"/>
      <c r="B21" s="129"/>
      <c r="C21" s="471" t="s">
        <v>189</v>
      </c>
      <c r="D21" s="472"/>
      <c r="E21" s="108" t="s">
        <v>134</v>
      </c>
      <c r="F21" s="346">
        <f t="shared" si="4"/>
        <v>177490</v>
      </c>
      <c r="G21" s="109">
        <f t="shared" si="5"/>
        <v>177490</v>
      </c>
      <c r="H21" s="110">
        <f>277490-100000</f>
        <v>177490</v>
      </c>
      <c r="I21" s="110">
        <f t="shared" si="14"/>
        <v>177490</v>
      </c>
      <c r="J21" s="110">
        <f t="shared" si="15"/>
        <v>0</v>
      </c>
      <c r="K21" s="110"/>
      <c r="L21" s="110"/>
      <c r="M21" s="110"/>
      <c r="N21" s="110"/>
      <c r="O21" s="110"/>
      <c r="P21" s="110"/>
      <c r="Q21" s="110"/>
      <c r="R21" s="416"/>
      <c r="S21" s="435"/>
      <c r="T21" s="110"/>
      <c r="U21" s="110"/>
      <c r="V21" s="110"/>
      <c r="W21" s="110"/>
      <c r="X21" s="110">
        <f t="shared" si="6"/>
        <v>0</v>
      </c>
      <c r="Y21" s="110">
        <f t="shared" si="7"/>
        <v>0</v>
      </c>
      <c r="Z21" s="110"/>
      <c r="AA21" s="110"/>
      <c r="AB21" s="110"/>
      <c r="AC21" s="110"/>
      <c r="AD21" s="110"/>
      <c r="AE21" s="110"/>
      <c r="AF21" s="110"/>
      <c r="AG21" s="135"/>
      <c r="AH21" s="135"/>
      <c r="AI21" s="135"/>
      <c r="AJ21" s="135"/>
      <c r="AK21" s="135"/>
      <c r="AL21" s="454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454"/>
      <c r="AX21" s="135"/>
      <c r="AY21" s="135"/>
      <c r="AZ21" s="110"/>
      <c r="BA21" s="110"/>
      <c r="BB21" s="110"/>
      <c r="BC21" s="110"/>
      <c r="BD21" s="110"/>
      <c r="BE21" s="110"/>
      <c r="BF21" s="110"/>
      <c r="BG21" s="110"/>
      <c r="BH21" s="110"/>
      <c r="BI21" s="110"/>
      <c r="BJ21" s="110"/>
      <c r="BK21" s="332"/>
      <c r="BL21" s="111" t="s">
        <v>639</v>
      </c>
      <c r="BM21" s="117"/>
      <c r="BN21" s="36"/>
      <c r="BO21" s="36"/>
      <c r="BP21" s="36"/>
      <c r="BQ21" s="36"/>
      <c r="BR21" s="36"/>
      <c r="BS21" s="36"/>
      <c r="BT21" s="36"/>
      <c r="BU21" s="36"/>
    </row>
    <row r="22" spans="1:73" ht="24" x14ac:dyDescent="0.2">
      <c r="A22" s="165"/>
      <c r="B22" s="129"/>
      <c r="C22" s="202"/>
      <c r="D22" s="204"/>
      <c r="E22" s="108" t="s">
        <v>206</v>
      </c>
      <c r="F22" s="346">
        <f t="shared" si="4"/>
        <v>10837178</v>
      </c>
      <c r="G22" s="109">
        <f t="shared" si="5"/>
        <v>10837178</v>
      </c>
      <c r="H22" s="110">
        <f>10836759+419</f>
        <v>10837178</v>
      </c>
      <c r="I22" s="110">
        <f t="shared" si="14"/>
        <v>10837178</v>
      </c>
      <c r="J22" s="110">
        <f t="shared" si="15"/>
        <v>0</v>
      </c>
      <c r="K22" s="110"/>
      <c r="L22" s="110"/>
      <c r="M22" s="110"/>
      <c r="N22" s="110"/>
      <c r="O22" s="110"/>
      <c r="P22" s="110"/>
      <c r="Q22" s="110"/>
      <c r="R22" s="416"/>
      <c r="S22" s="435"/>
      <c r="T22" s="110"/>
      <c r="U22" s="110"/>
      <c r="V22" s="110"/>
      <c r="W22" s="110"/>
      <c r="X22" s="110">
        <f t="shared" si="6"/>
        <v>0</v>
      </c>
      <c r="Y22" s="110">
        <f t="shared" si="7"/>
        <v>0</v>
      </c>
      <c r="Z22" s="110"/>
      <c r="AA22" s="110"/>
      <c r="AB22" s="110"/>
      <c r="AC22" s="110"/>
      <c r="AD22" s="110"/>
      <c r="AE22" s="110"/>
      <c r="AF22" s="110"/>
      <c r="AG22" s="135"/>
      <c r="AH22" s="135"/>
      <c r="AI22" s="135"/>
      <c r="AJ22" s="135"/>
      <c r="AK22" s="135"/>
      <c r="AL22" s="454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454"/>
      <c r="AX22" s="135"/>
      <c r="AY22" s="135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0"/>
      <c r="BK22" s="332"/>
      <c r="BL22" s="111" t="s">
        <v>640</v>
      </c>
      <c r="BM22" s="117"/>
      <c r="BN22" s="36"/>
      <c r="BO22" s="36"/>
      <c r="BP22" s="36"/>
      <c r="BQ22" s="36"/>
      <c r="BR22" s="36"/>
      <c r="BS22" s="36"/>
      <c r="BT22" s="36"/>
      <c r="BU22" s="36"/>
    </row>
    <row r="23" spans="1:73" ht="24" x14ac:dyDescent="0.2">
      <c r="A23" s="165"/>
      <c r="B23" s="129"/>
      <c r="C23" s="202"/>
      <c r="D23" s="204"/>
      <c r="E23" s="108" t="s">
        <v>207</v>
      </c>
      <c r="F23" s="346">
        <f t="shared" si="4"/>
        <v>98033</v>
      </c>
      <c r="G23" s="109">
        <f t="shared" si="5"/>
        <v>119626</v>
      </c>
      <c r="H23" s="110">
        <f>150000-50000+21264-23231</f>
        <v>98033</v>
      </c>
      <c r="I23" s="110">
        <f t="shared" si="14"/>
        <v>119626</v>
      </c>
      <c r="J23" s="110">
        <f t="shared" si="15"/>
        <v>21593</v>
      </c>
      <c r="K23" s="110">
        <f>-4235-1294</f>
        <v>-5529</v>
      </c>
      <c r="L23" s="110">
        <v>50000</v>
      </c>
      <c r="M23" s="110">
        <f>-792-516</f>
        <v>-1308</v>
      </c>
      <c r="N23" s="110"/>
      <c r="O23" s="110"/>
      <c r="P23" s="110">
        <f>-8000-700</f>
        <v>-8700</v>
      </c>
      <c r="Q23" s="110"/>
      <c r="R23" s="416">
        <f>-4870-8000</f>
        <v>-12870</v>
      </c>
      <c r="S23" s="435"/>
      <c r="T23" s="110"/>
      <c r="U23" s="110"/>
      <c r="V23" s="110"/>
      <c r="W23" s="110"/>
      <c r="X23" s="110">
        <f t="shared" si="6"/>
        <v>0</v>
      </c>
      <c r="Y23" s="110">
        <f t="shared" si="7"/>
        <v>0</v>
      </c>
      <c r="Z23" s="110"/>
      <c r="AA23" s="110"/>
      <c r="AB23" s="110"/>
      <c r="AC23" s="110"/>
      <c r="AD23" s="110"/>
      <c r="AE23" s="110"/>
      <c r="AF23" s="110"/>
      <c r="AG23" s="135"/>
      <c r="AH23" s="135"/>
      <c r="AI23" s="135"/>
      <c r="AJ23" s="135"/>
      <c r="AK23" s="135"/>
      <c r="AL23" s="454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454"/>
      <c r="AX23" s="135"/>
      <c r="AY23" s="135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332"/>
      <c r="BL23" s="111" t="s">
        <v>641</v>
      </c>
      <c r="BM23" s="117"/>
      <c r="BN23" s="36"/>
      <c r="BO23" s="36"/>
      <c r="BP23" s="36"/>
      <c r="BQ23" s="36"/>
      <c r="BR23" s="36"/>
      <c r="BS23" s="36"/>
      <c r="BT23" s="36"/>
      <c r="BU23" s="36"/>
    </row>
    <row r="24" spans="1:73" s="218" customFormat="1" ht="12.75" x14ac:dyDescent="0.2">
      <c r="A24" s="165"/>
      <c r="B24" s="129"/>
      <c r="C24" s="217"/>
      <c r="D24" s="204"/>
      <c r="E24" s="108" t="s">
        <v>583</v>
      </c>
      <c r="F24" s="346">
        <f t="shared" si="4"/>
        <v>579445</v>
      </c>
      <c r="G24" s="109">
        <f t="shared" si="5"/>
        <v>579445</v>
      </c>
      <c r="H24" s="110">
        <f>629445-50000</f>
        <v>579445</v>
      </c>
      <c r="I24" s="110">
        <f t="shared" si="14"/>
        <v>579445</v>
      </c>
      <c r="J24" s="110">
        <f t="shared" si="15"/>
        <v>0</v>
      </c>
      <c r="K24" s="110"/>
      <c r="L24" s="110"/>
      <c r="M24" s="110"/>
      <c r="N24" s="110"/>
      <c r="O24" s="110"/>
      <c r="P24" s="110"/>
      <c r="Q24" s="110"/>
      <c r="R24" s="416"/>
      <c r="S24" s="435"/>
      <c r="T24" s="110"/>
      <c r="U24" s="110"/>
      <c r="V24" s="110"/>
      <c r="W24" s="110"/>
      <c r="X24" s="110">
        <f t="shared" si="6"/>
        <v>0</v>
      </c>
      <c r="Y24" s="110">
        <f t="shared" si="7"/>
        <v>0</v>
      </c>
      <c r="Z24" s="110"/>
      <c r="AA24" s="110"/>
      <c r="AB24" s="110"/>
      <c r="AC24" s="110"/>
      <c r="AD24" s="110"/>
      <c r="AE24" s="110"/>
      <c r="AF24" s="110"/>
      <c r="AG24" s="135"/>
      <c r="AH24" s="135"/>
      <c r="AI24" s="135"/>
      <c r="AJ24" s="135"/>
      <c r="AK24" s="135"/>
      <c r="AL24" s="454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454"/>
      <c r="AX24" s="135"/>
      <c r="AY24" s="135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0"/>
      <c r="BK24" s="332"/>
      <c r="BL24" s="111" t="s">
        <v>642</v>
      </c>
      <c r="BM24" s="117"/>
      <c r="BN24" s="36"/>
      <c r="BO24" s="36"/>
      <c r="BP24" s="36"/>
      <c r="BQ24" s="36"/>
      <c r="BR24" s="36"/>
      <c r="BS24" s="36"/>
      <c r="BT24" s="36"/>
      <c r="BU24" s="36"/>
    </row>
    <row r="25" spans="1:73" s="285" customFormat="1" ht="24" x14ac:dyDescent="0.2">
      <c r="A25" s="165"/>
      <c r="B25" s="129"/>
      <c r="C25" s="284"/>
      <c r="D25" s="204"/>
      <c r="E25" s="108" t="s">
        <v>646</v>
      </c>
      <c r="F25" s="346">
        <f t="shared" si="4"/>
        <v>1857</v>
      </c>
      <c r="G25" s="109">
        <f t="shared" si="5"/>
        <v>2910</v>
      </c>
      <c r="H25" s="110">
        <v>1174</v>
      </c>
      <c r="I25" s="110">
        <f t="shared" si="14"/>
        <v>1174</v>
      </c>
      <c r="J25" s="110">
        <f t="shared" si="15"/>
        <v>0</v>
      </c>
      <c r="K25" s="110"/>
      <c r="L25" s="110"/>
      <c r="M25" s="110"/>
      <c r="N25" s="110"/>
      <c r="O25" s="110"/>
      <c r="P25" s="110"/>
      <c r="Q25" s="110"/>
      <c r="R25" s="416"/>
      <c r="S25" s="435"/>
      <c r="T25" s="110"/>
      <c r="U25" s="110"/>
      <c r="V25" s="110"/>
      <c r="W25" s="110">
        <v>683</v>
      </c>
      <c r="X25" s="110">
        <f t="shared" si="6"/>
        <v>1736</v>
      </c>
      <c r="Y25" s="110">
        <f t="shared" si="7"/>
        <v>1053</v>
      </c>
      <c r="Z25" s="110">
        <f>965+87+1</f>
        <v>1053</v>
      </c>
      <c r="AA25" s="110"/>
      <c r="AB25" s="110"/>
      <c r="AC25" s="110"/>
      <c r="AD25" s="110"/>
      <c r="AE25" s="110"/>
      <c r="AF25" s="110"/>
      <c r="AG25" s="135"/>
      <c r="AH25" s="135"/>
      <c r="AI25" s="135"/>
      <c r="AJ25" s="135"/>
      <c r="AK25" s="135"/>
      <c r="AL25" s="454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454"/>
      <c r="AX25" s="135"/>
      <c r="AY25" s="135"/>
      <c r="AZ25" s="110"/>
      <c r="BA25" s="110"/>
      <c r="BB25" s="110"/>
      <c r="BC25" s="110"/>
      <c r="BD25" s="110"/>
      <c r="BE25" s="110"/>
      <c r="BF25" s="110"/>
      <c r="BG25" s="110"/>
      <c r="BH25" s="110"/>
      <c r="BI25" s="110"/>
      <c r="BJ25" s="110"/>
      <c r="BK25" s="332"/>
      <c r="BL25" s="111" t="s">
        <v>647</v>
      </c>
      <c r="BM25" s="117"/>
      <c r="BN25" s="36"/>
      <c r="BO25" s="36"/>
      <c r="BP25" s="36"/>
      <c r="BQ25" s="36"/>
      <c r="BR25" s="36"/>
      <c r="BS25" s="36"/>
      <c r="BT25" s="36"/>
      <c r="BU25" s="36"/>
    </row>
    <row r="26" spans="1:73" ht="12.75" thickBot="1" x14ac:dyDescent="0.25">
      <c r="A26" s="221"/>
      <c r="B26" s="148"/>
      <c r="C26" s="526"/>
      <c r="D26" s="527"/>
      <c r="E26" s="2"/>
      <c r="F26" s="347"/>
      <c r="G26" s="95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417"/>
      <c r="S26" s="43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134"/>
      <c r="AH26" s="134"/>
      <c r="AI26" s="134"/>
      <c r="AJ26" s="134"/>
      <c r="AK26" s="134"/>
      <c r="AL26" s="455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455"/>
      <c r="AX26" s="134"/>
      <c r="AY26" s="134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333"/>
      <c r="BL26" s="107"/>
      <c r="BM26" s="118"/>
      <c r="BN26" s="36"/>
      <c r="BO26" s="36"/>
      <c r="BP26" s="36"/>
      <c r="BQ26" s="36"/>
      <c r="BR26" s="36"/>
      <c r="BS26" s="36"/>
      <c r="BT26" s="36"/>
      <c r="BU26" s="36"/>
    </row>
    <row r="27" spans="1:73" ht="24.75" thickBot="1" x14ac:dyDescent="0.25">
      <c r="A27" s="201"/>
      <c r="B27" s="501" t="s">
        <v>6</v>
      </c>
      <c r="C27" s="501"/>
      <c r="D27" s="198" t="s">
        <v>187</v>
      </c>
      <c r="E27" s="16"/>
      <c r="F27" s="348">
        <f>SUM(F28:F34)</f>
        <v>1927878</v>
      </c>
      <c r="G27" s="17">
        <f>SUM(G28:G34)</f>
        <v>1942274</v>
      </c>
      <c r="H27" s="10">
        <f t="shared" ref="H27:W27" si="16">SUM(H28:H34)</f>
        <v>1839840</v>
      </c>
      <c r="I27" s="10">
        <f t="shared" si="16"/>
        <v>1868023</v>
      </c>
      <c r="J27" s="10">
        <f t="shared" si="16"/>
        <v>28183</v>
      </c>
      <c r="K27" s="10">
        <f t="shared" si="16"/>
        <v>0</v>
      </c>
      <c r="L27" s="10">
        <f t="shared" si="16"/>
        <v>4000</v>
      </c>
      <c r="M27" s="10">
        <f t="shared" si="16"/>
        <v>0</v>
      </c>
      <c r="N27" s="10">
        <f t="shared" si="16"/>
        <v>0</v>
      </c>
      <c r="O27" s="10">
        <f t="shared" si="16"/>
        <v>12200</v>
      </c>
      <c r="P27" s="10">
        <f t="shared" si="16"/>
        <v>-10858</v>
      </c>
      <c r="Q27" s="10">
        <f t="shared" si="16"/>
        <v>0</v>
      </c>
      <c r="R27" s="415">
        <f t="shared" si="16"/>
        <v>0</v>
      </c>
      <c r="S27" s="434">
        <f t="shared" si="16"/>
        <v>22841</v>
      </c>
      <c r="T27" s="10">
        <f t="shared" si="16"/>
        <v>0</v>
      </c>
      <c r="U27" s="10">
        <f t="shared" si="16"/>
        <v>0</v>
      </c>
      <c r="V27" s="10">
        <f t="shared" si="16"/>
        <v>0</v>
      </c>
      <c r="W27" s="10">
        <f t="shared" si="16"/>
        <v>0</v>
      </c>
      <c r="X27" s="10">
        <f t="shared" ref="X27:AE27" si="17">SUM(X28:X34)</f>
        <v>0</v>
      </c>
      <c r="Y27" s="10">
        <f t="shared" si="17"/>
        <v>0</v>
      </c>
      <c r="Z27" s="10">
        <f t="shared" si="17"/>
        <v>0</v>
      </c>
      <c r="AA27" s="10">
        <f t="shared" si="17"/>
        <v>0</v>
      </c>
      <c r="AB27" s="10">
        <f t="shared" si="17"/>
        <v>0</v>
      </c>
      <c r="AC27" s="10">
        <f t="shared" si="17"/>
        <v>0</v>
      </c>
      <c r="AD27" s="10">
        <f t="shared" si="17"/>
        <v>0</v>
      </c>
      <c r="AE27" s="10">
        <f t="shared" si="17"/>
        <v>0</v>
      </c>
      <c r="AF27" s="10">
        <f>SUM(AF28:AF34)</f>
        <v>92238</v>
      </c>
      <c r="AG27" s="10">
        <f t="shared" ref="AG27:AP27" si="18">SUM(AG28:AG34)</f>
        <v>78451</v>
      </c>
      <c r="AH27" s="10">
        <f t="shared" si="18"/>
        <v>-13787</v>
      </c>
      <c r="AI27" s="10">
        <f t="shared" si="18"/>
        <v>2444</v>
      </c>
      <c r="AJ27" s="10">
        <f t="shared" si="18"/>
        <v>0</v>
      </c>
      <c r="AK27" s="10">
        <f t="shared" si="18"/>
        <v>0</v>
      </c>
      <c r="AL27" s="434">
        <f t="shared" si="18"/>
        <v>-16231</v>
      </c>
      <c r="AM27" s="10">
        <f t="shared" si="18"/>
        <v>0</v>
      </c>
      <c r="AN27" s="10">
        <f t="shared" si="18"/>
        <v>0</v>
      </c>
      <c r="AO27" s="10">
        <f t="shared" si="18"/>
        <v>0</v>
      </c>
      <c r="AP27" s="10">
        <f t="shared" si="18"/>
        <v>0</v>
      </c>
      <c r="AQ27" s="10">
        <f>SUM(AQ28:AQ34)</f>
        <v>0</v>
      </c>
      <c r="AR27" s="133">
        <f>SUM(AR28:AR34)</f>
        <v>0</v>
      </c>
      <c r="AS27" s="133">
        <f t="shared" ref="AS27:AX27" si="19">SUM(AS28:AS34)</f>
        <v>0</v>
      </c>
      <c r="AT27" s="133">
        <f t="shared" si="19"/>
        <v>0</v>
      </c>
      <c r="AU27" s="133">
        <f t="shared" si="19"/>
        <v>0</v>
      </c>
      <c r="AV27" s="133">
        <f t="shared" si="19"/>
        <v>0</v>
      </c>
      <c r="AW27" s="440">
        <f t="shared" si="19"/>
        <v>0</v>
      </c>
      <c r="AX27" s="133">
        <f t="shared" si="19"/>
        <v>0</v>
      </c>
      <c r="AY27" s="133">
        <f>SUM(AY28:AY34)</f>
        <v>-4200</v>
      </c>
      <c r="AZ27" s="10">
        <f t="shared" ref="AZ27:BK27" si="20">SUM(AZ28:AZ34)</f>
        <v>-4200</v>
      </c>
      <c r="BA27" s="10">
        <f t="shared" si="20"/>
        <v>0</v>
      </c>
      <c r="BB27" s="10">
        <f t="shared" si="20"/>
        <v>0</v>
      </c>
      <c r="BC27" s="10">
        <f t="shared" si="20"/>
        <v>0</v>
      </c>
      <c r="BD27" s="10">
        <f t="shared" si="20"/>
        <v>0</v>
      </c>
      <c r="BE27" s="10">
        <f t="shared" si="20"/>
        <v>0</v>
      </c>
      <c r="BF27" s="10">
        <f t="shared" si="20"/>
        <v>0</v>
      </c>
      <c r="BG27" s="10">
        <f t="shared" si="20"/>
        <v>0</v>
      </c>
      <c r="BH27" s="10">
        <f t="shared" si="20"/>
        <v>0</v>
      </c>
      <c r="BI27" s="10">
        <f t="shared" si="20"/>
        <v>0</v>
      </c>
      <c r="BJ27" s="10">
        <f t="shared" si="20"/>
        <v>0</v>
      </c>
      <c r="BK27" s="334">
        <f t="shared" si="20"/>
        <v>0</v>
      </c>
      <c r="BL27" s="18"/>
      <c r="BM27" s="119"/>
      <c r="BN27" s="36"/>
      <c r="BO27" s="36"/>
      <c r="BP27" s="36"/>
      <c r="BQ27" s="36"/>
      <c r="BR27" s="36"/>
      <c r="BS27" s="36"/>
      <c r="BT27" s="36"/>
      <c r="BU27" s="36"/>
    </row>
    <row r="28" spans="1:73" ht="12.75" thickTop="1" x14ac:dyDescent="0.2">
      <c r="A28" s="208">
        <v>90000056357</v>
      </c>
      <c r="B28" s="200"/>
      <c r="C28" s="499" t="s">
        <v>5</v>
      </c>
      <c r="D28" s="500"/>
      <c r="E28" s="108" t="s">
        <v>205</v>
      </c>
      <c r="F28" s="346">
        <f t="shared" ref="F28:F33" si="21">H28+W28+AF28+AQ28+AR28+AY28</f>
        <v>179798</v>
      </c>
      <c r="G28" s="109">
        <f t="shared" ref="G28:G33" si="22">I28+X28+AG28+AQ28+AS28+AZ28</f>
        <v>183798</v>
      </c>
      <c r="H28" s="110">
        <v>179798</v>
      </c>
      <c r="I28" s="110">
        <f t="shared" ref="I28:I33" si="23">J28+H28</f>
        <v>183798</v>
      </c>
      <c r="J28" s="110">
        <f t="shared" ref="J28:J33" si="24">SUM(K28:V28)</f>
        <v>4000</v>
      </c>
      <c r="K28" s="110"/>
      <c r="L28" s="110">
        <v>4000</v>
      </c>
      <c r="M28" s="110"/>
      <c r="N28" s="110"/>
      <c r="O28" s="110"/>
      <c r="P28" s="110"/>
      <c r="Q28" s="110"/>
      <c r="R28" s="416"/>
      <c r="S28" s="435"/>
      <c r="T28" s="110"/>
      <c r="U28" s="110"/>
      <c r="V28" s="110"/>
      <c r="W28" s="110">
        <v>0</v>
      </c>
      <c r="X28" s="110">
        <f t="shared" ref="X28:X32" si="25">Y28+W28</f>
        <v>0</v>
      </c>
      <c r="Y28" s="110">
        <f t="shared" ref="Y28:Y32" si="26">SUM(Z28:AE28)</f>
        <v>0</v>
      </c>
      <c r="Z28" s="110"/>
      <c r="AA28" s="110"/>
      <c r="AB28" s="110"/>
      <c r="AC28" s="110"/>
      <c r="AD28" s="110"/>
      <c r="AE28" s="110"/>
      <c r="AF28" s="110">
        <v>0</v>
      </c>
      <c r="AG28" s="135">
        <f t="shared" ref="AG28:AG32" si="27">AH28+AF28</f>
        <v>0</v>
      </c>
      <c r="AH28" s="135">
        <f t="shared" ref="AH28:AH32" si="28">SUM(AI28:AP28)</f>
        <v>0</v>
      </c>
      <c r="AI28" s="135"/>
      <c r="AJ28" s="135"/>
      <c r="AK28" s="135"/>
      <c r="AL28" s="454"/>
      <c r="AM28" s="135"/>
      <c r="AN28" s="135"/>
      <c r="AO28" s="135"/>
      <c r="AP28" s="135"/>
      <c r="AQ28" s="135"/>
      <c r="AR28" s="135">
        <v>0</v>
      </c>
      <c r="AS28" s="135">
        <f t="shared" ref="AS28:AS32" si="29">AT28+AR28</f>
        <v>0</v>
      </c>
      <c r="AT28" s="135">
        <f t="shared" ref="AT28:AT30" si="30">SUM(AU28:AX28)</f>
        <v>0</v>
      </c>
      <c r="AU28" s="135"/>
      <c r="AV28" s="135"/>
      <c r="AW28" s="454"/>
      <c r="AX28" s="135"/>
      <c r="AY28" s="135"/>
      <c r="AZ28" s="110">
        <f t="shared" ref="AZ28:AZ32" si="31">BA28+AY28</f>
        <v>0</v>
      </c>
      <c r="BA28" s="110">
        <f t="shared" ref="BA28:BA32" si="32">SUM(BB28:BK28)</f>
        <v>0</v>
      </c>
      <c r="BB28" s="110"/>
      <c r="BC28" s="110"/>
      <c r="BD28" s="110"/>
      <c r="BE28" s="110"/>
      <c r="BF28" s="110"/>
      <c r="BG28" s="110"/>
      <c r="BH28" s="110"/>
      <c r="BI28" s="110"/>
      <c r="BJ28" s="110"/>
      <c r="BK28" s="332"/>
      <c r="BL28" s="111" t="s">
        <v>410</v>
      </c>
      <c r="BM28" s="117"/>
      <c r="BN28" s="36"/>
      <c r="BO28" s="36"/>
      <c r="BP28" s="36"/>
      <c r="BQ28" s="36"/>
      <c r="BR28" s="36"/>
      <c r="BS28" s="36"/>
      <c r="BT28" s="36"/>
      <c r="BU28" s="36"/>
    </row>
    <row r="29" spans="1:73" s="193" customFormat="1" ht="24" x14ac:dyDescent="0.2">
      <c r="A29" s="199"/>
      <c r="C29" s="19"/>
      <c r="D29" s="306"/>
      <c r="E29" s="108" t="s">
        <v>208</v>
      </c>
      <c r="F29" s="346">
        <f t="shared" si="21"/>
        <v>140494</v>
      </c>
      <c r="G29" s="109">
        <f t="shared" si="22"/>
        <v>137326</v>
      </c>
      <c r="H29" s="110">
        <v>67700</v>
      </c>
      <c r="I29" s="110">
        <f t="shared" si="23"/>
        <v>79231</v>
      </c>
      <c r="J29" s="110">
        <f t="shared" si="24"/>
        <v>11531</v>
      </c>
      <c r="K29" s="110"/>
      <c r="L29" s="110"/>
      <c r="M29" s="110"/>
      <c r="N29" s="110"/>
      <c r="O29" s="110"/>
      <c r="P29" s="110"/>
      <c r="Q29" s="110"/>
      <c r="R29" s="416"/>
      <c r="S29" s="435">
        <v>11531</v>
      </c>
      <c r="T29" s="110"/>
      <c r="U29" s="110"/>
      <c r="V29" s="110"/>
      <c r="W29" s="110">
        <v>0</v>
      </c>
      <c r="X29" s="110">
        <f t="shared" si="25"/>
        <v>0</v>
      </c>
      <c r="Y29" s="110">
        <f t="shared" si="26"/>
        <v>0</v>
      </c>
      <c r="Z29" s="110"/>
      <c r="AA29" s="110"/>
      <c r="AB29" s="110"/>
      <c r="AC29" s="110"/>
      <c r="AD29" s="110"/>
      <c r="AE29" s="110"/>
      <c r="AF29" s="110">
        <v>72794</v>
      </c>
      <c r="AG29" s="135">
        <f t="shared" si="27"/>
        <v>58095</v>
      </c>
      <c r="AH29" s="135">
        <f t="shared" si="28"/>
        <v>-14699</v>
      </c>
      <c r="AI29" s="135">
        <v>1532</v>
      </c>
      <c r="AJ29" s="135"/>
      <c r="AK29" s="135"/>
      <c r="AL29" s="454">
        <v>-16231</v>
      </c>
      <c r="AM29" s="135"/>
      <c r="AN29" s="135"/>
      <c r="AO29" s="135"/>
      <c r="AP29" s="135"/>
      <c r="AQ29" s="135"/>
      <c r="AR29" s="135">
        <v>0</v>
      </c>
      <c r="AS29" s="135">
        <f t="shared" si="29"/>
        <v>0</v>
      </c>
      <c r="AT29" s="135">
        <f t="shared" si="30"/>
        <v>0</v>
      </c>
      <c r="AU29" s="135"/>
      <c r="AV29" s="135"/>
      <c r="AW29" s="454"/>
      <c r="AX29" s="135"/>
      <c r="AY29" s="135"/>
      <c r="AZ29" s="110">
        <f t="shared" si="31"/>
        <v>0</v>
      </c>
      <c r="BA29" s="110">
        <f t="shared" si="32"/>
        <v>0</v>
      </c>
      <c r="BB29" s="110"/>
      <c r="BC29" s="110"/>
      <c r="BD29" s="110"/>
      <c r="BE29" s="110"/>
      <c r="BF29" s="110"/>
      <c r="BG29" s="110"/>
      <c r="BH29" s="110"/>
      <c r="BI29" s="110"/>
      <c r="BJ29" s="110"/>
      <c r="BK29" s="332"/>
      <c r="BL29" s="111" t="s">
        <v>411</v>
      </c>
      <c r="BM29" s="117"/>
      <c r="BN29" s="36"/>
      <c r="BO29" s="36"/>
      <c r="BP29" s="36"/>
      <c r="BQ29" s="36"/>
      <c r="BR29" s="36"/>
      <c r="BS29" s="36"/>
      <c r="BT29" s="36"/>
      <c r="BU29" s="36"/>
    </row>
    <row r="30" spans="1:73" ht="24" x14ac:dyDescent="0.2">
      <c r="A30" s="165"/>
      <c r="B30" s="129"/>
      <c r="C30" s="108"/>
      <c r="D30" s="307"/>
      <c r="E30" s="108" t="s">
        <v>329</v>
      </c>
      <c r="F30" s="347">
        <f t="shared" si="21"/>
        <v>26500</v>
      </c>
      <c r="G30" s="95">
        <f t="shared" si="22"/>
        <v>15642</v>
      </c>
      <c r="H30" s="96">
        <v>26500</v>
      </c>
      <c r="I30" s="96">
        <f t="shared" si="23"/>
        <v>15642</v>
      </c>
      <c r="J30" s="96">
        <f t="shared" si="24"/>
        <v>-10858</v>
      </c>
      <c r="K30" s="96"/>
      <c r="L30" s="96"/>
      <c r="M30" s="96"/>
      <c r="N30" s="96"/>
      <c r="O30" s="96"/>
      <c r="P30" s="96">
        <v>-10858</v>
      </c>
      <c r="Q30" s="96"/>
      <c r="R30" s="417"/>
      <c r="S30" s="436"/>
      <c r="T30" s="96"/>
      <c r="U30" s="96"/>
      <c r="V30" s="96"/>
      <c r="W30" s="96">
        <v>0</v>
      </c>
      <c r="X30" s="96">
        <f t="shared" si="25"/>
        <v>0</v>
      </c>
      <c r="Y30" s="96">
        <f t="shared" si="26"/>
        <v>0</v>
      </c>
      <c r="Z30" s="96"/>
      <c r="AA30" s="96"/>
      <c r="AB30" s="96"/>
      <c r="AC30" s="96"/>
      <c r="AD30" s="96"/>
      <c r="AE30" s="96"/>
      <c r="AF30" s="96">
        <v>0</v>
      </c>
      <c r="AG30" s="134">
        <f t="shared" si="27"/>
        <v>0</v>
      </c>
      <c r="AH30" s="134">
        <f t="shared" si="28"/>
        <v>0</v>
      </c>
      <c r="AI30" s="134"/>
      <c r="AJ30" s="134"/>
      <c r="AK30" s="134"/>
      <c r="AL30" s="455"/>
      <c r="AM30" s="134"/>
      <c r="AN30" s="134"/>
      <c r="AO30" s="134"/>
      <c r="AP30" s="134"/>
      <c r="AQ30" s="134"/>
      <c r="AR30" s="134">
        <v>0</v>
      </c>
      <c r="AS30" s="134">
        <f t="shared" si="29"/>
        <v>0</v>
      </c>
      <c r="AT30" s="134">
        <f t="shared" si="30"/>
        <v>0</v>
      </c>
      <c r="AU30" s="134"/>
      <c r="AV30" s="134"/>
      <c r="AW30" s="455"/>
      <c r="AX30" s="134"/>
      <c r="AY30" s="134"/>
      <c r="AZ30" s="96">
        <f t="shared" si="31"/>
        <v>0</v>
      </c>
      <c r="BA30" s="96">
        <f t="shared" si="32"/>
        <v>0</v>
      </c>
      <c r="BB30" s="96"/>
      <c r="BC30" s="96"/>
      <c r="BD30" s="96"/>
      <c r="BE30" s="96"/>
      <c r="BF30" s="96"/>
      <c r="BG30" s="96"/>
      <c r="BH30" s="96"/>
      <c r="BI30" s="96"/>
      <c r="BJ30" s="96"/>
      <c r="BK30" s="333"/>
      <c r="BL30" s="111" t="s">
        <v>412</v>
      </c>
      <c r="BM30" s="117" t="s">
        <v>565</v>
      </c>
      <c r="BN30" s="36"/>
      <c r="BO30" s="36"/>
      <c r="BP30" s="36"/>
      <c r="BQ30" s="36"/>
      <c r="BR30" s="36"/>
      <c r="BS30" s="36"/>
      <c r="BT30" s="36"/>
      <c r="BU30" s="36"/>
    </row>
    <row r="31" spans="1:73" ht="27" customHeight="1" x14ac:dyDescent="0.2">
      <c r="A31" s="165">
        <v>90000594245</v>
      </c>
      <c r="B31" s="129"/>
      <c r="C31" s="471" t="s">
        <v>702</v>
      </c>
      <c r="D31" s="472"/>
      <c r="E31" s="108" t="s">
        <v>209</v>
      </c>
      <c r="F31" s="346">
        <f t="shared" si="21"/>
        <v>143</v>
      </c>
      <c r="G31" s="109">
        <f t="shared" si="22"/>
        <v>143</v>
      </c>
      <c r="H31" s="110">
        <v>143</v>
      </c>
      <c r="I31" s="110">
        <f t="shared" si="23"/>
        <v>143</v>
      </c>
      <c r="J31" s="110">
        <f t="shared" si="24"/>
        <v>0</v>
      </c>
      <c r="K31" s="110"/>
      <c r="L31" s="110"/>
      <c r="M31" s="110"/>
      <c r="N31" s="110"/>
      <c r="O31" s="110"/>
      <c r="P31" s="110"/>
      <c r="Q31" s="110"/>
      <c r="R31" s="416"/>
      <c r="S31" s="435"/>
      <c r="T31" s="110"/>
      <c r="U31" s="110"/>
      <c r="V31" s="110"/>
      <c r="W31" s="110">
        <v>0</v>
      </c>
      <c r="X31" s="110">
        <f t="shared" si="25"/>
        <v>0</v>
      </c>
      <c r="Y31" s="110">
        <f t="shared" si="26"/>
        <v>0</v>
      </c>
      <c r="Z31" s="110"/>
      <c r="AA31" s="110"/>
      <c r="AB31" s="110"/>
      <c r="AC31" s="110"/>
      <c r="AD31" s="110"/>
      <c r="AE31" s="110"/>
      <c r="AF31" s="110">
        <v>0</v>
      </c>
      <c r="AG31" s="135">
        <f t="shared" si="27"/>
        <v>0</v>
      </c>
      <c r="AH31" s="135">
        <f t="shared" si="28"/>
        <v>0</v>
      </c>
      <c r="AI31" s="135"/>
      <c r="AJ31" s="135"/>
      <c r="AK31" s="135"/>
      <c r="AL31" s="454"/>
      <c r="AM31" s="135"/>
      <c r="AN31" s="135"/>
      <c r="AO31" s="135"/>
      <c r="AP31" s="135"/>
      <c r="AQ31" s="135"/>
      <c r="AR31" s="135">
        <v>0</v>
      </c>
      <c r="AS31" s="135">
        <f t="shared" si="29"/>
        <v>0</v>
      </c>
      <c r="AT31" s="135">
        <f>SUM(AU31:AX31)</f>
        <v>0</v>
      </c>
      <c r="AU31" s="135"/>
      <c r="AV31" s="135"/>
      <c r="AW31" s="454"/>
      <c r="AX31" s="135"/>
      <c r="AY31" s="135"/>
      <c r="AZ31" s="110">
        <f t="shared" si="31"/>
        <v>0</v>
      </c>
      <c r="BA31" s="110">
        <f t="shared" si="32"/>
        <v>0</v>
      </c>
      <c r="BB31" s="110"/>
      <c r="BC31" s="110"/>
      <c r="BD31" s="110"/>
      <c r="BE31" s="110"/>
      <c r="BF31" s="110"/>
      <c r="BG31" s="110"/>
      <c r="BH31" s="110"/>
      <c r="BI31" s="110"/>
      <c r="BJ31" s="110"/>
      <c r="BK31" s="332"/>
      <c r="BL31" s="111" t="s">
        <v>447</v>
      </c>
      <c r="BM31" s="117" t="s">
        <v>572</v>
      </c>
      <c r="BN31" s="36"/>
      <c r="BO31" s="36"/>
      <c r="BP31" s="36"/>
      <c r="BQ31" s="36"/>
      <c r="BR31" s="36"/>
      <c r="BS31" s="36"/>
      <c r="BT31" s="36"/>
      <c r="BU31" s="36"/>
    </row>
    <row r="32" spans="1:73" ht="36" x14ac:dyDescent="0.2">
      <c r="A32" s="165">
        <v>90000056554</v>
      </c>
      <c r="B32" s="129"/>
      <c r="C32" s="471" t="s">
        <v>574</v>
      </c>
      <c r="D32" s="472"/>
      <c r="E32" s="108" t="s">
        <v>290</v>
      </c>
      <c r="F32" s="346">
        <f t="shared" si="21"/>
        <v>1550943</v>
      </c>
      <c r="G32" s="109">
        <f t="shared" si="22"/>
        <v>1575365</v>
      </c>
      <c r="H32" s="110">
        <v>1535699</v>
      </c>
      <c r="I32" s="110">
        <f t="shared" si="23"/>
        <v>1559209</v>
      </c>
      <c r="J32" s="110">
        <f t="shared" si="24"/>
        <v>23510</v>
      </c>
      <c r="K32" s="110"/>
      <c r="L32" s="110"/>
      <c r="M32" s="110"/>
      <c r="N32" s="110"/>
      <c r="O32" s="110">
        <v>12200</v>
      </c>
      <c r="P32" s="110"/>
      <c r="Q32" s="110"/>
      <c r="R32" s="416"/>
      <c r="S32" s="435">
        <v>11310</v>
      </c>
      <c r="T32" s="110"/>
      <c r="U32" s="110"/>
      <c r="V32" s="110"/>
      <c r="W32" s="110">
        <v>0</v>
      </c>
      <c r="X32" s="110">
        <f t="shared" si="25"/>
        <v>0</v>
      </c>
      <c r="Y32" s="110">
        <f t="shared" si="26"/>
        <v>0</v>
      </c>
      <c r="Z32" s="110"/>
      <c r="AA32" s="110"/>
      <c r="AB32" s="110"/>
      <c r="AC32" s="110"/>
      <c r="AD32" s="110"/>
      <c r="AE32" s="110"/>
      <c r="AF32" s="110">
        <v>19444</v>
      </c>
      <c r="AG32" s="135">
        <f t="shared" si="27"/>
        <v>20356</v>
      </c>
      <c r="AH32" s="135">
        <f t="shared" si="28"/>
        <v>912</v>
      </c>
      <c r="AI32" s="135">
        <v>912</v>
      </c>
      <c r="AJ32" s="135"/>
      <c r="AK32" s="135"/>
      <c r="AL32" s="454"/>
      <c r="AM32" s="135"/>
      <c r="AN32" s="135"/>
      <c r="AO32" s="135"/>
      <c r="AP32" s="135"/>
      <c r="AQ32" s="135"/>
      <c r="AR32" s="110">
        <v>0</v>
      </c>
      <c r="AS32" s="135">
        <f t="shared" si="29"/>
        <v>0</v>
      </c>
      <c r="AT32" s="135">
        <f>SUM(AU32:AX32)</f>
        <v>0</v>
      </c>
      <c r="AU32" s="135"/>
      <c r="AV32" s="135"/>
      <c r="AW32" s="454"/>
      <c r="AX32" s="135"/>
      <c r="AY32" s="135">
        <v>-4200</v>
      </c>
      <c r="AZ32" s="110">
        <f t="shared" si="31"/>
        <v>-4200</v>
      </c>
      <c r="BA32" s="110">
        <f t="shared" si="32"/>
        <v>0</v>
      </c>
      <c r="BB32" s="110"/>
      <c r="BC32" s="110"/>
      <c r="BD32" s="110"/>
      <c r="BE32" s="110"/>
      <c r="BF32" s="110"/>
      <c r="BG32" s="110"/>
      <c r="BH32" s="110"/>
      <c r="BI32" s="110"/>
      <c r="BJ32" s="110"/>
      <c r="BK32" s="332"/>
      <c r="BL32" s="111" t="s">
        <v>448</v>
      </c>
      <c r="BM32" s="117"/>
      <c r="BN32" s="36"/>
      <c r="BO32" s="36"/>
      <c r="BP32" s="36"/>
      <c r="BQ32" s="36"/>
      <c r="BR32" s="36"/>
      <c r="BS32" s="36"/>
      <c r="BT32" s="36"/>
      <c r="BU32" s="36"/>
    </row>
    <row r="33" spans="1:73" ht="48" x14ac:dyDescent="0.2">
      <c r="A33" s="165"/>
      <c r="B33" s="129"/>
      <c r="C33" s="471" t="s">
        <v>189</v>
      </c>
      <c r="D33" s="472"/>
      <c r="E33" s="283" t="s">
        <v>257</v>
      </c>
      <c r="F33" s="346">
        <f t="shared" si="21"/>
        <v>30000</v>
      </c>
      <c r="G33" s="109">
        <f t="shared" si="22"/>
        <v>30000</v>
      </c>
      <c r="H33" s="110">
        <v>30000</v>
      </c>
      <c r="I33" s="110">
        <f t="shared" si="23"/>
        <v>30000</v>
      </c>
      <c r="J33" s="110">
        <f t="shared" si="24"/>
        <v>0</v>
      </c>
      <c r="K33" s="110"/>
      <c r="L33" s="110"/>
      <c r="M33" s="110"/>
      <c r="N33" s="110"/>
      <c r="O33" s="110"/>
      <c r="P33" s="110"/>
      <c r="Q33" s="110"/>
      <c r="R33" s="416"/>
      <c r="S33" s="435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35"/>
      <c r="AH33" s="135"/>
      <c r="AI33" s="135"/>
      <c r="AJ33" s="135"/>
      <c r="AK33" s="135"/>
      <c r="AL33" s="454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454"/>
      <c r="AX33" s="135"/>
      <c r="AY33" s="135"/>
      <c r="AZ33" s="110"/>
      <c r="BA33" s="110"/>
      <c r="BB33" s="110"/>
      <c r="BC33" s="110"/>
      <c r="BD33" s="110"/>
      <c r="BE33" s="110"/>
      <c r="BF33" s="110"/>
      <c r="BG33" s="110"/>
      <c r="BH33" s="110"/>
      <c r="BI33" s="110"/>
      <c r="BJ33" s="110"/>
      <c r="BK33" s="332"/>
      <c r="BL33" s="111" t="s">
        <v>413</v>
      </c>
      <c r="BM33" s="117"/>
      <c r="BN33" s="36"/>
      <c r="BO33" s="36"/>
      <c r="BP33" s="36"/>
      <c r="BQ33" s="36"/>
      <c r="BR33" s="36"/>
      <c r="BS33" s="36"/>
      <c r="BT33" s="36"/>
      <c r="BU33" s="36"/>
    </row>
    <row r="34" spans="1:73" ht="12.75" thickBot="1" x14ac:dyDescent="0.25">
      <c r="A34" s="165"/>
      <c r="B34" s="148"/>
      <c r="C34" s="504"/>
      <c r="D34" s="505"/>
      <c r="E34" s="161"/>
      <c r="F34" s="347"/>
      <c r="G34" s="95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417"/>
      <c r="S34" s="43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134"/>
      <c r="AH34" s="134"/>
      <c r="AI34" s="134"/>
      <c r="AJ34" s="134"/>
      <c r="AK34" s="134"/>
      <c r="AL34" s="455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455"/>
      <c r="AX34" s="134"/>
      <c r="AY34" s="134"/>
      <c r="AZ34" s="96"/>
      <c r="BA34" s="96"/>
      <c r="BB34" s="96"/>
      <c r="BC34" s="96"/>
      <c r="BD34" s="96"/>
      <c r="BE34" s="96"/>
      <c r="BF34" s="96"/>
      <c r="BG34" s="96"/>
      <c r="BH34" s="96"/>
      <c r="BI34" s="96"/>
      <c r="BJ34" s="96"/>
      <c r="BK34" s="333"/>
      <c r="BL34" s="97"/>
      <c r="BM34" s="118"/>
      <c r="BN34" s="36"/>
      <c r="BO34" s="36"/>
      <c r="BP34" s="36"/>
      <c r="BQ34" s="36"/>
      <c r="BR34" s="36"/>
      <c r="BS34" s="36"/>
      <c r="BT34" s="36"/>
      <c r="BU34" s="36"/>
    </row>
    <row r="35" spans="1:73" ht="12.75" thickBot="1" x14ac:dyDescent="0.25">
      <c r="A35" s="201"/>
      <c r="B35" s="501" t="s">
        <v>7</v>
      </c>
      <c r="C35" s="501"/>
      <c r="D35" s="198" t="s">
        <v>8</v>
      </c>
      <c r="E35" s="16"/>
      <c r="F35" s="348">
        <f t="shared" ref="F35:AY35" si="33">SUM(F36:F60)</f>
        <v>11527470</v>
      </c>
      <c r="G35" s="17">
        <f t="shared" si="33"/>
        <v>11626753</v>
      </c>
      <c r="H35" s="10">
        <f t="shared" si="33"/>
        <v>9519596</v>
      </c>
      <c r="I35" s="10">
        <f t="shared" ref="I35" si="34">SUM(I36:I60)</f>
        <v>9614807</v>
      </c>
      <c r="J35" s="10">
        <f t="shared" ref="J35" si="35">SUM(J36:J60)</f>
        <v>95211</v>
      </c>
      <c r="K35" s="10">
        <f t="shared" ref="K35" si="36">SUM(K36:K60)</f>
        <v>669</v>
      </c>
      <c r="L35" s="10">
        <f t="shared" ref="L35" si="37">SUM(L36:L60)</f>
        <v>-25251</v>
      </c>
      <c r="M35" s="10">
        <f t="shared" ref="M35" si="38">SUM(M36:M60)</f>
        <v>35763</v>
      </c>
      <c r="N35" s="10">
        <f t="shared" ref="N35" si="39">SUM(N36:N60)</f>
        <v>-5310</v>
      </c>
      <c r="O35" s="10">
        <f t="shared" ref="O35" si="40">SUM(O36:O60)</f>
        <v>-19642</v>
      </c>
      <c r="P35" s="10">
        <f t="shared" ref="P35" si="41">SUM(P36:P60)</f>
        <v>-58665</v>
      </c>
      <c r="Q35" s="10">
        <f t="shared" ref="Q35" si="42">SUM(Q36:Q60)</f>
        <v>-4353</v>
      </c>
      <c r="R35" s="415">
        <f t="shared" ref="R35" si="43">SUM(R36:R60)</f>
        <v>0</v>
      </c>
      <c r="S35" s="434">
        <f t="shared" ref="S35" si="44">SUM(S36:S60)</f>
        <v>172000</v>
      </c>
      <c r="T35" s="10">
        <f t="shared" ref="T35" si="45">SUM(T36:T60)</f>
        <v>0</v>
      </c>
      <c r="U35" s="10">
        <f t="shared" ref="U35" si="46">SUM(U36:U60)</f>
        <v>0</v>
      </c>
      <c r="V35" s="10">
        <f t="shared" ref="V35" si="47">SUM(V36:V60)</f>
        <v>0</v>
      </c>
      <c r="W35" s="10">
        <f t="shared" si="33"/>
        <v>867097</v>
      </c>
      <c r="X35" s="10">
        <f t="shared" ref="X35" si="48">SUM(X36:X60)</f>
        <v>867097</v>
      </c>
      <c r="Y35" s="10">
        <f t="shared" ref="Y35" si="49">SUM(Y36:Y60)</f>
        <v>0</v>
      </c>
      <c r="Z35" s="10">
        <f t="shared" ref="Z35" si="50">SUM(Z36:Z60)</f>
        <v>0</v>
      </c>
      <c r="AA35" s="10">
        <f t="shared" ref="AA35" si="51">SUM(AA36:AA60)</f>
        <v>0</v>
      </c>
      <c r="AB35" s="10">
        <f t="shared" ref="AB35" si="52">SUM(AB36:AB60)</f>
        <v>0</v>
      </c>
      <c r="AC35" s="10">
        <f t="shared" ref="AC35" si="53">SUM(AC36:AC60)</f>
        <v>0</v>
      </c>
      <c r="AD35" s="10">
        <f t="shared" ref="AD35" si="54">SUM(AD36:AD60)</f>
        <v>0</v>
      </c>
      <c r="AE35" s="10">
        <f t="shared" ref="AE35" si="55">SUM(AE36:AE60)</f>
        <v>0</v>
      </c>
      <c r="AF35" s="10">
        <f t="shared" si="33"/>
        <v>7900</v>
      </c>
      <c r="AG35" s="10">
        <f t="shared" ref="AG35" si="56">SUM(AG36:AG60)</f>
        <v>11973</v>
      </c>
      <c r="AH35" s="10">
        <f t="shared" ref="AH35" si="57">SUM(AH36:AH60)</f>
        <v>4073</v>
      </c>
      <c r="AI35" s="10">
        <f t="shared" ref="AI35" si="58">SUM(AI36:AI60)</f>
        <v>4073</v>
      </c>
      <c r="AJ35" s="10">
        <f t="shared" ref="AJ35" si="59">SUM(AJ36:AJ60)</f>
        <v>0</v>
      </c>
      <c r="AK35" s="10">
        <f t="shared" ref="AK35" si="60">SUM(AK36:AK60)</f>
        <v>0</v>
      </c>
      <c r="AL35" s="434">
        <f t="shared" ref="AL35" si="61">SUM(AL36:AL60)</f>
        <v>0</v>
      </c>
      <c r="AM35" s="10">
        <f t="shared" ref="AM35" si="62">SUM(AM36:AM60)</f>
        <v>0</v>
      </c>
      <c r="AN35" s="10">
        <f t="shared" ref="AN35" si="63">SUM(AN36:AN60)</f>
        <v>0</v>
      </c>
      <c r="AO35" s="10">
        <f t="shared" ref="AO35" si="64">SUM(AO36:AO60)</f>
        <v>0</v>
      </c>
      <c r="AP35" s="10">
        <f t="shared" ref="AP35" si="65">SUM(AP36:AP60)</f>
        <v>0</v>
      </c>
      <c r="AQ35" s="10">
        <f t="shared" si="33"/>
        <v>1132878</v>
      </c>
      <c r="AR35" s="133">
        <f t="shared" si="33"/>
        <v>0</v>
      </c>
      <c r="AS35" s="133">
        <f t="shared" ref="AS35" si="66">SUM(AS36:AS60)</f>
        <v>0</v>
      </c>
      <c r="AT35" s="133">
        <f t="shared" ref="AT35" si="67">SUM(AT36:AT60)</f>
        <v>0</v>
      </c>
      <c r="AU35" s="133">
        <f t="shared" ref="AU35" si="68">SUM(AU36:AU60)</f>
        <v>0</v>
      </c>
      <c r="AV35" s="133">
        <f t="shared" ref="AV35" si="69">SUM(AV36:AV60)</f>
        <v>0</v>
      </c>
      <c r="AW35" s="440">
        <f t="shared" ref="AW35" si="70">SUM(AW36:AW60)</f>
        <v>0</v>
      </c>
      <c r="AX35" s="133">
        <f t="shared" ref="AX35" si="71">SUM(AX36:AX60)</f>
        <v>0</v>
      </c>
      <c r="AY35" s="133">
        <f t="shared" si="33"/>
        <v>-1</v>
      </c>
      <c r="AZ35" s="10">
        <f t="shared" ref="AZ35" si="72">SUM(AZ36:AZ60)</f>
        <v>-2</v>
      </c>
      <c r="BA35" s="10">
        <f t="shared" ref="BA35" si="73">SUM(BA36:BA60)</f>
        <v>-1</v>
      </c>
      <c r="BB35" s="10">
        <f t="shared" ref="BB35" si="74">SUM(BB36:BB60)</f>
        <v>-1</v>
      </c>
      <c r="BC35" s="10">
        <f t="shared" ref="BC35" si="75">SUM(BC36:BC60)</f>
        <v>0</v>
      </c>
      <c r="BD35" s="10">
        <f t="shared" ref="BD35" si="76">SUM(BD36:BD60)</f>
        <v>0</v>
      </c>
      <c r="BE35" s="10">
        <f t="shared" ref="BE35" si="77">SUM(BE36:BE60)</f>
        <v>0</v>
      </c>
      <c r="BF35" s="10">
        <f t="shared" ref="BF35" si="78">SUM(BF36:BF60)</f>
        <v>0</v>
      </c>
      <c r="BG35" s="10">
        <f t="shared" ref="BG35" si="79">SUM(BG36:BG60)</f>
        <v>0</v>
      </c>
      <c r="BH35" s="10">
        <f t="shared" ref="BH35" si="80">SUM(BH36:BH60)</f>
        <v>0</v>
      </c>
      <c r="BI35" s="10">
        <f t="shared" ref="BI35" si="81">SUM(BI36:BI60)</f>
        <v>0</v>
      </c>
      <c r="BJ35" s="10">
        <f t="shared" ref="BJ35" si="82">SUM(BJ36:BJ60)</f>
        <v>0</v>
      </c>
      <c r="BK35" s="334">
        <f t="shared" ref="BK35" si="83">SUM(BK36:BK60)</f>
        <v>0</v>
      </c>
      <c r="BL35" s="18"/>
      <c r="BM35" s="119"/>
      <c r="BN35" s="36"/>
      <c r="BO35" s="36"/>
      <c r="BP35" s="36"/>
      <c r="BQ35" s="36"/>
      <c r="BR35" s="36"/>
      <c r="BS35" s="36"/>
      <c r="BT35" s="36"/>
      <c r="BU35" s="36"/>
    </row>
    <row r="36" spans="1:73" ht="24.75" thickTop="1" x14ac:dyDescent="0.2">
      <c r="A36" s="165">
        <v>90000056357</v>
      </c>
      <c r="B36" s="200"/>
      <c r="C36" s="499" t="s">
        <v>5</v>
      </c>
      <c r="D36" s="500"/>
      <c r="E36" s="108" t="s">
        <v>205</v>
      </c>
      <c r="F36" s="346">
        <f t="shared" ref="F36:F59" si="84">H36+W36+AF36+AQ36+AR36+AY36</f>
        <v>3719190</v>
      </c>
      <c r="G36" s="109">
        <f t="shared" ref="G36:G59" si="85">I36+X36+AG36+AQ36+AS36+AZ36</f>
        <v>3695525</v>
      </c>
      <c r="H36" s="110">
        <v>3719190</v>
      </c>
      <c r="I36" s="110">
        <f t="shared" ref="I36:I55" si="86">J36+H36</f>
        <v>3695525</v>
      </c>
      <c r="J36" s="110">
        <f t="shared" ref="J36:J55" si="87">SUM(K36:V36)</f>
        <v>-23665</v>
      </c>
      <c r="K36" s="110"/>
      <c r="L36" s="110"/>
      <c r="M36" s="110"/>
      <c r="N36" s="110"/>
      <c r="O36" s="110"/>
      <c r="P36" s="110">
        <v>-20665</v>
      </c>
      <c r="Q36" s="110">
        <v>15000</v>
      </c>
      <c r="R36" s="416"/>
      <c r="S36" s="435">
        <v>-18000</v>
      </c>
      <c r="T36" s="110"/>
      <c r="U36" s="110"/>
      <c r="V36" s="110"/>
      <c r="W36" s="110">
        <v>0</v>
      </c>
      <c r="X36" s="110">
        <f t="shared" ref="X36:X51" si="88">Y36+W36</f>
        <v>0</v>
      </c>
      <c r="Y36" s="110">
        <f t="shared" ref="Y36:Y51" si="89">SUM(Z36:AE36)</f>
        <v>0</v>
      </c>
      <c r="Z36" s="110"/>
      <c r="AA36" s="110"/>
      <c r="AB36" s="110"/>
      <c r="AC36" s="110"/>
      <c r="AD36" s="110"/>
      <c r="AE36" s="110"/>
      <c r="AF36" s="110">
        <v>0</v>
      </c>
      <c r="AG36" s="135">
        <f t="shared" ref="AG36:AG51" si="90">AH36+AF36</f>
        <v>0</v>
      </c>
      <c r="AH36" s="135">
        <f t="shared" ref="AH36:AH51" si="91">SUM(AI36:AP36)</f>
        <v>0</v>
      </c>
      <c r="AI36" s="135"/>
      <c r="AJ36" s="135"/>
      <c r="AK36" s="135"/>
      <c r="AL36" s="454"/>
      <c r="AM36" s="135"/>
      <c r="AN36" s="135"/>
      <c r="AO36" s="135"/>
      <c r="AP36" s="135"/>
      <c r="AQ36" s="135"/>
      <c r="AR36" s="135">
        <v>0</v>
      </c>
      <c r="AS36" s="135">
        <f t="shared" ref="AS36:AS51" si="92">AT36+AR36</f>
        <v>0</v>
      </c>
      <c r="AT36" s="135">
        <f t="shared" ref="AT36:AT51" si="93">SUM(AU36:AX36)</f>
        <v>0</v>
      </c>
      <c r="AU36" s="135"/>
      <c r="AV36" s="135"/>
      <c r="AW36" s="454"/>
      <c r="AX36" s="135"/>
      <c r="AY36" s="135"/>
      <c r="AZ36" s="110">
        <f t="shared" ref="AZ36:AZ51" si="94">BA36+AY36</f>
        <v>0</v>
      </c>
      <c r="BA36" s="110">
        <f t="shared" ref="BA36:BA51" si="95">SUM(BB36:BK36)</f>
        <v>0</v>
      </c>
      <c r="BB36" s="110"/>
      <c r="BC36" s="110"/>
      <c r="BD36" s="110"/>
      <c r="BE36" s="110"/>
      <c r="BF36" s="110"/>
      <c r="BG36" s="110"/>
      <c r="BH36" s="110"/>
      <c r="BI36" s="110"/>
      <c r="BJ36" s="110"/>
      <c r="BK36" s="332"/>
      <c r="BL36" s="111" t="s">
        <v>414</v>
      </c>
      <c r="BM36" s="117"/>
      <c r="BN36" s="36"/>
      <c r="BO36" s="36"/>
      <c r="BP36" s="36"/>
      <c r="BQ36" s="36"/>
      <c r="BR36" s="36"/>
      <c r="BS36" s="36"/>
      <c r="BT36" s="36"/>
      <c r="BU36" s="36"/>
    </row>
    <row r="37" spans="1:73" s="193" customFormat="1" x14ac:dyDescent="0.2">
      <c r="A37" s="165"/>
      <c r="B37" s="131"/>
      <c r="C37" s="265"/>
      <c r="D37" s="308"/>
      <c r="E37" s="108" t="s">
        <v>327</v>
      </c>
      <c r="F37" s="346">
        <f t="shared" si="84"/>
        <v>726525</v>
      </c>
      <c r="G37" s="109">
        <f t="shared" si="85"/>
        <v>891213</v>
      </c>
      <c r="H37" s="110">
        <v>726525</v>
      </c>
      <c r="I37" s="110">
        <f t="shared" si="86"/>
        <v>891213</v>
      </c>
      <c r="J37" s="110">
        <f t="shared" si="87"/>
        <v>164688</v>
      </c>
      <c r="K37" s="110"/>
      <c r="L37" s="110"/>
      <c r="M37" s="110"/>
      <c r="N37" s="110">
        <v>1888</v>
      </c>
      <c r="O37" s="110">
        <v>-12200</v>
      </c>
      <c r="P37" s="110"/>
      <c r="Q37" s="110">
        <v>-15000</v>
      </c>
      <c r="R37" s="416"/>
      <c r="S37" s="435">
        <v>190000</v>
      </c>
      <c r="T37" s="110"/>
      <c r="U37" s="110"/>
      <c r="V37" s="110"/>
      <c r="W37" s="110">
        <v>0</v>
      </c>
      <c r="X37" s="110">
        <f t="shared" si="88"/>
        <v>0</v>
      </c>
      <c r="Y37" s="110">
        <f t="shared" si="89"/>
        <v>0</v>
      </c>
      <c r="Z37" s="110"/>
      <c r="AA37" s="110"/>
      <c r="AB37" s="110"/>
      <c r="AC37" s="110"/>
      <c r="AD37" s="110"/>
      <c r="AE37" s="110"/>
      <c r="AF37" s="110">
        <v>0</v>
      </c>
      <c r="AG37" s="135">
        <f t="shared" si="90"/>
        <v>0</v>
      </c>
      <c r="AH37" s="135">
        <f t="shared" si="91"/>
        <v>0</v>
      </c>
      <c r="AI37" s="135"/>
      <c r="AJ37" s="135"/>
      <c r="AK37" s="135"/>
      <c r="AL37" s="454"/>
      <c r="AM37" s="135"/>
      <c r="AN37" s="135"/>
      <c r="AO37" s="135"/>
      <c r="AP37" s="135"/>
      <c r="AQ37" s="135"/>
      <c r="AR37" s="135">
        <v>0</v>
      </c>
      <c r="AS37" s="138">
        <f t="shared" si="92"/>
        <v>0</v>
      </c>
      <c r="AT37" s="138">
        <f t="shared" si="93"/>
        <v>0</v>
      </c>
      <c r="AU37" s="138"/>
      <c r="AV37" s="138"/>
      <c r="AW37" s="456"/>
      <c r="AX37" s="138"/>
      <c r="AY37" s="138"/>
      <c r="AZ37" s="269">
        <f t="shared" si="94"/>
        <v>0</v>
      </c>
      <c r="BA37" s="269">
        <f t="shared" si="95"/>
        <v>0</v>
      </c>
      <c r="BB37" s="269"/>
      <c r="BC37" s="269"/>
      <c r="BD37" s="269"/>
      <c r="BE37" s="269"/>
      <c r="BF37" s="269"/>
      <c r="BG37" s="269"/>
      <c r="BH37" s="269"/>
      <c r="BI37" s="269"/>
      <c r="BJ37" s="269"/>
      <c r="BK37" s="335"/>
      <c r="BL37" s="270" t="s">
        <v>415</v>
      </c>
      <c r="BM37" s="117"/>
      <c r="BN37" s="36"/>
      <c r="BO37" s="36"/>
      <c r="BP37" s="36"/>
      <c r="BQ37" s="36"/>
      <c r="BR37" s="36"/>
      <c r="BS37" s="36"/>
      <c r="BT37" s="36"/>
      <c r="BU37" s="36"/>
    </row>
    <row r="38" spans="1:73" s="230" customFormat="1" ht="24" x14ac:dyDescent="0.2">
      <c r="A38" s="165"/>
      <c r="B38" s="129"/>
      <c r="C38" s="108"/>
      <c r="D38" s="307"/>
      <c r="E38" s="108" t="s">
        <v>326</v>
      </c>
      <c r="F38" s="346">
        <f t="shared" si="84"/>
        <v>25988</v>
      </c>
      <c r="G38" s="109">
        <f t="shared" si="85"/>
        <v>26637</v>
      </c>
      <c r="H38" s="110">
        <v>19988</v>
      </c>
      <c r="I38" s="110">
        <f t="shared" si="86"/>
        <v>19988</v>
      </c>
      <c r="J38" s="110">
        <f t="shared" si="87"/>
        <v>0</v>
      </c>
      <c r="K38" s="110"/>
      <c r="L38" s="110"/>
      <c r="M38" s="110"/>
      <c r="N38" s="110"/>
      <c r="O38" s="110"/>
      <c r="P38" s="110"/>
      <c r="Q38" s="110"/>
      <c r="R38" s="416"/>
      <c r="S38" s="435"/>
      <c r="T38" s="110"/>
      <c r="U38" s="110"/>
      <c r="V38" s="110"/>
      <c r="W38" s="110">
        <v>0</v>
      </c>
      <c r="X38" s="110">
        <f t="shared" si="88"/>
        <v>0</v>
      </c>
      <c r="Y38" s="110">
        <f t="shared" si="89"/>
        <v>0</v>
      </c>
      <c r="Z38" s="110"/>
      <c r="AA38" s="110"/>
      <c r="AB38" s="110"/>
      <c r="AC38" s="110"/>
      <c r="AD38" s="110"/>
      <c r="AE38" s="110"/>
      <c r="AF38" s="110">
        <v>6000</v>
      </c>
      <c r="AG38" s="135">
        <f t="shared" si="90"/>
        <v>6649</v>
      </c>
      <c r="AH38" s="135">
        <f t="shared" si="91"/>
        <v>649</v>
      </c>
      <c r="AI38" s="135">
        <v>649</v>
      </c>
      <c r="AJ38" s="135"/>
      <c r="AK38" s="135"/>
      <c r="AL38" s="454"/>
      <c r="AM38" s="135"/>
      <c r="AN38" s="135"/>
      <c r="AO38" s="135"/>
      <c r="AP38" s="135"/>
      <c r="AQ38" s="135"/>
      <c r="AR38" s="135">
        <v>0</v>
      </c>
      <c r="AS38" s="138">
        <f t="shared" si="92"/>
        <v>0</v>
      </c>
      <c r="AT38" s="138">
        <f t="shared" si="93"/>
        <v>0</v>
      </c>
      <c r="AU38" s="138"/>
      <c r="AV38" s="138"/>
      <c r="AW38" s="456"/>
      <c r="AX38" s="138"/>
      <c r="AY38" s="138"/>
      <c r="AZ38" s="269">
        <f t="shared" si="94"/>
        <v>0</v>
      </c>
      <c r="BA38" s="269">
        <f t="shared" si="95"/>
        <v>0</v>
      </c>
      <c r="BB38" s="269"/>
      <c r="BC38" s="269"/>
      <c r="BD38" s="269"/>
      <c r="BE38" s="269"/>
      <c r="BF38" s="269"/>
      <c r="BG38" s="269"/>
      <c r="BH38" s="269"/>
      <c r="BI38" s="269"/>
      <c r="BJ38" s="269"/>
      <c r="BK38" s="335"/>
      <c r="BL38" s="270" t="s">
        <v>416</v>
      </c>
      <c r="BM38" s="117"/>
      <c r="BN38" s="36"/>
      <c r="BO38" s="36"/>
      <c r="BP38" s="36"/>
      <c r="BQ38" s="36"/>
      <c r="BR38" s="36"/>
      <c r="BS38" s="36"/>
      <c r="BT38" s="36"/>
      <c r="BU38" s="36"/>
    </row>
    <row r="39" spans="1:73" ht="28.5" customHeight="1" x14ac:dyDescent="0.2">
      <c r="A39" s="165"/>
      <c r="B39" s="129"/>
      <c r="C39" s="108"/>
      <c r="D39" s="307"/>
      <c r="E39" s="108" t="s">
        <v>246</v>
      </c>
      <c r="F39" s="346">
        <f t="shared" si="84"/>
        <v>1766398</v>
      </c>
      <c r="G39" s="109">
        <f t="shared" si="85"/>
        <v>1735784</v>
      </c>
      <c r="H39" s="110">
        <v>1647301</v>
      </c>
      <c r="I39" s="110">
        <f t="shared" si="86"/>
        <v>1616687</v>
      </c>
      <c r="J39" s="110">
        <f t="shared" si="87"/>
        <v>-30614</v>
      </c>
      <c r="K39" s="110"/>
      <c r="L39" s="110"/>
      <c r="M39" s="110"/>
      <c r="N39" s="110"/>
      <c r="O39" s="110">
        <v>-2614</v>
      </c>
      <c r="P39" s="110">
        <v>-28000</v>
      </c>
      <c r="Q39" s="110"/>
      <c r="R39" s="416"/>
      <c r="S39" s="435"/>
      <c r="T39" s="110"/>
      <c r="U39" s="110"/>
      <c r="V39" s="110"/>
      <c r="W39" s="110">
        <v>119097</v>
      </c>
      <c r="X39" s="110">
        <f t="shared" si="88"/>
        <v>119097</v>
      </c>
      <c r="Y39" s="110">
        <f t="shared" si="89"/>
        <v>0</v>
      </c>
      <c r="Z39" s="110"/>
      <c r="AA39" s="110"/>
      <c r="AB39" s="110"/>
      <c r="AC39" s="110"/>
      <c r="AD39" s="110"/>
      <c r="AE39" s="110"/>
      <c r="AF39" s="110">
        <v>0</v>
      </c>
      <c r="AG39" s="135">
        <f t="shared" si="90"/>
        <v>0</v>
      </c>
      <c r="AH39" s="135">
        <f t="shared" si="91"/>
        <v>0</v>
      </c>
      <c r="AI39" s="135"/>
      <c r="AJ39" s="135"/>
      <c r="AK39" s="135"/>
      <c r="AL39" s="454"/>
      <c r="AM39" s="135"/>
      <c r="AN39" s="135"/>
      <c r="AO39" s="135"/>
      <c r="AP39" s="135"/>
      <c r="AQ39" s="135"/>
      <c r="AR39" s="135">
        <v>0</v>
      </c>
      <c r="AS39" s="138">
        <f t="shared" si="92"/>
        <v>0</v>
      </c>
      <c r="AT39" s="138">
        <f t="shared" si="93"/>
        <v>0</v>
      </c>
      <c r="AU39" s="138"/>
      <c r="AV39" s="138"/>
      <c r="AW39" s="456"/>
      <c r="AX39" s="138"/>
      <c r="AY39" s="138"/>
      <c r="AZ39" s="269">
        <f t="shared" si="94"/>
        <v>0</v>
      </c>
      <c r="BA39" s="269">
        <f t="shared" si="95"/>
        <v>0</v>
      </c>
      <c r="BB39" s="269"/>
      <c r="BC39" s="269"/>
      <c r="BD39" s="269"/>
      <c r="BE39" s="269"/>
      <c r="BF39" s="269"/>
      <c r="BG39" s="269"/>
      <c r="BH39" s="269"/>
      <c r="BI39" s="269"/>
      <c r="BJ39" s="269"/>
      <c r="BK39" s="335"/>
      <c r="BL39" s="270" t="s">
        <v>417</v>
      </c>
      <c r="BM39" s="117" t="s">
        <v>771</v>
      </c>
      <c r="BN39" s="36"/>
      <c r="BO39" s="36"/>
      <c r="BP39" s="36"/>
      <c r="BQ39" s="36"/>
      <c r="BR39" s="36"/>
      <c r="BS39" s="36"/>
      <c r="BT39" s="36"/>
      <c r="BU39" s="36"/>
    </row>
    <row r="40" spans="1:73" s="156" customFormat="1" ht="36" x14ac:dyDescent="0.2">
      <c r="A40" s="165"/>
      <c r="B40" s="131"/>
      <c r="C40" s="265"/>
      <c r="D40" s="308"/>
      <c r="E40" s="108" t="s">
        <v>291</v>
      </c>
      <c r="F40" s="346">
        <f t="shared" si="84"/>
        <v>55275</v>
      </c>
      <c r="G40" s="127">
        <f t="shared" si="85"/>
        <v>45275</v>
      </c>
      <c r="H40" s="269">
        <v>55275</v>
      </c>
      <c r="I40" s="269">
        <f t="shared" si="86"/>
        <v>45275</v>
      </c>
      <c r="J40" s="269">
        <f t="shared" si="87"/>
        <v>-10000</v>
      </c>
      <c r="K40" s="269"/>
      <c r="L40" s="269"/>
      <c r="M40" s="269"/>
      <c r="N40" s="269"/>
      <c r="O40" s="269"/>
      <c r="P40" s="269">
        <v>-10000</v>
      </c>
      <c r="Q40" s="269"/>
      <c r="R40" s="418"/>
      <c r="S40" s="437"/>
      <c r="T40" s="269"/>
      <c r="U40" s="269"/>
      <c r="V40" s="269"/>
      <c r="W40" s="269">
        <v>0</v>
      </c>
      <c r="X40" s="269">
        <f t="shared" si="88"/>
        <v>0</v>
      </c>
      <c r="Y40" s="269">
        <f t="shared" si="89"/>
        <v>0</v>
      </c>
      <c r="Z40" s="269"/>
      <c r="AA40" s="269"/>
      <c r="AB40" s="269"/>
      <c r="AC40" s="269"/>
      <c r="AD40" s="269"/>
      <c r="AE40" s="269"/>
      <c r="AF40" s="269">
        <v>0</v>
      </c>
      <c r="AG40" s="138">
        <f t="shared" si="90"/>
        <v>0</v>
      </c>
      <c r="AH40" s="138">
        <f t="shared" si="91"/>
        <v>0</v>
      </c>
      <c r="AI40" s="138"/>
      <c r="AJ40" s="138"/>
      <c r="AK40" s="138"/>
      <c r="AL40" s="456"/>
      <c r="AM40" s="138"/>
      <c r="AN40" s="138"/>
      <c r="AO40" s="138"/>
      <c r="AP40" s="138"/>
      <c r="AQ40" s="138"/>
      <c r="AR40" s="138">
        <v>0</v>
      </c>
      <c r="AS40" s="138">
        <f t="shared" si="92"/>
        <v>0</v>
      </c>
      <c r="AT40" s="138">
        <f t="shared" si="93"/>
        <v>0</v>
      </c>
      <c r="AU40" s="138"/>
      <c r="AV40" s="138"/>
      <c r="AW40" s="456"/>
      <c r="AX40" s="138"/>
      <c r="AY40" s="138"/>
      <c r="AZ40" s="269">
        <f t="shared" si="94"/>
        <v>0</v>
      </c>
      <c r="BA40" s="269">
        <f t="shared" si="95"/>
        <v>0</v>
      </c>
      <c r="BB40" s="269"/>
      <c r="BC40" s="269"/>
      <c r="BD40" s="269"/>
      <c r="BE40" s="269"/>
      <c r="BF40" s="269"/>
      <c r="BG40" s="269"/>
      <c r="BH40" s="269"/>
      <c r="BI40" s="269"/>
      <c r="BJ40" s="269"/>
      <c r="BK40" s="335"/>
      <c r="BL40" s="270" t="s">
        <v>418</v>
      </c>
      <c r="BM40" s="117" t="s">
        <v>559</v>
      </c>
      <c r="BN40" s="36"/>
      <c r="BO40" s="36"/>
      <c r="BP40" s="36"/>
      <c r="BQ40" s="36"/>
      <c r="BR40" s="36"/>
      <c r="BS40" s="36"/>
      <c r="BT40" s="36"/>
      <c r="BU40" s="36"/>
    </row>
    <row r="41" spans="1:73" s="268" customFormat="1" ht="24" x14ac:dyDescent="0.2">
      <c r="A41" s="165"/>
      <c r="B41" s="131"/>
      <c r="C41" s="265"/>
      <c r="D41" s="308"/>
      <c r="E41" s="108" t="s">
        <v>251</v>
      </c>
      <c r="F41" s="346">
        <f t="shared" si="84"/>
        <v>355228</v>
      </c>
      <c r="G41" s="109">
        <f t="shared" si="85"/>
        <v>385279</v>
      </c>
      <c r="H41" s="110">
        <v>353328</v>
      </c>
      <c r="I41" s="110">
        <f t="shared" si="86"/>
        <v>379955</v>
      </c>
      <c r="J41" s="110">
        <f t="shared" si="87"/>
        <v>26627</v>
      </c>
      <c r="K41" s="110"/>
      <c r="L41" s="110"/>
      <c r="M41" s="110">
        <f>4168+8501+4682</f>
        <v>17351</v>
      </c>
      <c r="N41" s="110">
        <v>-2495</v>
      </c>
      <c r="O41" s="110">
        <v>9376</v>
      </c>
      <c r="P41" s="110"/>
      <c r="Q41" s="110"/>
      <c r="R41" s="416"/>
      <c r="S41" s="435">
        <v>2395</v>
      </c>
      <c r="T41" s="110"/>
      <c r="U41" s="110"/>
      <c r="V41" s="110"/>
      <c r="W41" s="110">
        <v>0</v>
      </c>
      <c r="X41" s="110">
        <f t="shared" si="88"/>
        <v>0</v>
      </c>
      <c r="Y41" s="110">
        <f t="shared" si="89"/>
        <v>0</v>
      </c>
      <c r="Z41" s="110"/>
      <c r="AA41" s="110"/>
      <c r="AB41" s="110"/>
      <c r="AC41" s="110"/>
      <c r="AD41" s="110"/>
      <c r="AE41" s="110"/>
      <c r="AF41" s="110">
        <v>1900</v>
      </c>
      <c r="AG41" s="135">
        <f t="shared" si="90"/>
        <v>5324</v>
      </c>
      <c r="AH41" s="135">
        <f t="shared" si="91"/>
        <v>3424</v>
      </c>
      <c r="AI41" s="135">
        <f>2348+1076</f>
        <v>3424</v>
      </c>
      <c r="AJ41" s="135"/>
      <c r="AK41" s="135"/>
      <c r="AL41" s="454"/>
      <c r="AM41" s="135"/>
      <c r="AN41" s="135"/>
      <c r="AO41" s="135"/>
      <c r="AP41" s="135"/>
      <c r="AQ41" s="135"/>
      <c r="AR41" s="135">
        <v>0</v>
      </c>
      <c r="AS41" s="138">
        <f t="shared" si="92"/>
        <v>0</v>
      </c>
      <c r="AT41" s="138">
        <f t="shared" si="93"/>
        <v>0</v>
      </c>
      <c r="AU41" s="138"/>
      <c r="AV41" s="138"/>
      <c r="AW41" s="456"/>
      <c r="AX41" s="138"/>
      <c r="AY41" s="138"/>
      <c r="AZ41" s="269">
        <f t="shared" si="94"/>
        <v>0</v>
      </c>
      <c r="BA41" s="269">
        <f t="shared" si="95"/>
        <v>0</v>
      </c>
      <c r="BB41" s="269"/>
      <c r="BC41" s="269"/>
      <c r="BD41" s="269"/>
      <c r="BE41" s="269"/>
      <c r="BF41" s="269"/>
      <c r="BG41" s="269"/>
      <c r="BH41" s="269"/>
      <c r="BI41" s="269"/>
      <c r="BJ41" s="269"/>
      <c r="BK41" s="335"/>
      <c r="BL41" s="270" t="s">
        <v>419</v>
      </c>
      <c r="BM41" s="117" t="s">
        <v>561</v>
      </c>
      <c r="BN41" s="36"/>
      <c r="BO41" s="36"/>
      <c r="BP41" s="36"/>
      <c r="BQ41" s="36"/>
      <c r="BR41" s="36"/>
      <c r="BS41" s="36"/>
      <c r="BT41" s="36"/>
      <c r="BU41" s="36"/>
    </row>
    <row r="42" spans="1:73" ht="24" x14ac:dyDescent="0.2">
      <c r="A42" s="165"/>
      <c r="B42" s="129"/>
      <c r="C42" s="108"/>
      <c r="D42" s="307"/>
      <c r="E42" s="108" t="s">
        <v>387</v>
      </c>
      <c r="F42" s="346">
        <f t="shared" si="84"/>
        <v>34313</v>
      </c>
      <c r="G42" s="109">
        <f t="shared" si="85"/>
        <v>34313</v>
      </c>
      <c r="H42" s="110">
        <v>34313</v>
      </c>
      <c r="I42" s="110">
        <f t="shared" si="86"/>
        <v>34313</v>
      </c>
      <c r="J42" s="110">
        <f t="shared" si="87"/>
        <v>0</v>
      </c>
      <c r="K42" s="110"/>
      <c r="L42" s="110"/>
      <c r="M42" s="110"/>
      <c r="N42" s="110"/>
      <c r="O42" s="110"/>
      <c r="P42" s="110"/>
      <c r="Q42" s="110"/>
      <c r="R42" s="416"/>
      <c r="S42" s="435"/>
      <c r="T42" s="110"/>
      <c r="U42" s="110"/>
      <c r="V42" s="110"/>
      <c r="W42" s="110">
        <v>0</v>
      </c>
      <c r="X42" s="110">
        <f t="shared" si="88"/>
        <v>0</v>
      </c>
      <c r="Y42" s="110">
        <f t="shared" si="89"/>
        <v>0</v>
      </c>
      <c r="Z42" s="110"/>
      <c r="AA42" s="110"/>
      <c r="AB42" s="110"/>
      <c r="AC42" s="110"/>
      <c r="AD42" s="110"/>
      <c r="AE42" s="110"/>
      <c r="AF42" s="110">
        <v>0</v>
      </c>
      <c r="AG42" s="135">
        <f t="shared" si="90"/>
        <v>0</v>
      </c>
      <c r="AH42" s="135">
        <f t="shared" si="91"/>
        <v>0</v>
      </c>
      <c r="AI42" s="135"/>
      <c r="AJ42" s="135"/>
      <c r="AK42" s="135"/>
      <c r="AL42" s="454"/>
      <c r="AM42" s="135"/>
      <c r="AN42" s="135"/>
      <c r="AO42" s="135"/>
      <c r="AP42" s="135"/>
      <c r="AQ42" s="135"/>
      <c r="AR42" s="135">
        <v>0</v>
      </c>
      <c r="AS42" s="138">
        <f t="shared" si="92"/>
        <v>0</v>
      </c>
      <c r="AT42" s="138">
        <f t="shared" si="93"/>
        <v>0</v>
      </c>
      <c r="AU42" s="138"/>
      <c r="AV42" s="138"/>
      <c r="AW42" s="456"/>
      <c r="AX42" s="138"/>
      <c r="AY42" s="138"/>
      <c r="AZ42" s="269">
        <f t="shared" si="94"/>
        <v>0</v>
      </c>
      <c r="BA42" s="269">
        <f t="shared" si="95"/>
        <v>0</v>
      </c>
      <c r="BB42" s="269"/>
      <c r="BC42" s="269"/>
      <c r="BD42" s="269"/>
      <c r="BE42" s="269"/>
      <c r="BF42" s="269"/>
      <c r="BG42" s="269"/>
      <c r="BH42" s="269"/>
      <c r="BI42" s="269"/>
      <c r="BJ42" s="269"/>
      <c r="BK42" s="335"/>
      <c r="BL42" s="270" t="s">
        <v>621</v>
      </c>
      <c r="BM42" s="117" t="s">
        <v>565</v>
      </c>
      <c r="BN42" s="36"/>
      <c r="BO42" s="36"/>
      <c r="BP42" s="36"/>
      <c r="BQ42" s="36"/>
      <c r="BR42" s="36"/>
      <c r="BS42" s="36"/>
      <c r="BT42" s="36"/>
      <c r="BU42" s="36"/>
    </row>
    <row r="43" spans="1:73" s="190" customFormat="1" ht="60" x14ac:dyDescent="0.2">
      <c r="A43" s="165"/>
      <c r="B43" s="129"/>
      <c r="C43" s="108"/>
      <c r="D43" s="307"/>
      <c r="E43" s="108" t="s">
        <v>325</v>
      </c>
      <c r="F43" s="346">
        <f t="shared" si="84"/>
        <v>1016710</v>
      </c>
      <c r="G43" s="109">
        <f t="shared" si="85"/>
        <v>1026326</v>
      </c>
      <c r="H43" s="110">
        <v>1016710</v>
      </c>
      <c r="I43" s="110">
        <f t="shared" si="86"/>
        <v>1026326</v>
      </c>
      <c r="J43" s="110">
        <f t="shared" si="87"/>
        <v>9616</v>
      </c>
      <c r="K43" s="110"/>
      <c r="L43" s="110"/>
      <c r="M43" s="110"/>
      <c r="N43" s="110">
        <v>2495</v>
      </c>
      <c r="O43" s="110">
        <f>2114+5007</f>
        <v>7121</v>
      </c>
      <c r="P43" s="110"/>
      <c r="Q43" s="110"/>
      <c r="R43" s="416"/>
      <c r="S43" s="435"/>
      <c r="T43" s="110"/>
      <c r="U43" s="110"/>
      <c r="V43" s="110"/>
      <c r="W43" s="110">
        <v>0</v>
      </c>
      <c r="X43" s="110">
        <f t="shared" si="88"/>
        <v>0</v>
      </c>
      <c r="Y43" s="110">
        <f t="shared" si="89"/>
        <v>0</v>
      </c>
      <c r="Z43" s="110"/>
      <c r="AA43" s="110"/>
      <c r="AB43" s="110"/>
      <c r="AC43" s="110"/>
      <c r="AD43" s="110"/>
      <c r="AE43" s="110"/>
      <c r="AF43" s="110">
        <v>0</v>
      </c>
      <c r="AG43" s="135">
        <f t="shared" si="90"/>
        <v>0</v>
      </c>
      <c r="AH43" s="135">
        <f t="shared" si="91"/>
        <v>0</v>
      </c>
      <c r="AI43" s="135"/>
      <c r="AJ43" s="135"/>
      <c r="AK43" s="135"/>
      <c r="AL43" s="454"/>
      <c r="AM43" s="135"/>
      <c r="AN43" s="135"/>
      <c r="AO43" s="135"/>
      <c r="AP43" s="135"/>
      <c r="AQ43" s="135"/>
      <c r="AR43" s="135">
        <v>0</v>
      </c>
      <c r="AS43" s="138">
        <f t="shared" si="92"/>
        <v>0</v>
      </c>
      <c r="AT43" s="138">
        <f t="shared" si="93"/>
        <v>0</v>
      </c>
      <c r="AU43" s="138"/>
      <c r="AV43" s="138"/>
      <c r="AW43" s="456"/>
      <c r="AX43" s="138"/>
      <c r="AY43" s="138"/>
      <c r="AZ43" s="269">
        <f t="shared" si="94"/>
        <v>0</v>
      </c>
      <c r="BA43" s="269">
        <f t="shared" si="95"/>
        <v>0</v>
      </c>
      <c r="BB43" s="269"/>
      <c r="BC43" s="269"/>
      <c r="BD43" s="269"/>
      <c r="BE43" s="269"/>
      <c r="BF43" s="269"/>
      <c r="BG43" s="269"/>
      <c r="BH43" s="269"/>
      <c r="BI43" s="269"/>
      <c r="BJ43" s="269"/>
      <c r="BK43" s="335"/>
      <c r="BL43" s="270" t="s">
        <v>420</v>
      </c>
      <c r="BM43" s="117" t="s">
        <v>772</v>
      </c>
      <c r="BN43" s="36"/>
      <c r="BO43" s="36"/>
      <c r="BP43" s="36"/>
      <c r="BQ43" s="36"/>
      <c r="BR43" s="36"/>
      <c r="BS43" s="36"/>
      <c r="BT43" s="36"/>
      <c r="BU43" s="36"/>
    </row>
    <row r="44" spans="1:73" s="268" customFormat="1" ht="36" x14ac:dyDescent="0.2">
      <c r="A44" s="165"/>
      <c r="B44" s="129"/>
      <c r="C44" s="108"/>
      <c r="D44" s="307"/>
      <c r="E44" s="108" t="s">
        <v>336</v>
      </c>
      <c r="F44" s="349">
        <f t="shared" si="84"/>
        <v>107650</v>
      </c>
      <c r="G44" s="127">
        <f t="shared" si="85"/>
        <v>107650</v>
      </c>
      <c r="H44" s="269">
        <v>107650</v>
      </c>
      <c r="I44" s="269">
        <f t="shared" si="86"/>
        <v>107650</v>
      </c>
      <c r="J44" s="269">
        <f t="shared" si="87"/>
        <v>0</v>
      </c>
      <c r="K44" s="269"/>
      <c r="L44" s="269"/>
      <c r="M44" s="269"/>
      <c r="N44" s="269"/>
      <c r="O44" s="269"/>
      <c r="P44" s="269"/>
      <c r="Q44" s="269"/>
      <c r="R44" s="418"/>
      <c r="S44" s="437"/>
      <c r="T44" s="269"/>
      <c r="U44" s="269"/>
      <c r="V44" s="269"/>
      <c r="W44" s="269">
        <v>0</v>
      </c>
      <c r="X44" s="269">
        <f t="shared" si="88"/>
        <v>0</v>
      </c>
      <c r="Y44" s="269">
        <f t="shared" si="89"/>
        <v>0</v>
      </c>
      <c r="Z44" s="269"/>
      <c r="AA44" s="269"/>
      <c r="AB44" s="269"/>
      <c r="AC44" s="269"/>
      <c r="AD44" s="269"/>
      <c r="AE44" s="269"/>
      <c r="AF44" s="269">
        <v>0</v>
      </c>
      <c r="AG44" s="138">
        <f t="shared" si="90"/>
        <v>0</v>
      </c>
      <c r="AH44" s="138">
        <f t="shared" si="91"/>
        <v>0</v>
      </c>
      <c r="AI44" s="138"/>
      <c r="AJ44" s="138"/>
      <c r="AK44" s="138"/>
      <c r="AL44" s="456"/>
      <c r="AM44" s="138"/>
      <c r="AN44" s="138"/>
      <c r="AO44" s="138"/>
      <c r="AP44" s="138"/>
      <c r="AQ44" s="138"/>
      <c r="AR44" s="138">
        <v>0</v>
      </c>
      <c r="AS44" s="138">
        <f t="shared" si="92"/>
        <v>0</v>
      </c>
      <c r="AT44" s="138">
        <f t="shared" si="93"/>
        <v>0</v>
      </c>
      <c r="AU44" s="138"/>
      <c r="AV44" s="138"/>
      <c r="AW44" s="456"/>
      <c r="AX44" s="138"/>
      <c r="AY44" s="138"/>
      <c r="AZ44" s="269">
        <f t="shared" si="94"/>
        <v>0</v>
      </c>
      <c r="BA44" s="269">
        <f t="shared" si="95"/>
        <v>0</v>
      </c>
      <c r="BB44" s="269"/>
      <c r="BC44" s="269"/>
      <c r="BD44" s="269"/>
      <c r="BE44" s="269"/>
      <c r="BF44" s="269"/>
      <c r="BG44" s="269"/>
      <c r="BH44" s="269"/>
      <c r="BI44" s="269"/>
      <c r="BJ44" s="269"/>
      <c r="BK44" s="335"/>
      <c r="BL44" s="270" t="s">
        <v>421</v>
      </c>
      <c r="BM44" s="118" t="s">
        <v>622</v>
      </c>
      <c r="BN44" s="36"/>
      <c r="BO44" s="36"/>
      <c r="BP44" s="36"/>
      <c r="BQ44" s="36"/>
      <c r="BR44" s="36"/>
      <c r="BS44" s="36"/>
      <c r="BT44" s="36"/>
      <c r="BU44" s="36"/>
    </row>
    <row r="45" spans="1:73" s="268" customFormat="1" ht="36" x14ac:dyDescent="0.2">
      <c r="A45" s="165"/>
      <c r="B45" s="129"/>
      <c r="C45" s="108"/>
      <c r="D45" s="307"/>
      <c r="E45" s="108" t="s">
        <v>678</v>
      </c>
      <c r="F45" s="346">
        <f t="shared" si="84"/>
        <v>1989589</v>
      </c>
      <c r="G45" s="109">
        <f t="shared" si="85"/>
        <v>2013365</v>
      </c>
      <c r="H45" s="110">
        <v>1241589</v>
      </c>
      <c r="I45" s="110">
        <f t="shared" si="86"/>
        <v>1265365</v>
      </c>
      <c r="J45" s="110">
        <f t="shared" si="87"/>
        <v>23776</v>
      </c>
      <c r="K45" s="110"/>
      <c r="L45" s="110">
        <v>23776</v>
      </c>
      <c r="M45" s="110"/>
      <c r="N45" s="110"/>
      <c r="O45" s="110"/>
      <c r="P45" s="110"/>
      <c r="Q45" s="110"/>
      <c r="R45" s="416"/>
      <c r="S45" s="435"/>
      <c r="T45" s="110"/>
      <c r="U45" s="110"/>
      <c r="V45" s="110"/>
      <c r="W45" s="110">
        <v>748000</v>
      </c>
      <c r="X45" s="110">
        <f t="shared" si="88"/>
        <v>748000</v>
      </c>
      <c r="Y45" s="110">
        <f t="shared" si="89"/>
        <v>0</v>
      </c>
      <c r="Z45" s="110"/>
      <c r="AA45" s="110"/>
      <c r="AB45" s="110"/>
      <c r="AC45" s="110"/>
      <c r="AD45" s="110"/>
      <c r="AE45" s="110"/>
      <c r="AF45" s="110">
        <v>0</v>
      </c>
      <c r="AG45" s="135">
        <f t="shared" si="90"/>
        <v>0</v>
      </c>
      <c r="AH45" s="135">
        <f t="shared" si="91"/>
        <v>0</v>
      </c>
      <c r="AI45" s="135"/>
      <c r="AJ45" s="135"/>
      <c r="AK45" s="135"/>
      <c r="AL45" s="454"/>
      <c r="AM45" s="135"/>
      <c r="AN45" s="135"/>
      <c r="AO45" s="135"/>
      <c r="AP45" s="135"/>
      <c r="AQ45" s="135"/>
      <c r="AR45" s="135">
        <v>0</v>
      </c>
      <c r="AS45" s="138">
        <f t="shared" si="92"/>
        <v>0</v>
      </c>
      <c r="AT45" s="138">
        <f t="shared" si="93"/>
        <v>0</v>
      </c>
      <c r="AU45" s="138"/>
      <c r="AV45" s="138"/>
      <c r="AW45" s="456"/>
      <c r="AX45" s="138"/>
      <c r="AY45" s="138"/>
      <c r="AZ45" s="269">
        <f t="shared" si="94"/>
        <v>0</v>
      </c>
      <c r="BA45" s="269">
        <f t="shared" si="95"/>
        <v>0</v>
      </c>
      <c r="BB45" s="269"/>
      <c r="BC45" s="269"/>
      <c r="BD45" s="269"/>
      <c r="BE45" s="269"/>
      <c r="BF45" s="269"/>
      <c r="BG45" s="269"/>
      <c r="BH45" s="269"/>
      <c r="BI45" s="269"/>
      <c r="BJ45" s="269"/>
      <c r="BK45" s="335"/>
      <c r="BL45" s="270" t="s">
        <v>703</v>
      </c>
      <c r="BM45" s="117" t="s">
        <v>562</v>
      </c>
      <c r="BN45" s="36"/>
      <c r="BO45" s="36"/>
      <c r="BP45" s="36"/>
      <c r="BQ45" s="36"/>
      <c r="BR45" s="36"/>
      <c r="BS45" s="36"/>
      <c r="BT45" s="36"/>
      <c r="BU45" s="36"/>
    </row>
    <row r="46" spans="1:73" s="229" customFormat="1" ht="36" x14ac:dyDescent="0.2">
      <c r="A46" s="165"/>
      <c r="B46" s="129"/>
      <c r="C46" s="108"/>
      <c r="D46" s="307"/>
      <c r="E46" s="108" t="s">
        <v>680</v>
      </c>
      <c r="F46" s="346">
        <f t="shared" si="84"/>
        <v>0</v>
      </c>
      <c r="G46" s="109">
        <f t="shared" si="85"/>
        <v>0</v>
      </c>
      <c r="H46" s="110">
        <v>0</v>
      </c>
      <c r="I46" s="110">
        <f t="shared" si="86"/>
        <v>0</v>
      </c>
      <c r="J46" s="110">
        <f t="shared" si="87"/>
        <v>0</v>
      </c>
      <c r="K46" s="110"/>
      <c r="L46" s="110"/>
      <c r="M46" s="110"/>
      <c r="N46" s="110"/>
      <c r="O46" s="110"/>
      <c r="P46" s="110"/>
      <c r="Q46" s="110"/>
      <c r="R46" s="416"/>
      <c r="S46" s="435"/>
      <c r="T46" s="110"/>
      <c r="U46" s="110"/>
      <c r="V46" s="110"/>
      <c r="W46" s="110">
        <v>0</v>
      </c>
      <c r="X46" s="110">
        <f t="shared" si="88"/>
        <v>0</v>
      </c>
      <c r="Y46" s="110">
        <f t="shared" si="89"/>
        <v>0</v>
      </c>
      <c r="Z46" s="110"/>
      <c r="AA46" s="110"/>
      <c r="AB46" s="110"/>
      <c r="AC46" s="110"/>
      <c r="AD46" s="110"/>
      <c r="AE46" s="110"/>
      <c r="AF46" s="110">
        <v>0</v>
      </c>
      <c r="AG46" s="135">
        <f t="shared" si="90"/>
        <v>0</v>
      </c>
      <c r="AH46" s="135">
        <f t="shared" si="91"/>
        <v>0</v>
      </c>
      <c r="AI46" s="135"/>
      <c r="AJ46" s="135"/>
      <c r="AK46" s="135"/>
      <c r="AL46" s="454"/>
      <c r="AM46" s="135"/>
      <c r="AN46" s="135"/>
      <c r="AO46" s="135"/>
      <c r="AP46" s="135"/>
      <c r="AQ46" s="135"/>
      <c r="AR46" s="135">
        <v>0</v>
      </c>
      <c r="AS46" s="138">
        <f t="shared" si="92"/>
        <v>0</v>
      </c>
      <c r="AT46" s="138">
        <f t="shared" si="93"/>
        <v>0</v>
      </c>
      <c r="AU46" s="138"/>
      <c r="AV46" s="138"/>
      <c r="AW46" s="456"/>
      <c r="AX46" s="138"/>
      <c r="AY46" s="138"/>
      <c r="AZ46" s="269">
        <f t="shared" si="94"/>
        <v>0</v>
      </c>
      <c r="BA46" s="269">
        <f t="shared" si="95"/>
        <v>0</v>
      </c>
      <c r="BB46" s="269"/>
      <c r="BC46" s="269"/>
      <c r="BD46" s="269"/>
      <c r="BE46" s="269"/>
      <c r="BF46" s="269"/>
      <c r="BG46" s="269"/>
      <c r="BH46" s="269"/>
      <c r="BI46" s="269"/>
      <c r="BJ46" s="269"/>
      <c r="BK46" s="335"/>
      <c r="BL46" s="270" t="s">
        <v>652</v>
      </c>
      <c r="BM46" s="117"/>
      <c r="BN46" s="36"/>
      <c r="BO46" s="36"/>
      <c r="BP46" s="36"/>
      <c r="BQ46" s="36"/>
      <c r="BR46" s="36"/>
      <c r="BS46" s="36"/>
      <c r="BT46" s="36"/>
      <c r="BU46" s="36"/>
    </row>
    <row r="47" spans="1:73" s="259" customFormat="1" ht="39.75" customHeight="1" x14ac:dyDescent="0.2">
      <c r="A47" s="165"/>
      <c r="B47" s="129"/>
      <c r="C47" s="108"/>
      <c r="D47" s="307"/>
      <c r="E47" s="108" t="s">
        <v>675</v>
      </c>
      <c r="F47" s="346">
        <f t="shared" si="84"/>
        <v>23092</v>
      </c>
      <c r="G47" s="109">
        <f t="shared" si="85"/>
        <v>27581</v>
      </c>
      <c r="H47" s="110">
        <v>23092</v>
      </c>
      <c r="I47" s="110">
        <f t="shared" si="86"/>
        <v>27581</v>
      </c>
      <c r="J47" s="110">
        <f t="shared" si="87"/>
        <v>4489</v>
      </c>
      <c r="K47" s="110"/>
      <c r="L47" s="110">
        <v>3307</v>
      </c>
      <c r="M47" s="110">
        <v>1182</v>
      </c>
      <c r="N47" s="110"/>
      <c r="O47" s="110"/>
      <c r="P47" s="110"/>
      <c r="Q47" s="110"/>
      <c r="R47" s="416"/>
      <c r="S47" s="435"/>
      <c r="T47" s="110"/>
      <c r="U47" s="110"/>
      <c r="V47" s="110"/>
      <c r="W47" s="110">
        <v>0</v>
      </c>
      <c r="X47" s="110">
        <f t="shared" si="88"/>
        <v>0</v>
      </c>
      <c r="Y47" s="110">
        <f t="shared" si="89"/>
        <v>0</v>
      </c>
      <c r="Z47" s="110"/>
      <c r="AA47" s="110"/>
      <c r="AB47" s="110"/>
      <c r="AC47" s="110"/>
      <c r="AD47" s="110"/>
      <c r="AE47" s="110"/>
      <c r="AF47" s="110">
        <v>0</v>
      </c>
      <c r="AG47" s="135">
        <f t="shared" si="90"/>
        <v>0</v>
      </c>
      <c r="AH47" s="135">
        <f t="shared" si="91"/>
        <v>0</v>
      </c>
      <c r="AI47" s="135"/>
      <c r="AJ47" s="135"/>
      <c r="AK47" s="135"/>
      <c r="AL47" s="454"/>
      <c r="AM47" s="135"/>
      <c r="AN47" s="135"/>
      <c r="AO47" s="135"/>
      <c r="AP47" s="135"/>
      <c r="AQ47" s="135"/>
      <c r="AR47" s="135">
        <v>0</v>
      </c>
      <c r="AS47" s="138">
        <f t="shared" si="92"/>
        <v>0</v>
      </c>
      <c r="AT47" s="138">
        <f t="shared" si="93"/>
        <v>0</v>
      </c>
      <c r="AU47" s="138"/>
      <c r="AV47" s="138"/>
      <c r="AW47" s="456"/>
      <c r="AX47" s="138"/>
      <c r="AY47" s="138"/>
      <c r="AZ47" s="269">
        <f t="shared" si="94"/>
        <v>0</v>
      </c>
      <c r="BA47" s="269">
        <f t="shared" si="95"/>
        <v>0</v>
      </c>
      <c r="BB47" s="269"/>
      <c r="BC47" s="269"/>
      <c r="BD47" s="269"/>
      <c r="BE47" s="269"/>
      <c r="BF47" s="269"/>
      <c r="BG47" s="269"/>
      <c r="BH47" s="269"/>
      <c r="BI47" s="269"/>
      <c r="BJ47" s="269"/>
      <c r="BK47" s="335"/>
      <c r="BL47" s="270" t="s">
        <v>653</v>
      </c>
      <c r="BM47" s="117"/>
      <c r="BN47" s="36"/>
      <c r="BO47" s="36"/>
      <c r="BP47" s="36"/>
      <c r="BQ47" s="36"/>
      <c r="BR47" s="36"/>
      <c r="BS47" s="36"/>
      <c r="BT47" s="36"/>
      <c r="BU47" s="36"/>
    </row>
    <row r="48" spans="1:73" s="218" customFormat="1" ht="24" x14ac:dyDescent="0.2">
      <c r="A48" s="165"/>
      <c r="B48" s="129"/>
      <c r="C48" s="108"/>
      <c r="D48" s="307"/>
      <c r="E48" s="108" t="s">
        <v>610</v>
      </c>
      <c r="F48" s="346">
        <f t="shared" si="84"/>
        <v>1220</v>
      </c>
      <c r="G48" s="109">
        <f t="shared" si="85"/>
        <v>1716</v>
      </c>
      <c r="H48" s="110">
        <v>1220</v>
      </c>
      <c r="I48" s="110">
        <f t="shared" si="86"/>
        <v>1717</v>
      </c>
      <c r="J48" s="110">
        <f t="shared" si="87"/>
        <v>497</v>
      </c>
      <c r="K48" s="110">
        <v>496</v>
      </c>
      <c r="L48" s="110">
        <v>1</v>
      </c>
      <c r="M48" s="110"/>
      <c r="N48" s="110"/>
      <c r="O48" s="110"/>
      <c r="P48" s="110"/>
      <c r="Q48" s="110"/>
      <c r="R48" s="416"/>
      <c r="S48" s="435"/>
      <c r="T48" s="110"/>
      <c r="U48" s="110"/>
      <c r="V48" s="110"/>
      <c r="W48" s="110">
        <v>0</v>
      </c>
      <c r="X48" s="110">
        <f t="shared" si="88"/>
        <v>0</v>
      </c>
      <c r="Y48" s="110">
        <f t="shared" si="89"/>
        <v>0</v>
      </c>
      <c r="Z48" s="110"/>
      <c r="AA48" s="110"/>
      <c r="AB48" s="110"/>
      <c r="AC48" s="110"/>
      <c r="AD48" s="110"/>
      <c r="AE48" s="110"/>
      <c r="AF48" s="110">
        <v>0</v>
      </c>
      <c r="AG48" s="135">
        <f t="shared" si="90"/>
        <v>0</v>
      </c>
      <c r="AH48" s="135">
        <f t="shared" si="91"/>
        <v>0</v>
      </c>
      <c r="AI48" s="135"/>
      <c r="AJ48" s="135"/>
      <c r="AK48" s="135"/>
      <c r="AL48" s="454"/>
      <c r="AM48" s="135"/>
      <c r="AN48" s="135"/>
      <c r="AO48" s="135"/>
      <c r="AP48" s="135"/>
      <c r="AQ48" s="135"/>
      <c r="AR48" s="135">
        <v>0</v>
      </c>
      <c r="AS48" s="138">
        <f t="shared" si="92"/>
        <v>0</v>
      </c>
      <c r="AT48" s="138">
        <f t="shared" si="93"/>
        <v>0</v>
      </c>
      <c r="AU48" s="138"/>
      <c r="AV48" s="138"/>
      <c r="AW48" s="456"/>
      <c r="AX48" s="138"/>
      <c r="AY48" s="138"/>
      <c r="AZ48" s="269">
        <f t="shared" si="94"/>
        <v>-1</v>
      </c>
      <c r="BA48" s="269">
        <f t="shared" si="95"/>
        <v>-1</v>
      </c>
      <c r="BB48" s="269">
        <v>-1</v>
      </c>
      <c r="BC48" s="269"/>
      <c r="BD48" s="269"/>
      <c r="BE48" s="269"/>
      <c r="BF48" s="269"/>
      <c r="BG48" s="269"/>
      <c r="BH48" s="269"/>
      <c r="BI48" s="269"/>
      <c r="BJ48" s="269"/>
      <c r="BK48" s="335"/>
      <c r="BL48" s="270" t="s">
        <v>654</v>
      </c>
      <c r="BM48" s="117"/>
      <c r="BN48" s="36"/>
      <c r="BO48" s="36"/>
      <c r="BP48" s="36"/>
      <c r="BQ48" s="36"/>
      <c r="BR48" s="36"/>
      <c r="BS48" s="36"/>
      <c r="BT48" s="36"/>
      <c r="BU48" s="36"/>
    </row>
    <row r="49" spans="1:73" s="373" customFormat="1" ht="24" x14ac:dyDescent="0.2">
      <c r="A49" s="165"/>
      <c r="B49" s="129"/>
      <c r="C49" s="371"/>
      <c r="D49" s="372"/>
      <c r="E49" s="371" t="s">
        <v>746</v>
      </c>
      <c r="F49" s="346">
        <f t="shared" ref="F49" si="96">H49+W49+AF49+AQ49+AR49+AY49</f>
        <v>0</v>
      </c>
      <c r="G49" s="109">
        <f t="shared" ref="G49" si="97">I49+X49+AG49+AQ49+AS49+AZ49</f>
        <v>60509</v>
      </c>
      <c r="H49" s="110"/>
      <c r="I49" s="110">
        <f t="shared" si="86"/>
        <v>60509</v>
      </c>
      <c r="J49" s="110">
        <f t="shared" si="87"/>
        <v>60509</v>
      </c>
      <c r="K49" s="110"/>
      <c r="L49" s="110"/>
      <c r="M49" s="110">
        <v>60509</v>
      </c>
      <c r="N49" s="110"/>
      <c r="O49" s="110"/>
      <c r="P49" s="110"/>
      <c r="Q49" s="110"/>
      <c r="R49" s="416"/>
      <c r="S49" s="435"/>
      <c r="T49" s="110"/>
      <c r="U49" s="110"/>
      <c r="V49" s="110"/>
      <c r="W49" s="110"/>
      <c r="X49" s="110">
        <f t="shared" ref="X49" si="98">Y49+W49</f>
        <v>0</v>
      </c>
      <c r="Y49" s="110">
        <f t="shared" ref="Y49" si="99">SUM(Z49:AE49)</f>
        <v>0</v>
      </c>
      <c r="Z49" s="110"/>
      <c r="AA49" s="110"/>
      <c r="AB49" s="110"/>
      <c r="AC49" s="110"/>
      <c r="AD49" s="110"/>
      <c r="AE49" s="110"/>
      <c r="AF49" s="110"/>
      <c r="AG49" s="135">
        <f t="shared" ref="AG49" si="100">AH49+AF49</f>
        <v>0</v>
      </c>
      <c r="AH49" s="135">
        <f t="shared" ref="AH49" si="101">SUM(AI49:AP49)</f>
        <v>0</v>
      </c>
      <c r="AI49" s="135"/>
      <c r="AJ49" s="135"/>
      <c r="AK49" s="135"/>
      <c r="AL49" s="454"/>
      <c r="AM49" s="135"/>
      <c r="AN49" s="135"/>
      <c r="AO49" s="135"/>
      <c r="AP49" s="135"/>
      <c r="AQ49" s="135"/>
      <c r="AR49" s="135"/>
      <c r="AS49" s="138">
        <f t="shared" ref="AS49" si="102">AT49+AR49</f>
        <v>0</v>
      </c>
      <c r="AT49" s="138">
        <f t="shared" ref="AT49" si="103">SUM(AU49:AX49)</f>
        <v>0</v>
      </c>
      <c r="AU49" s="138"/>
      <c r="AV49" s="138"/>
      <c r="AW49" s="456"/>
      <c r="AX49" s="138"/>
      <c r="AY49" s="138"/>
      <c r="AZ49" s="269">
        <f t="shared" ref="AZ49" si="104">BA49+AY49</f>
        <v>0</v>
      </c>
      <c r="BA49" s="269">
        <f t="shared" ref="BA49" si="105">SUM(BB49:BK49)</f>
        <v>0</v>
      </c>
      <c r="BB49" s="269"/>
      <c r="BC49" s="269"/>
      <c r="BD49" s="269"/>
      <c r="BE49" s="269"/>
      <c r="BF49" s="269"/>
      <c r="BG49" s="269"/>
      <c r="BH49" s="269"/>
      <c r="BI49" s="269"/>
      <c r="BJ49" s="269"/>
      <c r="BK49" s="335"/>
      <c r="BL49" s="270" t="s">
        <v>747</v>
      </c>
      <c r="BM49" s="117"/>
      <c r="BN49" s="36"/>
      <c r="BO49" s="36"/>
      <c r="BP49" s="36"/>
      <c r="BQ49" s="36"/>
      <c r="BR49" s="36"/>
      <c r="BS49" s="36"/>
      <c r="BT49" s="36"/>
      <c r="BU49" s="36"/>
    </row>
    <row r="50" spans="1:73" ht="24" x14ac:dyDescent="0.2">
      <c r="A50" s="165">
        <v>90000518538</v>
      </c>
      <c r="B50" s="129"/>
      <c r="C50" s="471" t="s">
        <v>388</v>
      </c>
      <c r="D50" s="472"/>
      <c r="E50" s="108" t="s">
        <v>210</v>
      </c>
      <c r="F50" s="346">
        <f t="shared" si="84"/>
        <v>141119</v>
      </c>
      <c r="G50" s="109">
        <f t="shared" si="85"/>
        <v>141119</v>
      </c>
      <c r="H50" s="110">
        <v>141119</v>
      </c>
      <c r="I50" s="110">
        <f t="shared" si="86"/>
        <v>141119</v>
      </c>
      <c r="J50" s="110">
        <f t="shared" si="87"/>
        <v>0</v>
      </c>
      <c r="K50" s="110"/>
      <c r="L50" s="110"/>
      <c r="M50" s="110"/>
      <c r="N50" s="110"/>
      <c r="O50" s="110"/>
      <c r="P50" s="110"/>
      <c r="Q50" s="110"/>
      <c r="R50" s="416"/>
      <c r="S50" s="435"/>
      <c r="T50" s="110"/>
      <c r="U50" s="110"/>
      <c r="V50" s="110"/>
      <c r="W50" s="110">
        <v>0</v>
      </c>
      <c r="X50" s="110">
        <f t="shared" si="88"/>
        <v>0</v>
      </c>
      <c r="Y50" s="110">
        <f t="shared" si="89"/>
        <v>0</v>
      </c>
      <c r="Z50" s="110"/>
      <c r="AA50" s="110"/>
      <c r="AB50" s="110"/>
      <c r="AC50" s="110"/>
      <c r="AD50" s="110"/>
      <c r="AE50" s="110"/>
      <c r="AF50" s="110">
        <v>0</v>
      </c>
      <c r="AG50" s="135">
        <f t="shared" si="90"/>
        <v>0</v>
      </c>
      <c r="AH50" s="135">
        <f t="shared" si="91"/>
        <v>0</v>
      </c>
      <c r="AI50" s="135"/>
      <c r="AJ50" s="135"/>
      <c r="AK50" s="135"/>
      <c r="AL50" s="454"/>
      <c r="AM50" s="135"/>
      <c r="AN50" s="135"/>
      <c r="AO50" s="135"/>
      <c r="AP50" s="135"/>
      <c r="AQ50" s="135"/>
      <c r="AR50" s="135">
        <v>0</v>
      </c>
      <c r="AS50" s="135">
        <f t="shared" si="92"/>
        <v>0</v>
      </c>
      <c r="AT50" s="135">
        <f t="shared" si="93"/>
        <v>0</v>
      </c>
      <c r="AU50" s="135"/>
      <c r="AV50" s="135"/>
      <c r="AW50" s="454"/>
      <c r="AX50" s="135"/>
      <c r="AY50" s="135"/>
      <c r="AZ50" s="110">
        <f t="shared" si="94"/>
        <v>0</v>
      </c>
      <c r="BA50" s="110">
        <f t="shared" si="95"/>
        <v>0</v>
      </c>
      <c r="BB50" s="110"/>
      <c r="BC50" s="110"/>
      <c r="BD50" s="110"/>
      <c r="BE50" s="110"/>
      <c r="BF50" s="110"/>
      <c r="BG50" s="110"/>
      <c r="BH50" s="110"/>
      <c r="BI50" s="110"/>
      <c r="BJ50" s="110"/>
      <c r="BK50" s="332"/>
      <c r="BL50" s="111" t="s">
        <v>566</v>
      </c>
      <c r="BM50" s="117"/>
      <c r="BN50" s="36"/>
      <c r="BO50" s="36"/>
      <c r="BP50" s="36"/>
      <c r="BQ50" s="36"/>
      <c r="BR50" s="36"/>
      <c r="BS50" s="36"/>
      <c r="BT50" s="36"/>
      <c r="BU50" s="36"/>
    </row>
    <row r="51" spans="1:73" s="259" customFormat="1" ht="65.25" customHeight="1" x14ac:dyDescent="0.2">
      <c r="A51" s="165"/>
      <c r="B51" s="129"/>
      <c r="C51" s="108"/>
      <c r="D51" s="307"/>
      <c r="E51" s="108" t="s">
        <v>681</v>
      </c>
      <c r="F51" s="346">
        <f t="shared" si="84"/>
        <v>0</v>
      </c>
      <c r="G51" s="109">
        <f t="shared" si="85"/>
        <v>0</v>
      </c>
      <c r="H51" s="110">
        <v>1</v>
      </c>
      <c r="I51" s="110">
        <f t="shared" si="86"/>
        <v>1</v>
      </c>
      <c r="J51" s="110">
        <f t="shared" si="87"/>
        <v>0</v>
      </c>
      <c r="K51" s="110"/>
      <c r="L51" s="110"/>
      <c r="M51" s="110"/>
      <c r="N51" s="110"/>
      <c r="O51" s="110"/>
      <c r="P51" s="110"/>
      <c r="Q51" s="110"/>
      <c r="R51" s="416"/>
      <c r="S51" s="435"/>
      <c r="T51" s="110"/>
      <c r="U51" s="110"/>
      <c r="V51" s="110"/>
      <c r="W51" s="110">
        <v>0</v>
      </c>
      <c r="X51" s="110">
        <f t="shared" si="88"/>
        <v>0</v>
      </c>
      <c r="Y51" s="110">
        <f t="shared" si="89"/>
        <v>0</v>
      </c>
      <c r="Z51" s="110"/>
      <c r="AA51" s="110"/>
      <c r="AB51" s="110"/>
      <c r="AC51" s="110"/>
      <c r="AD51" s="110"/>
      <c r="AE51" s="110"/>
      <c r="AF51" s="110">
        <v>0</v>
      </c>
      <c r="AG51" s="135">
        <f t="shared" si="90"/>
        <v>0</v>
      </c>
      <c r="AH51" s="135">
        <f t="shared" si="91"/>
        <v>0</v>
      </c>
      <c r="AI51" s="135"/>
      <c r="AJ51" s="135"/>
      <c r="AK51" s="135"/>
      <c r="AL51" s="454"/>
      <c r="AM51" s="135"/>
      <c r="AN51" s="135"/>
      <c r="AO51" s="135"/>
      <c r="AP51" s="135"/>
      <c r="AQ51" s="135"/>
      <c r="AR51" s="135">
        <v>0</v>
      </c>
      <c r="AS51" s="135">
        <f t="shared" si="92"/>
        <v>0</v>
      </c>
      <c r="AT51" s="135">
        <f t="shared" si="93"/>
        <v>0</v>
      </c>
      <c r="AU51" s="135"/>
      <c r="AV51" s="135"/>
      <c r="AW51" s="454"/>
      <c r="AX51" s="135"/>
      <c r="AY51" s="135">
        <v>-1</v>
      </c>
      <c r="AZ51" s="110">
        <f t="shared" si="94"/>
        <v>-1</v>
      </c>
      <c r="BA51" s="110">
        <f t="shared" si="95"/>
        <v>0</v>
      </c>
      <c r="BB51" s="110"/>
      <c r="BC51" s="110"/>
      <c r="BD51" s="110"/>
      <c r="BE51" s="110"/>
      <c r="BF51" s="110"/>
      <c r="BG51" s="110"/>
      <c r="BH51" s="110"/>
      <c r="BI51" s="110"/>
      <c r="BJ51" s="110"/>
      <c r="BK51" s="332"/>
      <c r="BL51" s="111" t="s">
        <v>655</v>
      </c>
      <c r="BM51" s="117"/>
      <c r="BN51" s="36"/>
      <c r="BO51" s="36"/>
      <c r="BP51" s="36"/>
      <c r="BQ51" s="36"/>
      <c r="BR51" s="36"/>
      <c r="BS51" s="36"/>
      <c r="BT51" s="36"/>
      <c r="BU51" s="36"/>
    </row>
    <row r="52" spans="1:73" ht="48" x14ac:dyDescent="0.2">
      <c r="A52" s="165"/>
      <c r="B52" s="129"/>
      <c r="C52" s="471" t="s">
        <v>189</v>
      </c>
      <c r="D52" s="472"/>
      <c r="E52" s="283" t="s">
        <v>190</v>
      </c>
      <c r="F52" s="346">
        <f t="shared" si="84"/>
        <v>244375</v>
      </c>
      <c r="G52" s="109">
        <f t="shared" si="85"/>
        <v>153514</v>
      </c>
      <c r="H52" s="110">
        <v>244375</v>
      </c>
      <c r="I52" s="110">
        <f t="shared" si="86"/>
        <v>153514</v>
      </c>
      <c r="J52" s="110">
        <f t="shared" si="87"/>
        <v>-90861</v>
      </c>
      <c r="K52" s="110">
        <f>-51+224</f>
        <v>173</v>
      </c>
      <c r="L52" s="110">
        <f>263-52598</f>
        <v>-52335</v>
      </c>
      <c r="M52" s="110">
        <v>-20206</v>
      </c>
      <c r="N52" s="110">
        <f>-790-3204-3204</f>
        <v>-7198</v>
      </c>
      <c r="O52" s="110">
        <f>-2048-101-331-4462</f>
        <v>-6942</v>
      </c>
      <c r="P52" s="110"/>
      <c r="Q52" s="110">
        <v>-4353</v>
      </c>
      <c r="R52" s="416"/>
      <c r="S52" s="435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35"/>
      <c r="AH52" s="135"/>
      <c r="AI52" s="135"/>
      <c r="AJ52" s="135"/>
      <c r="AK52" s="135"/>
      <c r="AL52" s="454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454"/>
      <c r="AX52" s="135"/>
      <c r="AY52" s="135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332"/>
      <c r="BL52" s="111" t="s">
        <v>428</v>
      </c>
      <c r="BM52" s="117"/>
      <c r="BN52" s="36"/>
      <c r="BO52" s="36"/>
      <c r="BP52" s="36"/>
      <c r="BQ52" s="36"/>
      <c r="BR52" s="36"/>
      <c r="BS52" s="36"/>
      <c r="BT52" s="36"/>
      <c r="BU52" s="36"/>
    </row>
    <row r="53" spans="1:73" ht="12.75" x14ac:dyDescent="0.2">
      <c r="A53" s="165"/>
      <c r="B53" s="129"/>
      <c r="C53" s="202"/>
      <c r="D53" s="203"/>
      <c r="E53" s="283" t="s">
        <v>219</v>
      </c>
      <c r="F53" s="346">
        <f t="shared" si="84"/>
        <v>17920</v>
      </c>
      <c r="G53" s="109">
        <f t="shared" si="85"/>
        <v>17920</v>
      </c>
      <c r="H53" s="110">
        <v>17920</v>
      </c>
      <c r="I53" s="110">
        <f t="shared" si="86"/>
        <v>17920</v>
      </c>
      <c r="J53" s="110">
        <f t="shared" si="87"/>
        <v>0</v>
      </c>
      <c r="K53" s="110"/>
      <c r="L53" s="110"/>
      <c r="M53" s="110"/>
      <c r="N53" s="110"/>
      <c r="O53" s="110"/>
      <c r="P53" s="110"/>
      <c r="Q53" s="110"/>
      <c r="R53" s="416"/>
      <c r="S53" s="435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35"/>
      <c r="AH53" s="135"/>
      <c r="AI53" s="135"/>
      <c r="AJ53" s="135"/>
      <c r="AK53" s="135"/>
      <c r="AL53" s="454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454"/>
      <c r="AX53" s="135"/>
      <c r="AY53" s="135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332"/>
      <c r="BL53" s="111" t="s">
        <v>429</v>
      </c>
      <c r="BM53" s="117"/>
      <c r="BN53" s="36"/>
      <c r="BO53" s="36"/>
      <c r="BP53" s="36"/>
      <c r="BQ53" s="36"/>
      <c r="BR53" s="36"/>
      <c r="BS53" s="36"/>
      <c r="BT53" s="36"/>
      <c r="BU53" s="36"/>
    </row>
    <row r="54" spans="1:73" ht="12.75" x14ac:dyDescent="0.2">
      <c r="A54" s="165"/>
      <c r="B54" s="129"/>
      <c r="C54" s="202"/>
      <c r="D54" s="203"/>
      <c r="E54" s="283" t="s">
        <v>204</v>
      </c>
      <c r="F54" s="346">
        <f t="shared" si="84"/>
        <v>100000</v>
      </c>
      <c r="G54" s="109">
        <f t="shared" si="85"/>
        <v>100000</v>
      </c>
      <c r="H54" s="110">
        <v>100000</v>
      </c>
      <c r="I54" s="110">
        <f t="shared" si="86"/>
        <v>100000</v>
      </c>
      <c r="J54" s="110">
        <f t="shared" si="87"/>
        <v>0</v>
      </c>
      <c r="K54" s="110"/>
      <c r="L54" s="110"/>
      <c r="M54" s="110"/>
      <c r="N54" s="110"/>
      <c r="O54" s="110"/>
      <c r="P54" s="110"/>
      <c r="Q54" s="110"/>
      <c r="R54" s="416"/>
      <c r="S54" s="435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35"/>
      <c r="AH54" s="135"/>
      <c r="AI54" s="135"/>
      <c r="AJ54" s="135"/>
      <c r="AK54" s="135"/>
      <c r="AL54" s="454"/>
      <c r="AM54" s="135"/>
      <c r="AN54" s="135"/>
      <c r="AO54" s="135"/>
      <c r="AP54" s="135"/>
      <c r="AQ54" s="135"/>
      <c r="AR54" s="135"/>
      <c r="AS54" s="135"/>
      <c r="AT54" s="135"/>
      <c r="AU54" s="135"/>
      <c r="AV54" s="135"/>
      <c r="AW54" s="454"/>
      <c r="AX54" s="135"/>
      <c r="AY54" s="135"/>
      <c r="AZ54" s="110"/>
      <c r="BA54" s="110"/>
      <c r="BB54" s="110"/>
      <c r="BC54" s="110"/>
      <c r="BD54" s="110"/>
      <c r="BE54" s="110"/>
      <c r="BF54" s="110"/>
      <c r="BG54" s="110"/>
      <c r="BH54" s="110"/>
      <c r="BI54" s="110"/>
      <c r="BJ54" s="110"/>
      <c r="BK54" s="332"/>
      <c r="BL54" s="111" t="s">
        <v>430</v>
      </c>
      <c r="BM54" s="117"/>
      <c r="BN54" s="36"/>
      <c r="BO54" s="36"/>
      <c r="BP54" s="36"/>
      <c r="BQ54" s="36"/>
      <c r="BR54" s="36"/>
      <c r="BS54" s="36"/>
      <c r="BT54" s="36"/>
      <c r="BU54" s="36"/>
    </row>
    <row r="55" spans="1:73" s="282" customFormat="1" ht="39.75" customHeight="1" x14ac:dyDescent="0.2">
      <c r="A55" s="165"/>
      <c r="B55" s="129"/>
      <c r="C55" s="280"/>
      <c r="D55" s="281"/>
      <c r="E55" s="283" t="s">
        <v>638</v>
      </c>
      <c r="F55" s="346">
        <f t="shared" si="84"/>
        <v>70000</v>
      </c>
      <c r="G55" s="109">
        <f t="shared" si="85"/>
        <v>30149</v>
      </c>
      <c r="H55" s="110">
        <v>70000</v>
      </c>
      <c r="I55" s="110">
        <f t="shared" si="86"/>
        <v>30149</v>
      </c>
      <c r="J55" s="110">
        <f t="shared" si="87"/>
        <v>-39851</v>
      </c>
      <c r="K55" s="110"/>
      <c r="L55" s="110"/>
      <c r="M55" s="110">
        <f>-9890-8501-4682</f>
        <v>-23073</v>
      </c>
      <c r="N55" s="110"/>
      <c r="O55" s="110">
        <f>-9376-5007</f>
        <v>-14383</v>
      </c>
      <c r="P55" s="110"/>
      <c r="Q55" s="110"/>
      <c r="R55" s="416"/>
      <c r="S55" s="435">
        <v>-2395</v>
      </c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35"/>
      <c r="AH55" s="135"/>
      <c r="AI55" s="135"/>
      <c r="AJ55" s="135"/>
      <c r="AK55" s="135"/>
      <c r="AL55" s="454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454"/>
      <c r="AX55" s="135"/>
      <c r="AY55" s="135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332"/>
      <c r="BL55" s="111" t="s">
        <v>643</v>
      </c>
      <c r="BM55" s="117"/>
      <c r="BN55" s="36"/>
      <c r="BO55" s="36"/>
      <c r="BP55" s="36"/>
      <c r="BQ55" s="36"/>
      <c r="BR55" s="36"/>
      <c r="BS55" s="36"/>
      <c r="BT55" s="36"/>
      <c r="BU55" s="36"/>
    </row>
    <row r="56" spans="1:73" ht="60" x14ac:dyDescent="0.2">
      <c r="A56" s="165"/>
      <c r="B56" s="129"/>
      <c r="C56" s="162"/>
      <c r="D56" s="163"/>
      <c r="E56" s="283" t="s">
        <v>687</v>
      </c>
      <c r="F56" s="346">
        <f t="shared" si="84"/>
        <v>576761</v>
      </c>
      <c r="G56" s="109">
        <f t="shared" si="85"/>
        <v>576761</v>
      </c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416"/>
      <c r="S56" s="435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435"/>
      <c r="AM56" s="110"/>
      <c r="AN56" s="110"/>
      <c r="AO56" s="110"/>
      <c r="AP56" s="110"/>
      <c r="AQ56" s="110">
        <v>576761</v>
      </c>
      <c r="AR56" s="135"/>
      <c r="AS56" s="135"/>
      <c r="AT56" s="135"/>
      <c r="AU56" s="135"/>
      <c r="AV56" s="135"/>
      <c r="AW56" s="454"/>
      <c r="AX56" s="135"/>
      <c r="AY56" s="135"/>
      <c r="AZ56" s="110"/>
      <c r="BA56" s="110"/>
      <c r="BB56" s="110"/>
      <c r="BC56" s="110"/>
      <c r="BD56" s="110"/>
      <c r="BE56" s="110"/>
      <c r="BF56" s="110"/>
      <c r="BG56" s="110"/>
      <c r="BH56" s="110"/>
      <c r="BI56" s="110"/>
      <c r="BJ56" s="110"/>
      <c r="BK56" s="332"/>
      <c r="BL56" s="111"/>
      <c r="BM56" s="117"/>
      <c r="BN56" s="36"/>
      <c r="BO56" s="36"/>
      <c r="BP56" s="36"/>
      <c r="BQ56" s="36"/>
      <c r="BR56" s="36"/>
      <c r="BS56" s="36"/>
      <c r="BT56" s="36"/>
      <c r="BU56" s="36"/>
    </row>
    <row r="57" spans="1:73" ht="72" x14ac:dyDescent="0.2">
      <c r="A57" s="165"/>
      <c r="B57" s="129"/>
      <c r="C57" s="162"/>
      <c r="D57" s="163"/>
      <c r="E57" s="283" t="s">
        <v>688</v>
      </c>
      <c r="F57" s="346">
        <f t="shared" si="84"/>
        <v>233868</v>
      </c>
      <c r="G57" s="109">
        <f t="shared" si="85"/>
        <v>233868</v>
      </c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416"/>
      <c r="S57" s="435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435"/>
      <c r="AM57" s="110"/>
      <c r="AN57" s="110"/>
      <c r="AO57" s="110"/>
      <c r="AP57" s="110"/>
      <c r="AQ57" s="110">
        <v>233868</v>
      </c>
      <c r="AR57" s="135"/>
      <c r="AS57" s="135"/>
      <c r="AT57" s="135"/>
      <c r="AU57" s="135"/>
      <c r="AV57" s="135"/>
      <c r="AW57" s="454"/>
      <c r="AX57" s="135"/>
      <c r="AY57" s="135"/>
      <c r="AZ57" s="110"/>
      <c r="BA57" s="110"/>
      <c r="BB57" s="110"/>
      <c r="BC57" s="110"/>
      <c r="BD57" s="110"/>
      <c r="BE57" s="110"/>
      <c r="BF57" s="110"/>
      <c r="BG57" s="110"/>
      <c r="BH57" s="110"/>
      <c r="BI57" s="110"/>
      <c r="BJ57" s="110"/>
      <c r="BK57" s="332"/>
      <c r="BL57" s="111"/>
      <c r="BM57" s="117"/>
      <c r="BN57" s="36"/>
      <c r="BO57" s="36"/>
      <c r="BP57" s="36"/>
      <c r="BQ57" s="36"/>
      <c r="BR57" s="36"/>
      <c r="BS57" s="36"/>
      <c r="BT57" s="36"/>
      <c r="BU57" s="36"/>
    </row>
    <row r="58" spans="1:73" s="296" customFormat="1" ht="36" x14ac:dyDescent="0.2">
      <c r="A58" s="165"/>
      <c r="B58" s="129"/>
      <c r="C58" s="162"/>
      <c r="D58" s="163"/>
      <c r="E58" s="283" t="s">
        <v>689</v>
      </c>
      <c r="F58" s="346">
        <f t="shared" si="84"/>
        <v>22249</v>
      </c>
      <c r="G58" s="109">
        <f t="shared" si="85"/>
        <v>22249</v>
      </c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416"/>
      <c r="S58" s="435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435"/>
      <c r="AM58" s="110"/>
      <c r="AN58" s="110"/>
      <c r="AO58" s="110"/>
      <c r="AP58" s="110"/>
      <c r="AQ58" s="110">
        <v>22249</v>
      </c>
      <c r="AR58" s="135"/>
      <c r="AS58" s="135"/>
      <c r="AT58" s="135"/>
      <c r="AU58" s="135"/>
      <c r="AV58" s="135"/>
      <c r="AW58" s="454"/>
      <c r="AX58" s="135"/>
      <c r="AY58" s="135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332"/>
      <c r="BL58" s="111"/>
      <c r="BM58" s="117"/>
      <c r="BN58" s="36"/>
      <c r="BO58" s="36"/>
      <c r="BP58" s="36"/>
      <c r="BQ58" s="36"/>
      <c r="BR58" s="36"/>
      <c r="BS58" s="36"/>
      <c r="BT58" s="36"/>
      <c r="BU58" s="36"/>
    </row>
    <row r="59" spans="1:73" ht="36" x14ac:dyDescent="0.2">
      <c r="A59" s="165"/>
      <c r="B59" s="129"/>
      <c r="C59" s="162"/>
      <c r="D59" s="163"/>
      <c r="E59" s="283" t="s">
        <v>309</v>
      </c>
      <c r="F59" s="346">
        <f t="shared" si="84"/>
        <v>300000</v>
      </c>
      <c r="G59" s="109">
        <f t="shared" si="85"/>
        <v>300000</v>
      </c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416"/>
      <c r="S59" s="435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435"/>
      <c r="AM59" s="110"/>
      <c r="AN59" s="110"/>
      <c r="AO59" s="110"/>
      <c r="AP59" s="110"/>
      <c r="AQ59" s="110">
        <v>300000</v>
      </c>
      <c r="AR59" s="135"/>
      <c r="AS59" s="135"/>
      <c r="AT59" s="135"/>
      <c r="AU59" s="135"/>
      <c r="AV59" s="135"/>
      <c r="AW59" s="454"/>
      <c r="AX59" s="135"/>
      <c r="AY59" s="135"/>
      <c r="AZ59" s="110"/>
      <c r="BA59" s="110"/>
      <c r="BB59" s="110"/>
      <c r="BC59" s="110"/>
      <c r="BD59" s="110"/>
      <c r="BE59" s="110"/>
      <c r="BF59" s="110"/>
      <c r="BG59" s="110"/>
      <c r="BH59" s="110"/>
      <c r="BI59" s="110"/>
      <c r="BJ59" s="110"/>
      <c r="BK59" s="332"/>
      <c r="BL59" s="111"/>
      <c r="BM59" s="117"/>
      <c r="BN59" s="36"/>
      <c r="BO59" s="36"/>
      <c r="BP59" s="36"/>
      <c r="BQ59" s="36"/>
      <c r="BR59" s="36"/>
      <c r="BS59" s="36"/>
      <c r="BT59" s="36"/>
      <c r="BU59" s="36"/>
    </row>
    <row r="60" spans="1:73" ht="13.5" thickBot="1" x14ac:dyDescent="0.25">
      <c r="A60" s="165"/>
      <c r="B60" s="148"/>
      <c r="C60" s="514"/>
      <c r="D60" s="515"/>
      <c r="E60" s="161"/>
      <c r="F60" s="347"/>
      <c r="G60" s="95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417"/>
      <c r="S60" s="43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134"/>
      <c r="AH60" s="134"/>
      <c r="AI60" s="134"/>
      <c r="AJ60" s="134"/>
      <c r="AK60" s="134"/>
      <c r="AL60" s="455"/>
      <c r="AM60" s="134"/>
      <c r="AN60" s="134"/>
      <c r="AO60" s="134"/>
      <c r="AP60" s="134"/>
      <c r="AQ60" s="134"/>
      <c r="AR60" s="134"/>
      <c r="AS60" s="134"/>
      <c r="AT60" s="134"/>
      <c r="AU60" s="134"/>
      <c r="AV60" s="134"/>
      <c r="AW60" s="455"/>
      <c r="AX60" s="134"/>
      <c r="AY60" s="134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333"/>
      <c r="BL60" s="97"/>
      <c r="BM60" s="118"/>
      <c r="BN60" s="36"/>
      <c r="BO60" s="36"/>
      <c r="BP60" s="36"/>
      <c r="BQ60" s="36"/>
      <c r="BR60" s="36"/>
      <c r="BS60" s="36"/>
      <c r="BT60" s="36"/>
      <c r="BU60" s="36"/>
    </row>
    <row r="61" spans="1:73" ht="12.75" thickBot="1" x14ac:dyDescent="0.25">
      <c r="A61" s="201"/>
      <c r="B61" s="501" t="s">
        <v>9</v>
      </c>
      <c r="C61" s="501"/>
      <c r="D61" s="198" t="s">
        <v>10</v>
      </c>
      <c r="E61" s="16"/>
      <c r="F61" s="348">
        <f t="shared" ref="F61:AY61" si="106">SUM(F62:F71)</f>
        <v>4537109</v>
      </c>
      <c r="G61" s="17">
        <f t="shared" si="106"/>
        <v>4537109</v>
      </c>
      <c r="H61" s="10">
        <f t="shared" si="106"/>
        <v>3750620</v>
      </c>
      <c r="I61" s="10">
        <f t="shared" ref="I61" si="107">SUM(I62:I71)</f>
        <v>3750620</v>
      </c>
      <c r="J61" s="10">
        <f t="shared" ref="J61" si="108">SUM(J62:J71)</f>
        <v>0</v>
      </c>
      <c r="K61" s="10">
        <f t="shared" ref="K61" si="109">SUM(K62:K71)</f>
        <v>0</v>
      </c>
      <c r="L61" s="10">
        <f t="shared" ref="L61" si="110">SUM(L62:L71)</f>
        <v>0</v>
      </c>
      <c r="M61" s="10">
        <f t="shared" ref="M61" si="111">SUM(M62:M71)</f>
        <v>0</v>
      </c>
      <c r="N61" s="10">
        <f t="shared" ref="N61" si="112">SUM(N62:N71)</f>
        <v>0</v>
      </c>
      <c r="O61" s="10">
        <f t="shared" ref="O61" si="113">SUM(O62:O71)</f>
        <v>0</v>
      </c>
      <c r="P61" s="10">
        <f t="shared" ref="P61" si="114">SUM(P62:P71)</f>
        <v>0</v>
      </c>
      <c r="Q61" s="10">
        <f t="shared" ref="Q61" si="115">SUM(Q62:Q71)</f>
        <v>0</v>
      </c>
      <c r="R61" s="415">
        <f t="shared" ref="R61" si="116">SUM(R62:R71)</f>
        <v>0</v>
      </c>
      <c r="S61" s="434">
        <f t="shared" ref="S61" si="117">SUM(S62:S71)</f>
        <v>0</v>
      </c>
      <c r="T61" s="10">
        <f t="shared" ref="T61" si="118">SUM(T62:T71)</f>
        <v>0</v>
      </c>
      <c r="U61" s="10">
        <f t="shared" ref="U61" si="119">SUM(U62:U71)</f>
        <v>0</v>
      </c>
      <c r="V61" s="10">
        <f t="shared" ref="V61" si="120">SUM(V62:V71)</f>
        <v>0</v>
      </c>
      <c r="W61" s="10">
        <f t="shared" si="106"/>
        <v>625382</v>
      </c>
      <c r="X61" s="10">
        <f t="shared" ref="X61" si="121">SUM(X62:X71)</f>
        <v>625382</v>
      </c>
      <c r="Y61" s="10">
        <f t="shared" ref="Y61" si="122">SUM(Y62:Y71)</f>
        <v>0</v>
      </c>
      <c r="Z61" s="10">
        <f t="shared" ref="Z61" si="123">SUM(Z62:Z71)</f>
        <v>0</v>
      </c>
      <c r="AA61" s="10">
        <f t="shared" ref="AA61" si="124">SUM(AA62:AA71)</f>
        <v>0</v>
      </c>
      <c r="AB61" s="10">
        <f t="shared" ref="AB61" si="125">SUM(AB62:AB71)</f>
        <v>0</v>
      </c>
      <c r="AC61" s="10">
        <f t="shared" ref="AC61" si="126">SUM(AC62:AC71)</f>
        <v>0</v>
      </c>
      <c r="AD61" s="10">
        <f t="shared" ref="AD61" si="127">SUM(AD62:AD71)</f>
        <v>0</v>
      </c>
      <c r="AE61" s="10">
        <f t="shared" ref="AE61" si="128">SUM(AE62:AE71)</f>
        <v>0</v>
      </c>
      <c r="AF61" s="10">
        <f t="shared" si="106"/>
        <v>0</v>
      </c>
      <c r="AG61" s="10">
        <f t="shared" ref="AG61" si="129">SUM(AG62:AG71)</f>
        <v>0</v>
      </c>
      <c r="AH61" s="10">
        <f t="shared" ref="AH61" si="130">SUM(AH62:AH71)</f>
        <v>0</v>
      </c>
      <c r="AI61" s="10">
        <f t="shared" ref="AI61" si="131">SUM(AI62:AI71)</f>
        <v>0</v>
      </c>
      <c r="AJ61" s="10">
        <f t="shared" ref="AJ61" si="132">SUM(AJ62:AJ71)</f>
        <v>0</v>
      </c>
      <c r="AK61" s="10">
        <f t="shared" ref="AK61" si="133">SUM(AK62:AK71)</f>
        <v>0</v>
      </c>
      <c r="AL61" s="434">
        <f t="shared" ref="AL61" si="134">SUM(AL62:AL71)</f>
        <v>0</v>
      </c>
      <c r="AM61" s="10">
        <f t="shared" ref="AM61" si="135">SUM(AM62:AM71)</f>
        <v>0</v>
      </c>
      <c r="AN61" s="10">
        <f t="shared" ref="AN61" si="136">SUM(AN62:AN71)</f>
        <v>0</v>
      </c>
      <c r="AO61" s="10">
        <f t="shared" ref="AO61" si="137">SUM(AO62:AO71)</f>
        <v>0</v>
      </c>
      <c r="AP61" s="10">
        <f t="shared" ref="AP61" si="138">SUM(AP62:AP71)</f>
        <v>0</v>
      </c>
      <c r="AQ61" s="10">
        <f t="shared" si="106"/>
        <v>161107</v>
      </c>
      <c r="AR61" s="133">
        <f t="shared" si="106"/>
        <v>0</v>
      </c>
      <c r="AS61" s="133">
        <f t="shared" ref="AS61" si="139">SUM(AS62:AS71)</f>
        <v>0</v>
      </c>
      <c r="AT61" s="133">
        <f t="shared" ref="AT61" si="140">SUM(AT62:AT71)</f>
        <v>0</v>
      </c>
      <c r="AU61" s="133">
        <f t="shared" ref="AU61" si="141">SUM(AU62:AU71)</f>
        <v>0</v>
      </c>
      <c r="AV61" s="133">
        <f t="shared" ref="AV61" si="142">SUM(AV62:AV71)</f>
        <v>0</v>
      </c>
      <c r="AW61" s="440">
        <f t="shared" ref="AW61" si="143">SUM(AW62:AW71)</f>
        <v>0</v>
      </c>
      <c r="AX61" s="133">
        <f t="shared" ref="AX61" si="144">SUM(AX62:AX71)</f>
        <v>0</v>
      </c>
      <c r="AY61" s="133">
        <f t="shared" si="106"/>
        <v>0</v>
      </c>
      <c r="AZ61" s="10">
        <f t="shared" ref="AZ61" si="145">SUM(AZ62:AZ71)</f>
        <v>0</v>
      </c>
      <c r="BA61" s="10">
        <f t="shared" ref="BA61" si="146">SUM(BA62:BA71)</f>
        <v>0</v>
      </c>
      <c r="BB61" s="10">
        <f t="shared" ref="BB61" si="147">SUM(BB62:BB71)</f>
        <v>0</v>
      </c>
      <c r="BC61" s="10">
        <f t="shared" ref="BC61" si="148">SUM(BC62:BC71)</f>
        <v>0</v>
      </c>
      <c r="BD61" s="10">
        <f t="shared" ref="BD61" si="149">SUM(BD62:BD71)</f>
        <v>0</v>
      </c>
      <c r="BE61" s="10">
        <f t="shared" ref="BE61" si="150">SUM(BE62:BE71)</f>
        <v>0</v>
      </c>
      <c r="BF61" s="10">
        <f t="shared" ref="BF61" si="151">SUM(BF62:BF71)</f>
        <v>0</v>
      </c>
      <c r="BG61" s="10">
        <f t="shared" ref="BG61" si="152">SUM(BG62:BG71)</f>
        <v>0</v>
      </c>
      <c r="BH61" s="10">
        <f t="shared" ref="BH61" si="153">SUM(BH62:BH71)</f>
        <v>0</v>
      </c>
      <c r="BI61" s="10">
        <f t="shared" ref="BI61" si="154">SUM(BI62:BI71)</f>
        <v>0</v>
      </c>
      <c r="BJ61" s="10">
        <f t="shared" ref="BJ61" si="155">SUM(BJ62:BJ71)</f>
        <v>0</v>
      </c>
      <c r="BK61" s="334">
        <f t="shared" ref="BK61" si="156">SUM(BK62:BK71)</f>
        <v>0</v>
      </c>
      <c r="BL61" s="18"/>
      <c r="BM61" s="119"/>
      <c r="BN61" s="36"/>
      <c r="BO61" s="36"/>
      <c r="BP61" s="36"/>
      <c r="BQ61" s="36"/>
      <c r="BR61" s="36"/>
      <c r="BS61" s="36"/>
      <c r="BT61" s="36"/>
      <c r="BU61" s="36"/>
    </row>
    <row r="62" spans="1:73" ht="24.75" thickTop="1" x14ac:dyDescent="0.2">
      <c r="A62" s="165">
        <v>90000056357</v>
      </c>
      <c r="B62" s="207"/>
      <c r="C62" s="499" t="s">
        <v>5</v>
      </c>
      <c r="D62" s="500"/>
      <c r="E62" s="264" t="s">
        <v>338</v>
      </c>
      <c r="F62" s="350">
        <f t="shared" ref="F62:F70" si="157">H62+W62+AF62+AQ62+AR62+AY62</f>
        <v>25200</v>
      </c>
      <c r="G62" s="113">
        <f t="shared" ref="G62:G70" si="158">I62+X62+AG62+AQ62+AS62+AZ62</f>
        <v>30820</v>
      </c>
      <c r="H62" s="273">
        <v>25200</v>
      </c>
      <c r="I62" s="273">
        <f t="shared" ref="I62:I69" si="159">J62+H62</f>
        <v>30820</v>
      </c>
      <c r="J62" s="273">
        <f t="shared" ref="J62:J69" si="160">SUM(K62:V62)</f>
        <v>5620</v>
      </c>
      <c r="K62" s="273"/>
      <c r="L62" s="273"/>
      <c r="M62" s="273"/>
      <c r="N62" s="273"/>
      <c r="O62" s="273"/>
      <c r="P62" s="273"/>
      <c r="Q62" s="273"/>
      <c r="R62" s="419">
        <v>5620</v>
      </c>
      <c r="S62" s="438"/>
      <c r="T62" s="273"/>
      <c r="U62" s="273"/>
      <c r="V62" s="273"/>
      <c r="W62" s="273">
        <v>0</v>
      </c>
      <c r="X62" s="273">
        <f t="shared" ref="X62:X69" si="161">Y62+W62</f>
        <v>0</v>
      </c>
      <c r="Y62" s="273">
        <f t="shared" ref="Y62:Y69" si="162">SUM(Z62:AE62)</f>
        <v>0</v>
      </c>
      <c r="Z62" s="273"/>
      <c r="AA62" s="273"/>
      <c r="AB62" s="273"/>
      <c r="AC62" s="273"/>
      <c r="AD62" s="273"/>
      <c r="AE62" s="273"/>
      <c r="AF62" s="273">
        <v>0</v>
      </c>
      <c r="AG62" s="136">
        <f t="shared" ref="AG62:AG69" si="163">AH62+AF62</f>
        <v>0</v>
      </c>
      <c r="AH62" s="136">
        <f t="shared" ref="AH62:AH69" si="164">SUM(AI62:AP62)</f>
        <v>0</v>
      </c>
      <c r="AI62" s="136"/>
      <c r="AJ62" s="136"/>
      <c r="AK62" s="136"/>
      <c r="AL62" s="457"/>
      <c r="AM62" s="136"/>
      <c r="AN62" s="136"/>
      <c r="AO62" s="136"/>
      <c r="AP62" s="136"/>
      <c r="AQ62" s="136"/>
      <c r="AR62" s="136">
        <v>0</v>
      </c>
      <c r="AS62" s="136">
        <f t="shared" ref="AS62:AS69" si="165">AT62+AR62</f>
        <v>0</v>
      </c>
      <c r="AT62" s="136">
        <f t="shared" ref="AT62:AT69" si="166">SUM(AU62:AX62)</f>
        <v>0</v>
      </c>
      <c r="AU62" s="136"/>
      <c r="AV62" s="136"/>
      <c r="AW62" s="457"/>
      <c r="AX62" s="136"/>
      <c r="AY62" s="136"/>
      <c r="AZ62" s="273">
        <f t="shared" ref="AZ62:AZ69" si="167">BA62+AY62</f>
        <v>0</v>
      </c>
      <c r="BA62" s="273">
        <f t="shared" ref="BA62:BA69" si="168">SUM(BB62:BK62)</f>
        <v>0</v>
      </c>
      <c r="BB62" s="273"/>
      <c r="BC62" s="273"/>
      <c r="BD62" s="273"/>
      <c r="BE62" s="273"/>
      <c r="BF62" s="273"/>
      <c r="BG62" s="273"/>
      <c r="BH62" s="273"/>
      <c r="BI62" s="273"/>
      <c r="BJ62" s="273"/>
      <c r="BK62" s="336"/>
      <c r="BL62" s="271" t="s">
        <v>422</v>
      </c>
      <c r="BM62" s="195" t="s">
        <v>560</v>
      </c>
      <c r="BN62" s="36"/>
      <c r="BO62" s="36"/>
      <c r="BP62" s="36"/>
      <c r="BQ62" s="36"/>
      <c r="BR62" s="36"/>
      <c r="BS62" s="36"/>
      <c r="BT62" s="36"/>
      <c r="BU62" s="36"/>
    </row>
    <row r="63" spans="1:73" s="193" customFormat="1" ht="36" x14ac:dyDescent="0.2">
      <c r="A63" s="165"/>
      <c r="B63" s="186"/>
      <c r="C63" s="108"/>
      <c r="D63" s="307"/>
      <c r="E63" s="108" t="s">
        <v>339</v>
      </c>
      <c r="F63" s="346">
        <f t="shared" si="157"/>
        <v>36000</v>
      </c>
      <c r="G63" s="109">
        <f t="shared" si="158"/>
        <v>30380</v>
      </c>
      <c r="H63" s="110">
        <v>36000</v>
      </c>
      <c r="I63" s="110">
        <f t="shared" si="159"/>
        <v>30380</v>
      </c>
      <c r="J63" s="110">
        <f t="shared" si="160"/>
        <v>-5620</v>
      </c>
      <c r="K63" s="110"/>
      <c r="L63" s="110"/>
      <c r="M63" s="110"/>
      <c r="N63" s="110"/>
      <c r="O63" s="110"/>
      <c r="P63" s="110"/>
      <c r="Q63" s="110"/>
      <c r="R63" s="416">
        <v>-5620</v>
      </c>
      <c r="S63" s="435"/>
      <c r="T63" s="110"/>
      <c r="U63" s="110"/>
      <c r="V63" s="110"/>
      <c r="W63" s="110">
        <v>0</v>
      </c>
      <c r="X63" s="110">
        <f t="shared" si="161"/>
        <v>0</v>
      </c>
      <c r="Y63" s="110">
        <f t="shared" si="162"/>
        <v>0</v>
      </c>
      <c r="Z63" s="110"/>
      <c r="AA63" s="110"/>
      <c r="AB63" s="110"/>
      <c r="AC63" s="110"/>
      <c r="AD63" s="110"/>
      <c r="AE63" s="110"/>
      <c r="AF63" s="110">
        <v>0</v>
      </c>
      <c r="AG63" s="135">
        <f t="shared" si="163"/>
        <v>0</v>
      </c>
      <c r="AH63" s="135">
        <f t="shared" si="164"/>
        <v>0</v>
      </c>
      <c r="AI63" s="135"/>
      <c r="AJ63" s="135"/>
      <c r="AK63" s="135"/>
      <c r="AL63" s="454"/>
      <c r="AM63" s="135"/>
      <c r="AN63" s="135"/>
      <c r="AO63" s="135"/>
      <c r="AP63" s="135"/>
      <c r="AQ63" s="135"/>
      <c r="AR63" s="135">
        <v>0</v>
      </c>
      <c r="AS63" s="135">
        <f t="shared" si="165"/>
        <v>0</v>
      </c>
      <c r="AT63" s="135">
        <f t="shared" si="166"/>
        <v>0</v>
      </c>
      <c r="AU63" s="135"/>
      <c r="AV63" s="135"/>
      <c r="AW63" s="454"/>
      <c r="AX63" s="135"/>
      <c r="AY63" s="135"/>
      <c r="AZ63" s="110">
        <f t="shared" si="167"/>
        <v>0</v>
      </c>
      <c r="BA63" s="110">
        <f t="shared" si="168"/>
        <v>0</v>
      </c>
      <c r="BB63" s="110"/>
      <c r="BC63" s="110"/>
      <c r="BD63" s="110"/>
      <c r="BE63" s="110"/>
      <c r="BF63" s="110"/>
      <c r="BG63" s="110"/>
      <c r="BH63" s="110"/>
      <c r="BI63" s="110"/>
      <c r="BJ63" s="110"/>
      <c r="BK63" s="332"/>
      <c r="BL63" s="111" t="s">
        <v>423</v>
      </c>
      <c r="BM63" s="117" t="s">
        <v>560</v>
      </c>
      <c r="BN63" s="36"/>
      <c r="BO63" s="36"/>
      <c r="BP63" s="36"/>
      <c r="BQ63" s="36"/>
      <c r="BR63" s="36"/>
      <c r="BS63" s="36"/>
      <c r="BT63" s="36"/>
      <c r="BU63" s="36"/>
    </row>
    <row r="64" spans="1:73" s="193" customFormat="1" ht="36" x14ac:dyDescent="0.2">
      <c r="A64" s="165"/>
      <c r="C64" s="19"/>
      <c r="D64" s="306"/>
      <c r="E64" s="265" t="s">
        <v>247</v>
      </c>
      <c r="F64" s="347">
        <f t="shared" si="157"/>
        <v>30537</v>
      </c>
      <c r="G64" s="95">
        <f t="shared" si="158"/>
        <v>30537</v>
      </c>
      <c r="H64" s="96">
        <v>30537</v>
      </c>
      <c r="I64" s="96">
        <f t="shared" si="159"/>
        <v>30537</v>
      </c>
      <c r="J64" s="96">
        <f t="shared" si="160"/>
        <v>0</v>
      </c>
      <c r="K64" s="96"/>
      <c r="L64" s="96"/>
      <c r="M64" s="96"/>
      <c r="N64" s="96"/>
      <c r="O64" s="96"/>
      <c r="P64" s="96"/>
      <c r="Q64" s="96"/>
      <c r="R64" s="417"/>
      <c r="S64" s="436"/>
      <c r="T64" s="96"/>
      <c r="U64" s="96"/>
      <c r="V64" s="96"/>
      <c r="W64" s="96">
        <v>0</v>
      </c>
      <c r="X64" s="96">
        <f t="shared" si="161"/>
        <v>0</v>
      </c>
      <c r="Y64" s="96">
        <f t="shared" si="162"/>
        <v>0</v>
      </c>
      <c r="Z64" s="96"/>
      <c r="AA64" s="96"/>
      <c r="AB64" s="96"/>
      <c r="AC64" s="96"/>
      <c r="AD64" s="96"/>
      <c r="AE64" s="96"/>
      <c r="AF64" s="96">
        <v>0</v>
      </c>
      <c r="AG64" s="134">
        <f t="shared" si="163"/>
        <v>0</v>
      </c>
      <c r="AH64" s="134">
        <f t="shared" si="164"/>
        <v>0</v>
      </c>
      <c r="AI64" s="134"/>
      <c r="AJ64" s="134"/>
      <c r="AK64" s="134"/>
      <c r="AL64" s="455"/>
      <c r="AM64" s="134"/>
      <c r="AN64" s="134"/>
      <c r="AO64" s="134"/>
      <c r="AP64" s="134"/>
      <c r="AQ64" s="134"/>
      <c r="AR64" s="134">
        <v>0</v>
      </c>
      <c r="AS64" s="134">
        <f t="shared" si="165"/>
        <v>0</v>
      </c>
      <c r="AT64" s="134">
        <f t="shared" si="166"/>
        <v>0</v>
      </c>
      <c r="AU64" s="134"/>
      <c r="AV64" s="134"/>
      <c r="AW64" s="455"/>
      <c r="AX64" s="134"/>
      <c r="AY64" s="134"/>
      <c r="AZ64" s="96">
        <f t="shared" si="167"/>
        <v>0</v>
      </c>
      <c r="BA64" s="96">
        <f t="shared" si="168"/>
        <v>0</v>
      </c>
      <c r="BB64" s="96"/>
      <c r="BC64" s="96"/>
      <c r="BD64" s="96"/>
      <c r="BE64" s="96"/>
      <c r="BF64" s="96"/>
      <c r="BG64" s="96"/>
      <c r="BH64" s="96"/>
      <c r="BI64" s="96"/>
      <c r="BJ64" s="96"/>
      <c r="BK64" s="333"/>
      <c r="BL64" s="111" t="s">
        <v>424</v>
      </c>
      <c r="BM64" s="117" t="s">
        <v>560</v>
      </c>
      <c r="BN64" s="36"/>
      <c r="BO64" s="36"/>
      <c r="BP64" s="36"/>
      <c r="BQ64" s="36"/>
      <c r="BR64" s="36"/>
      <c r="BS64" s="36"/>
      <c r="BT64" s="36"/>
      <c r="BU64" s="36"/>
    </row>
    <row r="65" spans="1:73" ht="39.75" customHeight="1" x14ac:dyDescent="0.2">
      <c r="A65" s="165"/>
      <c r="B65" s="129"/>
      <c r="C65" s="108"/>
      <c r="D65" s="307"/>
      <c r="E65" s="108" t="s">
        <v>258</v>
      </c>
      <c r="F65" s="346">
        <f t="shared" si="157"/>
        <v>2208908</v>
      </c>
      <c r="G65" s="109">
        <f t="shared" si="158"/>
        <v>2268908</v>
      </c>
      <c r="H65" s="110">
        <v>2208908</v>
      </c>
      <c r="I65" s="110">
        <f t="shared" si="159"/>
        <v>2268908</v>
      </c>
      <c r="J65" s="110">
        <f t="shared" si="160"/>
        <v>60000</v>
      </c>
      <c r="K65" s="110"/>
      <c r="L65" s="110"/>
      <c r="M65" s="110"/>
      <c r="N65" s="110"/>
      <c r="O65" s="110"/>
      <c r="P65" s="110"/>
      <c r="Q65" s="110"/>
      <c r="R65" s="416"/>
      <c r="S65" s="435">
        <v>60000</v>
      </c>
      <c r="T65" s="110"/>
      <c r="U65" s="110"/>
      <c r="V65" s="110"/>
      <c r="W65" s="110">
        <v>0</v>
      </c>
      <c r="X65" s="110">
        <f t="shared" si="161"/>
        <v>0</v>
      </c>
      <c r="Y65" s="110">
        <f t="shared" si="162"/>
        <v>0</v>
      </c>
      <c r="Z65" s="110"/>
      <c r="AA65" s="110"/>
      <c r="AB65" s="110"/>
      <c r="AC65" s="110"/>
      <c r="AD65" s="110"/>
      <c r="AE65" s="110"/>
      <c r="AF65" s="110">
        <v>0</v>
      </c>
      <c r="AG65" s="135">
        <f t="shared" si="163"/>
        <v>0</v>
      </c>
      <c r="AH65" s="135">
        <f t="shared" si="164"/>
        <v>0</v>
      </c>
      <c r="AI65" s="135"/>
      <c r="AJ65" s="135"/>
      <c r="AK65" s="135"/>
      <c r="AL65" s="454"/>
      <c r="AM65" s="135"/>
      <c r="AN65" s="135"/>
      <c r="AO65" s="135"/>
      <c r="AP65" s="135"/>
      <c r="AQ65" s="135"/>
      <c r="AR65" s="135">
        <v>0</v>
      </c>
      <c r="AS65" s="135">
        <f t="shared" si="165"/>
        <v>0</v>
      </c>
      <c r="AT65" s="135">
        <f t="shared" si="166"/>
        <v>0</v>
      </c>
      <c r="AU65" s="135"/>
      <c r="AV65" s="135"/>
      <c r="AW65" s="454"/>
      <c r="AX65" s="135"/>
      <c r="AY65" s="135"/>
      <c r="AZ65" s="110">
        <f t="shared" si="167"/>
        <v>0</v>
      </c>
      <c r="BA65" s="110">
        <f t="shared" si="168"/>
        <v>0</v>
      </c>
      <c r="BB65" s="110"/>
      <c r="BC65" s="110"/>
      <c r="BD65" s="110"/>
      <c r="BE65" s="110"/>
      <c r="BF65" s="110"/>
      <c r="BG65" s="110"/>
      <c r="BH65" s="110"/>
      <c r="BI65" s="110"/>
      <c r="BJ65" s="110"/>
      <c r="BK65" s="332"/>
      <c r="BL65" s="111" t="s">
        <v>425</v>
      </c>
      <c r="BM65" s="117" t="s">
        <v>564</v>
      </c>
      <c r="BN65" s="36"/>
      <c r="BO65" s="36"/>
      <c r="BP65" s="36"/>
      <c r="BQ65" s="36"/>
      <c r="BR65" s="36"/>
      <c r="BS65" s="36"/>
      <c r="BT65" s="36"/>
      <c r="BU65" s="36"/>
    </row>
    <row r="66" spans="1:73" ht="36" x14ac:dyDescent="0.2">
      <c r="A66" s="165"/>
      <c r="B66" s="129"/>
      <c r="C66" s="108"/>
      <c r="D66" s="307"/>
      <c r="E66" s="108" t="s">
        <v>678</v>
      </c>
      <c r="F66" s="346">
        <f t="shared" si="157"/>
        <v>1505494</v>
      </c>
      <c r="G66" s="109">
        <f t="shared" si="158"/>
        <v>1445494</v>
      </c>
      <c r="H66" s="110">
        <v>880112</v>
      </c>
      <c r="I66" s="110">
        <f t="shared" si="159"/>
        <v>820112</v>
      </c>
      <c r="J66" s="110">
        <f t="shared" si="160"/>
        <v>-60000</v>
      </c>
      <c r="K66" s="110"/>
      <c r="L66" s="110"/>
      <c r="M66" s="110"/>
      <c r="N66" s="110"/>
      <c r="O66" s="110"/>
      <c r="P66" s="110"/>
      <c r="Q66" s="110"/>
      <c r="R66" s="416"/>
      <c r="S66" s="435">
        <v>-60000</v>
      </c>
      <c r="T66" s="110"/>
      <c r="U66" s="110"/>
      <c r="V66" s="110"/>
      <c r="W66" s="110">
        <v>625382</v>
      </c>
      <c r="X66" s="110">
        <f t="shared" si="161"/>
        <v>625382</v>
      </c>
      <c r="Y66" s="110">
        <f t="shared" si="162"/>
        <v>0</v>
      </c>
      <c r="Z66" s="110"/>
      <c r="AA66" s="110"/>
      <c r="AB66" s="110"/>
      <c r="AC66" s="110"/>
      <c r="AD66" s="110"/>
      <c r="AE66" s="110"/>
      <c r="AF66" s="110">
        <v>0</v>
      </c>
      <c r="AG66" s="135">
        <f t="shared" si="163"/>
        <v>0</v>
      </c>
      <c r="AH66" s="135">
        <f t="shared" si="164"/>
        <v>0</v>
      </c>
      <c r="AI66" s="135"/>
      <c r="AJ66" s="135"/>
      <c r="AK66" s="135"/>
      <c r="AL66" s="454"/>
      <c r="AM66" s="135"/>
      <c r="AN66" s="135"/>
      <c r="AO66" s="135"/>
      <c r="AP66" s="135"/>
      <c r="AQ66" s="135"/>
      <c r="AR66" s="135">
        <v>0</v>
      </c>
      <c r="AS66" s="135">
        <f t="shared" si="165"/>
        <v>0</v>
      </c>
      <c r="AT66" s="135">
        <f t="shared" si="166"/>
        <v>0</v>
      </c>
      <c r="AU66" s="135"/>
      <c r="AV66" s="135"/>
      <c r="AW66" s="454"/>
      <c r="AX66" s="135"/>
      <c r="AY66" s="135"/>
      <c r="AZ66" s="110">
        <f t="shared" si="167"/>
        <v>0</v>
      </c>
      <c r="BA66" s="110">
        <f t="shared" si="168"/>
        <v>0</v>
      </c>
      <c r="BB66" s="110"/>
      <c r="BC66" s="110"/>
      <c r="BD66" s="110"/>
      <c r="BE66" s="110"/>
      <c r="BF66" s="110"/>
      <c r="BG66" s="110"/>
      <c r="BH66" s="110"/>
      <c r="BI66" s="110"/>
      <c r="BJ66" s="110"/>
      <c r="BK66" s="332"/>
      <c r="BL66" s="111" t="s">
        <v>426</v>
      </c>
      <c r="BM66" s="117" t="s">
        <v>562</v>
      </c>
      <c r="BN66" s="36"/>
      <c r="BO66" s="36"/>
      <c r="BP66" s="36"/>
      <c r="BQ66" s="36"/>
      <c r="BR66" s="36"/>
      <c r="BS66" s="36"/>
      <c r="BT66" s="36"/>
      <c r="BU66" s="36"/>
    </row>
    <row r="67" spans="1:73" ht="36" x14ac:dyDescent="0.2">
      <c r="A67" s="165">
        <v>40003275333</v>
      </c>
      <c r="B67" s="129"/>
      <c r="C67" s="471" t="s">
        <v>397</v>
      </c>
      <c r="D67" s="472"/>
      <c r="E67" s="108" t="s">
        <v>294</v>
      </c>
      <c r="F67" s="346">
        <f t="shared" si="157"/>
        <v>346378</v>
      </c>
      <c r="G67" s="109">
        <f t="shared" si="158"/>
        <v>346378</v>
      </c>
      <c r="H67" s="110">
        <v>346378</v>
      </c>
      <c r="I67" s="110">
        <f t="shared" si="159"/>
        <v>346378</v>
      </c>
      <c r="J67" s="110">
        <f t="shared" si="160"/>
        <v>0</v>
      </c>
      <c r="K67" s="110"/>
      <c r="L67" s="110"/>
      <c r="M67" s="110"/>
      <c r="N67" s="110"/>
      <c r="O67" s="110"/>
      <c r="P67" s="110"/>
      <c r="Q67" s="110"/>
      <c r="R67" s="416"/>
      <c r="S67" s="435"/>
      <c r="T67" s="110"/>
      <c r="U67" s="110"/>
      <c r="V67" s="110"/>
      <c r="W67" s="110">
        <v>0</v>
      </c>
      <c r="X67" s="110">
        <f t="shared" si="161"/>
        <v>0</v>
      </c>
      <c r="Y67" s="110">
        <f t="shared" si="162"/>
        <v>0</v>
      </c>
      <c r="Z67" s="110"/>
      <c r="AA67" s="110"/>
      <c r="AB67" s="110"/>
      <c r="AC67" s="110"/>
      <c r="AD67" s="110"/>
      <c r="AE67" s="110"/>
      <c r="AF67" s="110">
        <v>0</v>
      </c>
      <c r="AG67" s="135">
        <f t="shared" si="163"/>
        <v>0</v>
      </c>
      <c r="AH67" s="135">
        <f t="shared" si="164"/>
        <v>0</v>
      </c>
      <c r="AI67" s="135"/>
      <c r="AJ67" s="135"/>
      <c r="AK67" s="135"/>
      <c r="AL67" s="454"/>
      <c r="AM67" s="135"/>
      <c r="AN67" s="135"/>
      <c r="AO67" s="135"/>
      <c r="AP67" s="135"/>
      <c r="AQ67" s="135"/>
      <c r="AR67" s="110">
        <v>0</v>
      </c>
      <c r="AS67" s="135">
        <f t="shared" si="165"/>
        <v>0</v>
      </c>
      <c r="AT67" s="135">
        <f t="shared" si="166"/>
        <v>0</v>
      </c>
      <c r="AU67" s="135"/>
      <c r="AV67" s="135"/>
      <c r="AW67" s="454"/>
      <c r="AX67" s="135"/>
      <c r="AY67" s="135"/>
      <c r="AZ67" s="110">
        <f t="shared" si="167"/>
        <v>0</v>
      </c>
      <c r="BA67" s="110">
        <f t="shared" si="168"/>
        <v>0</v>
      </c>
      <c r="BB67" s="110"/>
      <c r="BC67" s="110"/>
      <c r="BD67" s="110"/>
      <c r="BE67" s="110"/>
      <c r="BF67" s="110"/>
      <c r="BG67" s="110"/>
      <c r="BH67" s="110"/>
      <c r="BI67" s="110"/>
      <c r="BJ67" s="110"/>
      <c r="BK67" s="332"/>
      <c r="BL67" s="111" t="s">
        <v>427</v>
      </c>
      <c r="BM67" s="117"/>
      <c r="BN67" s="36"/>
      <c r="BO67" s="36"/>
      <c r="BP67" s="36"/>
      <c r="BQ67" s="36"/>
      <c r="BR67" s="36"/>
      <c r="BS67" s="36"/>
      <c r="BT67" s="36"/>
      <c r="BU67" s="36"/>
    </row>
    <row r="68" spans="1:73" ht="36" x14ac:dyDescent="0.2">
      <c r="A68" s="165"/>
      <c r="B68" s="129"/>
      <c r="C68" s="108"/>
      <c r="D68" s="307"/>
      <c r="E68" s="108" t="s">
        <v>403</v>
      </c>
      <c r="F68" s="346">
        <f t="shared" si="157"/>
        <v>176970</v>
      </c>
      <c r="G68" s="109">
        <f t="shared" si="158"/>
        <v>176970</v>
      </c>
      <c r="H68" s="110">
        <v>176970</v>
      </c>
      <c r="I68" s="110">
        <f t="shared" si="159"/>
        <v>176970</v>
      </c>
      <c r="J68" s="110">
        <f t="shared" si="160"/>
        <v>0</v>
      </c>
      <c r="K68" s="110"/>
      <c r="L68" s="110"/>
      <c r="M68" s="110"/>
      <c r="N68" s="110"/>
      <c r="O68" s="110"/>
      <c r="P68" s="110"/>
      <c r="Q68" s="110"/>
      <c r="R68" s="416"/>
      <c r="S68" s="435"/>
      <c r="T68" s="110"/>
      <c r="U68" s="110"/>
      <c r="V68" s="110"/>
      <c r="W68" s="110">
        <v>0</v>
      </c>
      <c r="X68" s="110">
        <f t="shared" si="161"/>
        <v>0</v>
      </c>
      <c r="Y68" s="110">
        <f t="shared" si="162"/>
        <v>0</v>
      </c>
      <c r="Z68" s="110"/>
      <c r="AA68" s="110"/>
      <c r="AB68" s="110"/>
      <c r="AC68" s="110"/>
      <c r="AD68" s="110"/>
      <c r="AE68" s="110"/>
      <c r="AF68" s="110">
        <v>0</v>
      </c>
      <c r="AG68" s="135">
        <f t="shared" si="163"/>
        <v>0</v>
      </c>
      <c r="AH68" s="135">
        <f t="shared" si="164"/>
        <v>0</v>
      </c>
      <c r="AI68" s="135"/>
      <c r="AJ68" s="135"/>
      <c r="AK68" s="135"/>
      <c r="AL68" s="454"/>
      <c r="AM68" s="135"/>
      <c r="AN68" s="135"/>
      <c r="AO68" s="135"/>
      <c r="AP68" s="135"/>
      <c r="AQ68" s="135"/>
      <c r="AR68" s="135">
        <v>0</v>
      </c>
      <c r="AS68" s="135">
        <f t="shared" si="165"/>
        <v>0</v>
      </c>
      <c r="AT68" s="135">
        <f t="shared" si="166"/>
        <v>0</v>
      </c>
      <c r="AU68" s="135"/>
      <c r="AV68" s="135"/>
      <c r="AW68" s="454"/>
      <c r="AX68" s="135"/>
      <c r="AY68" s="135"/>
      <c r="AZ68" s="110">
        <f t="shared" si="167"/>
        <v>0</v>
      </c>
      <c r="BA68" s="110">
        <f t="shared" si="168"/>
        <v>0</v>
      </c>
      <c r="BB68" s="110"/>
      <c r="BC68" s="110"/>
      <c r="BD68" s="110"/>
      <c r="BE68" s="110"/>
      <c r="BF68" s="110"/>
      <c r="BG68" s="110"/>
      <c r="BH68" s="110"/>
      <c r="BI68" s="110"/>
      <c r="BJ68" s="110"/>
      <c r="BK68" s="332"/>
      <c r="BL68" s="111" t="s">
        <v>449</v>
      </c>
      <c r="BM68" s="117"/>
      <c r="BN68" s="36"/>
      <c r="BO68" s="36"/>
      <c r="BP68" s="36"/>
      <c r="BQ68" s="36"/>
      <c r="BR68" s="36"/>
      <c r="BS68" s="36"/>
      <c r="BT68" s="36"/>
      <c r="BU68" s="36"/>
    </row>
    <row r="69" spans="1:73" s="240" customFormat="1" ht="24" x14ac:dyDescent="0.2">
      <c r="A69" s="165"/>
      <c r="B69" s="129"/>
      <c r="C69" s="108"/>
      <c r="D69" s="307"/>
      <c r="E69" s="108" t="s">
        <v>361</v>
      </c>
      <c r="F69" s="346">
        <f t="shared" si="157"/>
        <v>46515</v>
      </c>
      <c r="G69" s="109">
        <f t="shared" si="158"/>
        <v>46515</v>
      </c>
      <c r="H69" s="110">
        <v>46515</v>
      </c>
      <c r="I69" s="110">
        <f t="shared" si="159"/>
        <v>46515</v>
      </c>
      <c r="J69" s="110">
        <f t="shared" si="160"/>
        <v>0</v>
      </c>
      <c r="K69" s="110"/>
      <c r="L69" s="110"/>
      <c r="M69" s="110"/>
      <c r="N69" s="110"/>
      <c r="O69" s="110"/>
      <c r="P69" s="110"/>
      <c r="Q69" s="110"/>
      <c r="R69" s="416"/>
      <c r="S69" s="435"/>
      <c r="T69" s="110"/>
      <c r="U69" s="110"/>
      <c r="V69" s="110"/>
      <c r="W69" s="110">
        <v>0</v>
      </c>
      <c r="X69" s="110">
        <f t="shared" si="161"/>
        <v>0</v>
      </c>
      <c r="Y69" s="110">
        <f t="shared" si="162"/>
        <v>0</v>
      </c>
      <c r="Z69" s="110"/>
      <c r="AA69" s="110"/>
      <c r="AB69" s="110"/>
      <c r="AC69" s="110"/>
      <c r="AD69" s="110"/>
      <c r="AE69" s="110"/>
      <c r="AF69" s="110">
        <v>0</v>
      </c>
      <c r="AG69" s="135">
        <f t="shared" si="163"/>
        <v>0</v>
      </c>
      <c r="AH69" s="135">
        <f t="shared" si="164"/>
        <v>0</v>
      </c>
      <c r="AI69" s="135"/>
      <c r="AJ69" s="135"/>
      <c r="AK69" s="135"/>
      <c r="AL69" s="454"/>
      <c r="AM69" s="135"/>
      <c r="AN69" s="135"/>
      <c r="AO69" s="135"/>
      <c r="AP69" s="135"/>
      <c r="AQ69" s="135"/>
      <c r="AR69" s="135">
        <v>0</v>
      </c>
      <c r="AS69" s="135">
        <f t="shared" si="165"/>
        <v>0</v>
      </c>
      <c r="AT69" s="135">
        <f t="shared" si="166"/>
        <v>0</v>
      </c>
      <c r="AU69" s="135"/>
      <c r="AV69" s="135"/>
      <c r="AW69" s="454"/>
      <c r="AX69" s="135"/>
      <c r="AY69" s="135"/>
      <c r="AZ69" s="110">
        <f t="shared" si="167"/>
        <v>0</v>
      </c>
      <c r="BA69" s="110">
        <f t="shared" si="168"/>
        <v>0</v>
      </c>
      <c r="BB69" s="110"/>
      <c r="BC69" s="110"/>
      <c r="BD69" s="110"/>
      <c r="BE69" s="110"/>
      <c r="BF69" s="110"/>
      <c r="BG69" s="110"/>
      <c r="BH69" s="110"/>
      <c r="BI69" s="110"/>
      <c r="BJ69" s="110"/>
      <c r="BK69" s="332"/>
      <c r="BL69" s="111" t="s">
        <v>656</v>
      </c>
      <c r="BM69" s="117"/>
      <c r="BN69" s="36"/>
      <c r="BO69" s="36"/>
      <c r="BP69" s="36"/>
      <c r="BQ69" s="36"/>
      <c r="BR69" s="36"/>
      <c r="BS69" s="36"/>
      <c r="BT69" s="36"/>
      <c r="BU69" s="36"/>
    </row>
    <row r="70" spans="1:73" ht="48" x14ac:dyDescent="0.2">
      <c r="A70" s="165"/>
      <c r="B70" s="129"/>
      <c r="C70" s="471" t="s">
        <v>189</v>
      </c>
      <c r="D70" s="472"/>
      <c r="E70" s="108" t="s">
        <v>278</v>
      </c>
      <c r="F70" s="346">
        <f t="shared" si="157"/>
        <v>161107</v>
      </c>
      <c r="G70" s="109">
        <f t="shared" si="158"/>
        <v>161107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416"/>
      <c r="S70" s="435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35"/>
      <c r="AH70" s="135"/>
      <c r="AI70" s="135"/>
      <c r="AJ70" s="135"/>
      <c r="AK70" s="135"/>
      <c r="AL70" s="454"/>
      <c r="AM70" s="135"/>
      <c r="AN70" s="135"/>
      <c r="AO70" s="135"/>
      <c r="AP70" s="135"/>
      <c r="AQ70" s="135">
        <v>161107</v>
      </c>
      <c r="AR70" s="135"/>
      <c r="AS70" s="135"/>
      <c r="AT70" s="135"/>
      <c r="AU70" s="135"/>
      <c r="AV70" s="135"/>
      <c r="AW70" s="454"/>
      <c r="AX70" s="135"/>
      <c r="AY70" s="135"/>
      <c r="AZ70" s="110"/>
      <c r="BA70" s="110"/>
      <c r="BB70" s="110"/>
      <c r="BC70" s="110"/>
      <c r="BD70" s="110"/>
      <c r="BE70" s="110"/>
      <c r="BF70" s="110"/>
      <c r="BG70" s="110"/>
      <c r="BH70" s="110"/>
      <c r="BI70" s="110"/>
      <c r="BJ70" s="110"/>
      <c r="BK70" s="332"/>
      <c r="BL70" s="111"/>
      <c r="BM70" s="117"/>
      <c r="BN70" s="36"/>
      <c r="BO70" s="36"/>
      <c r="BP70" s="36"/>
      <c r="BQ70" s="36"/>
      <c r="BR70" s="36"/>
      <c r="BS70" s="36"/>
      <c r="BT70" s="36"/>
      <c r="BU70" s="36"/>
    </row>
    <row r="71" spans="1:73" ht="12.75" thickBot="1" x14ac:dyDescent="0.25">
      <c r="A71" s="165"/>
      <c r="B71" s="148"/>
      <c r="C71" s="504"/>
      <c r="D71" s="505"/>
      <c r="E71" s="161"/>
      <c r="F71" s="347"/>
      <c r="G71" s="95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417"/>
      <c r="S71" s="43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134"/>
      <c r="AH71" s="134"/>
      <c r="AI71" s="134"/>
      <c r="AJ71" s="134"/>
      <c r="AK71" s="134"/>
      <c r="AL71" s="455"/>
      <c r="AM71" s="134"/>
      <c r="AN71" s="134"/>
      <c r="AO71" s="134"/>
      <c r="AP71" s="134"/>
      <c r="AQ71" s="134"/>
      <c r="AR71" s="134"/>
      <c r="AS71" s="134"/>
      <c r="AT71" s="134"/>
      <c r="AU71" s="134"/>
      <c r="AV71" s="134"/>
      <c r="AW71" s="455"/>
      <c r="AX71" s="134"/>
      <c r="AY71" s="134"/>
      <c r="AZ71" s="96"/>
      <c r="BA71" s="96"/>
      <c r="BB71" s="96"/>
      <c r="BC71" s="96"/>
      <c r="BD71" s="96"/>
      <c r="BE71" s="96"/>
      <c r="BF71" s="96"/>
      <c r="BG71" s="96"/>
      <c r="BH71" s="96"/>
      <c r="BI71" s="96"/>
      <c r="BJ71" s="96"/>
      <c r="BK71" s="333"/>
      <c r="BL71" s="97"/>
      <c r="BM71" s="118"/>
      <c r="BN71" s="36"/>
      <c r="BO71" s="36"/>
      <c r="BP71" s="36"/>
      <c r="BQ71" s="36"/>
      <c r="BR71" s="36"/>
      <c r="BS71" s="36"/>
      <c r="BT71" s="36"/>
      <c r="BU71" s="36"/>
    </row>
    <row r="72" spans="1:73" ht="27.75" customHeight="1" thickBot="1" x14ac:dyDescent="0.25">
      <c r="A72" s="201"/>
      <c r="B72" s="501" t="s">
        <v>11</v>
      </c>
      <c r="C72" s="501"/>
      <c r="D72" s="198" t="s">
        <v>188</v>
      </c>
      <c r="E72" s="16"/>
      <c r="F72" s="348">
        <f t="shared" ref="F72:V72" si="169">SUM(F73:F88)</f>
        <v>13879838</v>
      </c>
      <c r="G72" s="17">
        <f t="shared" si="169"/>
        <v>14687630</v>
      </c>
      <c r="H72" s="10">
        <f t="shared" ref="H72:AY72" si="170">SUM(H73:H88)</f>
        <v>11183238</v>
      </c>
      <c r="I72" s="10">
        <f t="shared" si="169"/>
        <v>11948361</v>
      </c>
      <c r="J72" s="10">
        <f t="shared" si="169"/>
        <v>765123</v>
      </c>
      <c r="K72" s="10">
        <f t="shared" si="169"/>
        <v>0</v>
      </c>
      <c r="L72" s="10">
        <f t="shared" si="169"/>
        <v>435387</v>
      </c>
      <c r="M72" s="10">
        <f t="shared" si="169"/>
        <v>0</v>
      </c>
      <c r="N72" s="10">
        <f t="shared" si="169"/>
        <v>142371</v>
      </c>
      <c r="O72" s="10">
        <f t="shared" si="169"/>
        <v>3856</v>
      </c>
      <c r="P72" s="10">
        <f t="shared" si="169"/>
        <v>20085</v>
      </c>
      <c r="Q72" s="10">
        <f t="shared" si="169"/>
        <v>164220</v>
      </c>
      <c r="R72" s="415">
        <f t="shared" si="169"/>
        <v>-5796</v>
      </c>
      <c r="S72" s="434">
        <f t="shared" si="169"/>
        <v>5000</v>
      </c>
      <c r="T72" s="10">
        <f t="shared" si="169"/>
        <v>0</v>
      </c>
      <c r="U72" s="10">
        <f t="shared" si="169"/>
        <v>0</v>
      </c>
      <c r="V72" s="10">
        <f t="shared" si="169"/>
        <v>0</v>
      </c>
      <c r="W72" s="10">
        <f t="shared" si="170"/>
        <v>897000</v>
      </c>
      <c r="X72" s="10">
        <f t="shared" si="170"/>
        <v>897000</v>
      </c>
      <c r="Y72" s="10">
        <f t="shared" si="170"/>
        <v>0</v>
      </c>
      <c r="Z72" s="10">
        <f t="shared" si="170"/>
        <v>0</v>
      </c>
      <c r="AA72" s="10">
        <f t="shared" si="170"/>
        <v>0</v>
      </c>
      <c r="AB72" s="10">
        <f t="shared" si="170"/>
        <v>0</v>
      </c>
      <c r="AC72" s="10">
        <f t="shared" si="170"/>
        <v>0</v>
      </c>
      <c r="AD72" s="10">
        <f t="shared" si="170"/>
        <v>0</v>
      </c>
      <c r="AE72" s="10">
        <f t="shared" si="170"/>
        <v>0</v>
      </c>
      <c r="AF72" s="10">
        <f t="shared" si="170"/>
        <v>330518</v>
      </c>
      <c r="AG72" s="10">
        <f t="shared" ref="AG72:AP72" si="171">SUM(AG73:AG88)</f>
        <v>374364</v>
      </c>
      <c r="AH72" s="10">
        <f t="shared" si="171"/>
        <v>43846</v>
      </c>
      <c r="AI72" s="10">
        <f t="shared" si="171"/>
        <v>38222</v>
      </c>
      <c r="AJ72" s="10">
        <f t="shared" si="171"/>
        <v>0</v>
      </c>
      <c r="AK72" s="10">
        <f t="shared" si="171"/>
        <v>5624</v>
      </c>
      <c r="AL72" s="434">
        <f t="shared" si="171"/>
        <v>0</v>
      </c>
      <c r="AM72" s="10">
        <f t="shared" si="171"/>
        <v>0</v>
      </c>
      <c r="AN72" s="10">
        <f t="shared" si="171"/>
        <v>0</v>
      </c>
      <c r="AO72" s="10">
        <f t="shared" si="171"/>
        <v>0</v>
      </c>
      <c r="AP72" s="10">
        <f t="shared" si="171"/>
        <v>0</v>
      </c>
      <c r="AQ72" s="10">
        <f t="shared" si="170"/>
        <v>1469082</v>
      </c>
      <c r="AR72" s="133">
        <f t="shared" si="170"/>
        <v>0</v>
      </c>
      <c r="AS72" s="133">
        <f t="shared" si="170"/>
        <v>0</v>
      </c>
      <c r="AT72" s="133">
        <f t="shared" si="170"/>
        <v>0</v>
      </c>
      <c r="AU72" s="133">
        <f t="shared" si="170"/>
        <v>0</v>
      </c>
      <c r="AV72" s="133">
        <f t="shared" si="170"/>
        <v>0</v>
      </c>
      <c r="AW72" s="440">
        <f t="shared" si="170"/>
        <v>0</v>
      </c>
      <c r="AX72" s="133">
        <f t="shared" si="170"/>
        <v>0</v>
      </c>
      <c r="AY72" s="133">
        <f t="shared" si="170"/>
        <v>0</v>
      </c>
      <c r="AZ72" s="10">
        <f t="shared" ref="AZ72:BK72" si="172">SUM(AZ73:AZ88)</f>
        <v>-1177</v>
      </c>
      <c r="BA72" s="10">
        <f t="shared" si="172"/>
        <v>-1177</v>
      </c>
      <c r="BB72" s="10">
        <f t="shared" si="172"/>
        <v>0</v>
      </c>
      <c r="BC72" s="10">
        <f t="shared" si="172"/>
        <v>-1177</v>
      </c>
      <c r="BD72" s="10">
        <f t="shared" si="172"/>
        <v>0</v>
      </c>
      <c r="BE72" s="10">
        <f t="shared" si="172"/>
        <v>0</v>
      </c>
      <c r="BF72" s="10">
        <f t="shared" si="172"/>
        <v>0</v>
      </c>
      <c r="BG72" s="10">
        <f t="shared" si="172"/>
        <v>0</v>
      </c>
      <c r="BH72" s="10">
        <f t="shared" si="172"/>
        <v>0</v>
      </c>
      <c r="BI72" s="10">
        <f t="shared" si="172"/>
        <v>0</v>
      </c>
      <c r="BJ72" s="10">
        <f t="shared" si="172"/>
        <v>0</v>
      </c>
      <c r="BK72" s="334">
        <f t="shared" si="172"/>
        <v>0</v>
      </c>
      <c r="BL72" s="18"/>
      <c r="BM72" s="119"/>
      <c r="BN72" s="36"/>
      <c r="BO72" s="36"/>
      <c r="BP72" s="36"/>
      <c r="BQ72" s="36"/>
      <c r="BR72" s="36"/>
      <c r="BS72" s="36"/>
      <c r="BT72" s="36"/>
      <c r="BU72" s="36"/>
    </row>
    <row r="73" spans="1:73" s="131" customFormat="1" ht="12.75" thickTop="1" x14ac:dyDescent="0.2">
      <c r="A73" s="165">
        <v>90000056357</v>
      </c>
      <c r="B73" s="200"/>
      <c r="C73" s="499" t="s">
        <v>5</v>
      </c>
      <c r="D73" s="500"/>
      <c r="E73" s="267" t="s">
        <v>205</v>
      </c>
      <c r="F73" s="350">
        <f t="shared" ref="F73:F87" si="173">H73+W73+AF73+AQ73+AR73+AY73</f>
        <v>2314366</v>
      </c>
      <c r="G73" s="113">
        <f t="shared" ref="G73:G87" si="174">I73+X73+AG73+AQ73+AS73+AZ73</f>
        <v>2319710</v>
      </c>
      <c r="H73" s="273">
        <v>2157925</v>
      </c>
      <c r="I73" s="273">
        <f t="shared" ref="I73:I83" si="175">J73+H73</f>
        <v>2162925</v>
      </c>
      <c r="J73" s="273">
        <f t="shared" ref="J73:J83" si="176">SUM(K73:V73)</f>
        <v>5000</v>
      </c>
      <c r="K73" s="273"/>
      <c r="L73" s="273"/>
      <c r="M73" s="273"/>
      <c r="N73" s="273"/>
      <c r="O73" s="273"/>
      <c r="P73" s="273"/>
      <c r="Q73" s="273"/>
      <c r="R73" s="419"/>
      <c r="S73" s="438">
        <f>5000</f>
        <v>5000</v>
      </c>
      <c r="T73" s="273"/>
      <c r="U73" s="273"/>
      <c r="V73" s="273"/>
      <c r="W73" s="273">
        <v>0</v>
      </c>
      <c r="X73" s="273">
        <f t="shared" ref="X73:X83" si="177">Y73+W73</f>
        <v>0</v>
      </c>
      <c r="Y73" s="273">
        <f t="shared" ref="Y73:Y83" si="178">SUM(Z73:AE73)</f>
        <v>0</v>
      </c>
      <c r="Z73" s="273"/>
      <c r="AA73" s="273"/>
      <c r="AB73" s="273"/>
      <c r="AC73" s="273"/>
      <c r="AD73" s="273"/>
      <c r="AE73" s="273"/>
      <c r="AF73" s="273">
        <v>156441</v>
      </c>
      <c r="AG73" s="136">
        <f t="shared" ref="AG73:AG83" si="179">AH73+AF73</f>
        <v>157890</v>
      </c>
      <c r="AH73" s="136">
        <f t="shared" ref="AH73:AH83" si="180">SUM(AI73:AP73)</f>
        <v>1449</v>
      </c>
      <c r="AI73" s="136">
        <v>1449</v>
      </c>
      <c r="AJ73" s="136"/>
      <c r="AK73" s="136"/>
      <c r="AL73" s="457"/>
      <c r="AM73" s="136"/>
      <c r="AN73" s="136"/>
      <c r="AO73" s="136"/>
      <c r="AP73" s="136"/>
      <c r="AQ73" s="136"/>
      <c r="AR73" s="136">
        <v>0</v>
      </c>
      <c r="AS73" s="136">
        <f t="shared" ref="AS73:AS83" si="181">AT73+AR73</f>
        <v>0</v>
      </c>
      <c r="AT73" s="136">
        <f t="shared" ref="AT73:AT83" si="182">SUM(AU73:AX73)</f>
        <v>0</v>
      </c>
      <c r="AU73" s="136"/>
      <c r="AV73" s="136"/>
      <c r="AW73" s="457"/>
      <c r="AX73" s="136"/>
      <c r="AY73" s="136"/>
      <c r="AZ73" s="273">
        <f t="shared" ref="AZ73:AZ83" si="183">BA73+AY73</f>
        <v>-1105</v>
      </c>
      <c r="BA73" s="273">
        <f t="shared" ref="BA73:BA83" si="184">SUM(BB73:BK73)</f>
        <v>-1105</v>
      </c>
      <c r="BB73" s="273"/>
      <c r="BC73" s="273">
        <v>-1105</v>
      </c>
      <c r="BD73" s="273"/>
      <c r="BE73" s="273"/>
      <c r="BF73" s="273"/>
      <c r="BG73" s="273"/>
      <c r="BH73" s="273"/>
      <c r="BI73" s="273"/>
      <c r="BJ73" s="273"/>
      <c r="BK73" s="336"/>
      <c r="BL73" s="272" t="s">
        <v>431</v>
      </c>
      <c r="BM73" s="195"/>
      <c r="BN73" s="36"/>
      <c r="BO73" s="36"/>
      <c r="BP73" s="36"/>
      <c r="BQ73" s="36"/>
      <c r="BR73" s="36"/>
      <c r="BS73" s="36"/>
      <c r="BT73" s="36"/>
      <c r="BU73" s="36"/>
    </row>
    <row r="74" spans="1:73" s="131" customFormat="1" x14ac:dyDescent="0.2">
      <c r="A74" s="165"/>
      <c r="C74" s="265"/>
      <c r="D74" s="308"/>
      <c r="E74" s="265" t="s">
        <v>327</v>
      </c>
      <c r="F74" s="349">
        <f t="shared" si="173"/>
        <v>4500</v>
      </c>
      <c r="G74" s="127">
        <f t="shared" si="174"/>
        <v>4500</v>
      </c>
      <c r="H74" s="269">
        <v>4500</v>
      </c>
      <c r="I74" s="269">
        <f t="shared" si="175"/>
        <v>4500</v>
      </c>
      <c r="J74" s="269">
        <f t="shared" si="176"/>
        <v>0</v>
      </c>
      <c r="K74" s="269"/>
      <c r="L74" s="269"/>
      <c r="M74" s="269"/>
      <c r="N74" s="269"/>
      <c r="O74" s="269"/>
      <c r="P74" s="269"/>
      <c r="Q74" s="269"/>
      <c r="R74" s="418"/>
      <c r="S74" s="437"/>
      <c r="T74" s="269"/>
      <c r="U74" s="269"/>
      <c r="V74" s="269"/>
      <c r="W74" s="269">
        <v>0</v>
      </c>
      <c r="X74" s="269">
        <f t="shared" si="177"/>
        <v>0</v>
      </c>
      <c r="Y74" s="269">
        <f t="shared" si="178"/>
        <v>0</v>
      </c>
      <c r="Z74" s="269"/>
      <c r="AA74" s="269"/>
      <c r="AB74" s="269"/>
      <c r="AC74" s="269"/>
      <c r="AD74" s="269"/>
      <c r="AE74" s="269"/>
      <c r="AF74" s="269">
        <v>0</v>
      </c>
      <c r="AG74" s="138">
        <f t="shared" si="179"/>
        <v>0</v>
      </c>
      <c r="AH74" s="138">
        <f t="shared" si="180"/>
        <v>0</v>
      </c>
      <c r="AI74" s="138"/>
      <c r="AJ74" s="138"/>
      <c r="AK74" s="138"/>
      <c r="AL74" s="456"/>
      <c r="AM74" s="138"/>
      <c r="AN74" s="138"/>
      <c r="AO74" s="138"/>
      <c r="AP74" s="138"/>
      <c r="AQ74" s="138"/>
      <c r="AR74" s="138">
        <v>0</v>
      </c>
      <c r="AS74" s="138">
        <f t="shared" si="181"/>
        <v>0</v>
      </c>
      <c r="AT74" s="138">
        <f t="shared" si="182"/>
        <v>0</v>
      </c>
      <c r="AU74" s="138"/>
      <c r="AV74" s="138"/>
      <c r="AW74" s="456"/>
      <c r="AX74" s="138"/>
      <c r="AY74" s="138"/>
      <c r="AZ74" s="269">
        <f t="shared" si="183"/>
        <v>0</v>
      </c>
      <c r="BA74" s="269">
        <f t="shared" si="184"/>
        <v>0</v>
      </c>
      <c r="BB74" s="269"/>
      <c r="BC74" s="269"/>
      <c r="BD74" s="269"/>
      <c r="BE74" s="269"/>
      <c r="BF74" s="269"/>
      <c r="BG74" s="269"/>
      <c r="BH74" s="269"/>
      <c r="BI74" s="269"/>
      <c r="BJ74" s="269"/>
      <c r="BK74" s="335"/>
      <c r="BL74" s="111" t="s">
        <v>432</v>
      </c>
      <c r="BM74" s="196"/>
      <c r="BN74" s="36"/>
      <c r="BO74" s="36"/>
      <c r="BP74" s="36"/>
      <c r="BQ74" s="36"/>
      <c r="BR74" s="36"/>
      <c r="BS74" s="36"/>
      <c r="BT74" s="36"/>
      <c r="BU74" s="36"/>
    </row>
    <row r="75" spans="1:73" s="129" customFormat="1" ht="24" x14ac:dyDescent="0.2">
      <c r="A75" s="165"/>
      <c r="C75" s="108"/>
      <c r="D75" s="307"/>
      <c r="E75" s="263" t="s">
        <v>362</v>
      </c>
      <c r="F75" s="346">
        <f t="shared" si="173"/>
        <v>160237</v>
      </c>
      <c r="G75" s="109">
        <f t="shared" si="174"/>
        <v>160237</v>
      </c>
      <c r="H75" s="110">
        <v>160237</v>
      </c>
      <c r="I75" s="110">
        <f t="shared" si="175"/>
        <v>160237</v>
      </c>
      <c r="J75" s="110">
        <f t="shared" si="176"/>
        <v>0</v>
      </c>
      <c r="K75" s="110"/>
      <c r="L75" s="110"/>
      <c r="M75" s="110"/>
      <c r="N75" s="110"/>
      <c r="O75" s="110"/>
      <c r="P75" s="110"/>
      <c r="Q75" s="110"/>
      <c r="R75" s="416"/>
      <c r="S75" s="435"/>
      <c r="T75" s="110"/>
      <c r="U75" s="110"/>
      <c r="V75" s="110"/>
      <c r="W75" s="110">
        <v>0</v>
      </c>
      <c r="X75" s="110">
        <f t="shared" si="177"/>
        <v>0</v>
      </c>
      <c r="Y75" s="110">
        <f t="shared" si="178"/>
        <v>0</v>
      </c>
      <c r="Z75" s="110"/>
      <c r="AA75" s="110"/>
      <c r="AB75" s="110"/>
      <c r="AC75" s="110"/>
      <c r="AD75" s="110"/>
      <c r="AE75" s="110"/>
      <c r="AF75" s="110">
        <v>0</v>
      </c>
      <c r="AG75" s="135">
        <f t="shared" si="179"/>
        <v>0</v>
      </c>
      <c r="AH75" s="135">
        <f t="shared" si="180"/>
        <v>0</v>
      </c>
      <c r="AI75" s="135"/>
      <c r="AJ75" s="135"/>
      <c r="AK75" s="135"/>
      <c r="AL75" s="454"/>
      <c r="AM75" s="135"/>
      <c r="AN75" s="135"/>
      <c r="AO75" s="135"/>
      <c r="AP75" s="135"/>
      <c r="AQ75" s="135"/>
      <c r="AR75" s="135">
        <v>0</v>
      </c>
      <c r="AS75" s="135">
        <f t="shared" si="181"/>
        <v>0</v>
      </c>
      <c r="AT75" s="135">
        <f t="shared" si="182"/>
        <v>0</v>
      </c>
      <c r="AU75" s="135"/>
      <c r="AV75" s="135"/>
      <c r="AW75" s="454"/>
      <c r="AX75" s="135"/>
      <c r="AY75" s="135"/>
      <c r="AZ75" s="110">
        <f t="shared" si="183"/>
        <v>0</v>
      </c>
      <c r="BA75" s="110">
        <f t="shared" si="184"/>
        <v>0</v>
      </c>
      <c r="BB75" s="110"/>
      <c r="BC75" s="110"/>
      <c r="BD75" s="110"/>
      <c r="BE75" s="110"/>
      <c r="BF75" s="110"/>
      <c r="BG75" s="110"/>
      <c r="BH75" s="110"/>
      <c r="BI75" s="110"/>
      <c r="BJ75" s="110"/>
      <c r="BK75" s="332"/>
      <c r="BL75" s="111" t="s">
        <v>434</v>
      </c>
      <c r="BM75" s="117" t="s">
        <v>666</v>
      </c>
      <c r="BN75" s="36"/>
      <c r="BO75" s="36"/>
      <c r="BP75" s="36"/>
      <c r="BQ75" s="36"/>
      <c r="BR75" s="36"/>
      <c r="BS75" s="36"/>
      <c r="BT75" s="36"/>
      <c r="BU75" s="36"/>
    </row>
    <row r="76" spans="1:73" s="129" customFormat="1" x14ac:dyDescent="0.2">
      <c r="A76" s="165"/>
      <c r="C76" s="108"/>
      <c r="D76" s="307"/>
      <c r="E76" s="108" t="s">
        <v>254</v>
      </c>
      <c r="F76" s="346">
        <f t="shared" si="173"/>
        <v>67582</v>
      </c>
      <c r="G76" s="109">
        <f t="shared" si="174"/>
        <v>115120</v>
      </c>
      <c r="H76" s="110">
        <v>67582</v>
      </c>
      <c r="I76" s="110">
        <f t="shared" si="175"/>
        <v>115120</v>
      </c>
      <c r="J76" s="110">
        <f t="shared" si="176"/>
        <v>47538</v>
      </c>
      <c r="K76" s="110"/>
      <c r="L76" s="110">
        <v>47538</v>
      </c>
      <c r="M76" s="110"/>
      <c r="N76" s="110"/>
      <c r="O76" s="110"/>
      <c r="P76" s="110"/>
      <c r="Q76" s="110"/>
      <c r="R76" s="416"/>
      <c r="S76" s="435"/>
      <c r="T76" s="110"/>
      <c r="U76" s="110"/>
      <c r="V76" s="110"/>
      <c r="W76" s="110">
        <v>0</v>
      </c>
      <c r="X76" s="110">
        <f t="shared" si="177"/>
        <v>0</v>
      </c>
      <c r="Y76" s="110">
        <f t="shared" si="178"/>
        <v>0</v>
      </c>
      <c r="Z76" s="110"/>
      <c r="AA76" s="110"/>
      <c r="AB76" s="110"/>
      <c r="AC76" s="110"/>
      <c r="AD76" s="110"/>
      <c r="AE76" s="110"/>
      <c r="AF76" s="110">
        <v>0</v>
      </c>
      <c r="AG76" s="135">
        <f t="shared" si="179"/>
        <v>0</v>
      </c>
      <c r="AH76" s="135">
        <f t="shared" si="180"/>
        <v>0</v>
      </c>
      <c r="AI76" s="135"/>
      <c r="AJ76" s="135"/>
      <c r="AK76" s="135"/>
      <c r="AL76" s="454"/>
      <c r="AM76" s="135"/>
      <c r="AN76" s="135"/>
      <c r="AO76" s="135"/>
      <c r="AP76" s="135"/>
      <c r="AQ76" s="135"/>
      <c r="AR76" s="135">
        <v>0</v>
      </c>
      <c r="AS76" s="135">
        <f t="shared" si="181"/>
        <v>0</v>
      </c>
      <c r="AT76" s="135">
        <f t="shared" si="182"/>
        <v>0</v>
      </c>
      <c r="AU76" s="135"/>
      <c r="AV76" s="135"/>
      <c r="AW76" s="454"/>
      <c r="AX76" s="135"/>
      <c r="AY76" s="135"/>
      <c r="AZ76" s="110">
        <f t="shared" si="183"/>
        <v>0</v>
      </c>
      <c r="BA76" s="110">
        <f t="shared" si="184"/>
        <v>0</v>
      </c>
      <c r="BB76" s="110"/>
      <c r="BC76" s="110"/>
      <c r="BD76" s="110"/>
      <c r="BE76" s="110"/>
      <c r="BF76" s="110"/>
      <c r="BG76" s="110"/>
      <c r="BH76" s="110"/>
      <c r="BI76" s="110"/>
      <c r="BJ76" s="110"/>
      <c r="BK76" s="332"/>
      <c r="BL76" s="111" t="s">
        <v>433</v>
      </c>
      <c r="BM76" s="117" t="s">
        <v>667</v>
      </c>
      <c r="BN76" s="36"/>
      <c r="BO76" s="36"/>
      <c r="BP76" s="36"/>
      <c r="BQ76" s="36"/>
      <c r="BR76" s="36"/>
      <c r="BS76" s="36"/>
      <c r="BT76" s="36"/>
      <c r="BU76" s="36"/>
    </row>
    <row r="77" spans="1:73" s="129" customFormat="1" ht="24" x14ac:dyDescent="0.2">
      <c r="A77" s="165"/>
      <c r="C77" s="108"/>
      <c r="D77" s="307"/>
      <c r="E77" s="108" t="s">
        <v>249</v>
      </c>
      <c r="F77" s="346">
        <f t="shared" si="173"/>
        <v>578536</v>
      </c>
      <c r="G77" s="109">
        <f t="shared" si="174"/>
        <v>792542</v>
      </c>
      <c r="H77" s="110">
        <v>541459</v>
      </c>
      <c r="I77" s="110">
        <f t="shared" si="175"/>
        <v>755465</v>
      </c>
      <c r="J77" s="110">
        <f t="shared" si="176"/>
        <v>214006</v>
      </c>
      <c r="K77" s="110"/>
      <c r="L77" s="110">
        <v>18006</v>
      </c>
      <c r="M77" s="110"/>
      <c r="N77" s="110">
        <v>116000</v>
      </c>
      <c r="O77" s="110"/>
      <c r="P77" s="110"/>
      <c r="Q77" s="110">
        <v>80000</v>
      </c>
      <c r="R77" s="416"/>
      <c r="S77" s="435"/>
      <c r="T77" s="110"/>
      <c r="U77" s="110"/>
      <c r="V77" s="110"/>
      <c r="W77" s="110">
        <v>0</v>
      </c>
      <c r="X77" s="110">
        <f t="shared" si="177"/>
        <v>0</v>
      </c>
      <c r="Y77" s="110">
        <f t="shared" si="178"/>
        <v>0</v>
      </c>
      <c r="Z77" s="110"/>
      <c r="AA77" s="110"/>
      <c r="AB77" s="110"/>
      <c r="AC77" s="110"/>
      <c r="AD77" s="110"/>
      <c r="AE77" s="110"/>
      <c r="AF77" s="110">
        <v>37077</v>
      </c>
      <c r="AG77" s="135">
        <f t="shared" si="179"/>
        <v>37077</v>
      </c>
      <c r="AH77" s="135">
        <f t="shared" si="180"/>
        <v>0</v>
      </c>
      <c r="AI77" s="135"/>
      <c r="AJ77" s="135"/>
      <c r="AK77" s="135"/>
      <c r="AL77" s="454"/>
      <c r="AM77" s="135"/>
      <c r="AN77" s="135"/>
      <c r="AO77" s="135"/>
      <c r="AP77" s="135"/>
      <c r="AQ77" s="135"/>
      <c r="AR77" s="135">
        <v>0</v>
      </c>
      <c r="AS77" s="135">
        <f t="shared" si="181"/>
        <v>0</v>
      </c>
      <c r="AT77" s="135">
        <f t="shared" si="182"/>
        <v>0</v>
      </c>
      <c r="AU77" s="135"/>
      <c r="AV77" s="135"/>
      <c r="AW77" s="454"/>
      <c r="AX77" s="135"/>
      <c r="AY77" s="135"/>
      <c r="AZ77" s="110">
        <f t="shared" si="183"/>
        <v>0</v>
      </c>
      <c r="BA77" s="110">
        <f t="shared" si="184"/>
        <v>0</v>
      </c>
      <c r="BB77" s="110"/>
      <c r="BC77" s="110"/>
      <c r="BD77" s="110"/>
      <c r="BE77" s="110"/>
      <c r="BF77" s="110"/>
      <c r="BG77" s="110"/>
      <c r="BH77" s="110"/>
      <c r="BI77" s="110"/>
      <c r="BJ77" s="110"/>
      <c r="BK77" s="332"/>
      <c r="BL77" s="111" t="s">
        <v>435</v>
      </c>
      <c r="BM77" s="117" t="s">
        <v>668</v>
      </c>
      <c r="BN77" s="36"/>
      <c r="BO77" s="36"/>
      <c r="BP77" s="36"/>
      <c r="BQ77" s="36"/>
      <c r="BR77" s="36"/>
      <c r="BS77" s="36"/>
      <c r="BT77" s="36"/>
      <c r="BU77" s="36"/>
    </row>
    <row r="78" spans="1:73" s="131" customFormat="1" ht="36" x14ac:dyDescent="0.2">
      <c r="A78" s="165"/>
      <c r="C78" s="265"/>
      <c r="D78" s="308"/>
      <c r="E78" s="265" t="s">
        <v>330</v>
      </c>
      <c r="F78" s="346">
        <f t="shared" si="173"/>
        <v>7241253</v>
      </c>
      <c r="G78" s="127">
        <f t="shared" si="174"/>
        <v>7709605</v>
      </c>
      <c r="H78" s="269">
        <v>6344253</v>
      </c>
      <c r="I78" s="269">
        <f t="shared" si="175"/>
        <v>6812605</v>
      </c>
      <c r="J78" s="269">
        <f t="shared" si="176"/>
        <v>468352</v>
      </c>
      <c r="K78" s="269"/>
      <c r="L78" s="269">
        <f>288643+81200</f>
        <v>369843</v>
      </c>
      <c r="M78" s="269"/>
      <c r="N78" s="269"/>
      <c r="O78" s="269"/>
      <c r="P78" s="269">
        <f>60117-23934-16098</f>
        <v>20085</v>
      </c>
      <c r="Q78" s="269">
        <f>-5160+89380</f>
        <v>84220</v>
      </c>
      <c r="R78" s="418">
        <v>-5796</v>
      </c>
      <c r="S78" s="437"/>
      <c r="T78" s="269"/>
      <c r="U78" s="269"/>
      <c r="V78" s="269"/>
      <c r="W78" s="269">
        <v>897000</v>
      </c>
      <c r="X78" s="269">
        <f t="shared" si="177"/>
        <v>897000</v>
      </c>
      <c r="Y78" s="269">
        <f t="shared" si="178"/>
        <v>0</v>
      </c>
      <c r="Z78" s="269"/>
      <c r="AA78" s="269"/>
      <c r="AB78" s="269"/>
      <c r="AC78" s="269"/>
      <c r="AD78" s="269"/>
      <c r="AE78" s="269"/>
      <c r="AF78" s="269">
        <v>0</v>
      </c>
      <c r="AG78" s="138">
        <f t="shared" si="179"/>
        <v>0</v>
      </c>
      <c r="AH78" s="138">
        <f t="shared" si="180"/>
        <v>0</v>
      </c>
      <c r="AI78" s="138"/>
      <c r="AJ78" s="138"/>
      <c r="AK78" s="138"/>
      <c r="AL78" s="456"/>
      <c r="AM78" s="138"/>
      <c r="AN78" s="138"/>
      <c r="AO78" s="138"/>
      <c r="AP78" s="138"/>
      <c r="AQ78" s="138"/>
      <c r="AR78" s="138">
        <v>0</v>
      </c>
      <c r="AS78" s="138">
        <f t="shared" si="181"/>
        <v>0</v>
      </c>
      <c r="AT78" s="138">
        <f t="shared" si="182"/>
        <v>0</v>
      </c>
      <c r="AU78" s="138"/>
      <c r="AV78" s="138"/>
      <c r="AW78" s="456"/>
      <c r="AX78" s="138"/>
      <c r="AY78" s="138"/>
      <c r="AZ78" s="269">
        <f t="shared" si="183"/>
        <v>0</v>
      </c>
      <c r="BA78" s="269">
        <f t="shared" si="184"/>
        <v>0</v>
      </c>
      <c r="BB78" s="269"/>
      <c r="BC78" s="269"/>
      <c r="BD78" s="269"/>
      <c r="BE78" s="269"/>
      <c r="BF78" s="269"/>
      <c r="BG78" s="269"/>
      <c r="BH78" s="269"/>
      <c r="BI78" s="269"/>
      <c r="BJ78" s="269"/>
      <c r="BK78" s="335"/>
      <c r="BL78" s="270" t="s">
        <v>586</v>
      </c>
      <c r="BM78" s="196" t="s">
        <v>565</v>
      </c>
      <c r="BN78" s="36"/>
      <c r="BO78" s="36"/>
      <c r="BP78" s="36"/>
      <c r="BQ78" s="36"/>
      <c r="BR78" s="36"/>
      <c r="BS78" s="36"/>
      <c r="BT78" s="36"/>
      <c r="BU78" s="36"/>
    </row>
    <row r="79" spans="1:73" s="259" customFormat="1" ht="60" x14ac:dyDescent="0.2">
      <c r="A79" s="165"/>
      <c r="B79" s="131"/>
      <c r="C79" s="265"/>
      <c r="D79" s="308"/>
      <c r="E79" s="265" t="s">
        <v>613</v>
      </c>
      <c r="F79" s="346">
        <f t="shared" si="173"/>
        <v>181077</v>
      </c>
      <c r="G79" s="127">
        <f t="shared" si="174"/>
        <v>184933</v>
      </c>
      <c r="H79" s="269">
        <v>181077</v>
      </c>
      <c r="I79" s="269">
        <f t="shared" si="175"/>
        <v>184933</v>
      </c>
      <c r="J79" s="269">
        <f t="shared" si="176"/>
        <v>3856</v>
      </c>
      <c r="K79" s="269"/>
      <c r="L79" s="269"/>
      <c r="M79" s="269"/>
      <c r="N79" s="269"/>
      <c r="O79" s="269">
        <v>3856</v>
      </c>
      <c r="P79" s="269"/>
      <c r="Q79" s="269"/>
      <c r="R79" s="418"/>
      <c r="S79" s="437"/>
      <c r="T79" s="269"/>
      <c r="U79" s="269"/>
      <c r="V79" s="269"/>
      <c r="W79" s="269">
        <v>0</v>
      </c>
      <c r="X79" s="269">
        <f t="shared" si="177"/>
        <v>0</v>
      </c>
      <c r="Y79" s="269">
        <f t="shared" si="178"/>
        <v>0</v>
      </c>
      <c r="Z79" s="269"/>
      <c r="AA79" s="269"/>
      <c r="AB79" s="269"/>
      <c r="AC79" s="269"/>
      <c r="AD79" s="269"/>
      <c r="AE79" s="269"/>
      <c r="AF79" s="269">
        <v>0</v>
      </c>
      <c r="AG79" s="138">
        <f t="shared" si="179"/>
        <v>0</v>
      </c>
      <c r="AH79" s="138">
        <f t="shared" si="180"/>
        <v>0</v>
      </c>
      <c r="AI79" s="138"/>
      <c r="AJ79" s="138"/>
      <c r="AK79" s="138"/>
      <c r="AL79" s="456"/>
      <c r="AM79" s="138"/>
      <c r="AN79" s="138"/>
      <c r="AO79" s="138"/>
      <c r="AP79" s="138"/>
      <c r="AQ79" s="138"/>
      <c r="AR79" s="138">
        <v>0</v>
      </c>
      <c r="AS79" s="138">
        <f t="shared" si="181"/>
        <v>0</v>
      </c>
      <c r="AT79" s="138">
        <f t="shared" si="182"/>
        <v>0</v>
      </c>
      <c r="AU79" s="138"/>
      <c r="AV79" s="138"/>
      <c r="AW79" s="456"/>
      <c r="AX79" s="138"/>
      <c r="AY79" s="138"/>
      <c r="AZ79" s="269">
        <f t="shared" si="183"/>
        <v>0</v>
      </c>
      <c r="BA79" s="269">
        <f t="shared" si="184"/>
        <v>0</v>
      </c>
      <c r="BB79" s="269"/>
      <c r="BC79" s="269"/>
      <c r="BD79" s="269"/>
      <c r="BE79" s="269"/>
      <c r="BF79" s="269"/>
      <c r="BG79" s="269"/>
      <c r="BH79" s="269"/>
      <c r="BI79" s="269"/>
      <c r="BJ79" s="269"/>
      <c r="BK79" s="335"/>
      <c r="BL79" s="111" t="s">
        <v>657</v>
      </c>
      <c r="BM79" s="196"/>
      <c r="BN79" s="36"/>
      <c r="BO79" s="36"/>
      <c r="BP79" s="36"/>
      <c r="BQ79" s="36"/>
      <c r="BR79" s="36"/>
      <c r="BS79" s="36"/>
      <c r="BT79" s="36"/>
      <c r="BU79" s="36"/>
    </row>
    <row r="80" spans="1:73" s="259" customFormat="1" ht="72" x14ac:dyDescent="0.2">
      <c r="A80" s="165"/>
      <c r="B80" s="131"/>
      <c r="C80" s="265"/>
      <c r="D80" s="308"/>
      <c r="E80" s="265" t="s">
        <v>614</v>
      </c>
      <c r="F80" s="346">
        <f t="shared" si="173"/>
        <v>100000</v>
      </c>
      <c r="G80" s="127">
        <f t="shared" si="174"/>
        <v>100000</v>
      </c>
      <c r="H80" s="269">
        <v>100000</v>
      </c>
      <c r="I80" s="269">
        <f t="shared" si="175"/>
        <v>100000</v>
      </c>
      <c r="J80" s="269">
        <f t="shared" si="176"/>
        <v>0</v>
      </c>
      <c r="K80" s="269"/>
      <c r="L80" s="269"/>
      <c r="M80" s="269"/>
      <c r="N80" s="269"/>
      <c r="O80" s="269"/>
      <c r="P80" s="269"/>
      <c r="Q80" s="269"/>
      <c r="R80" s="418"/>
      <c r="S80" s="437"/>
      <c r="T80" s="269"/>
      <c r="U80" s="269"/>
      <c r="V80" s="269"/>
      <c r="W80" s="269">
        <v>0</v>
      </c>
      <c r="X80" s="269">
        <f t="shared" si="177"/>
        <v>0</v>
      </c>
      <c r="Y80" s="269">
        <f t="shared" si="178"/>
        <v>0</v>
      </c>
      <c r="Z80" s="269"/>
      <c r="AA80" s="269"/>
      <c r="AB80" s="269"/>
      <c r="AC80" s="269"/>
      <c r="AD80" s="269"/>
      <c r="AE80" s="269"/>
      <c r="AF80" s="269">
        <v>0</v>
      </c>
      <c r="AG80" s="138">
        <f t="shared" si="179"/>
        <v>0</v>
      </c>
      <c r="AH80" s="138">
        <f t="shared" si="180"/>
        <v>0</v>
      </c>
      <c r="AI80" s="138"/>
      <c r="AJ80" s="138"/>
      <c r="AK80" s="138"/>
      <c r="AL80" s="456"/>
      <c r="AM80" s="138"/>
      <c r="AN80" s="138"/>
      <c r="AO80" s="138"/>
      <c r="AP80" s="138"/>
      <c r="AQ80" s="138"/>
      <c r="AR80" s="138">
        <v>0</v>
      </c>
      <c r="AS80" s="138">
        <f t="shared" si="181"/>
        <v>0</v>
      </c>
      <c r="AT80" s="138">
        <f t="shared" si="182"/>
        <v>0</v>
      </c>
      <c r="AU80" s="138"/>
      <c r="AV80" s="138"/>
      <c r="AW80" s="456"/>
      <c r="AX80" s="138"/>
      <c r="AY80" s="138"/>
      <c r="AZ80" s="269">
        <f t="shared" si="183"/>
        <v>0</v>
      </c>
      <c r="BA80" s="269">
        <f t="shared" si="184"/>
        <v>0</v>
      </c>
      <c r="BB80" s="269"/>
      <c r="BC80" s="269"/>
      <c r="BD80" s="269"/>
      <c r="BE80" s="269"/>
      <c r="BF80" s="269"/>
      <c r="BG80" s="269"/>
      <c r="BH80" s="269"/>
      <c r="BI80" s="269"/>
      <c r="BJ80" s="269"/>
      <c r="BK80" s="335"/>
      <c r="BL80" s="111" t="s">
        <v>658</v>
      </c>
      <c r="BM80" s="196"/>
      <c r="BN80" s="36"/>
      <c r="BO80" s="36"/>
      <c r="BP80" s="36"/>
      <c r="BQ80" s="36"/>
      <c r="BR80" s="36"/>
      <c r="BS80" s="36"/>
      <c r="BT80" s="36"/>
      <c r="BU80" s="36"/>
    </row>
    <row r="81" spans="1:73" s="374" customFormat="1" ht="28.5" customHeight="1" x14ac:dyDescent="0.2">
      <c r="A81" s="165"/>
      <c r="B81" s="131"/>
      <c r="C81" s="265"/>
      <c r="D81" s="308"/>
      <c r="E81" s="265" t="s">
        <v>749</v>
      </c>
      <c r="F81" s="346">
        <f t="shared" ref="F81" si="185">H81+W81+AF81+AQ81+AR81+AY81</f>
        <v>0</v>
      </c>
      <c r="G81" s="127">
        <f t="shared" ref="G81" si="186">I81+X81+AG81+AQ81+AS81+AZ81</f>
        <v>26371</v>
      </c>
      <c r="H81" s="269"/>
      <c r="I81" s="269">
        <f t="shared" ref="I81" si="187">J81+H81</f>
        <v>26371</v>
      </c>
      <c r="J81" s="269">
        <f t="shared" ref="J81" si="188">SUM(K81:V81)</f>
        <v>26371</v>
      </c>
      <c r="K81" s="269"/>
      <c r="L81" s="269"/>
      <c r="M81" s="269"/>
      <c r="N81" s="269">
        <v>26371</v>
      </c>
      <c r="O81" s="269"/>
      <c r="P81" s="269"/>
      <c r="Q81" s="269"/>
      <c r="R81" s="418"/>
      <c r="S81" s="437"/>
      <c r="T81" s="269"/>
      <c r="U81" s="269"/>
      <c r="V81" s="269"/>
      <c r="W81" s="269"/>
      <c r="X81" s="269">
        <f t="shared" ref="X81" si="189">Y81+W81</f>
        <v>0</v>
      </c>
      <c r="Y81" s="269">
        <f t="shared" ref="Y81" si="190">SUM(Z81:AE81)</f>
        <v>0</v>
      </c>
      <c r="Z81" s="269"/>
      <c r="AA81" s="269"/>
      <c r="AB81" s="269"/>
      <c r="AC81" s="269"/>
      <c r="AD81" s="269"/>
      <c r="AE81" s="269"/>
      <c r="AF81" s="269"/>
      <c r="AG81" s="138">
        <f t="shared" ref="AG81" si="191">AH81+AF81</f>
        <v>0</v>
      </c>
      <c r="AH81" s="138">
        <f t="shared" ref="AH81" si="192">SUM(AI81:AP81)</f>
        <v>0</v>
      </c>
      <c r="AI81" s="138"/>
      <c r="AJ81" s="138"/>
      <c r="AK81" s="138"/>
      <c r="AL81" s="456"/>
      <c r="AM81" s="138"/>
      <c r="AN81" s="138"/>
      <c r="AO81" s="138"/>
      <c r="AP81" s="138"/>
      <c r="AQ81" s="138"/>
      <c r="AR81" s="138"/>
      <c r="AS81" s="138">
        <f t="shared" ref="AS81" si="193">AT81+AR81</f>
        <v>0</v>
      </c>
      <c r="AT81" s="138">
        <f t="shared" ref="AT81" si="194">SUM(AU81:AX81)</f>
        <v>0</v>
      </c>
      <c r="AU81" s="138"/>
      <c r="AV81" s="138"/>
      <c r="AW81" s="456"/>
      <c r="AX81" s="138"/>
      <c r="AY81" s="138"/>
      <c r="AZ81" s="269">
        <f t="shared" ref="AZ81" si="195">BA81+AY81</f>
        <v>0</v>
      </c>
      <c r="BA81" s="269">
        <f t="shared" ref="BA81" si="196">SUM(BB81:BK81)</f>
        <v>0</v>
      </c>
      <c r="BB81" s="269"/>
      <c r="BC81" s="269"/>
      <c r="BD81" s="269"/>
      <c r="BE81" s="269"/>
      <c r="BF81" s="269"/>
      <c r="BG81" s="269"/>
      <c r="BH81" s="269"/>
      <c r="BI81" s="269"/>
      <c r="BJ81" s="269"/>
      <c r="BK81" s="335"/>
      <c r="BL81" s="111" t="s">
        <v>748</v>
      </c>
      <c r="BM81" s="196"/>
      <c r="BN81" s="36"/>
      <c r="BO81" s="36"/>
      <c r="BP81" s="36"/>
      <c r="BQ81" s="36"/>
      <c r="BR81" s="36"/>
      <c r="BS81" s="36"/>
      <c r="BT81" s="36"/>
      <c r="BU81" s="36"/>
    </row>
    <row r="82" spans="1:73" ht="24" x14ac:dyDescent="0.2">
      <c r="A82" s="165">
        <v>42803002568</v>
      </c>
      <c r="B82" s="129"/>
      <c r="C82" s="471" t="s">
        <v>389</v>
      </c>
      <c r="D82" s="472"/>
      <c r="E82" s="108" t="s">
        <v>363</v>
      </c>
      <c r="F82" s="346">
        <f t="shared" si="173"/>
        <v>1448570</v>
      </c>
      <c r="G82" s="109">
        <f t="shared" si="174"/>
        <v>1448570</v>
      </c>
      <c r="H82" s="110">
        <v>1448570</v>
      </c>
      <c r="I82" s="110">
        <f t="shared" si="175"/>
        <v>1448570</v>
      </c>
      <c r="J82" s="110">
        <f t="shared" si="176"/>
        <v>0</v>
      </c>
      <c r="K82" s="110"/>
      <c r="L82" s="110"/>
      <c r="M82" s="110"/>
      <c r="N82" s="110"/>
      <c r="O82" s="110"/>
      <c r="P82" s="110"/>
      <c r="Q82" s="110"/>
      <c r="R82" s="416"/>
      <c r="S82" s="435"/>
      <c r="T82" s="110"/>
      <c r="U82" s="110"/>
      <c r="V82" s="110"/>
      <c r="W82" s="110">
        <v>0</v>
      </c>
      <c r="X82" s="110">
        <f t="shared" si="177"/>
        <v>0</v>
      </c>
      <c r="Y82" s="110">
        <f t="shared" si="178"/>
        <v>0</v>
      </c>
      <c r="Z82" s="110"/>
      <c r="AA82" s="110"/>
      <c r="AB82" s="110"/>
      <c r="AC82" s="110"/>
      <c r="AD82" s="110"/>
      <c r="AE82" s="110"/>
      <c r="AF82" s="110">
        <v>0</v>
      </c>
      <c r="AG82" s="135">
        <f t="shared" si="179"/>
        <v>0</v>
      </c>
      <c r="AH82" s="135">
        <f t="shared" si="180"/>
        <v>0</v>
      </c>
      <c r="AI82" s="135"/>
      <c r="AJ82" s="135"/>
      <c r="AK82" s="135"/>
      <c r="AL82" s="454"/>
      <c r="AM82" s="135"/>
      <c r="AN82" s="135"/>
      <c r="AO82" s="135"/>
      <c r="AP82" s="135"/>
      <c r="AQ82" s="135"/>
      <c r="AR82" s="135">
        <v>0</v>
      </c>
      <c r="AS82" s="135">
        <f t="shared" si="181"/>
        <v>0</v>
      </c>
      <c r="AT82" s="135">
        <f t="shared" si="182"/>
        <v>0</v>
      </c>
      <c r="AU82" s="135"/>
      <c r="AV82" s="135"/>
      <c r="AW82" s="454"/>
      <c r="AX82" s="135"/>
      <c r="AY82" s="135"/>
      <c r="AZ82" s="110">
        <f t="shared" si="183"/>
        <v>0</v>
      </c>
      <c r="BA82" s="110">
        <f t="shared" si="184"/>
        <v>0</v>
      </c>
      <c r="BB82" s="110"/>
      <c r="BC82" s="110"/>
      <c r="BD82" s="110"/>
      <c r="BE82" s="110"/>
      <c r="BF82" s="110"/>
      <c r="BG82" s="110"/>
      <c r="BH82" s="110"/>
      <c r="BI82" s="110"/>
      <c r="BJ82" s="110"/>
      <c r="BK82" s="332"/>
      <c r="BL82" s="111" t="s">
        <v>450</v>
      </c>
      <c r="BM82" s="117"/>
      <c r="BN82" s="36"/>
      <c r="BO82" s="36"/>
      <c r="BP82" s="36"/>
      <c r="BQ82" s="36"/>
      <c r="BR82" s="36"/>
      <c r="BS82" s="36"/>
      <c r="BT82" s="36"/>
      <c r="BU82" s="36"/>
    </row>
    <row r="83" spans="1:73" ht="24" x14ac:dyDescent="0.2">
      <c r="A83" s="165">
        <v>90010691331</v>
      </c>
      <c r="B83" s="213"/>
      <c r="C83" s="502" t="s">
        <v>607</v>
      </c>
      <c r="D83" s="503"/>
      <c r="E83" s="255" t="s">
        <v>211</v>
      </c>
      <c r="F83" s="351">
        <f t="shared" si="173"/>
        <v>314635</v>
      </c>
      <c r="G83" s="214">
        <f t="shared" si="174"/>
        <v>356960</v>
      </c>
      <c r="H83" s="256">
        <v>177635</v>
      </c>
      <c r="I83" s="256">
        <f t="shared" si="175"/>
        <v>177635</v>
      </c>
      <c r="J83" s="256">
        <f t="shared" si="176"/>
        <v>0</v>
      </c>
      <c r="K83" s="256"/>
      <c r="L83" s="256"/>
      <c r="M83" s="256"/>
      <c r="N83" s="256"/>
      <c r="O83" s="256"/>
      <c r="P83" s="256"/>
      <c r="Q83" s="256"/>
      <c r="R83" s="420"/>
      <c r="S83" s="439"/>
      <c r="T83" s="256"/>
      <c r="U83" s="256"/>
      <c r="V83" s="256"/>
      <c r="W83" s="256">
        <v>0</v>
      </c>
      <c r="X83" s="256">
        <f t="shared" si="177"/>
        <v>0</v>
      </c>
      <c r="Y83" s="256">
        <f t="shared" si="178"/>
        <v>0</v>
      </c>
      <c r="Z83" s="256"/>
      <c r="AA83" s="256"/>
      <c r="AB83" s="256"/>
      <c r="AC83" s="256"/>
      <c r="AD83" s="256"/>
      <c r="AE83" s="256"/>
      <c r="AF83" s="256">
        <v>137000</v>
      </c>
      <c r="AG83" s="215">
        <f t="shared" si="179"/>
        <v>179397</v>
      </c>
      <c r="AH83" s="215">
        <f t="shared" si="180"/>
        <v>42397</v>
      </c>
      <c r="AI83" s="215">
        <v>36773</v>
      </c>
      <c r="AJ83" s="215"/>
      <c r="AK83" s="215">
        <f>5594+30</f>
        <v>5624</v>
      </c>
      <c r="AL83" s="458"/>
      <c r="AM83" s="215"/>
      <c r="AN83" s="215"/>
      <c r="AO83" s="215"/>
      <c r="AP83" s="215"/>
      <c r="AQ83" s="215"/>
      <c r="AR83" s="215">
        <v>0</v>
      </c>
      <c r="AS83" s="215">
        <f t="shared" si="181"/>
        <v>0</v>
      </c>
      <c r="AT83" s="215">
        <f t="shared" si="182"/>
        <v>0</v>
      </c>
      <c r="AU83" s="215"/>
      <c r="AV83" s="215"/>
      <c r="AW83" s="458"/>
      <c r="AX83" s="215"/>
      <c r="AY83" s="215"/>
      <c r="AZ83" s="256">
        <f t="shared" si="183"/>
        <v>-72</v>
      </c>
      <c r="BA83" s="256">
        <f t="shared" si="184"/>
        <v>-72</v>
      </c>
      <c r="BB83" s="256"/>
      <c r="BC83" s="256">
        <v>-72</v>
      </c>
      <c r="BD83" s="256"/>
      <c r="BE83" s="256"/>
      <c r="BF83" s="256"/>
      <c r="BG83" s="256"/>
      <c r="BH83" s="256"/>
      <c r="BI83" s="256"/>
      <c r="BJ83" s="256"/>
      <c r="BK83" s="337"/>
      <c r="BL83" s="291" t="s">
        <v>451</v>
      </c>
      <c r="BM83" s="216"/>
      <c r="BN83" s="36"/>
      <c r="BO83" s="36"/>
      <c r="BP83" s="36"/>
      <c r="BQ83" s="36"/>
      <c r="BR83" s="36"/>
      <c r="BS83" s="36"/>
      <c r="BT83" s="36"/>
      <c r="BU83" s="36"/>
    </row>
    <row r="84" spans="1:73" ht="60" x14ac:dyDescent="0.2">
      <c r="A84" s="165"/>
      <c r="B84" s="129"/>
      <c r="C84" s="471" t="s">
        <v>189</v>
      </c>
      <c r="D84" s="472"/>
      <c r="E84" s="283" t="s">
        <v>401</v>
      </c>
      <c r="F84" s="346">
        <f t="shared" si="173"/>
        <v>400000</v>
      </c>
      <c r="G84" s="109">
        <f t="shared" si="174"/>
        <v>400000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416"/>
      <c r="S84" s="435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35"/>
      <c r="AH84" s="135"/>
      <c r="AI84" s="135"/>
      <c r="AJ84" s="135"/>
      <c r="AK84" s="135"/>
      <c r="AL84" s="454"/>
      <c r="AM84" s="135"/>
      <c r="AN84" s="135"/>
      <c r="AO84" s="135"/>
      <c r="AP84" s="135"/>
      <c r="AQ84" s="135">
        <v>400000</v>
      </c>
      <c r="AR84" s="135"/>
      <c r="AS84" s="135"/>
      <c r="AT84" s="135"/>
      <c r="AU84" s="135"/>
      <c r="AV84" s="135"/>
      <c r="AW84" s="454"/>
      <c r="AX84" s="135"/>
      <c r="AY84" s="135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332"/>
      <c r="BL84" s="111"/>
      <c r="BM84" s="117"/>
      <c r="BN84" s="36"/>
      <c r="BO84" s="36"/>
      <c r="BP84" s="36"/>
      <c r="BQ84" s="36"/>
      <c r="BR84" s="36"/>
      <c r="BS84" s="36"/>
      <c r="BT84" s="36"/>
      <c r="BU84" s="36"/>
    </row>
    <row r="85" spans="1:73" s="224" customFormat="1" ht="60" x14ac:dyDescent="0.2">
      <c r="A85" s="165"/>
      <c r="B85" s="129"/>
      <c r="C85" s="225"/>
      <c r="D85" s="226"/>
      <c r="E85" s="283" t="s">
        <v>402</v>
      </c>
      <c r="F85" s="346">
        <f t="shared" si="173"/>
        <v>320500</v>
      </c>
      <c r="G85" s="109">
        <f t="shared" si="174"/>
        <v>320500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416"/>
      <c r="S85" s="435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35"/>
      <c r="AH85" s="135"/>
      <c r="AI85" s="135"/>
      <c r="AJ85" s="135"/>
      <c r="AK85" s="135"/>
      <c r="AL85" s="454"/>
      <c r="AM85" s="135"/>
      <c r="AN85" s="135"/>
      <c r="AO85" s="135"/>
      <c r="AP85" s="135"/>
      <c r="AQ85" s="135">
        <v>320500</v>
      </c>
      <c r="AR85" s="135"/>
      <c r="AS85" s="135"/>
      <c r="AT85" s="135"/>
      <c r="AU85" s="135"/>
      <c r="AV85" s="135"/>
      <c r="AW85" s="454"/>
      <c r="AX85" s="135"/>
      <c r="AY85" s="135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332"/>
      <c r="BL85" s="111"/>
      <c r="BM85" s="117"/>
      <c r="BN85" s="36"/>
      <c r="BO85" s="36"/>
      <c r="BP85" s="36"/>
      <c r="BQ85" s="36"/>
      <c r="BR85" s="36"/>
      <c r="BS85" s="36"/>
      <c r="BT85" s="36"/>
      <c r="BU85" s="36"/>
    </row>
    <row r="86" spans="1:73" s="183" customFormat="1" ht="72" x14ac:dyDescent="0.2">
      <c r="A86" s="165"/>
      <c r="B86" s="186"/>
      <c r="C86" s="184"/>
      <c r="D86" s="185"/>
      <c r="E86" s="283" t="s">
        <v>312</v>
      </c>
      <c r="F86" s="346">
        <f t="shared" si="173"/>
        <v>202540</v>
      </c>
      <c r="G86" s="109">
        <f t="shared" si="174"/>
        <v>202540</v>
      </c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416"/>
      <c r="S86" s="435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35"/>
      <c r="AH86" s="135"/>
      <c r="AI86" s="135"/>
      <c r="AJ86" s="135"/>
      <c r="AK86" s="135"/>
      <c r="AL86" s="454"/>
      <c r="AM86" s="135"/>
      <c r="AN86" s="135"/>
      <c r="AO86" s="135"/>
      <c r="AP86" s="135"/>
      <c r="AQ86" s="135">
        <v>202540</v>
      </c>
      <c r="AR86" s="135"/>
      <c r="AS86" s="135"/>
      <c r="AT86" s="135"/>
      <c r="AU86" s="135"/>
      <c r="AV86" s="135"/>
      <c r="AW86" s="454"/>
      <c r="AX86" s="135"/>
      <c r="AY86" s="135"/>
      <c r="AZ86" s="110"/>
      <c r="BA86" s="110"/>
      <c r="BB86" s="110"/>
      <c r="BC86" s="110"/>
      <c r="BD86" s="110"/>
      <c r="BE86" s="110"/>
      <c r="BF86" s="110"/>
      <c r="BG86" s="110"/>
      <c r="BH86" s="110"/>
      <c r="BI86" s="110"/>
      <c r="BJ86" s="110"/>
      <c r="BK86" s="332"/>
      <c r="BL86" s="111"/>
      <c r="BM86" s="117"/>
      <c r="BN86" s="36"/>
      <c r="BO86" s="36"/>
      <c r="BP86" s="36"/>
      <c r="BQ86" s="36"/>
      <c r="BR86" s="36"/>
      <c r="BS86" s="36"/>
      <c r="BT86" s="36"/>
      <c r="BU86" s="36"/>
    </row>
    <row r="87" spans="1:73" s="254" customFormat="1" ht="72" x14ac:dyDescent="0.2">
      <c r="A87" s="165"/>
      <c r="B87" s="186"/>
      <c r="C87" s="298"/>
      <c r="D87" s="299"/>
      <c r="E87" s="283" t="s">
        <v>615</v>
      </c>
      <c r="F87" s="346">
        <f t="shared" si="173"/>
        <v>546042</v>
      </c>
      <c r="G87" s="109">
        <f t="shared" si="174"/>
        <v>546042</v>
      </c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416"/>
      <c r="S87" s="435"/>
      <c r="T87" s="110"/>
      <c r="U87" s="110"/>
      <c r="V87" s="110"/>
      <c r="W87" s="110"/>
      <c r="X87" s="110"/>
      <c r="Y87" s="110"/>
      <c r="Z87" s="110"/>
      <c r="AA87" s="110"/>
      <c r="AB87" s="110"/>
      <c r="AC87" s="110"/>
      <c r="AD87" s="110"/>
      <c r="AE87" s="110"/>
      <c r="AF87" s="110"/>
      <c r="AG87" s="135"/>
      <c r="AH87" s="135"/>
      <c r="AI87" s="135"/>
      <c r="AJ87" s="135"/>
      <c r="AK87" s="135"/>
      <c r="AL87" s="454"/>
      <c r="AM87" s="135"/>
      <c r="AN87" s="135"/>
      <c r="AO87" s="135"/>
      <c r="AP87" s="135"/>
      <c r="AQ87" s="135">
        <v>546042</v>
      </c>
      <c r="AR87" s="135"/>
      <c r="AS87" s="135"/>
      <c r="AT87" s="135"/>
      <c r="AU87" s="135"/>
      <c r="AV87" s="135"/>
      <c r="AW87" s="454"/>
      <c r="AX87" s="135"/>
      <c r="AY87" s="135"/>
      <c r="AZ87" s="110"/>
      <c r="BA87" s="110"/>
      <c r="BB87" s="110"/>
      <c r="BC87" s="110"/>
      <c r="BD87" s="110"/>
      <c r="BE87" s="110"/>
      <c r="BF87" s="110"/>
      <c r="BG87" s="110"/>
      <c r="BH87" s="110"/>
      <c r="BI87" s="110"/>
      <c r="BJ87" s="110"/>
      <c r="BK87" s="332"/>
      <c r="BL87" s="111"/>
      <c r="BM87" s="117"/>
      <c r="BN87" s="36"/>
      <c r="BO87" s="36"/>
      <c r="BP87" s="36"/>
      <c r="BQ87" s="36"/>
      <c r="BR87" s="36"/>
      <c r="BS87" s="36"/>
      <c r="BT87" s="36"/>
      <c r="BU87" s="36"/>
    </row>
    <row r="88" spans="1:73" ht="12.75" thickBot="1" x14ac:dyDescent="0.25">
      <c r="A88" s="165"/>
      <c r="B88" s="148"/>
      <c r="C88" s="504"/>
      <c r="D88" s="505"/>
      <c r="E88" s="161"/>
      <c r="F88" s="347"/>
      <c r="G88" s="95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417"/>
      <c r="S88" s="436"/>
      <c r="T88" s="96"/>
      <c r="U88" s="96"/>
      <c r="V88" s="96"/>
      <c r="W88" s="96"/>
      <c r="X88" s="96"/>
      <c r="Y88" s="96"/>
      <c r="Z88" s="96"/>
      <c r="AA88" s="96"/>
      <c r="AB88" s="96"/>
      <c r="AC88" s="96"/>
      <c r="AD88" s="96"/>
      <c r="AE88" s="96"/>
      <c r="AF88" s="96"/>
      <c r="AG88" s="134"/>
      <c r="AH88" s="134"/>
      <c r="AI88" s="134"/>
      <c r="AJ88" s="134"/>
      <c r="AK88" s="134"/>
      <c r="AL88" s="455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455"/>
      <c r="AX88" s="134"/>
      <c r="AY88" s="134"/>
      <c r="AZ88" s="96"/>
      <c r="BA88" s="96"/>
      <c r="BB88" s="96"/>
      <c r="BC88" s="96"/>
      <c r="BD88" s="96"/>
      <c r="BE88" s="96"/>
      <c r="BF88" s="96"/>
      <c r="BG88" s="96"/>
      <c r="BH88" s="96"/>
      <c r="BI88" s="96"/>
      <c r="BJ88" s="96"/>
      <c r="BK88" s="333"/>
      <c r="BL88" s="97"/>
      <c r="BM88" s="118"/>
      <c r="BN88" s="36"/>
      <c r="BO88" s="36"/>
      <c r="BP88" s="36"/>
      <c r="BQ88" s="36"/>
      <c r="BR88" s="36"/>
      <c r="BS88" s="36"/>
      <c r="BT88" s="36"/>
      <c r="BU88" s="36"/>
    </row>
    <row r="89" spans="1:73" ht="12.75" thickBot="1" x14ac:dyDescent="0.25">
      <c r="A89" s="201"/>
      <c r="B89" s="501" t="s">
        <v>12</v>
      </c>
      <c r="C89" s="501"/>
      <c r="D89" s="198" t="s">
        <v>13</v>
      </c>
      <c r="E89" s="16"/>
      <c r="F89" s="348">
        <f>SUM(F90:F96)</f>
        <v>222199</v>
      </c>
      <c r="G89" s="17">
        <f>SUM(G90:G96)</f>
        <v>373603</v>
      </c>
      <c r="H89" s="133">
        <f t="shared" ref="H89:AY89" si="197">SUM(H90:H96)</f>
        <v>217647</v>
      </c>
      <c r="I89" s="133">
        <f t="shared" ref="I89" si="198">SUM(I90:I96)</f>
        <v>369051</v>
      </c>
      <c r="J89" s="133">
        <f t="shared" ref="J89" si="199">SUM(J90:J96)</f>
        <v>151404</v>
      </c>
      <c r="K89" s="133">
        <f t="shared" ref="K89" si="200">SUM(K90:K96)</f>
        <v>0</v>
      </c>
      <c r="L89" s="133">
        <f t="shared" ref="L89" si="201">SUM(L90:L96)</f>
        <v>0</v>
      </c>
      <c r="M89" s="133">
        <f t="shared" ref="M89" si="202">SUM(M90:M96)</f>
        <v>0</v>
      </c>
      <c r="N89" s="133">
        <f>SUM(N90:N96)</f>
        <v>147404</v>
      </c>
      <c r="O89" s="133">
        <f t="shared" ref="O89" si="203">SUM(O90:O96)</f>
        <v>0</v>
      </c>
      <c r="P89" s="133">
        <f t="shared" ref="P89" si="204">SUM(P90:P96)</f>
        <v>0</v>
      </c>
      <c r="Q89" s="133">
        <f t="shared" ref="Q89" si="205">SUM(Q90:Q96)</f>
        <v>0</v>
      </c>
      <c r="R89" s="421">
        <f t="shared" ref="R89" si="206">SUM(R90:R96)</f>
        <v>0</v>
      </c>
      <c r="S89" s="440">
        <f t="shared" ref="S89" si="207">SUM(S90:S96)</f>
        <v>4000</v>
      </c>
      <c r="T89" s="133">
        <f t="shared" ref="T89" si="208">SUM(T90:T96)</f>
        <v>0</v>
      </c>
      <c r="U89" s="133">
        <f t="shared" ref="U89" si="209">SUM(U90:U96)</f>
        <v>0</v>
      </c>
      <c r="V89" s="133">
        <f t="shared" ref="V89" si="210">SUM(V90:V96)</f>
        <v>0</v>
      </c>
      <c r="W89" s="133">
        <f t="shared" si="197"/>
        <v>0</v>
      </c>
      <c r="X89" s="133">
        <f t="shared" ref="X89" si="211">SUM(X90:X96)</f>
        <v>0</v>
      </c>
      <c r="Y89" s="133">
        <f t="shared" ref="Y89" si="212">SUM(Y90:Y96)</f>
        <v>0</v>
      </c>
      <c r="Z89" s="133">
        <f t="shared" ref="Z89" si="213">SUM(Z90:Z96)</f>
        <v>0</v>
      </c>
      <c r="AA89" s="133">
        <f t="shared" ref="AA89" si="214">SUM(AA90:AA96)</f>
        <v>0</v>
      </c>
      <c r="AB89" s="133">
        <f t="shared" ref="AB89" si="215">SUM(AB90:AB96)</f>
        <v>0</v>
      </c>
      <c r="AC89" s="133">
        <f t="shared" ref="AC89" si="216">SUM(AC90:AC96)</f>
        <v>0</v>
      </c>
      <c r="AD89" s="133">
        <f t="shared" ref="AD89" si="217">SUM(AD90:AD96)</f>
        <v>0</v>
      </c>
      <c r="AE89" s="133">
        <f t="shared" ref="AE89" si="218">SUM(AE90:AE96)</f>
        <v>0</v>
      </c>
      <c r="AF89" s="133">
        <f t="shared" si="197"/>
        <v>4552</v>
      </c>
      <c r="AG89" s="133">
        <f t="shared" ref="AG89" si="219">SUM(AG90:AG96)</f>
        <v>4552</v>
      </c>
      <c r="AH89" s="133">
        <f t="shared" ref="AH89" si="220">SUM(AH90:AH96)</f>
        <v>0</v>
      </c>
      <c r="AI89" s="133">
        <f t="shared" ref="AI89" si="221">SUM(AI90:AI96)</f>
        <v>0</v>
      </c>
      <c r="AJ89" s="133">
        <f t="shared" ref="AJ89" si="222">SUM(AJ90:AJ96)</f>
        <v>0</v>
      </c>
      <c r="AK89" s="133">
        <f t="shared" ref="AK89" si="223">SUM(AK90:AK96)</f>
        <v>0</v>
      </c>
      <c r="AL89" s="440">
        <f t="shared" ref="AL89" si="224">SUM(AL90:AL96)</f>
        <v>0</v>
      </c>
      <c r="AM89" s="133">
        <f t="shared" ref="AM89" si="225">SUM(AM90:AM96)</f>
        <v>0</v>
      </c>
      <c r="AN89" s="133">
        <f t="shared" ref="AN89" si="226">SUM(AN90:AN96)</f>
        <v>0</v>
      </c>
      <c r="AO89" s="133">
        <f t="shared" ref="AO89" si="227">SUM(AO90:AO96)</f>
        <v>0</v>
      </c>
      <c r="AP89" s="133">
        <f t="shared" ref="AP89" si="228">SUM(AP90:AP96)</f>
        <v>0</v>
      </c>
      <c r="AQ89" s="133">
        <f t="shared" si="197"/>
        <v>0</v>
      </c>
      <c r="AR89" s="133">
        <f t="shared" si="197"/>
        <v>0</v>
      </c>
      <c r="AS89" s="133">
        <f t="shared" ref="AS89" si="229">SUM(AS90:AS96)</f>
        <v>0</v>
      </c>
      <c r="AT89" s="133">
        <f t="shared" ref="AT89" si="230">SUM(AT90:AT96)</f>
        <v>0</v>
      </c>
      <c r="AU89" s="133">
        <f t="shared" ref="AU89" si="231">SUM(AU90:AU96)</f>
        <v>0</v>
      </c>
      <c r="AV89" s="133">
        <f t="shared" ref="AV89" si="232">SUM(AV90:AV96)</f>
        <v>0</v>
      </c>
      <c r="AW89" s="440">
        <f t="shared" ref="AW89" si="233">SUM(AW90:AW96)</f>
        <v>0</v>
      </c>
      <c r="AX89" s="133">
        <f t="shared" ref="AX89" si="234">SUM(AX90:AX96)</f>
        <v>0</v>
      </c>
      <c r="AY89" s="133">
        <f t="shared" si="197"/>
        <v>0</v>
      </c>
      <c r="AZ89" s="10">
        <f t="shared" ref="AZ89" si="235">SUM(AZ90:AZ96)</f>
        <v>0</v>
      </c>
      <c r="BA89" s="10">
        <f t="shared" ref="BA89" si="236">SUM(BA90:BA96)</f>
        <v>0</v>
      </c>
      <c r="BB89" s="10">
        <f t="shared" ref="BB89" si="237">SUM(BB90:BB96)</f>
        <v>0</v>
      </c>
      <c r="BC89" s="10">
        <f t="shared" ref="BC89" si="238">SUM(BC90:BC96)</f>
        <v>0</v>
      </c>
      <c r="BD89" s="10">
        <f t="shared" ref="BD89" si="239">SUM(BD90:BD96)</f>
        <v>0</v>
      </c>
      <c r="BE89" s="10">
        <f t="shared" ref="BE89" si="240">SUM(BE90:BE96)</f>
        <v>0</v>
      </c>
      <c r="BF89" s="10">
        <f t="shared" ref="BF89" si="241">SUM(BF90:BF96)</f>
        <v>0</v>
      </c>
      <c r="BG89" s="10">
        <f t="shared" ref="BG89" si="242">SUM(BG90:BG96)</f>
        <v>0</v>
      </c>
      <c r="BH89" s="10">
        <f t="shared" ref="BH89" si="243">SUM(BH90:BH96)</f>
        <v>0</v>
      </c>
      <c r="BI89" s="10">
        <f t="shared" ref="BI89" si="244">SUM(BI90:BI96)</f>
        <v>0</v>
      </c>
      <c r="BJ89" s="10">
        <f t="shared" ref="BJ89" si="245">SUM(BJ90:BJ96)</f>
        <v>0</v>
      </c>
      <c r="BK89" s="334">
        <f t="shared" ref="BK89" si="246">SUM(BK90:BK96)</f>
        <v>0</v>
      </c>
      <c r="BL89" s="18"/>
      <c r="BM89" s="119"/>
      <c r="BN89" s="36"/>
      <c r="BO89" s="36"/>
      <c r="BP89" s="36"/>
      <c r="BQ89" s="36"/>
      <c r="BR89" s="36"/>
      <c r="BS89" s="36"/>
      <c r="BT89" s="36"/>
      <c r="BU89" s="36"/>
    </row>
    <row r="90" spans="1:73" ht="24.75" thickTop="1" x14ac:dyDescent="0.2">
      <c r="A90" s="165">
        <v>90000594245</v>
      </c>
      <c r="B90" s="129"/>
      <c r="C90" s="506" t="s">
        <v>702</v>
      </c>
      <c r="D90" s="507"/>
      <c r="E90" s="108" t="s">
        <v>212</v>
      </c>
      <c r="F90" s="346">
        <f t="shared" ref="F90:F95" si="247">H90+W90+AF90+AQ90+AR90+AY90</f>
        <v>40712</v>
      </c>
      <c r="G90" s="109">
        <f t="shared" ref="G90:G95" si="248">I90+X90+AG90+AQ90+AS90+AZ90</f>
        <v>40712</v>
      </c>
      <c r="H90" s="110">
        <v>40712</v>
      </c>
      <c r="I90" s="110">
        <f t="shared" ref="I90:I95" si="249">J90+H90</f>
        <v>40712</v>
      </c>
      <c r="J90" s="110">
        <f t="shared" ref="J90:J95" si="250">SUM(K90:V90)</f>
        <v>0</v>
      </c>
      <c r="K90" s="110"/>
      <c r="L90" s="110"/>
      <c r="M90" s="110"/>
      <c r="N90" s="110"/>
      <c r="O90" s="110"/>
      <c r="P90" s="110"/>
      <c r="Q90" s="110"/>
      <c r="R90" s="416"/>
      <c r="S90" s="435"/>
      <c r="T90" s="110"/>
      <c r="U90" s="110"/>
      <c r="V90" s="110"/>
      <c r="W90" s="110">
        <v>0</v>
      </c>
      <c r="X90" s="110">
        <f t="shared" ref="X90:X95" si="251">Y90+W90</f>
        <v>0</v>
      </c>
      <c r="Y90" s="110">
        <f t="shared" ref="Y90:Y95" si="252">SUM(Z90:AE90)</f>
        <v>0</v>
      </c>
      <c r="Z90" s="110"/>
      <c r="AA90" s="110"/>
      <c r="AB90" s="110"/>
      <c r="AC90" s="110"/>
      <c r="AD90" s="110"/>
      <c r="AE90" s="110"/>
      <c r="AF90" s="110">
        <v>0</v>
      </c>
      <c r="AG90" s="135">
        <f t="shared" ref="AG90:AG95" si="253">AH90+AF90</f>
        <v>0</v>
      </c>
      <c r="AH90" s="135">
        <f t="shared" ref="AH90:AH95" si="254">SUM(AI90:AP90)</f>
        <v>0</v>
      </c>
      <c r="AI90" s="135"/>
      <c r="AJ90" s="135"/>
      <c r="AK90" s="135"/>
      <c r="AL90" s="454"/>
      <c r="AM90" s="135"/>
      <c r="AN90" s="135"/>
      <c r="AO90" s="135"/>
      <c r="AP90" s="135"/>
      <c r="AQ90" s="135"/>
      <c r="AR90" s="135">
        <v>0</v>
      </c>
      <c r="AS90" s="135">
        <f t="shared" ref="AS90:AS95" si="255">AT90+AR90</f>
        <v>0</v>
      </c>
      <c r="AT90" s="135">
        <f t="shared" ref="AT90:AT95" si="256">SUM(AU90:AX90)</f>
        <v>0</v>
      </c>
      <c r="AU90" s="135"/>
      <c r="AV90" s="135"/>
      <c r="AW90" s="454"/>
      <c r="AX90" s="135"/>
      <c r="AY90" s="135"/>
      <c r="AZ90" s="110">
        <f t="shared" ref="AZ90:AZ95" si="257">BA90+AY90</f>
        <v>0</v>
      </c>
      <c r="BA90" s="110">
        <f t="shared" ref="BA90:BA95" si="258">SUM(BB90:BK90)</f>
        <v>0</v>
      </c>
      <c r="BB90" s="110"/>
      <c r="BC90" s="110"/>
      <c r="BD90" s="110"/>
      <c r="BE90" s="110"/>
      <c r="BF90" s="110"/>
      <c r="BG90" s="110"/>
      <c r="BH90" s="110"/>
      <c r="BI90" s="110"/>
      <c r="BJ90" s="110"/>
      <c r="BK90" s="332"/>
      <c r="BL90" s="111" t="s">
        <v>452</v>
      </c>
      <c r="BM90" s="117" t="s">
        <v>567</v>
      </c>
      <c r="BN90" s="36"/>
      <c r="BO90" s="36"/>
      <c r="BP90" s="36"/>
      <c r="BQ90" s="36"/>
      <c r="BR90" s="36"/>
      <c r="BS90" s="36"/>
      <c r="BT90" s="36"/>
      <c r="BU90" s="36"/>
    </row>
    <row r="91" spans="1:73" ht="24" x14ac:dyDescent="0.2">
      <c r="A91" s="165"/>
      <c r="B91" s="129"/>
      <c r="C91" s="191"/>
      <c r="D91" s="192"/>
      <c r="E91" s="108" t="s">
        <v>237</v>
      </c>
      <c r="F91" s="346">
        <f t="shared" si="247"/>
        <v>26513</v>
      </c>
      <c r="G91" s="109">
        <f t="shared" si="248"/>
        <v>26513</v>
      </c>
      <c r="H91" s="110">
        <v>26513</v>
      </c>
      <c r="I91" s="110">
        <f t="shared" si="249"/>
        <v>26513</v>
      </c>
      <c r="J91" s="110">
        <f t="shared" si="250"/>
        <v>0</v>
      </c>
      <c r="K91" s="110"/>
      <c r="L91" s="110"/>
      <c r="M91" s="110"/>
      <c r="N91" s="110"/>
      <c r="O91" s="110"/>
      <c r="P91" s="110"/>
      <c r="Q91" s="110"/>
      <c r="R91" s="416"/>
      <c r="S91" s="435"/>
      <c r="T91" s="110"/>
      <c r="U91" s="110"/>
      <c r="V91" s="110"/>
      <c r="W91" s="110">
        <v>0</v>
      </c>
      <c r="X91" s="110">
        <f t="shared" si="251"/>
        <v>0</v>
      </c>
      <c r="Y91" s="110">
        <f t="shared" si="252"/>
        <v>0</v>
      </c>
      <c r="Z91" s="110"/>
      <c r="AA91" s="110"/>
      <c r="AB91" s="110"/>
      <c r="AC91" s="110"/>
      <c r="AD91" s="110"/>
      <c r="AE91" s="110"/>
      <c r="AF91" s="110">
        <v>0</v>
      </c>
      <c r="AG91" s="135">
        <f t="shared" si="253"/>
        <v>0</v>
      </c>
      <c r="AH91" s="135">
        <f t="shared" si="254"/>
        <v>0</v>
      </c>
      <c r="AI91" s="135"/>
      <c r="AJ91" s="135"/>
      <c r="AK91" s="135"/>
      <c r="AL91" s="454"/>
      <c r="AM91" s="135"/>
      <c r="AN91" s="135"/>
      <c r="AO91" s="135"/>
      <c r="AP91" s="135"/>
      <c r="AQ91" s="135"/>
      <c r="AR91" s="135">
        <v>0</v>
      </c>
      <c r="AS91" s="135">
        <f t="shared" si="255"/>
        <v>0</v>
      </c>
      <c r="AT91" s="135">
        <f t="shared" si="256"/>
        <v>0</v>
      </c>
      <c r="AU91" s="135"/>
      <c r="AV91" s="135"/>
      <c r="AW91" s="454"/>
      <c r="AX91" s="135"/>
      <c r="AY91" s="135"/>
      <c r="AZ91" s="110">
        <f t="shared" si="257"/>
        <v>0</v>
      </c>
      <c r="BA91" s="110">
        <f t="shared" si="258"/>
        <v>0</v>
      </c>
      <c r="BB91" s="110"/>
      <c r="BC91" s="110"/>
      <c r="BD91" s="110"/>
      <c r="BE91" s="110"/>
      <c r="BF91" s="110"/>
      <c r="BG91" s="110"/>
      <c r="BH91" s="110"/>
      <c r="BI91" s="110"/>
      <c r="BJ91" s="110"/>
      <c r="BK91" s="332"/>
      <c r="BL91" s="111" t="s">
        <v>453</v>
      </c>
      <c r="BM91" s="117" t="s">
        <v>567</v>
      </c>
      <c r="BN91" s="36"/>
      <c r="BO91" s="36"/>
      <c r="BP91" s="36"/>
      <c r="BQ91" s="36"/>
      <c r="BR91" s="36"/>
      <c r="BS91" s="36"/>
      <c r="BT91" s="36"/>
      <c r="BU91" s="36"/>
    </row>
    <row r="92" spans="1:73" ht="24" x14ac:dyDescent="0.2">
      <c r="A92" s="165"/>
      <c r="B92" s="129"/>
      <c r="C92" s="191"/>
      <c r="D92" s="192"/>
      <c r="E92" s="108" t="s">
        <v>231</v>
      </c>
      <c r="F92" s="346">
        <f t="shared" si="247"/>
        <v>65761</v>
      </c>
      <c r="G92" s="109">
        <f t="shared" si="248"/>
        <v>70161</v>
      </c>
      <c r="H92" s="110">
        <v>65761</v>
      </c>
      <c r="I92" s="110">
        <f t="shared" si="249"/>
        <v>70161</v>
      </c>
      <c r="J92" s="110">
        <f t="shared" si="250"/>
        <v>4400</v>
      </c>
      <c r="K92" s="110"/>
      <c r="L92" s="110"/>
      <c r="M92" s="110"/>
      <c r="N92" s="110">
        <v>400</v>
      </c>
      <c r="O92" s="110"/>
      <c r="P92" s="110"/>
      <c r="Q92" s="110"/>
      <c r="R92" s="416"/>
      <c r="S92" s="435">
        <v>4000</v>
      </c>
      <c r="T92" s="110"/>
      <c r="U92" s="110"/>
      <c r="V92" s="110"/>
      <c r="W92" s="110">
        <v>0</v>
      </c>
      <c r="X92" s="110">
        <f t="shared" si="251"/>
        <v>0</v>
      </c>
      <c r="Y92" s="110">
        <f t="shared" si="252"/>
        <v>0</v>
      </c>
      <c r="Z92" s="110"/>
      <c r="AA92" s="110"/>
      <c r="AB92" s="110"/>
      <c r="AC92" s="110"/>
      <c r="AD92" s="110"/>
      <c r="AE92" s="110"/>
      <c r="AF92" s="110">
        <v>0</v>
      </c>
      <c r="AG92" s="135">
        <f t="shared" si="253"/>
        <v>0</v>
      </c>
      <c r="AH92" s="135">
        <f t="shared" si="254"/>
        <v>0</v>
      </c>
      <c r="AI92" s="135"/>
      <c r="AJ92" s="135"/>
      <c r="AK92" s="135"/>
      <c r="AL92" s="454"/>
      <c r="AM92" s="135"/>
      <c r="AN92" s="135"/>
      <c r="AO92" s="135"/>
      <c r="AP92" s="135"/>
      <c r="AQ92" s="135"/>
      <c r="AR92" s="135">
        <v>0</v>
      </c>
      <c r="AS92" s="135">
        <f t="shared" si="255"/>
        <v>0</v>
      </c>
      <c r="AT92" s="135">
        <f t="shared" si="256"/>
        <v>0</v>
      </c>
      <c r="AU92" s="135"/>
      <c r="AV92" s="135"/>
      <c r="AW92" s="454"/>
      <c r="AX92" s="135"/>
      <c r="AY92" s="135"/>
      <c r="AZ92" s="110">
        <f t="shared" si="257"/>
        <v>0</v>
      </c>
      <c r="BA92" s="110">
        <f t="shared" si="258"/>
        <v>0</v>
      </c>
      <c r="BB92" s="110"/>
      <c r="BC92" s="110"/>
      <c r="BD92" s="110"/>
      <c r="BE92" s="110"/>
      <c r="BF92" s="110"/>
      <c r="BG92" s="110"/>
      <c r="BH92" s="110"/>
      <c r="BI92" s="110"/>
      <c r="BJ92" s="110"/>
      <c r="BK92" s="332"/>
      <c r="BL92" s="111" t="s">
        <v>454</v>
      </c>
      <c r="BM92" s="117" t="s">
        <v>567</v>
      </c>
      <c r="BN92" s="36"/>
      <c r="BO92" s="36"/>
      <c r="BP92" s="36"/>
      <c r="BQ92" s="36"/>
      <c r="BR92" s="36"/>
      <c r="BS92" s="36"/>
      <c r="BT92" s="36"/>
      <c r="BU92" s="36"/>
    </row>
    <row r="93" spans="1:73" s="379" customFormat="1" ht="36" x14ac:dyDescent="0.2">
      <c r="A93" s="165"/>
      <c r="B93" s="129"/>
      <c r="C93" s="380"/>
      <c r="D93" s="381"/>
      <c r="E93" s="378" t="s">
        <v>752</v>
      </c>
      <c r="F93" s="346">
        <f t="shared" ref="F93" si="259">H93+W93+AF93+AQ93+AR93+AY93</f>
        <v>0</v>
      </c>
      <c r="G93" s="109">
        <f t="shared" ref="G93" si="260">I93+X93+AG93+AQ93+AS93+AZ93</f>
        <v>147004</v>
      </c>
      <c r="H93" s="110"/>
      <c r="I93" s="110">
        <f t="shared" ref="I93" si="261">J93+H93</f>
        <v>147004</v>
      </c>
      <c r="J93" s="110">
        <f t="shared" ref="J93" si="262">SUM(K93:V93)</f>
        <v>147004</v>
      </c>
      <c r="K93" s="110"/>
      <c r="L93" s="110"/>
      <c r="M93" s="110"/>
      <c r="N93" s="110">
        <v>147004</v>
      </c>
      <c r="O93" s="110"/>
      <c r="P93" s="110"/>
      <c r="Q93" s="110"/>
      <c r="R93" s="416"/>
      <c r="S93" s="435"/>
      <c r="T93" s="110"/>
      <c r="U93" s="110"/>
      <c r="V93" s="110"/>
      <c r="W93" s="110"/>
      <c r="X93" s="110">
        <f t="shared" ref="X93" si="263">Y93+W93</f>
        <v>0</v>
      </c>
      <c r="Y93" s="110">
        <f t="shared" ref="Y93" si="264">SUM(Z93:AE93)</f>
        <v>0</v>
      </c>
      <c r="Z93" s="110"/>
      <c r="AA93" s="110"/>
      <c r="AB93" s="110"/>
      <c r="AC93" s="110"/>
      <c r="AD93" s="110"/>
      <c r="AE93" s="110"/>
      <c r="AF93" s="110"/>
      <c r="AG93" s="135">
        <f t="shared" ref="AG93" si="265">AH93+AF93</f>
        <v>0</v>
      </c>
      <c r="AH93" s="135">
        <f t="shared" ref="AH93" si="266">SUM(AI93:AP93)</f>
        <v>0</v>
      </c>
      <c r="AI93" s="135"/>
      <c r="AJ93" s="135"/>
      <c r="AK93" s="135"/>
      <c r="AL93" s="454"/>
      <c r="AM93" s="135"/>
      <c r="AN93" s="135"/>
      <c r="AO93" s="135"/>
      <c r="AP93" s="135"/>
      <c r="AQ93" s="135"/>
      <c r="AR93" s="135"/>
      <c r="AS93" s="135">
        <f t="shared" ref="AS93" si="267">AT93+AR93</f>
        <v>0</v>
      </c>
      <c r="AT93" s="135">
        <f t="shared" ref="AT93" si="268">SUM(AU93:AX93)</f>
        <v>0</v>
      </c>
      <c r="AU93" s="135"/>
      <c r="AV93" s="135"/>
      <c r="AW93" s="454"/>
      <c r="AX93" s="135"/>
      <c r="AY93" s="135"/>
      <c r="AZ93" s="110">
        <f t="shared" ref="AZ93" si="269">BA93+AY93</f>
        <v>0</v>
      </c>
      <c r="BA93" s="110">
        <f t="shared" ref="BA93" si="270">SUM(BB93:BK93)</f>
        <v>0</v>
      </c>
      <c r="BB93" s="110"/>
      <c r="BC93" s="110"/>
      <c r="BD93" s="110"/>
      <c r="BE93" s="110"/>
      <c r="BF93" s="110"/>
      <c r="BG93" s="110"/>
      <c r="BH93" s="110"/>
      <c r="BI93" s="110"/>
      <c r="BJ93" s="110"/>
      <c r="BK93" s="332"/>
      <c r="BL93" s="111" t="s">
        <v>762</v>
      </c>
      <c r="BM93" s="117"/>
      <c r="BN93" s="36"/>
      <c r="BO93" s="36"/>
      <c r="BP93" s="36"/>
      <c r="BQ93" s="36"/>
      <c r="BR93" s="36"/>
      <c r="BS93" s="36"/>
      <c r="BT93" s="36"/>
      <c r="BU93" s="36"/>
    </row>
    <row r="94" spans="1:73" ht="63" customHeight="1" x14ac:dyDescent="0.2">
      <c r="A94" s="165">
        <v>90010991438</v>
      </c>
      <c r="B94" s="129"/>
      <c r="C94" s="506" t="s">
        <v>606</v>
      </c>
      <c r="D94" s="507"/>
      <c r="E94" s="108" t="s">
        <v>295</v>
      </c>
      <c r="F94" s="346">
        <f t="shared" si="247"/>
        <v>6608</v>
      </c>
      <c r="G94" s="109">
        <f t="shared" si="248"/>
        <v>6608</v>
      </c>
      <c r="H94" s="110">
        <v>6608</v>
      </c>
      <c r="I94" s="110">
        <f t="shared" si="249"/>
        <v>6608</v>
      </c>
      <c r="J94" s="110">
        <f t="shared" si="250"/>
        <v>0</v>
      </c>
      <c r="K94" s="110"/>
      <c r="L94" s="110"/>
      <c r="M94" s="110"/>
      <c r="N94" s="110"/>
      <c r="O94" s="110"/>
      <c r="P94" s="110"/>
      <c r="Q94" s="110"/>
      <c r="R94" s="416"/>
      <c r="S94" s="435"/>
      <c r="T94" s="110"/>
      <c r="U94" s="110"/>
      <c r="V94" s="110"/>
      <c r="W94" s="110">
        <v>0</v>
      </c>
      <c r="X94" s="110">
        <f t="shared" si="251"/>
        <v>0</v>
      </c>
      <c r="Y94" s="110">
        <f t="shared" si="252"/>
        <v>0</v>
      </c>
      <c r="Z94" s="110"/>
      <c r="AA94" s="110"/>
      <c r="AB94" s="110"/>
      <c r="AC94" s="110"/>
      <c r="AD94" s="110"/>
      <c r="AE94" s="110"/>
      <c r="AF94" s="110">
        <v>0</v>
      </c>
      <c r="AG94" s="135">
        <f t="shared" si="253"/>
        <v>0</v>
      </c>
      <c r="AH94" s="135">
        <f t="shared" si="254"/>
        <v>0</v>
      </c>
      <c r="AI94" s="135"/>
      <c r="AJ94" s="135"/>
      <c r="AK94" s="135"/>
      <c r="AL94" s="454"/>
      <c r="AM94" s="135"/>
      <c r="AN94" s="135"/>
      <c r="AO94" s="135"/>
      <c r="AP94" s="135"/>
      <c r="AQ94" s="135"/>
      <c r="AR94" s="135">
        <v>0</v>
      </c>
      <c r="AS94" s="135">
        <f t="shared" si="255"/>
        <v>0</v>
      </c>
      <c r="AT94" s="135">
        <f t="shared" si="256"/>
        <v>0</v>
      </c>
      <c r="AU94" s="135"/>
      <c r="AV94" s="135"/>
      <c r="AW94" s="454"/>
      <c r="AX94" s="135"/>
      <c r="AY94" s="135"/>
      <c r="AZ94" s="110">
        <f t="shared" si="257"/>
        <v>0</v>
      </c>
      <c r="BA94" s="110">
        <f t="shared" si="258"/>
        <v>0</v>
      </c>
      <c r="BB94" s="110"/>
      <c r="BC94" s="110"/>
      <c r="BD94" s="110"/>
      <c r="BE94" s="110"/>
      <c r="BF94" s="110"/>
      <c r="BG94" s="110"/>
      <c r="BH94" s="110"/>
      <c r="BI94" s="110"/>
      <c r="BJ94" s="110"/>
      <c r="BK94" s="332"/>
      <c r="BL94" s="111" t="s">
        <v>455</v>
      </c>
      <c r="BM94" s="117"/>
      <c r="BN94" s="36"/>
      <c r="BO94" s="36"/>
      <c r="BP94" s="36"/>
      <c r="BQ94" s="36"/>
      <c r="BR94" s="36"/>
      <c r="BS94" s="36"/>
      <c r="BT94" s="36"/>
      <c r="BU94" s="36"/>
    </row>
    <row r="95" spans="1:73" s="155" customFormat="1" ht="28.5" customHeight="1" x14ac:dyDescent="0.2">
      <c r="A95" s="165"/>
      <c r="B95" s="129"/>
      <c r="C95" s="159"/>
      <c r="D95" s="160"/>
      <c r="E95" s="108" t="s">
        <v>644</v>
      </c>
      <c r="F95" s="346">
        <f t="shared" si="247"/>
        <v>82605</v>
      </c>
      <c r="G95" s="109">
        <f t="shared" si="248"/>
        <v>82605</v>
      </c>
      <c r="H95" s="110">
        <v>78053</v>
      </c>
      <c r="I95" s="110">
        <f t="shared" si="249"/>
        <v>78053</v>
      </c>
      <c r="J95" s="110">
        <f t="shared" si="250"/>
        <v>0</v>
      </c>
      <c r="K95" s="110"/>
      <c r="L95" s="110"/>
      <c r="M95" s="110"/>
      <c r="N95" s="110"/>
      <c r="O95" s="110"/>
      <c r="P95" s="110"/>
      <c r="Q95" s="110"/>
      <c r="R95" s="416"/>
      <c r="S95" s="435"/>
      <c r="T95" s="110"/>
      <c r="U95" s="110"/>
      <c r="V95" s="110"/>
      <c r="W95" s="110">
        <v>0</v>
      </c>
      <c r="X95" s="110">
        <f t="shared" si="251"/>
        <v>0</v>
      </c>
      <c r="Y95" s="110">
        <f t="shared" si="252"/>
        <v>0</v>
      </c>
      <c r="Z95" s="110"/>
      <c r="AA95" s="110"/>
      <c r="AB95" s="110"/>
      <c r="AC95" s="110"/>
      <c r="AD95" s="110"/>
      <c r="AE95" s="110"/>
      <c r="AF95" s="110">
        <v>4552</v>
      </c>
      <c r="AG95" s="135">
        <f t="shared" si="253"/>
        <v>4552</v>
      </c>
      <c r="AH95" s="135">
        <f t="shared" si="254"/>
        <v>0</v>
      </c>
      <c r="AI95" s="135"/>
      <c r="AJ95" s="135"/>
      <c r="AK95" s="135"/>
      <c r="AL95" s="454"/>
      <c r="AM95" s="135"/>
      <c r="AN95" s="135"/>
      <c r="AO95" s="135"/>
      <c r="AP95" s="135"/>
      <c r="AQ95" s="135"/>
      <c r="AR95" s="110">
        <v>0</v>
      </c>
      <c r="AS95" s="135">
        <f t="shared" si="255"/>
        <v>0</v>
      </c>
      <c r="AT95" s="135">
        <f t="shared" si="256"/>
        <v>0</v>
      </c>
      <c r="AU95" s="135"/>
      <c r="AV95" s="135"/>
      <c r="AW95" s="454"/>
      <c r="AX95" s="135"/>
      <c r="AY95" s="135"/>
      <c r="AZ95" s="110">
        <f t="shared" si="257"/>
        <v>0</v>
      </c>
      <c r="BA95" s="110">
        <f t="shared" si="258"/>
        <v>0</v>
      </c>
      <c r="BB95" s="110"/>
      <c r="BC95" s="110"/>
      <c r="BD95" s="110"/>
      <c r="BE95" s="110"/>
      <c r="BF95" s="110"/>
      <c r="BG95" s="110"/>
      <c r="BH95" s="110"/>
      <c r="BI95" s="110"/>
      <c r="BJ95" s="110"/>
      <c r="BK95" s="332"/>
      <c r="BL95" s="111" t="s">
        <v>456</v>
      </c>
      <c r="BM95" s="117"/>
      <c r="BN95" s="36"/>
      <c r="BO95" s="36"/>
      <c r="BP95" s="36"/>
      <c r="BQ95" s="36"/>
      <c r="BR95" s="36"/>
      <c r="BS95" s="36"/>
      <c r="BT95" s="36"/>
      <c r="BU95" s="36"/>
    </row>
    <row r="96" spans="1:73" ht="12.75" thickBot="1" x14ac:dyDescent="0.25">
      <c r="A96" s="165"/>
      <c r="B96" s="148"/>
      <c r="C96" s="504"/>
      <c r="D96" s="505"/>
      <c r="E96" s="161"/>
      <c r="F96" s="347"/>
      <c r="G96" s="95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417"/>
      <c r="S96" s="43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134"/>
      <c r="AH96" s="134"/>
      <c r="AI96" s="134"/>
      <c r="AJ96" s="134"/>
      <c r="AK96" s="134"/>
      <c r="AL96" s="455"/>
      <c r="AM96" s="134"/>
      <c r="AN96" s="134"/>
      <c r="AO96" s="134"/>
      <c r="AP96" s="134"/>
      <c r="AQ96" s="134"/>
      <c r="AR96" s="134"/>
      <c r="AS96" s="134"/>
      <c r="AT96" s="134"/>
      <c r="AU96" s="134"/>
      <c r="AV96" s="134"/>
      <c r="AW96" s="455"/>
      <c r="AX96" s="134"/>
      <c r="AY96" s="134"/>
      <c r="AZ96" s="96"/>
      <c r="BA96" s="96"/>
      <c r="BB96" s="96"/>
      <c r="BC96" s="96"/>
      <c r="BD96" s="96"/>
      <c r="BE96" s="96"/>
      <c r="BF96" s="96"/>
      <c r="BG96" s="96"/>
      <c r="BH96" s="96"/>
      <c r="BI96" s="96"/>
      <c r="BJ96" s="96"/>
      <c r="BK96" s="333"/>
      <c r="BL96" s="97"/>
      <c r="BM96" s="118"/>
      <c r="BN96" s="36"/>
      <c r="BO96" s="36"/>
      <c r="BP96" s="36"/>
      <c r="BQ96" s="36"/>
      <c r="BR96" s="36"/>
      <c r="BS96" s="36"/>
      <c r="BT96" s="36"/>
      <c r="BU96" s="36"/>
    </row>
    <row r="97" spans="1:73" ht="24.75" thickBot="1" x14ac:dyDescent="0.25">
      <c r="A97" s="201"/>
      <c r="B97" s="501" t="s">
        <v>14</v>
      </c>
      <c r="C97" s="501"/>
      <c r="D97" s="198" t="s">
        <v>15</v>
      </c>
      <c r="E97" s="16"/>
      <c r="F97" s="348">
        <f>SUM(F98:F133)</f>
        <v>8990521</v>
      </c>
      <c r="G97" s="17">
        <f>SUM(G98:G133)</f>
        <v>9177702</v>
      </c>
      <c r="H97" s="10">
        <f t="shared" ref="H97:AY97" si="271">SUM(H98:H133)</f>
        <v>7851532</v>
      </c>
      <c r="I97" s="10">
        <f t="shared" ref="I97" si="272">SUM(I98:I133)</f>
        <v>7981056</v>
      </c>
      <c r="J97" s="10">
        <f t="shared" ref="J97" si="273">SUM(J98:J133)</f>
        <v>129524</v>
      </c>
      <c r="K97" s="10">
        <f t="shared" ref="K97" si="274">SUM(K98:K133)</f>
        <v>0</v>
      </c>
      <c r="L97" s="10">
        <f t="shared" ref="L97" si="275">SUM(L98:L133)</f>
        <v>-218</v>
      </c>
      <c r="M97" s="10">
        <f t="shared" ref="M97" si="276">SUM(M98:M133)</f>
        <v>5722</v>
      </c>
      <c r="N97" s="10">
        <f t="shared" ref="N97" si="277">SUM(N98:N133)</f>
        <v>11500</v>
      </c>
      <c r="O97" s="10">
        <f t="shared" ref="O97" si="278">SUM(O98:O133)</f>
        <v>46305</v>
      </c>
      <c r="P97" s="10">
        <f t="shared" ref="P97" si="279">SUM(P98:P133)</f>
        <v>15580</v>
      </c>
      <c r="Q97" s="10">
        <f t="shared" ref="Q97" si="280">SUM(Q98:Q133)</f>
        <v>44443</v>
      </c>
      <c r="R97" s="415">
        <f t="shared" ref="R97" si="281">SUM(R98:R133)</f>
        <v>8000</v>
      </c>
      <c r="S97" s="434">
        <f t="shared" ref="S97" si="282">SUM(S98:S133)</f>
        <v>-1808</v>
      </c>
      <c r="T97" s="10">
        <f t="shared" ref="T97" si="283">SUM(T98:T133)</f>
        <v>0</v>
      </c>
      <c r="U97" s="10">
        <f t="shared" ref="U97" si="284">SUM(U98:U133)</f>
        <v>0</v>
      </c>
      <c r="V97" s="10">
        <f t="shared" ref="V97" si="285">SUM(V98:V133)</f>
        <v>0</v>
      </c>
      <c r="W97" s="10">
        <f t="shared" si="271"/>
        <v>8525</v>
      </c>
      <c r="X97" s="10">
        <f t="shared" ref="X97" si="286">SUM(X98:X133)</f>
        <v>7986</v>
      </c>
      <c r="Y97" s="10">
        <f t="shared" ref="Y97" si="287">SUM(Y98:Y133)</f>
        <v>-539</v>
      </c>
      <c r="Z97" s="10">
        <f t="shared" ref="Z97" si="288">SUM(Z98:Z133)</f>
        <v>0</v>
      </c>
      <c r="AA97" s="10">
        <f t="shared" ref="AA97" si="289">SUM(AA98:AA133)</f>
        <v>-539</v>
      </c>
      <c r="AB97" s="10">
        <f t="shared" ref="AB97" si="290">SUM(AB98:AB133)</f>
        <v>0</v>
      </c>
      <c r="AC97" s="10">
        <f t="shared" ref="AC97" si="291">SUM(AC98:AC133)</f>
        <v>0</v>
      </c>
      <c r="AD97" s="10">
        <f t="shared" ref="AD97" si="292">SUM(AD98:AD133)</f>
        <v>0</v>
      </c>
      <c r="AE97" s="10">
        <f t="shared" ref="AE97" si="293">SUM(AE98:AE133)</f>
        <v>0</v>
      </c>
      <c r="AF97" s="10">
        <f t="shared" si="271"/>
        <v>254166</v>
      </c>
      <c r="AG97" s="10">
        <f t="shared" ref="AG97" si="294">SUM(AG98:AG133)</f>
        <v>312048</v>
      </c>
      <c r="AH97" s="10">
        <f t="shared" ref="AH97" si="295">SUM(AH98:AH133)</f>
        <v>57882</v>
      </c>
      <c r="AI97" s="10">
        <f t="shared" ref="AI97" si="296">SUM(AI98:AI133)</f>
        <v>44309</v>
      </c>
      <c r="AJ97" s="10">
        <f t="shared" ref="AJ97" si="297">SUM(AJ98:AJ133)</f>
        <v>380</v>
      </c>
      <c r="AK97" s="10">
        <f t="shared" ref="AK97" si="298">SUM(AK98:AK133)</f>
        <v>120</v>
      </c>
      <c r="AL97" s="434">
        <f t="shared" ref="AL97" si="299">SUM(AL98:AL133)</f>
        <v>13073</v>
      </c>
      <c r="AM97" s="10">
        <f t="shared" ref="AM97" si="300">SUM(AM98:AM133)</f>
        <v>0</v>
      </c>
      <c r="AN97" s="10">
        <f t="shared" ref="AN97" si="301">SUM(AN98:AN133)</f>
        <v>0</v>
      </c>
      <c r="AO97" s="10">
        <f t="shared" ref="AO97" si="302">SUM(AO98:AO133)</f>
        <v>0</v>
      </c>
      <c r="AP97" s="10">
        <f t="shared" ref="AP97" si="303">SUM(AP98:AP133)</f>
        <v>0</v>
      </c>
      <c r="AQ97" s="10">
        <f t="shared" si="271"/>
        <v>876648</v>
      </c>
      <c r="AR97" s="133">
        <f t="shared" si="271"/>
        <v>0</v>
      </c>
      <c r="AS97" s="133">
        <f t="shared" ref="AS97" si="304">SUM(AS98:AS133)</f>
        <v>314</v>
      </c>
      <c r="AT97" s="133">
        <f t="shared" ref="AT97" si="305">SUM(AT98:AT133)</f>
        <v>314</v>
      </c>
      <c r="AU97" s="133">
        <f t="shared" ref="AU97" si="306">SUM(AU98:AU133)</f>
        <v>0</v>
      </c>
      <c r="AV97" s="133">
        <f t="shared" ref="AV97" si="307">SUM(AV98:AV133)</f>
        <v>314</v>
      </c>
      <c r="AW97" s="440">
        <f t="shared" ref="AW97" si="308">SUM(AW98:AW133)</f>
        <v>0</v>
      </c>
      <c r="AX97" s="133">
        <f t="shared" ref="AX97" si="309">SUM(AX98:AX133)</f>
        <v>0</v>
      </c>
      <c r="AY97" s="133">
        <f t="shared" si="271"/>
        <v>-350</v>
      </c>
      <c r="AZ97" s="10">
        <f t="shared" ref="AZ97" si="310">SUM(AZ98:AZ133)</f>
        <v>-350</v>
      </c>
      <c r="BA97" s="10">
        <f t="shared" ref="BA97" si="311">SUM(BA98:BA133)</f>
        <v>0</v>
      </c>
      <c r="BB97" s="10">
        <f t="shared" ref="BB97" si="312">SUM(BB98:BB133)</f>
        <v>0</v>
      </c>
      <c r="BC97" s="10">
        <f t="shared" ref="BC97" si="313">SUM(BC98:BC133)</f>
        <v>0</v>
      </c>
      <c r="BD97" s="10">
        <f t="shared" ref="BD97" si="314">SUM(BD98:BD133)</f>
        <v>0</v>
      </c>
      <c r="BE97" s="10">
        <f t="shared" ref="BE97" si="315">SUM(BE98:BE133)</f>
        <v>0</v>
      </c>
      <c r="BF97" s="10">
        <f t="shared" ref="BF97" si="316">SUM(BF98:BF133)</f>
        <v>0</v>
      </c>
      <c r="BG97" s="10">
        <f t="shared" ref="BG97" si="317">SUM(BG98:BG133)</f>
        <v>0</v>
      </c>
      <c r="BH97" s="10">
        <f t="shared" ref="BH97" si="318">SUM(BH98:BH133)</f>
        <v>0</v>
      </c>
      <c r="BI97" s="10">
        <f t="shared" ref="BI97" si="319">SUM(BI98:BI133)</f>
        <v>0</v>
      </c>
      <c r="BJ97" s="10">
        <f t="shared" ref="BJ97" si="320">SUM(BJ98:BJ133)</f>
        <v>0</v>
      </c>
      <c r="BK97" s="334">
        <f t="shared" ref="BK97" si="321">SUM(BK98:BK133)</f>
        <v>0</v>
      </c>
      <c r="BL97" s="18"/>
      <c r="BM97" s="119"/>
      <c r="BN97" s="36"/>
      <c r="BO97" s="36"/>
      <c r="BP97" s="36"/>
      <c r="BQ97" s="36"/>
      <c r="BR97" s="36"/>
      <c r="BS97" s="36"/>
      <c r="BT97" s="36"/>
      <c r="BU97" s="36"/>
    </row>
    <row r="98" spans="1:73" ht="24.75" thickTop="1" x14ac:dyDescent="0.2">
      <c r="A98" s="208">
        <v>90000056357</v>
      </c>
      <c r="B98" s="200"/>
      <c r="C98" s="499" t="s">
        <v>5</v>
      </c>
      <c r="D98" s="500"/>
      <c r="E98" s="108" t="s">
        <v>205</v>
      </c>
      <c r="F98" s="350">
        <f t="shared" ref="F98:F132" si="322">H98+W98+AF98+AQ98+AR98+AY98</f>
        <v>494003</v>
      </c>
      <c r="G98" s="113">
        <f t="shared" ref="G98:G132" si="323">I98+X98+AG98+AQ98+AS98+AZ98</f>
        <v>486003</v>
      </c>
      <c r="H98" s="273">
        <v>494003</v>
      </c>
      <c r="I98" s="273">
        <f t="shared" ref="I98:I130" si="324">J98+H98</f>
        <v>486003</v>
      </c>
      <c r="J98" s="273">
        <f t="shared" ref="J98:J130" si="325">SUM(K98:V98)</f>
        <v>-8000</v>
      </c>
      <c r="K98" s="273"/>
      <c r="L98" s="273">
        <v>-4000</v>
      </c>
      <c r="M98" s="273"/>
      <c r="N98" s="273"/>
      <c r="O98" s="273"/>
      <c r="P98" s="273"/>
      <c r="Q98" s="273"/>
      <c r="R98" s="419"/>
      <c r="S98" s="438">
        <f>-5000+1000</f>
        <v>-4000</v>
      </c>
      <c r="T98" s="273"/>
      <c r="U98" s="273"/>
      <c r="V98" s="273"/>
      <c r="W98" s="273">
        <v>0</v>
      </c>
      <c r="X98" s="273">
        <f t="shared" ref="X98:X130" si="326">Y98+W98</f>
        <v>0</v>
      </c>
      <c r="Y98" s="273">
        <f t="shared" ref="Y98:Y130" si="327">SUM(Z98:AE98)</f>
        <v>0</v>
      </c>
      <c r="Z98" s="273"/>
      <c r="AA98" s="273"/>
      <c r="AB98" s="273"/>
      <c r="AC98" s="273"/>
      <c r="AD98" s="273"/>
      <c r="AE98" s="273"/>
      <c r="AF98" s="273">
        <v>0</v>
      </c>
      <c r="AG98" s="136">
        <f t="shared" ref="AG98:AG130" si="328">AH98+AF98</f>
        <v>0</v>
      </c>
      <c r="AH98" s="136">
        <f t="shared" ref="AH98:AH130" si="329">SUM(AI98:AP98)</f>
        <v>0</v>
      </c>
      <c r="AI98" s="136"/>
      <c r="AJ98" s="136"/>
      <c r="AK98" s="136"/>
      <c r="AL98" s="457"/>
      <c r="AM98" s="136"/>
      <c r="AN98" s="136"/>
      <c r="AO98" s="136"/>
      <c r="AP98" s="136"/>
      <c r="AQ98" s="136"/>
      <c r="AR98" s="136">
        <v>0</v>
      </c>
      <c r="AS98" s="138">
        <f t="shared" ref="AS98:AS130" si="330">AT98+AR98</f>
        <v>0</v>
      </c>
      <c r="AT98" s="138">
        <f t="shared" ref="AT98:AT130" si="331">SUM(AU98:AX98)</f>
        <v>0</v>
      </c>
      <c r="AU98" s="138"/>
      <c r="AV98" s="138"/>
      <c r="AW98" s="456"/>
      <c r="AX98" s="138"/>
      <c r="AY98" s="138"/>
      <c r="AZ98" s="269">
        <f t="shared" ref="AZ98:AZ130" si="332">BA98+AY98</f>
        <v>0</v>
      </c>
      <c r="BA98" s="269">
        <f t="shared" ref="BA98:BA130" si="333">SUM(BB98:BK98)</f>
        <v>0</v>
      </c>
      <c r="BB98" s="269"/>
      <c r="BC98" s="269"/>
      <c r="BD98" s="269"/>
      <c r="BE98" s="269"/>
      <c r="BF98" s="269"/>
      <c r="BG98" s="269"/>
      <c r="BH98" s="269"/>
      <c r="BI98" s="269"/>
      <c r="BJ98" s="269"/>
      <c r="BK98" s="335"/>
      <c r="BL98" s="111" t="s">
        <v>589</v>
      </c>
      <c r="BM98" s="117"/>
      <c r="BN98" s="36"/>
      <c r="BO98" s="36"/>
      <c r="BP98" s="36"/>
      <c r="BQ98" s="36"/>
      <c r="BR98" s="36"/>
      <c r="BS98" s="36"/>
      <c r="BT98" s="36"/>
      <c r="BU98" s="36"/>
    </row>
    <row r="99" spans="1:73" ht="36" x14ac:dyDescent="0.2">
      <c r="A99" s="165"/>
      <c r="B99" s="129"/>
      <c r="C99" s="191"/>
      <c r="D99" s="192"/>
      <c r="E99" s="266" t="s">
        <v>686</v>
      </c>
      <c r="F99" s="346">
        <f t="shared" si="322"/>
        <v>484000</v>
      </c>
      <c r="G99" s="109">
        <f t="shared" si="323"/>
        <v>480117</v>
      </c>
      <c r="H99" s="110">
        <v>484000</v>
      </c>
      <c r="I99" s="110">
        <f t="shared" si="324"/>
        <v>480117</v>
      </c>
      <c r="J99" s="110">
        <f t="shared" si="325"/>
        <v>-3883</v>
      </c>
      <c r="K99" s="110"/>
      <c r="L99" s="110">
        <v>3782</v>
      </c>
      <c r="M99" s="110"/>
      <c r="N99" s="110"/>
      <c r="O99" s="110">
        <v>-3607</v>
      </c>
      <c r="P99" s="110">
        <v>-8354</v>
      </c>
      <c r="Q99" s="110">
        <v>4296</v>
      </c>
      <c r="R99" s="416"/>
      <c r="S99" s="435"/>
      <c r="T99" s="110"/>
      <c r="U99" s="110"/>
      <c r="V99" s="110"/>
      <c r="W99" s="110">
        <v>0</v>
      </c>
      <c r="X99" s="110">
        <f t="shared" si="326"/>
        <v>0</v>
      </c>
      <c r="Y99" s="110">
        <f t="shared" si="327"/>
        <v>0</v>
      </c>
      <c r="Z99" s="110"/>
      <c r="AA99" s="110"/>
      <c r="AB99" s="110"/>
      <c r="AC99" s="110"/>
      <c r="AD99" s="110"/>
      <c r="AE99" s="110"/>
      <c r="AF99" s="110">
        <v>0</v>
      </c>
      <c r="AG99" s="135">
        <f t="shared" si="328"/>
        <v>0</v>
      </c>
      <c r="AH99" s="135">
        <f t="shared" si="329"/>
        <v>0</v>
      </c>
      <c r="AI99" s="135"/>
      <c r="AJ99" s="135"/>
      <c r="AK99" s="135"/>
      <c r="AL99" s="454"/>
      <c r="AM99" s="135"/>
      <c r="AN99" s="135"/>
      <c r="AO99" s="135"/>
      <c r="AP99" s="135"/>
      <c r="AQ99" s="135"/>
      <c r="AR99" s="135">
        <v>0</v>
      </c>
      <c r="AS99" s="135">
        <f t="shared" si="330"/>
        <v>0</v>
      </c>
      <c r="AT99" s="135">
        <f t="shared" si="331"/>
        <v>0</v>
      </c>
      <c r="AU99" s="135"/>
      <c r="AV99" s="135"/>
      <c r="AW99" s="454"/>
      <c r="AX99" s="135"/>
      <c r="AY99" s="135"/>
      <c r="AZ99" s="110">
        <f t="shared" si="332"/>
        <v>0</v>
      </c>
      <c r="BA99" s="110">
        <f t="shared" si="333"/>
        <v>0</v>
      </c>
      <c r="BB99" s="110"/>
      <c r="BC99" s="110"/>
      <c r="BD99" s="110"/>
      <c r="BE99" s="110"/>
      <c r="BF99" s="110"/>
      <c r="BG99" s="110"/>
      <c r="BH99" s="110"/>
      <c r="BI99" s="110"/>
      <c r="BJ99" s="110"/>
      <c r="BK99" s="332"/>
      <c r="BL99" s="111" t="s">
        <v>436</v>
      </c>
      <c r="BM99" s="117" t="s">
        <v>649</v>
      </c>
      <c r="BN99" s="36"/>
      <c r="BO99" s="36"/>
      <c r="BP99" s="36"/>
      <c r="BQ99" s="36"/>
      <c r="BR99" s="36"/>
      <c r="BS99" s="36"/>
      <c r="BT99" s="36"/>
      <c r="BU99" s="36"/>
    </row>
    <row r="100" spans="1:73" ht="24" x14ac:dyDescent="0.2">
      <c r="A100" s="165"/>
      <c r="B100" s="129"/>
      <c r="C100" s="191"/>
      <c r="D100" s="192"/>
      <c r="E100" s="108" t="s">
        <v>284</v>
      </c>
      <c r="F100" s="346">
        <f t="shared" si="322"/>
        <v>30000</v>
      </c>
      <c r="G100" s="109">
        <f t="shared" si="323"/>
        <v>30000</v>
      </c>
      <c r="H100" s="110">
        <v>30000</v>
      </c>
      <c r="I100" s="110">
        <f t="shared" si="324"/>
        <v>30000</v>
      </c>
      <c r="J100" s="110">
        <f t="shared" si="325"/>
        <v>0</v>
      </c>
      <c r="K100" s="110"/>
      <c r="L100" s="110"/>
      <c r="M100" s="110"/>
      <c r="N100" s="110"/>
      <c r="O100" s="110"/>
      <c r="P100" s="110"/>
      <c r="Q100" s="110"/>
      <c r="R100" s="416"/>
      <c r="S100" s="435"/>
      <c r="T100" s="110"/>
      <c r="U100" s="110"/>
      <c r="V100" s="110"/>
      <c r="W100" s="110">
        <v>0</v>
      </c>
      <c r="X100" s="110">
        <f t="shared" si="326"/>
        <v>0</v>
      </c>
      <c r="Y100" s="110">
        <f t="shared" si="327"/>
        <v>0</v>
      </c>
      <c r="Z100" s="110"/>
      <c r="AA100" s="110"/>
      <c r="AB100" s="110"/>
      <c r="AC100" s="110"/>
      <c r="AD100" s="110"/>
      <c r="AE100" s="110"/>
      <c r="AF100" s="110">
        <v>0</v>
      </c>
      <c r="AG100" s="135">
        <f t="shared" si="328"/>
        <v>0</v>
      </c>
      <c r="AH100" s="135">
        <f t="shared" si="329"/>
        <v>0</v>
      </c>
      <c r="AI100" s="135"/>
      <c r="AJ100" s="135"/>
      <c r="AK100" s="135"/>
      <c r="AL100" s="454"/>
      <c r="AM100" s="135"/>
      <c r="AN100" s="135"/>
      <c r="AO100" s="135"/>
      <c r="AP100" s="135"/>
      <c r="AQ100" s="135"/>
      <c r="AR100" s="135">
        <v>0</v>
      </c>
      <c r="AS100" s="135">
        <f t="shared" si="330"/>
        <v>0</v>
      </c>
      <c r="AT100" s="135">
        <f t="shared" si="331"/>
        <v>0</v>
      </c>
      <c r="AU100" s="135"/>
      <c r="AV100" s="135"/>
      <c r="AW100" s="454"/>
      <c r="AX100" s="135"/>
      <c r="AY100" s="135"/>
      <c r="AZ100" s="110">
        <f t="shared" si="332"/>
        <v>0</v>
      </c>
      <c r="BA100" s="110">
        <f t="shared" si="333"/>
        <v>0</v>
      </c>
      <c r="BB100" s="110"/>
      <c r="BC100" s="110"/>
      <c r="BD100" s="110"/>
      <c r="BE100" s="110"/>
      <c r="BF100" s="110"/>
      <c r="BG100" s="110"/>
      <c r="BH100" s="110"/>
      <c r="BI100" s="110"/>
      <c r="BJ100" s="110"/>
      <c r="BK100" s="332"/>
      <c r="BL100" s="111" t="s">
        <v>437</v>
      </c>
      <c r="BM100" s="117" t="s">
        <v>667</v>
      </c>
      <c r="BN100" s="36"/>
      <c r="BO100" s="36"/>
      <c r="BP100" s="36"/>
      <c r="BQ100" s="36"/>
      <c r="BR100" s="36"/>
      <c r="BS100" s="36"/>
      <c r="BT100" s="36"/>
      <c r="BU100" s="36"/>
    </row>
    <row r="101" spans="1:73" ht="12.75" x14ac:dyDescent="0.2">
      <c r="A101" s="165"/>
      <c r="B101" s="129"/>
      <c r="C101" s="191"/>
      <c r="D101" s="192"/>
      <c r="E101" s="265" t="s">
        <v>601</v>
      </c>
      <c r="F101" s="346">
        <f t="shared" si="322"/>
        <v>613674</v>
      </c>
      <c r="G101" s="109">
        <f t="shared" si="323"/>
        <v>613524</v>
      </c>
      <c r="H101" s="110">
        <v>613674</v>
      </c>
      <c r="I101" s="110">
        <f t="shared" si="324"/>
        <v>613524</v>
      </c>
      <c r="J101" s="110">
        <f t="shared" si="325"/>
        <v>-150</v>
      </c>
      <c r="K101" s="110"/>
      <c r="L101" s="110"/>
      <c r="M101" s="110"/>
      <c r="N101" s="110"/>
      <c r="O101" s="110">
        <v>-150</v>
      </c>
      <c r="P101" s="110"/>
      <c r="Q101" s="110"/>
      <c r="R101" s="416"/>
      <c r="S101" s="435"/>
      <c r="T101" s="110"/>
      <c r="U101" s="110"/>
      <c r="V101" s="110"/>
      <c r="W101" s="110">
        <v>0</v>
      </c>
      <c r="X101" s="110">
        <f t="shared" si="326"/>
        <v>0</v>
      </c>
      <c r="Y101" s="110">
        <f t="shared" si="327"/>
        <v>0</v>
      </c>
      <c r="Z101" s="110"/>
      <c r="AA101" s="110"/>
      <c r="AB101" s="110"/>
      <c r="AC101" s="110"/>
      <c r="AD101" s="110"/>
      <c r="AE101" s="110"/>
      <c r="AF101" s="110">
        <v>0</v>
      </c>
      <c r="AG101" s="135">
        <f t="shared" si="328"/>
        <v>0</v>
      </c>
      <c r="AH101" s="135">
        <f t="shared" si="329"/>
        <v>0</v>
      </c>
      <c r="AI101" s="135"/>
      <c r="AJ101" s="135"/>
      <c r="AK101" s="135"/>
      <c r="AL101" s="454"/>
      <c r="AM101" s="135"/>
      <c r="AN101" s="135"/>
      <c r="AO101" s="135"/>
      <c r="AP101" s="135"/>
      <c r="AQ101" s="135"/>
      <c r="AR101" s="135">
        <v>0</v>
      </c>
      <c r="AS101" s="135">
        <f t="shared" si="330"/>
        <v>0</v>
      </c>
      <c r="AT101" s="135">
        <f t="shared" si="331"/>
        <v>0</v>
      </c>
      <c r="AU101" s="135"/>
      <c r="AV101" s="135"/>
      <c r="AW101" s="454"/>
      <c r="AX101" s="135"/>
      <c r="AY101" s="135"/>
      <c r="AZ101" s="110">
        <f t="shared" si="332"/>
        <v>0</v>
      </c>
      <c r="BA101" s="110">
        <f t="shared" si="333"/>
        <v>0</v>
      </c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332"/>
      <c r="BL101" s="111" t="s">
        <v>438</v>
      </c>
      <c r="BM101" s="117" t="s">
        <v>563</v>
      </c>
      <c r="BN101" s="36"/>
      <c r="BO101" s="36"/>
      <c r="BP101" s="36"/>
      <c r="BQ101" s="36"/>
      <c r="BR101" s="36"/>
      <c r="BS101" s="36"/>
      <c r="BT101" s="36"/>
      <c r="BU101" s="36"/>
    </row>
    <row r="102" spans="1:73" ht="24" x14ac:dyDescent="0.2">
      <c r="A102" s="165"/>
      <c r="B102" s="129"/>
      <c r="C102" s="108"/>
      <c r="D102" s="307"/>
      <c r="E102" s="108" t="s">
        <v>337</v>
      </c>
      <c r="F102" s="346">
        <f t="shared" si="322"/>
        <v>188500</v>
      </c>
      <c r="G102" s="109">
        <f t="shared" si="323"/>
        <v>166500</v>
      </c>
      <c r="H102" s="110">
        <v>188500</v>
      </c>
      <c r="I102" s="110">
        <f t="shared" si="324"/>
        <v>166500</v>
      </c>
      <c r="J102" s="110">
        <f t="shared" si="325"/>
        <v>-22000</v>
      </c>
      <c r="K102" s="110"/>
      <c r="L102" s="110"/>
      <c r="M102" s="110"/>
      <c r="N102" s="110">
        <v>-22000</v>
      </c>
      <c r="O102" s="110"/>
      <c r="P102" s="110"/>
      <c r="Q102" s="110"/>
      <c r="R102" s="416"/>
      <c r="S102" s="435"/>
      <c r="T102" s="110"/>
      <c r="U102" s="110"/>
      <c r="V102" s="110"/>
      <c r="W102" s="110">
        <v>0</v>
      </c>
      <c r="X102" s="110">
        <f t="shared" si="326"/>
        <v>0</v>
      </c>
      <c r="Y102" s="110">
        <f t="shared" si="327"/>
        <v>0</v>
      </c>
      <c r="Z102" s="110"/>
      <c r="AA102" s="110"/>
      <c r="AB102" s="110"/>
      <c r="AC102" s="110"/>
      <c r="AD102" s="110"/>
      <c r="AE102" s="110"/>
      <c r="AF102" s="110">
        <v>0</v>
      </c>
      <c r="AG102" s="135">
        <f t="shared" si="328"/>
        <v>0</v>
      </c>
      <c r="AH102" s="135">
        <f t="shared" si="329"/>
        <v>0</v>
      </c>
      <c r="AI102" s="135"/>
      <c r="AJ102" s="135"/>
      <c r="AK102" s="135"/>
      <c r="AL102" s="454"/>
      <c r="AM102" s="135"/>
      <c r="AN102" s="135"/>
      <c r="AO102" s="135"/>
      <c r="AP102" s="135"/>
      <c r="AQ102" s="135"/>
      <c r="AR102" s="135">
        <v>0</v>
      </c>
      <c r="AS102" s="135">
        <f t="shared" si="330"/>
        <v>0</v>
      </c>
      <c r="AT102" s="135">
        <f t="shared" si="331"/>
        <v>0</v>
      </c>
      <c r="AU102" s="135"/>
      <c r="AV102" s="135"/>
      <c r="AW102" s="454"/>
      <c r="AX102" s="135"/>
      <c r="AY102" s="135"/>
      <c r="AZ102" s="110">
        <f t="shared" si="332"/>
        <v>0</v>
      </c>
      <c r="BA102" s="110">
        <f t="shared" si="333"/>
        <v>0</v>
      </c>
      <c r="BB102" s="110"/>
      <c r="BC102" s="110"/>
      <c r="BD102" s="110"/>
      <c r="BE102" s="110"/>
      <c r="BF102" s="110"/>
      <c r="BG102" s="110"/>
      <c r="BH102" s="110"/>
      <c r="BI102" s="110"/>
      <c r="BJ102" s="110"/>
      <c r="BK102" s="332"/>
      <c r="BL102" s="111" t="s">
        <v>439</v>
      </c>
      <c r="BM102" s="117" t="s">
        <v>558</v>
      </c>
      <c r="BN102" s="36"/>
      <c r="BO102" s="36"/>
      <c r="BP102" s="36"/>
      <c r="BQ102" s="36"/>
      <c r="BR102" s="36"/>
      <c r="BS102" s="36"/>
      <c r="BT102" s="36"/>
      <c r="BU102" s="36"/>
    </row>
    <row r="103" spans="1:73" s="268" customFormat="1" x14ac:dyDescent="0.2">
      <c r="A103" s="165"/>
      <c r="B103" s="129"/>
      <c r="C103" s="108"/>
      <c r="D103" s="307"/>
      <c r="E103" s="108" t="s">
        <v>250</v>
      </c>
      <c r="F103" s="346">
        <f t="shared" si="322"/>
        <v>966772</v>
      </c>
      <c r="G103" s="109">
        <f t="shared" si="323"/>
        <v>972672</v>
      </c>
      <c r="H103" s="110">
        <v>966772</v>
      </c>
      <c r="I103" s="110">
        <f t="shared" si="324"/>
        <v>972672</v>
      </c>
      <c r="J103" s="110">
        <f t="shared" si="325"/>
        <v>5900</v>
      </c>
      <c r="K103" s="110"/>
      <c r="L103" s="110"/>
      <c r="M103" s="110"/>
      <c r="N103" s="110"/>
      <c r="O103" s="110"/>
      <c r="P103" s="110"/>
      <c r="Q103" s="110">
        <v>-2100</v>
      </c>
      <c r="R103" s="416">
        <v>8000</v>
      </c>
      <c r="S103" s="435"/>
      <c r="T103" s="110"/>
      <c r="U103" s="110"/>
      <c r="V103" s="110"/>
      <c r="W103" s="110">
        <v>0</v>
      </c>
      <c r="X103" s="110">
        <f t="shared" si="326"/>
        <v>0</v>
      </c>
      <c r="Y103" s="110">
        <f t="shared" si="327"/>
        <v>0</v>
      </c>
      <c r="Z103" s="110"/>
      <c r="AA103" s="110"/>
      <c r="AB103" s="110"/>
      <c r="AC103" s="110"/>
      <c r="AD103" s="110"/>
      <c r="AE103" s="110"/>
      <c r="AF103" s="110">
        <v>0</v>
      </c>
      <c r="AG103" s="135">
        <f t="shared" si="328"/>
        <v>0</v>
      </c>
      <c r="AH103" s="135">
        <f t="shared" si="329"/>
        <v>0</v>
      </c>
      <c r="AI103" s="135"/>
      <c r="AJ103" s="135"/>
      <c r="AK103" s="135"/>
      <c r="AL103" s="454"/>
      <c r="AM103" s="135"/>
      <c r="AN103" s="135"/>
      <c r="AO103" s="135"/>
      <c r="AP103" s="135"/>
      <c r="AQ103" s="135"/>
      <c r="AR103" s="135">
        <v>0</v>
      </c>
      <c r="AS103" s="135">
        <f t="shared" si="330"/>
        <v>0</v>
      </c>
      <c r="AT103" s="135">
        <f t="shared" si="331"/>
        <v>0</v>
      </c>
      <c r="AU103" s="135"/>
      <c r="AV103" s="135"/>
      <c r="AW103" s="454"/>
      <c r="AX103" s="135"/>
      <c r="AY103" s="135"/>
      <c r="AZ103" s="110">
        <f t="shared" si="332"/>
        <v>0</v>
      </c>
      <c r="BA103" s="110">
        <f t="shared" si="333"/>
        <v>0</v>
      </c>
      <c r="BB103" s="110"/>
      <c r="BC103" s="110"/>
      <c r="BD103" s="110"/>
      <c r="BE103" s="110"/>
      <c r="BF103" s="110"/>
      <c r="BG103" s="110"/>
      <c r="BH103" s="110"/>
      <c r="BI103" s="110"/>
      <c r="BJ103" s="110"/>
      <c r="BK103" s="332"/>
      <c r="BL103" s="111" t="s">
        <v>440</v>
      </c>
      <c r="BM103" s="117" t="s">
        <v>623</v>
      </c>
      <c r="BN103" s="36"/>
      <c r="BO103" s="36"/>
      <c r="BP103" s="36"/>
      <c r="BQ103" s="36"/>
      <c r="BR103" s="36"/>
      <c r="BS103" s="36"/>
      <c r="BT103" s="36"/>
      <c r="BU103" s="36"/>
    </row>
    <row r="104" spans="1:73" s="268" customFormat="1" x14ac:dyDescent="0.2">
      <c r="A104" s="165"/>
      <c r="B104" s="129"/>
      <c r="C104" s="108"/>
      <c r="D104" s="307"/>
      <c r="E104" s="108" t="s">
        <v>764</v>
      </c>
      <c r="F104" s="346">
        <f t="shared" si="322"/>
        <v>421730</v>
      </c>
      <c r="G104" s="109">
        <f t="shared" si="323"/>
        <v>494513</v>
      </c>
      <c r="H104" s="110">
        <v>421730</v>
      </c>
      <c r="I104" s="110">
        <f t="shared" si="324"/>
        <v>494513</v>
      </c>
      <c r="J104" s="110">
        <f t="shared" si="325"/>
        <v>72783</v>
      </c>
      <c r="K104" s="110"/>
      <c r="L104" s="110"/>
      <c r="M104" s="110"/>
      <c r="N104" s="110"/>
      <c r="O104" s="110">
        <v>45683</v>
      </c>
      <c r="P104" s="110"/>
      <c r="Q104" s="110">
        <v>27100</v>
      </c>
      <c r="R104" s="416"/>
      <c r="S104" s="435"/>
      <c r="T104" s="110"/>
      <c r="U104" s="110"/>
      <c r="V104" s="110"/>
      <c r="W104" s="110">
        <v>0</v>
      </c>
      <c r="X104" s="110">
        <f t="shared" si="326"/>
        <v>0</v>
      </c>
      <c r="Y104" s="110">
        <f t="shared" si="327"/>
        <v>0</v>
      </c>
      <c r="Z104" s="110"/>
      <c r="AA104" s="110"/>
      <c r="AB104" s="110"/>
      <c r="AC104" s="110"/>
      <c r="AD104" s="110"/>
      <c r="AE104" s="110"/>
      <c r="AF104" s="110">
        <v>0</v>
      </c>
      <c r="AG104" s="135">
        <f t="shared" si="328"/>
        <v>0</v>
      </c>
      <c r="AH104" s="135">
        <f t="shared" si="329"/>
        <v>0</v>
      </c>
      <c r="AI104" s="135"/>
      <c r="AJ104" s="135"/>
      <c r="AK104" s="135"/>
      <c r="AL104" s="454"/>
      <c r="AM104" s="135"/>
      <c r="AN104" s="135"/>
      <c r="AO104" s="135"/>
      <c r="AP104" s="135"/>
      <c r="AQ104" s="135"/>
      <c r="AR104" s="135">
        <v>0</v>
      </c>
      <c r="AS104" s="135">
        <f t="shared" si="330"/>
        <v>0</v>
      </c>
      <c r="AT104" s="135">
        <f t="shared" si="331"/>
        <v>0</v>
      </c>
      <c r="AU104" s="135"/>
      <c r="AV104" s="135"/>
      <c r="AW104" s="454"/>
      <c r="AX104" s="135"/>
      <c r="AY104" s="135"/>
      <c r="AZ104" s="110">
        <f t="shared" si="332"/>
        <v>0</v>
      </c>
      <c r="BA104" s="110">
        <f t="shared" si="333"/>
        <v>0</v>
      </c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332"/>
      <c r="BL104" s="111" t="s">
        <v>624</v>
      </c>
      <c r="BM104" s="117" t="s">
        <v>623</v>
      </c>
      <c r="BN104" s="36"/>
      <c r="BO104" s="36"/>
      <c r="BP104" s="36"/>
      <c r="BQ104" s="36"/>
      <c r="BR104" s="36"/>
      <c r="BS104" s="36"/>
      <c r="BT104" s="36"/>
      <c r="BU104" s="36"/>
    </row>
    <row r="105" spans="1:73" s="230" customFormat="1" ht="24" x14ac:dyDescent="0.2">
      <c r="A105" s="165"/>
      <c r="B105" s="129"/>
      <c r="C105" s="108"/>
      <c r="D105" s="307"/>
      <c r="E105" s="108" t="s">
        <v>587</v>
      </c>
      <c r="F105" s="346">
        <f t="shared" si="322"/>
        <v>6494</v>
      </c>
      <c r="G105" s="109">
        <f t="shared" si="323"/>
        <v>6494</v>
      </c>
      <c r="H105" s="110">
        <v>6494</v>
      </c>
      <c r="I105" s="110">
        <f t="shared" si="324"/>
        <v>6494</v>
      </c>
      <c r="J105" s="110">
        <f t="shared" si="325"/>
        <v>0</v>
      </c>
      <c r="K105" s="110"/>
      <c r="L105" s="110"/>
      <c r="M105" s="110"/>
      <c r="N105" s="110"/>
      <c r="O105" s="110"/>
      <c r="P105" s="110"/>
      <c r="Q105" s="110"/>
      <c r="R105" s="416"/>
      <c r="S105" s="435"/>
      <c r="T105" s="110"/>
      <c r="U105" s="110"/>
      <c r="V105" s="110"/>
      <c r="W105" s="110">
        <v>0</v>
      </c>
      <c r="X105" s="110">
        <f t="shared" si="326"/>
        <v>0</v>
      </c>
      <c r="Y105" s="110">
        <f t="shared" si="327"/>
        <v>0</v>
      </c>
      <c r="Z105" s="110"/>
      <c r="AA105" s="110"/>
      <c r="AB105" s="110"/>
      <c r="AC105" s="110"/>
      <c r="AD105" s="110"/>
      <c r="AE105" s="110"/>
      <c r="AF105" s="110">
        <v>0</v>
      </c>
      <c r="AG105" s="135">
        <f t="shared" si="328"/>
        <v>0</v>
      </c>
      <c r="AH105" s="135">
        <f t="shared" si="329"/>
        <v>0</v>
      </c>
      <c r="AI105" s="135"/>
      <c r="AJ105" s="135"/>
      <c r="AK105" s="135"/>
      <c r="AL105" s="454"/>
      <c r="AM105" s="135"/>
      <c r="AN105" s="135"/>
      <c r="AO105" s="135"/>
      <c r="AP105" s="135"/>
      <c r="AQ105" s="135"/>
      <c r="AR105" s="135">
        <v>0</v>
      </c>
      <c r="AS105" s="135">
        <f t="shared" si="330"/>
        <v>0</v>
      </c>
      <c r="AT105" s="135">
        <f t="shared" si="331"/>
        <v>0</v>
      </c>
      <c r="AU105" s="135"/>
      <c r="AV105" s="135"/>
      <c r="AW105" s="454"/>
      <c r="AX105" s="135"/>
      <c r="AY105" s="135"/>
      <c r="AZ105" s="110">
        <f t="shared" si="332"/>
        <v>0</v>
      </c>
      <c r="BA105" s="110">
        <f t="shared" si="333"/>
        <v>0</v>
      </c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332"/>
      <c r="BL105" s="111" t="s">
        <v>659</v>
      </c>
      <c r="BM105" s="117" t="s">
        <v>623</v>
      </c>
      <c r="BN105" s="36"/>
      <c r="BO105" s="36"/>
      <c r="BP105" s="36"/>
      <c r="BQ105" s="36"/>
      <c r="BR105" s="36"/>
      <c r="BS105" s="36"/>
      <c r="BT105" s="36"/>
      <c r="BU105" s="36"/>
    </row>
    <row r="106" spans="1:73" s="268" customFormat="1" ht="24" x14ac:dyDescent="0.2">
      <c r="A106" s="165"/>
      <c r="B106" s="129"/>
      <c r="C106" s="108"/>
      <c r="D106" s="307"/>
      <c r="E106" s="108" t="s">
        <v>335</v>
      </c>
      <c r="F106" s="346">
        <f t="shared" si="322"/>
        <v>17295</v>
      </c>
      <c r="G106" s="109">
        <f t="shared" si="323"/>
        <v>17295</v>
      </c>
      <c r="H106" s="110">
        <v>17295</v>
      </c>
      <c r="I106" s="110">
        <f t="shared" si="324"/>
        <v>17295</v>
      </c>
      <c r="J106" s="110">
        <f t="shared" si="325"/>
        <v>0</v>
      </c>
      <c r="K106" s="110"/>
      <c r="L106" s="110"/>
      <c r="M106" s="110"/>
      <c r="N106" s="110"/>
      <c r="O106" s="110"/>
      <c r="P106" s="110"/>
      <c r="Q106" s="110"/>
      <c r="R106" s="416"/>
      <c r="S106" s="435"/>
      <c r="T106" s="110"/>
      <c r="U106" s="110"/>
      <c r="V106" s="110"/>
      <c r="W106" s="110">
        <v>0</v>
      </c>
      <c r="X106" s="110">
        <f t="shared" si="326"/>
        <v>0</v>
      </c>
      <c r="Y106" s="110">
        <f t="shared" si="327"/>
        <v>0</v>
      </c>
      <c r="Z106" s="110"/>
      <c r="AA106" s="110"/>
      <c r="AB106" s="110"/>
      <c r="AC106" s="110"/>
      <c r="AD106" s="110"/>
      <c r="AE106" s="110"/>
      <c r="AF106" s="110">
        <v>0</v>
      </c>
      <c r="AG106" s="135">
        <f t="shared" si="328"/>
        <v>0</v>
      </c>
      <c r="AH106" s="135">
        <f t="shared" si="329"/>
        <v>0</v>
      </c>
      <c r="AI106" s="135"/>
      <c r="AJ106" s="135"/>
      <c r="AK106" s="135"/>
      <c r="AL106" s="454"/>
      <c r="AM106" s="135"/>
      <c r="AN106" s="135"/>
      <c r="AO106" s="135"/>
      <c r="AP106" s="135"/>
      <c r="AQ106" s="135"/>
      <c r="AR106" s="135">
        <v>0</v>
      </c>
      <c r="AS106" s="135">
        <f t="shared" si="330"/>
        <v>0</v>
      </c>
      <c r="AT106" s="135">
        <f t="shared" si="331"/>
        <v>0</v>
      </c>
      <c r="AU106" s="135"/>
      <c r="AV106" s="135"/>
      <c r="AW106" s="454"/>
      <c r="AX106" s="135"/>
      <c r="AY106" s="135"/>
      <c r="AZ106" s="110">
        <f t="shared" si="332"/>
        <v>0</v>
      </c>
      <c r="BA106" s="110">
        <f t="shared" si="333"/>
        <v>0</v>
      </c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332"/>
      <c r="BL106" s="111" t="s">
        <v>650</v>
      </c>
      <c r="BM106" s="117" t="s">
        <v>565</v>
      </c>
      <c r="BN106" s="36"/>
      <c r="BO106" s="36"/>
      <c r="BP106" s="36"/>
      <c r="BQ106" s="36"/>
      <c r="BR106" s="36"/>
      <c r="BS106" s="36"/>
      <c r="BT106" s="36"/>
      <c r="BU106" s="36"/>
    </row>
    <row r="107" spans="1:73" s="268" customFormat="1" ht="36" x14ac:dyDescent="0.2">
      <c r="A107" s="165"/>
      <c r="B107" s="129"/>
      <c r="C107" s="108"/>
      <c r="D107" s="307"/>
      <c r="E107" s="108" t="s">
        <v>331</v>
      </c>
      <c r="F107" s="346">
        <f t="shared" si="322"/>
        <v>72500</v>
      </c>
      <c r="G107" s="109">
        <f t="shared" si="323"/>
        <v>87647</v>
      </c>
      <c r="H107" s="110">
        <v>72500</v>
      </c>
      <c r="I107" s="110">
        <f t="shared" si="324"/>
        <v>87647</v>
      </c>
      <c r="J107" s="110">
        <f t="shared" si="325"/>
        <v>15147</v>
      </c>
      <c r="K107" s="110"/>
      <c r="L107" s="110"/>
      <c r="M107" s="110"/>
      <c r="N107" s="110"/>
      <c r="O107" s="110"/>
      <c r="P107" s="110"/>
      <c r="Q107" s="110">
        <v>15147</v>
      </c>
      <c r="R107" s="416"/>
      <c r="S107" s="435"/>
      <c r="T107" s="110"/>
      <c r="U107" s="110"/>
      <c r="V107" s="110"/>
      <c r="W107" s="110">
        <v>0</v>
      </c>
      <c r="X107" s="110">
        <f t="shared" si="326"/>
        <v>0</v>
      </c>
      <c r="Y107" s="110">
        <f t="shared" si="327"/>
        <v>0</v>
      </c>
      <c r="Z107" s="110"/>
      <c r="AA107" s="110"/>
      <c r="AB107" s="110"/>
      <c r="AC107" s="110"/>
      <c r="AD107" s="110"/>
      <c r="AE107" s="110"/>
      <c r="AF107" s="110">
        <v>0</v>
      </c>
      <c r="AG107" s="135">
        <f t="shared" si="328"/>
        <v>0</v>
      </c>
      <c r="AH107" s="135">
        <f t="shared" si="329"/>
        <v>0</v>
      </c>
      <c r="AI107" s="135"/>
      <c r="AJ107" s="135"/>
      <c r="AK107" s="135"/>
      <c r="AL107" s="454"/>
      <c r="AM107" s="135"/>
      <c r="AN107" s="135"/>
      <c r="AO107" s="135"/>
      <c r="AP107" s="135"/>
      <c r="AQ107" s="135"/>
      <c r="AR107" s="135">
        <v>0</v>
      </c>
      <c r="AS107" s="135">
        <f t="shared" si="330"/>
        <v>0</v>
      </c>
      <c r="AT107" s="135">
        <f t="shared" si="331"/>
        <v>0</v>
      </c>
      <c r="AU107" s="135"/>
      <c r="AV107" s="135"/>
      <c r="AW107" s="454"/>
      <c r="AX107" s="135"/>
      <c r="AY107" s="135"/>
      <c r="AZ107" s="110">
        <f t="shared" si="332"/>
        <v>0</v>
      </c>
      <c r="BA107" s="110">
        <f t="shared" si="333"/>
        <v>0</v>
      </c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332"/>
      <c r="BL107" s="111" t="s">
        <v>651</v>
      </c>
      <c r="BM107" s="117" t="s">
        <v>565</v>
      </c>
      <c r="BN107" s="36"/>
      <c r="BO107" s="36"/>
      <c r="BP107" s="36"/>
      <c r="BQ107" s="36"/>
      <c r="BR107" s="36"/>
      <c r="BS107" s="36"/>
      <c r="BT107" s="36"/>
      <c r="BU107" s="36"/>
    </row>
    <row r="108" spans="1:73" s="268" customFormat="1" ht="36" x14ac:dyDescent="0.2">
      <c r="A108" s="165"/>
      <c r="B108" s="129"/>
      <c r="C108" s="108"/>
      <c r="D108" s="307"/>
      <c r="E108" s="108" t="s">
        <v>701</v>
      </c>
      <c r="F108" s="346">
        <f t="shared" si="322"/>
        <v>716900</v>
      </c>
      <c r="G108" s="109">
        <f t="shared" si="323"/>
        <v>744441</v>
      </c>
      <c r="H108" s="110">
        <v>716900</v>
      </c>
      <c r="I108" s="110">
        <f t="shared" si="324"/>
        <v>744441</v>
      </c>
      <c r="J108" s="110">
        <f t="shared" si="325"/>
        <v>27541</v>
      </c>
      <c r="K108" s="110"/>
      <c r="L108" s="110"/>
      <c r="M108" s="110"/>
      <c r="N108" s="110"/>
      <c r="O108" s="110">
        <v>3607</v>
      </c>
      <c r="P108" s="110">
        <v>23934</v>
      </c>
      <c r="Q108" s="110"/>
      <c r="R108" s="416"/>
      <c r="S108" s="435"/>
      <c r="T108" s="110"/>
      <c r="U108" s="110"/>
      <c r="V108" s="110"/>
      <c r="W108" s="110">
        <v>0</v>
      </c>
      <c r="X108" s="110">
        <f t="shared" si="326"/>
        <v>0</v>
      </c>
      <c r="Y108" s="110">
        <f t="shared" si="327"/>
        <v>0</v>
      </c>
      <c r="Z108" s="110"/>
      <c r="AA108" s="110"/>
      <c r="AB108" s="110"/>
      <c r="AC108" s="110"/>
      <c r="AD108" s="110"/>
      <c r="AE108" s="110"/>
      <c r="AF108" s="110">
        <v>0</v>
      </c>
      <c r="AG108" s="135">
        <f t="shared" si="328"/>
        <v>0</v>
      </c>
      <c r="AH108" s="135">
        <f t="shared" si="329"/>
        <v>0</v>
      </c>
      <c r="AI108" s="135"/>
      <c r="AJ108" s="135"/>
      <c r="AK108" s="135"/>
      <c r="AL108" s="454"/>
      <c r="AM108" s="135"/>
      <c r="AN108" s="135"/>
      <c r="AO108" s="135"/>
      <c r="AP108" s="135"/>
      <c r="AQ108" s="135"/>
      <c r="AR108" s="135">
        <v>0</v>
      </c>
      <c r="AS108" s="135">
        <f t="shared" si="330"/>
        <v>0</v>
      </c>
      <c r="AT108" s="135">
        <f t="shared" si="331"/>
        <v>0</v>
      </c>
      <c r="AU108" s="135"/>
      <c r="AV108" s="135"/>
      <c r="AW108" s="454"/>
      <c r="AX108" s="135"/>
      <c r="AY108" s="135"/>
      <c r="AZ108" s="110">
        <f t="shared" si="332"/>
        <v>0</v>
      </c>
      <c r="BA108" s="110">
        <f t="shared" si="333"/>
        <v>0</v>
      </c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332"/>
      <c r="BL108" s="111" t="s">
        <v>704</v>
      </c>
      <c r="BM108" s="117" t="s">
        <v>565</v>
      </c>
      <c r="BN108" s="36"/>
      <c r="BO108" s="36"/>
      <c r="BP108" s="36"/>
      <c r="BQ108" s="36"/>
      <c r="BR108" s="36"/>
      <c r="BS108" s="36"/>
      <c r="BT108" s="36"/>
      <c r="BU108" s="36"/>
    </row>
    <row r="109" spans="1:73" ht="24.75" customHeight="1" x14ac:dyDescent="0.2">
      <c r="A109" s="165">
        <v>90000594245</v>
      </c>
      <c r="B109" s="129"/>
      <c r="C109" s="471" t="s">
        <v>702</v>
      </c>
      <c r="D109" s="472"/>
      <c r="E109" s="108" t="s">
        <v>232</v>
      </c>
      <c r="F109" s="346">
        <f t="shared" si="322"/>
        <v>41442</v>
      </c>
      <c r="G109" s="109">
        <f t="shared" si="323"/>
        <v>41442</v>
      </c>
      <c r="H109" s="110">
        <v>41442</v>
      </c>
      <c r="I109" s="110">
        <f t="shared" si="324"/>
        <v>41442</v>
      </c>
      <c r="J109" s="110">
        <f t="shared" si="325"/>
        <v>0</v>
      </c>
      <c r="K109" s="110"/>
      <c r="L109" s="110"/>
      <c r="M109" s="110"/>
      <c r="N109" s="110"/>
      <c r="O109" s="110"/>
      <c r="P109" s="110"/>
      <c r="Q109" s="110"/>
      <c r="R109" s="416"/>
      <c r="S109" s="435"/>
      <c r="T109" s="110"/>
      <c r="U109" s="110"/>
      <c r="V109" s="110"/>
      <c r="W109" s="110">
        <v>0</v>
      </c>
      <c r="X109" s="110">
        <f t="shared" si="326"/>
        <v>0</v>
      </c>
      <c r="Y109" s="110">
        <f t="shared" si="327"/>
        <v>0</v>
      </c>
      <c r="Z109" s="110"/>
      <c r="AA109" s="110"/>
      <c r="AB109" s="110"/>
      <c r="AC109" s="110"/>
      <c r="AD109" s="110"/>
      <c r="AE109" s="110"/>
      <c r="AF109" s="110">
        <v>0</v>
      </c>
      <c r="AG109" s="135">
        <f t="shared" si="328"/>
        <v>0</v>
      </c>
      <c r="AH109" s="135">
        <f t="shared" si="329"/>
        <v>0</v>
      </c>
      <c r="AI109" s="135"/>
      <c r="AJ109" s="135"/>
      <c r="AK109" s="135"/>
      <c r="AL109" s="454"/>
      <c r="AM109" s="135"/>
      <c r="AN109" s="135"/>
      <c r="AO109" s="135"/>
      <c r="AP109" s="135"/>
      <c r="AQ109" s="135"/>
      <c r="AR109" s="135">
        <v>0</v>
      </c>
      <c r="AS109" s="135">
        <f t="shared" si="330"/>
        <v>0</v>
      </c>
      <c r="AT109" s="135">
        <f t="shared" si="331"/>
        <v>0</v>
      </c>
      <c r="AU109" s="135"/>
      <c r="AV109" s="135"/>
      <c r="AW109" s="454"/>
      <c r="AX109" s="135"/>
      <c r="AY109" s="135"/>
      <c r="AZ109" s="110">
        <f t="shared" si="332"/>
        <v>0</v>
      </c>
      <c r="BA109" s="110">
        <f t="shared" si="333"/>
        <v>0</v>
      </c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332"/>
      <c r="BL109" s="111" t="s">
        <v>457</v>
      </c>
      <c r="BM109" s="117" t="s">
        <v>568</v>
      </c>
      <c r="BN109" s="36"/>
      <c r="BO109" s="36"/>
      <c r="BP109" s="36"/>
      <c r="BQ109" s="36"/>
      <c r="BR109" s="36"/>
      <c r="BS109" s="36"/>
      <c r="BT109" s="36"/>
      <c r="BU109" s="36"/>
    </row>
    <row r="110" spans="1:73" s="193" customFormat="1" ht="15" customHeight="1" x14ac:dyDescent="0.2">
      <c r="A110" s="165"/>
      <c r="B110" s="129"/>
      <c r="C110" s="108"/>
      <c r="D110" s="307"/>
      <c r="E110" s="108" t="s">
        <v>342</v>
      </c>
      <c r="F110" s="346">
        <f t="shared" si="322"/>
        <v>11300</v>
      </c>
      <c r="G110" s="109">
        <f t="shared" si="323"/>
        <v>11300</v>
      </c>
      <c r="H110" s="110">
        <v>11300</v>
      </c>
      <c r="I110" s="110">
        <f t="shared" si="324"/>
        <v>11300</v>
      </c>
      <c r="J110" s="110">
        <f t="shared" si="325"/>
        <v>0</v>
      </c>
      <c r="K110" s="110"/>
      <c r="L110" s="110"/>
      <c r="M110" s="110"/>
      <c r="N110" s="110"/>
      <c r="O110" s="110"/>
      <c r="P110" s="110"/>
      <c r="Q110" s="110"/>
      <c r="R110" s="416"/>
      <c r="S110" s="435"/>
      <c r="T110" s="110"/>
      <c r="U110" s="110"/>
      <c r="V110" s="110"/>
      <c r="W110" s="110">
        <v>0</v>
      </c>
      <c r="X110" s="110">
        <f t="shared" si="326"/>
        <v>0</v>
      </c>
      <c r="Y110" s="110">
        <f t="shared" si="327"/>
        <v>0</v>
      </c>
      <c r="Z110" s="110"/>
      <c r="AA110" s="110"/>
      <c r="AB110" s="110"/>
      <c r="AC110" s="110"/>
      <c r="AD110" s="110"/>
      <c r="AE110" s="110"/>
      <c r="AF110" s="110">
        <v>0</v>
      </c>
      <c r="AG110" s="135">
        <f t="shared" si="328"/>
        <v>0</v>
      </c>
      <c r="AH110" s="135">
        <f t="shared" si="329"/>
        <v>0</v>
      </c>
      <c r="AI110" s="135"/>
      <c r="AJ110" s="135"/>
      <c r="AK110" s="135"/>
      <c r="AL110" s="454"/>
      <c r="AM110" s="135"/>
      <c r="AN110" s="135"/>
      <c r="AO110" s="135"/>
      <c r="AP110" s="135"/>
      <c r="AQ110" s="135"/>
      <c r="AR110" s="135">
        <v>0</v>
      </c>
      <c r="AS110" s="135">
        <f t="shared" si="330"/>
        <v>0</v>
      </c>
      <c r="AT110" s="135">
        <f t="shared" si="331"/>
        <v>0</v>
      </c>
      <c r="AU110" s="135"/>
      <c r="AV110" s="135"/>
      <c r="AW110" s="454"/>
      <c r="AX110" s="135"/>
      <c r="AY110" s="135"/>
      <c r="AZ110" s="110">
        <f t="shared" si="332"/>
        <v>0</v>
      </c>
      <c r="BA110" s="110">
        <f t="shared" si="333"/>
        <v>0</v>
      </c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332"/>
      <c r="BL110" s="111" t="s">
        <v>458</v>
      </c>
      <c r="BM110" s="117" t="s">
        <v>568</v>
      </c>
      <c r="BN110" s="36"/>
      <c r="BO110" s="36"/>
      <c r="BP110" s="36"/>
      <c r="BQ110" s="36"/>
      <c r="BR110" s="36"/>
      <c r="BS110" s="36"/>
      <c r="BT110" s="36"/>
      <c r="BU110" s="36"/>
    </row>
    <row r="111" spans="1:73" s="193" customFormat="1" ht="15" customHeight="1" x14ac:dyDescent="0.2">
      <c r="A111" s="165"/>
      <c r="B111" s="129"/>
      <c r="C111" s="108"/>
      <c r="D111" s="307"/>
      <c r="E111" s="108" t="s">
        <v>343</v>
      </c>
      <c r="F111" s="346">
        <f t="shared" si="322"/>
        <v>12000</v>
      </c>
      <c r="G111" s="109">
        <f t="shared" si="323"/>
        <v>12000</v>
      </c>
      <c r="H111" s="110">
        <v>12000</v>
      </c>
      <c r="I111" s="110">
        <f t="shared" si="324"/>
        <v>12000</v>
      </c>
      <c r="J111" s="110">
        <f t="shared" si="325"/>
        <v>0</v>
      </c>
      <c r="K111" s="110"/>
      <c r="L111" s="110"/>
      <c r="M111" s="110"/>
      <c r="N111" s="110"/>
      <c r="O111" s="110"/>
      <c r="P111" s="110"/>
      <c r="Q111" s="110"/>
      <c r="R111" s="416"/>
      <c r="S111" s="435"/>
      <c r="T111" s="110"/>
      <c r="U111" s="110"/>
      <c r="V111" s="110"/>
      <c r="W111" s="110">
        <v>0</v>
      </c>
      <c r="X111" s="110">
        <f t="shared" si="326"/>
        <v>0</v>
      </c>
      <c r="Y111" s="110">
        <f t="shared" si="327"/>
        <v>0</v>
      </c>
      <c r="Z111" s="110"/>
      <c r="AA111" s="110"/>
      <c r="AB111" s="110"/>
      <c r="AC111" s="110"/>
      <c r="AD111" s="110"/>
      <c r="AE111" s="110"/>
      <c r="AF111" s="110">
        <v>0</v>
      </c>
      <c r="AG111" s="135">
        <f t="shared" si="328"/>
        <v>0</v>
      </c>
      <c r="AH111" s="135">
        <f t="shared" si="329"/>
        <v>0</v>
      </c>
      <c r="AI111" s="135"/>
      <c r="AJ111" s="135"/>
      <c r="AK111" s="135"/>
      <c r="AL111" s="454"/>
      <c r="AM111" s="135"/>
      <c r="AN111" s="135"/>
      <c r="AO111" s="135"/>
      <c r="AP111" s="135"/>
      <c r="AQ111" s="135"/>
      <c r="AR111" s="135">
        <v>0</v>
      </c>
      <c r="AS111" s="135">
        <f t="shared" si="330"/>
        <v>0</v>
      </c>
      <c r="AT111" s="135">
        <f t="shared" si="331"/>
        <v>0</v>
      </c>
      <c r="AU111" s="135"/>
      <c r="AV111" s="135"/>
      <c r="AW111" s="454"/>
      <c r="AX111" s="135"/>
      <c r="AY111" s="135"/>
      <c r="AZ111" s="110">
        <f t="shared" si="332"/>
        <v>0</v>
      </c>
      <c r="BA111" s="110">
        <f t="shared" si="333"/>
        <v>0</v>
      </c>
      <c r="BB111" s="110"/>
      <c r="BC111" s="110"/>
      <c r="BD111" s="110"/>
      <c r="BE111" s="110"/>
      <c r="BF111" s="110"/>
      <c r="BG111" s="110"/>
      <c r="BH111" s="110"/>
      <c r="BI111" s="110"/>
      <c r="BJ111" s="110"/>
      <c r="BK111" s="332"/>
      <c r="BL111" s="111" t="s">
        <v>459</v>
      </c>
      <c r="BM111" s="117" t="s">
        <v>568</v>
      </c>
      <c r="BN111" s="36"/>
      <c r="BO111" s="36"/>
      <c r="BP111" s="36"/>
      <c r="BQ111" s="36"/>
      <c r="BR111" s="36"/>
      <c r="BS111" s="36"/>
      <c r="BT111" s="36"/>
      <c r="BU111" s="36"/>
    </row>
    <row r="112" spans="1:73" s="193" customFormat="1" ht="15" customHeight="1" x14ac:dyDescent="0.2">
      <c r="A112" s="165"/>
      <c r="B112" s="129"/>
      <c r="C112" s="108"/>
      <c r="D112" s="307"/>
      <c r="E112" s="108" t="s">
        <v>344</v>
      </c>
      <c r="F112" s="346">
        <f t="shared" si="322"/>
        <v>11000</v>
      </c>
      <c r="G112" s="109">
        <f t="shared" si="323"/>
        <v>6300</v>
      </c>
      <c r="H112" s="110">
        <v>11000</v>
      </c>
      <c r="I112" s="110">
        <f t="shared" si="324"/>
        <v>6300</v>
      </c>
      <c r="J112" s="110">
        <f t="shared" si="325"/>
        <v>-4700</v>
      </c>
      <c r="K112" s="110"/>
      <c r="L112" s="110">
        <v>-4700</v>
      </c>
      <c r="M112" s="110"/>
      <c r="N112" s="110"/>
      <c r="O112" s="110"/>
      <c r="P112" s="110"/>
      <c r="Q112" s="110"/>
      <c r="R112" s="416"/>
      <c r="S112" s="435"/>
      <c r="T112" s="110"/>
      <c r="U112" s="110"/>
      <c r="V112" s="110"/>
      <c r="W112" s="110">
        <v>0</v>
      </c>
      <c r="X112" s="110">
        <f t="shared" si="326"/>
        <v>0</v>
      </c>
      <c r="Y112" s="110">
        <f t="shared" si="327"/>
        <v>0</v>
      </c>
      <c r="Z112" s="110"/>
      <c r="AA112" s="110"/>
      <c r="AB112" s="110"/>
      <c r="AC112" s="110"/>
      <c r="AD112" s="110"/>
      <c r="AE112" s="110"/>
      <c r="AF112" s="110">
        <v>0</v>
      </c>
      <c r="AG112" s="135">
        <f t="shared" si="328"/>
        <v>0</v>
      </c>
      <c r="AH112" s="135">
        <f t="shared" si="329"/>
        <v>0</v>
      </c>
      <c r="AI112" s="135"/>
      <c r="AJ112" s="135"/>
      <c r="AK112" s="135"/>
      <c r="AL112" s="454"/>
      <c r="AM112" s="135"/>
      <c r="AN112" s="135"/>
      <c r="AO112" s="135"/>
      <c r="AP112" s="135"/>
      <c r="AQ112" s="135"/>
      <c r="AR112" s="135">
        <v>0</v>
      </c>
      <c r="AS112" s="135">
        <f t="shared" si="330"/>
        <v>0</v>
      </c>
      <c r="AT112" s="135">
        <f t="shared" si="331"/>
        <v>0</v>
      </c>
      <c r="AU112" s="135"/>
      <c r="AV112" s="135"/>
      <c r="AW112" s="454"/>
      <c r="AX112" s="135"/>
      <c r="AY112" s="135"/>
      <c r="AZ112" s="110">
        <f t="shared" si="332"/>
        <v>0</v>
      </c>
      <c r="BA112" s="110">
        <f t="shared" si="333"/>
        <v>0</v>
      </c>
      <c r="BB112" s="110"/>
      <c r="BC112" s="110"/>
      <c r="BD112" s="110"/>
      <c r="BE112" s="110"/>
      <c r="BF112" s="110"/>
      <c r="BG112" s="110"/>
      <c r="BH112" s="110"/>
      <c r="BI112" s="110"/>
      <c r="BJ112" s="110"/>
      <c r="BK112" s="332"/>
      <c r="BL112" s="111" t="s">
        <v>460</v>
      </c>
      <c r="BM112" s="117" t="s">
        <v>568</v>
      </c>
      <c r="BN112" s="36"/>
      <c r="BO112" s="36"/>
      <c r="BP112" s="36"/>
      <c r="BQ112" s="36"/>
      <c r="BR112" s="36"/>
      <c r="BS112" s="36"/>
      <c r="BT112" s="36"/>
      <c r="BU112" s="36"/>
    </row>
    <row r="113" spans="1:73" s="193" customFormat="1" ht="15" customHeight="1" x14ac:dyDescent="0.2">
      <c r="A113" s="165"/>
      <c r="B113" s="129"/>
      <c r="C113" s="108"/>
      <c r="D113" s="307"/>
      <c r="E113" s="108" t="s">
        <v>345</v>
      </c>
      <c r="F113" s="346">
        <f t="shared" si="322"/>
        <v>35389</v>
      </c>
      <c r="G113" s="109">
        <f t="shared" si="323"/>
        <v>35389</v>
      </c>
      <c r="H113" s="110">
        <v>35389</v>
      </c>
      <c r="I113" s="110">
        <f t="shared" si="324"/>
        <v>35389</v>
      </c>
      <c r="J113" s="110">
        <f t="shared" si="325"/>
        <v>0</v>
      </c>
      <c r="K113" s="110"/>
      <c r="L113" s="110"/>
      <c r="M113" s="110"/>
      <c r="N113" s="110"/>
      <c r="O113" s="110"/>
      <c r="P113" s="110"/>
      <c r="Q113" s="110"/>
      <c r="R113" s="416"/>
      <c r="S113" s="435"/>
      <c r="T113" s="110"/>
      <c r="U113" s="110"/>
      <c r="V113" s="110"/>
      <c r="W113" s="110">
        <v>0</v>
      </c>
      <c r="X113" s="110">
        <f t="shared" si="326"/>
        <v>0</v>
      </c>
      <c r="Y113" s="110">
        <f t="shared" si="327"/>
        <v>0</v>
      </c>
      <c r="Z113" s="110"/>
      <c r="AA113" s="110"/>
      <c r="AB113" s="110"/>
      <c r="AC113" s="110"/>
      <c r="AD113" s="110"/>
      <c r="AE113" s="110"/>
      <c r="AF113" s="110">
        <v>0</v>
      </c>
      <c r="AG113" s="135">
        <f t="shared" si="328"/>
        <v>0</v>
      </c>
      <c r="AH113" s="135">
        <f t="shared" si="329"/>
        <v>0</v>
      </c>
      <c r="AI113" s="135"/>
      <c r="AJ113" s="135"/>
      <c r="AK113" s="135"/>
      <c r="AL113" s="454"/>
      <c r="AM113" s="135"/>
      <c r="AN113" s="135"/>
      <c r="AO113" s="135"/>
      <c r="AP113" s="135"/>
      <c r="AQ113" s="135"/>
      <c r="AR113" s="135">
        <v>0</v>
      </c>
      <c r="AS113" s="135">
        <f t="shared" si="330"/>
        <v>0</v>
      </c>
      <c r="AT113" s="135">
        <f t="shared" si="331"/>
        <v>0</v>
      </c>
      <c r="AU113" s="135"/>
      <c r="AV113" s="135"/>
      <c r="AW113" s="454"/>
      <c r="AX113" s="135"/>
      <c r="AY113" s="135"/>
      <c r="AZ113" s="110">
        <f t="shared" si="332"/>
        <v>0</v>
      </c>
      <c r="BA113" s="110">
        <f t="shared" si="333"/>
        <v>0</v>
      </c>
      <c r="BB113" s="110"/>
      <c r="BC113" s="110"/>
      <c r="BD113" s="110"/>
      <c r="BE113" s="110"/>
      <c r="BF113" s="110"/>
      <c r="BG113" s="110"/>
      <c r="BH113" s="110"/>
      <c r="BI113" s="110"/>
      <c r="BJ113" s="110"/>
      <c r="BK113" s="332"/>
      <c r="BL113" s="111" t="s">
        <v>461</v>
      </c>
      <c r="BM113" s="117" t="s">
        <v>568</v>
      </c>
      <c r="BN113" s="36"/>
      <c r="BO113" s="36"/>
      <c r="BP113" s="36"/>
      <c r="BQ113" s="36"/>
      <c r="BR113" s="36"/>
      <c r="BS113" s="36"/>
      <c r="BT113" s="36"/>
      <c r="BU113" s="36"/>
    </row>
    <row r="114" spans="1:73" s="193" customFormat="1" ht="24" x14ac:dyDescent="0.2">
      <c r="A114" s="165"/>
      <c r="B114" s="129"/>
      <c r="C114" s="108"/>
      <c r="D114" s="307"/>
      <c r="E114" s="108" t="s">
        <v>346</v>
      </c>
      <c r="F114" s="346">
        <f t="shared" si="322"/>
        <v>4205</v>
      </c>
      <c r="G114" s="109">
        <f t="shared" si="323"/>
        <v>4205</v>
      </c>
      <c r="H114" s="110">
        <v>4205</v>
      </c>
      <c r="I114" s="110">
        <f t="shared" si="324"/>
        <v>4205</v>
      </c>
      <c r="J114" s="110">
        <f t="shared" si="325"/>
        <v>0</v>
      </c>
      <c r="K114" s="110"/>
      <c r="L114" s="110"/>
      <c r="M114" s="110"/>
      <c r="N114" s="110"/>
      <c r="O114" s="110"/>
      <c r="P114" s="110"/>
      <c r="Q114" s="110"/>
      <c r="R114" s="416"/>
      <c r="S114" s="435"/>
      <c r="T114" s="110"/>
      <c r="U114" s="110"/>
      <c r="V114" s="110"/>
      <c r="W114" s="110">
        <v>0</v>
      </c>
      <c r="X114" s="110">
        <f t="shared" si="326"/>
        <v>0</v>
      </c>
      <c r="Y114" s="110">
        <f t="shared" si="327"/>
        <v>0</v>
      </c>
      <c r="Z114" s="110"/>
      <c r="AA114" s="110"/>
      <c r="AB114" s="110"/>
      <c r="AC114" s="110"/>
      <c r="AD114" s="110"/>
      <c r="AE114" s="110"/>
      <c r="AF114" s="110">
        <v>0</v>
      </c>
      <c r="AG114" s="135">
        <f t="shared" si="328"/>
        <v>0</v>
      </c>
      <c r="AH114" s="135">
        <f t="shared" si="329"/>
        <v>0</v>
      </c>
      <c r="AI114" s="135"/>
      <c r="AJ114" s="135"/>
      <c r="AK114" s="135"/>
      <c r="AL114" s="454"/>
      <c r="AM114" s="135"/>
      <c r="AN114" s="135"/>
      <c r="AO114" s="135"/>
      <c r="AP114" s="135"/>
      <c r="AQ114" s="135"/>
      <c r="AR114" s="135">
        <v>0</v>
      </c>
      <c r="AS114" s="135">
        <f t="shared" si="330"/>
        <v>0</v>
      </c>
      <c r="AT114" s="135">
        <f t="shared" si="331"/>
        <v>0</v>
      </c>
      <c r="AU114" s="135"/>
      <c r="AV114" s="135"/>
      <c r="AW114" s="454"/>
      <c r="AX114" s="135"/>
      <c r="AY114" s="135"/>
      <c r="AZ114" s="110">
        <f t="shared" si="332"/>
        <v>0</v>
      </c>
      <c r="BA114" s="110">
        <f t="shared" si="333"/>
        <v>0</v>
      </c>
      <c r="BB114" s="110"/>
      <c r="BC114" s="110"/>
      <c r="BD114" s="110"/>
      <c r="BE114" s="110"/>
      <c r="BF114" s="110"/>
      <c r="BG114" s="110"/>
      <c r="BH114" s="110"/>
      <c r="BI114" s="110"/>
      <c r="BJ114" s="110"/>
      <c r="BK114" s="332"/>
      <c r="BL114" s="111" t="s">
        <v>462</v>
      </c>
      <c r="BM114" s="117" t="s">
        <v>568</v>
      </c>
      <c r="BN114" s="36"/>
      <c r="BO114" s="36"/>
      <c r="BP114" s="36"/>
      <c r="BQ114" s="36"/>
      <c r="BR114" s="36"/>
      <c r="BS114" s="36"/>
      <c r="BT114" s="36"/>
      <c r="BU114" s="36"/>
    </row>
    <row r="115" spans="1:73" s="193" customFormat="1" ht="24" x14ac:dyDescent="0.2">
      <c r="A115" s="165"/>
      <c r="B115" s="129"/>
      <c r="C115" s="108"/>
      <c r="D115" s="307"/>
      <c r="E115" s="108" t="s">
        <v>347</v>
      </c>
      <c r="F115" s="346">
        <f t="shared" si="322"/>
        <v>5420</v>
      </c>
      <c r="G115" s="109">
        <f t="shared" si="323"/>
        <v>11142</v>
      </c>
      <c r="H115" s="110">
        <v>5420</v>
      </c>
      <c r="I115" s="110">
        <f t="shared" si="324"/>
        <v>11142</v>
      </c>
      <c r="J115" s="110">
        <f t="shared" si="325"/>
        <v>5722</v>
      </c>
      <c r="K115" s="110"/>
      <c r="L115" s="110"/>
      <c r="M115" s="110">
        <v>5722</v>
      </c>
      <c r="N115" s="110"/>
      <c r="O115" s="110"/>
      <c r="P115" s="110"/>
      <c r="Q115" s="110"/>
      <c r="R115" s="416"/>
      <c r="S115" s="435"/>
      <c r="T115" s="110"/>
      <c r="U115" s="110"/>
      <c r="V115" s="110"/>
      <c r="W115" s="110">
        <v>0</v>
      </c>
      <c r="X115" s="110">
        <f t="shared" si="326"/>
        <v>0</v>
      </c>
      <c r="Y115" s="110">
        <f t="shared" si="327"/>
        <v>0</v>
      </c>
      <c r="Z115" s="110"/>
      <c r="AA115" s="110"/>
      <c r="AB115" s="110"/>
      <c r="AC115" s="110"/>
      <c r="AD115" s="110"/>
      <c r="AE115" s="110"/>
      <c r="AF115" s="110">
        <v>0</v>
      </c>
      <c r="AG115" s="135">
        <f t="shared" si="328"/>
        <v>0</v>
      </c>
      <c r="AH115" s="135">
        <f t="shared" si="329"/>
        <v>0</v>
      </c>
      <c r="AI115" s="135"/>
      <c r="AJ115" s="135"/>
      <c r="AK115" s="135"/>
      <c r="AL115" s="454"/>
      <c r="AM115" s="135"/>
      <c r="AN115" s="135"/>
      <c r="AO115" s="135"/>
      <c r="AP115" s="135"/>
      <c r="AQ115" s="135"/>
      <c r="AR115" s="135">
        <v>0</v>
      </c>
      <c r="AS115" s="135">
        <f t="shared" si="330"/>
        <v>0</v>
      </c>
      <c r="AT115" s="135">
        <f t="shared" si="331"/>
        <v>0</v>
      </c>
      <c r="AU115" s="135"/>
      <c r="AV115" s="135"/>
      <c r="AW115" s="454"/>
      <c r="AX115" s="135"/>
      <c r="AY115" s="135"/>
      <c r="AZ115" s="110">
        <f t="shared" si="332"/>
        <v>0</v>
      </c>
      <c r="BA115" s="110">
        <f t="shared" si="333"/>
        <v>0</v>
      </c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332"/>
      <c r="BL115" s="111" t="s">
        <v>463</v>
      </c>
      <c r="BM115" s="117" t="s">
        <v>568</v>
      </c>
      <c r="BN115" s="36"/>
      <c r="BO115" s="36"/>
      <c r="BP115" s="36"/>
      <c r="BQ115" s="36"/>
      <c r="BR115" s="36"/>
      <c r="BS115" s="36"/>
      <c r="BT115" s="36"/>
      <c r="BU115" s="36"/>
    </row>
    <row r="116" spans="1:73" ht="36" x14ac:dyDescent="0.2">
      <c r="A116" s="165">
        <v>90000056450</v>
      </c>
      <c r="B116" s="129"/>
      <c r="C116" s="471" t="s">
        <v>220</v>
      </c>
      <c r="D116" s="472"/>
      <c r="E116" s="108" t="s">
        <v>575</v>
      </c>
      <c r="F116" s="346">
        <f t="shared" si="322"/>
        <v>615076</v>
      </c>
      <c r="G116" s="109">
        <f t="shared" si="323"/>
        <v>615727</v>
      </c>
      <c r="H116" s="110">
        <v>608339</v>
      </c>
      <c r="I116" s="110">
        <f t="shared" si="324"/>
        <v>608339</v>
      </c>
      <c r="J116" s="110">
        <f t="shared" si="325"/>
        <v>0</v>
      </c>
      <c r="K116" s="110"/>
      <c r="L116" s="110"/>
      <c r="M116" s="110"/>
      <c r="N116" s="110"/>
      <c r="O116" s="110"/>
      <c r="P116" s="110"/>
      <c r="Q116" s="110"/>
      <c r="R116" s="416"/>
      <c r="S116" s="435"/>
      <c r="T116" s="110"/>
      <c r="U116" s="110"/>
      <c r="V116" s="110"/>
      <c r="W116" s="110">
        <v>0</v>
      </c>
      <c r="X116" s="110">
        <f t="shared" si="326"/>
        <v>0</v>
      </c>
      <c r="Y116" s="110">
        <f t="shared" si="327"/>
        <v>0</v>
      </c>
      <c r="Z116" s="110"/>
      <c r="AA116" s="110"/>
      <c r="AB116" s="110"/>
      <c r="AC116" s="110"/>
      <c r="AD116" s="110"/>
      <c r="AE116" s="110"/>
      <c r="AF116" s="110">
        <v>6737</v>
      </c>
      <c r="AG116" s="135">
        <f t="shared" si="328"/>
        <v>7388</v>
      </c>
      <c r="AH116" s="135">
        <f t="shared" si="329"/>
        <v>651</v>
      </c>
      <c r="AI116" s="135">
        <v>651</v>
      </c>
      <c r="AJ116" s="135"/>
      <c r="AK116" s="135"/>
      <c r="AL116" s="454"/>
      <c r="AM116" s="135"/>
      <c r="AN116" s="135"/>
      <c r="AO116" s="135"/>
      <c r="AP116" s="135"/>
      <c r="AQ116" s="135"/>
      <c r="AR116" s="110">
        <v>0</v>
      </c>
      <c r="AS116" s="135">
        <f t="shared" si="330"/>
        <v>0</v>
      </c>
      <c r="AT116" s="135">
        <f t="shared" si="331"/>
        <v>0</v>
      </c>
      <c r="AU116" s="135"/>
      <c r="AV116" s="135"/>
      <c r="AW116" s="454"/>
      <c r="AX116" s="135"/>
      <c r="AY116" s="135"/>
      <c r="AZ116" s="110">
        <f t="shared" si="332"/>
        <v>0</v>
      </c>
      <c r="BA116" s="110">
        <f t="shared" si="333"/>
        <v>0</v>
      </c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332"/>
      <c r="BL116" s="111" t="s">
        <v>464</v>
      </c>
      <c r="BM116" s="117"/>
      <c r="BN116" s="36"/>
      <c r="BO116" s="36"/>
      <c r="BP116" s="36"/>
      <c r="BQ116" s="36"/>
      <c r="BR116" s="36"/>
      <c r="BS116" s="36"/>
      <c r="BT116" s="36"/>
      <c r="BU116" s="36"/>
    </row>
    <row r="117" spans="1:73" ht="39.75" customHeight="1" x14ac:dyDescent="0.2">
      <c r="A117" s="165">
        <v>90009229680</v>
      </c>
      <c r="B117" s="129"/>
      <c r="C117" s="471" t="s">
        <v>171</v>
      </c>
      <c r="D117" s="472"/>
      <c r="E117" s="108" t="s">
        <v>576</v>
      </c>
      <c r="F117" s="346">
        <f t="shared" si="322"/>
        <v>892130</v>
      </c>
      <c r="G117" s="109">
        <f t="shared" si="323"/>
        <v>896287</v>
      </c>
      <c r="H117" s="110">
        <v>854346</v>
      </c>
      <c r="I117" s="110">
        <f t="shared" si="324"/>
        <v>854346</v>
      </c>
      <c r="J117" s="110">
        <f t="shared" si="325"/>
        <v>0</v>
      </c>
      <c r="K117" s="110"/>
      <c r="L117" s="110"/>
      <c r="M117" s="110"/>
      <c r="N117" s="110"/>
      <c r="O117" s="110"/>
      <c r="P117" s="110"/>
      <c r="Q117" s="110"/>
      <c r="R117" s="416"/>
      <c r="S117" s="435"/>
      <c r="T117" s="110"/>
      <c r="U117" s="110"/>
      <c r="V117" s="110"/>
      <c r="W117" s="110">
        <v>8525</v>
      </c>
      <c r="X117" s="110">
        <f t="shared" si="326"/>
        <v>7986</v>
      </c>
      <c r="Y117" s="110">
        <f t="shared" si="327"/>
        <v>-539</v>
      </c>
      <c r="Z117" s="110"/>
      <c r="AA117" s="110">
        <v>-539</v>
      </c>
      <c r="AB117" s="110"/>
      <c r="AC117" s="110"/>
      <c r="AD117" s="110"/>
      <c r="AE117" s="110"/>
      <c r="AF117" s="110">
        <v>29609</v>
      </c>
      <c r="AG117" s="135">
        <f t="shared" si="328"/>
        <v>34305</v>
      </c>
      <c r="AH117" s="135">
        <f t="shared" si="329"/>
        <v>4696</v>
      </c>
      <c r="AI117" s="135">
        <v>4696</v>
      </c>
      <c r="AJ117" s="135"/>
      <c r="AK117" s="135"/>
      <c r="AL117" s="454"/>
      <c r="AM117" s="135"/>
      <c r="AN117" s="135"/>
      <c r="AO117" s="135"/>
      <c r="AP117" s="135"/>
      <c r="AQ117" s="135"/>
      <c r="AR117" s="135">
        <v>0</v>
      </c>
      <c r="AS117" s="135">
        <f t="shared" si="330"/>
        <v>0</v>
      </c>
      <c r="AT117" s="135">
        <f t="shared" si="331"/>
        <v>0</v>
      </c>
      <c r="AU117" s="135"/>
      <c r="AV117" s="135"/>
      <c r="AW117" s="454"/>
      <c r="AX117" s="135"/>
      <c r="AY117" s="135">
        <v>-350</v>
      </c>
      <c r="AZ117" s="110">
        <f t="shared" si="332"/>
        <v>-350</v>
      </c>
      <c r="BA117" s="110">
        <f t="shared" si="333"/>
        <v>0</v>
      </c>
      <c r="BB117" s="110"/>
      <c r="BC117" s="110"/>
      <c r="BD117" s="110"/>
      <c r="BE117" s="110"/>
      <c r="BF117" s="110"/>
      <c r="BG117" s="110"/>
      <c r="BH117" s="110"/>
      <c r="BI117" s="110"/>
      <c r="BJ117" s="110"/>
      <c r="BK117" s="332"/>
      <c r="BL117" s="111" t="s">
        <v>465</v>
      </c>
      <c r="BM117" s="117"/>
      <c r="BN117" s="36"/>
      <c r="BO117" s="36"/>
      <c r="BP117" s="36"/>
      <c r="BQ117" s="36"/>
      <c r="BR117" s="36"/>
      <c r="BS117" s="36"/>
      <c r="BT117" s="36"/>
      <c r="BU117" s="36"/>
    </row>
    <row r="118" spans="1:73" ht="24" x14ac:dyDescent="0.2">
      <c r="A118" s="165"/>
      <c r="B118" s="129"/>
      <c r="C118" s="108"/>
      <c r="D118" s="307"/>
      <c r="E118" s="108" t="s">
        <v>213</v>
      </c>
      <c r="F118" s="346">
        <f t="shared" si="322"/>
        <v>462117</v>
      </c>
      <c r="G118" s="109">
        <f t="shared" si="323"/>
        <v>497317</v>
      </c>
      <c r="H118" s="110">
        <v>439325</v>
      </c>
      <c r="I118" s="110">
        <f t="shared" si="324"/>
        <v>474025</v>
      </c>
      <c r="J118" s="110">
        <f t="shared" si="325"/>
        <v>34700</v>
      </c>
      <c r="K118" s="110"/>
      <c r="L118" s="110">
        <v>4700</v>
      </c>
      <c r="M118" s="110"/>
      <c r="N118" s="110">
        <v>30000</v>
      </c>
      <c r="O118" s="110"/>
      <c r="P118" s="110"/>
      <c r="Q118" s="110"/>
      <c r="R118" s="416"/>
      <c r="S118" s="435"/>
      <c r="T118" s="110"/>
      <c r="U118" s="110"/>
      <c r="V118" s="110"/>
      <c r="W118" s="110">
        <v>0</v>
      </c>
      <c r="X118" s="110">
        <f t="shared" si="326"/>
        <v>0</v>
      </c>
      <c r="Y118" s="110">
        <f t="shared" si="327"/>
        <v>0</v>
      </c>
      <c r="Z118" s="110"/>
      <c r="AA118" s="110"/>
      <c r="AB118" s="110"/>
      <c r="AC118" s="110"/>
      <c r="AD118" s="110"/>
      <c r="AE118" s="110"/>
      <c r="AF118" s="110">
        <v>22792</v>
      </c>
      <c r="AG118" s="135">
        <f t="shared" si="328"/>
        <v>23292</v>
      </c>
      <c r="AH118" s="135">
        <f t="shared" si="329"/>
        <v>500</v>
      </c>
      <c r="AI118" s="135"/>
      <c r="AJ118" s="135">
        <v>380</v>
      </c>
      <c r="AK118" s="135">
        <v>120</v>
      </c>
      <c r="AL118" s="454"/>
      <c r="AM118" s="135"/>
      <c r="AN118" s="135"/>
      <c r="AO118" s="135"/>
      <c r="AP118" s="135"/>
      <c r="AQ118" s="135"/>
      <c r="AR118" s="135">
        <v>0</v>
      </c>
      <c r="AS118" s="135">
        <f t="shared" si="330"/>
        <v>0</v>
      </c>
      <c r="AT118" s="135">
        <f t="shared" si="331"/>
        <v>0</v>
      </c>
      <c r="AU118" s="135"/>
      <c r="AV118" s="135"/>
      <c r="AW118" s="454"/>
      <c r="AX118" s="135"/>
      <c r="AY118" s="135"/>
      <c r="AZ118" s="110">
        <f t="shared" si="332"/>
        <v>0</v>
      </c>
      <c r="BA118" s="110">
        <f t="shared" si="333"/>
        <v>0</v>
      </c>
      <c r="BB118" s="110"/>
      <c r="BC118" s="110"/>
      <c r="BD118" s="110"/>
      <c r="BE118" s="110"/>
      <c r="BF118" s="110"/>
      <c r="BG118" s="110"/>
      <c r="BH118" s="110"/>
      <c r="BI118" s="110"/>
      <c r="BJ118" s="110"/>
      <c r="BK118" s="332"/>
      <c r="BL118" s="111" t="s">
        <v>466</v>
      </c>
      <c r="BM118" s="117" t="s">
        <v>669</v>
      </c>
      <c r="BN118" s="36"/>
      <c r="BO118" s="36"/>
      <c r="BP118" s="36"/>
      <c r="BQ118" s="36"/>
      <c r="BR118" s="36"/>
      <c r="BS118" s="36"/>
      <c r="BT118" s="36"/>
      <c r="BU118" s="36"/>
    </row>
    <row r="119" spans="1:73" x14ac:dyDescent="0.2">
      <c r="A119" s="165">
        <v>90010478153</v>
      </c>
      <c r="B119" s="129"/>
      <c r="C119" s="471" t="s">
        <v>571</v>
      </c>
      <c r="D119" s="472"/>
      <c r="E119" s="108" t="s">
        <v>205</v>
      </c>
      <c r="F119" s="346">
        <f t="shared" si="322"/>
        <v>620110</v>
      </c>
      <c r="G119" s="109">
        <f t="shared" si="323"/>
        <v>620594</v>
      </c>
      <c r="H119" s="110">
        <v>592745</v>
      </c>
      <c r="I119" s="110">
        <f t="shared" si="324"/>
        <v>592745</v>
      </c>
      <c r="J119" s="110">
        <f t="shared" si="325"/>
        <v>0</v>
      </c>
      <c r="K119" s="110"/>
      <c r="L119" s="110"/>
      <c r="M119" s="110"/>
      <c r="N119" s="110"/>
      <c r="O119" s="110"/>
      <c r="P119" s="110"/>
      <c r="Q119" s="110"/>
      <c r="R119" s="416"/>
      <c r="S119" s="435"/>
      <c r="T119" s="110"/>
      <c r="U119" s="110"/>
      <c r="V119" s="110"/>
      <c r="W119" s="110">
        <v>0</v>
      </c>
      <c r="X119" s="110">
        <f t="shared" si="326"/>
        <v>0</v>
      </c>
      <c r="Y119" s="110">
        <f t="shared" si="327"/>
        <v>0</v>
      </c>
      <c r="Z119" s="110"/>
      <c r="AA119" s="110"/>
      <c r="AB119" s="110"/>
      <c r="AC119" s="110"/>
      <c r="AD119" s="110"/>
      <c r="AE119" s="110"/>
      <c r="AF119" s="110">
        <v>27365</v>
      </c>
      <c r="AG119" s="135">
        <f t="shared" si="328"/>
        <v>27849</v>
      </c>
      <c r="AH119" s="135">
        <f t="shared" si="329"/>
        <v>484</v>
      </c>
      <c r="AI119" s="135">
        <v>484</v>
      </c>
      <c r="AJ119" s="135"/>
      <c r="AK119" s="135"/>
      <c r="AL119" s="454"/>
      <c r="AM119" s="135"/>
      <c r="AN119" s="135"/>
      <c r="AO119" s="135"/>
      <c r="AP119" s="135"/>
      <c r="AQ119" s="135"/>
      <c r="AR119" s="135">
        <v>0</v>
      </c>
      <c r="AS119" s="135">
        <f t="shared" si="330"/>
        <v>0</v>
      </c>
      <c r="AT119" s="135">
        <f t="shared" si="331"/>
        <v>0</v>
      </c>
      <c r="AU119" s="135"/>
      <c r="AV119" s="135"/>
      <c r="AW119" s="454"/>
      <c r="AX119" s="135"/>
      <c r="AY119" s="135"/>
      <c r="AZ119" s="110">
        <f t="shared" si="332"/>
        <v>0</v>
      </c>
      <c r="BA119" s="110">
        <f t="shared" si="333"/>
        <v>0</v>
      </c>
      <c r="BB119" s="110"/>
      <c r="BC119" s="110"/>
      <c r="BD119" s="110"/>
      <c r="BE119" s="110"/>
      <c r="BF119" s="110"/>
      <c r="BG119" s="110"/>
      <c r="BH119" s="110"/>
      <c r="BI119" s="110"/>
      <c r="BJ119" s="110"/>
      <c r="BK119" s="332"/>
      <c r="BL119" s="111" t="s">
        <v>467</v>
      </c>
      <c r="BM119" s="117"/>
      <c r="BN119" s="36"/>
      <c r="BO119" s="36"/>
      <c r="BP119" s="36"/>
      <c r="BQ119" s="36"/>
      <c r="BR119" s="36"/>
      <c r="BS119" s="36"/>
      <c r="BT119" s="36"/>
      <c r="BU119" s="36"/>
    </row>
    <row r="120" spans="1:73" s="218" customFormat="1" ht="24" x14ac:dyDescent="0.2">
      <c r="A120" s="165"/>
      <c r="B120" s="129"/>
      <c r="C120" s="108"/>
      <c r="D120" s="307"/>
      <c r="E120" s="108" t="s">
        <v>390</v>
      </c>
      <c r="F120" s="346">
        <f t="shared" si="322"/>
        <v>55469</v>
      </c>
      <c r="G120" s="109">
        <f t="shared" si="323"/>
        <v>56105</v>
      </c>
      <c r="H120" s="110">
        <v>27036</v>
      </c>
      <c r="I120" s="110">
        <f t="shared" si="324"/>
        <v>27036</v>
      </c>
      <c r="J120" s="110">
        <f t="shared" si="325"/>
        <v>0</v>
      </c>
      <c r="K120" s="110"/>
      <c r="L120" s="110"/>
      <c r="M120" s="110"/>
      <c r="N120" s="110"/>
      <c r="O120" s="110"/>
      <c r="P120" s="110"/>
      <c r="Q120" s="110"/>
      <c r="R120" s="416"/>
      <c r="S120" s="435"/>
      <c r="T120" s="110"/>
      <c r="U120" s="110"/>
      <c r="V120" s="110"/>
      <c r="W120" s="110">
        <v>0</v>
      </c>
      <c r="X120" s="110">
        <f t="shared" si="326"/>
        <v>0</v>
      </c>
      <c r="Y120" s="110">
        <f t="shared" si="327"/>
        <v>0</v>
      </c>
      <c r="Z120" s="110"/>
      <c r="AA120" s="110"/>
      <c r="AB120" s="110"/>
      <c r="AC120" s="110"/>
      <c r="AD120" s="110"/>
      <c r="AE120" s="110"/>
      <c r="AF120" s="110">
        <v>28433</v>
      </c>
      <c r="AG120" s="135">
        <f t="shared" si="328"/>
        <v>29069</v>
      </c>
      <c r="AH120" s="135">
        <f t="shared" si="329"/>
        <v>636</v>
      </c>
      <c r="AI120" s="135">
        <v>636</v>
      </c>
      <c r="AJ120" s="135"/>
      <c r="AK120" s="135"/>
      <c r="AL120" s="454"/>
      <c r="AM120" s="135"/>
      <c r="AN120" s="135"/>
      <c r="AO120" s="135"/>
      <c r="AP120" s="135"/>
      <c r="AQ120" s="135"/>
      <c r="AR120" s="135">
        <v>0</v>
      </c>
      <c r="AS120" s="135">
        <f t="shared" si="330"/>
        <v>0</v>
      </c>
      <c r="AT120" s="135">
        <f t="shared" si="331"/>
        <v>0</v>
      </c>
      <c r="AU120" s="135"/>
      <c r="AV120" s="135"/>
      <c r="AW120" s="454"/>
      <c r="AX120" s="135"/>
      <c r="AY120" s="135"/>
      <c r="AZ120" s="110">
        <f t="shared" si="332"/>
        <v>0</v>
      </c>
      <c r="BA120" s="110">
        <f t="shared" si="333"/>
        <v>0</v>
      </c>
      <c r="BB120" s="110"/>
      <c r="BC120" s="110"/>
      <c r="BD120" s="110"/>
      <c r="BE120" s="110"/>
      <c r="BF120" s="110"/>
      <c r="BG120" s="110"/>
      <c r="BH120" s="110"/>
      <c r="BI120" s="110"/>
      <c r="BJ120" s="110"/>
      <c r="BK120" s="332"/>
      <c r="BL120" s="111" t="s">
        <v>468</v>
      </c>
      <c r="BM120" s="117"/>
      <c r="BN120" s="36"/>
      <c r="BO120" s="36"/>
      <c r="BP120" s="36"/>
      <c r="BQ120" s="36"/>
      <c r="BR120" s="36"/>
      <c r="BS120" s="36"/>
      <c r="BT120" s="36"/>
      <c r="BU120" s="36"/>
    </row>
    <row r="121" spans="1:73" s="222" customFormat="1" ht="24" x14ac:dyDescent="0.2">
      <c r="A121" s="165"/>
      <c r="B121" s="129"/>
      <c r="C121" s="108"/>
      <c r="D121" s="307"/>
      <c r="E121" s="108" t="s">
        <v>570</v>
      </c>
      <c r="F121" s="346">
        <f t="shared" si="322"/>
        <v>94832</v>
      </c>
      <c r="G121" s="109">
        <f t="shared" si="323"/>
        <v>94832</v>
      </c>
      <c r="H121" s="110">
        <v>51832</v>
      </c>
      <c r="I121" s="110">
        <f t="shared" si="324"/>
        <v>51832</v>
      </c>
      <c r="J121" s="110">
        <f t="shared" si="325"/>
        <v>0</v>
      </c>
      <c r="K121" s="110"/>
      <c r="L121" s="110"/>
      <c r="M121" s="110"/>
      <c r="N121" s="110"/>
      <c r="O121" s="110"/>
      <c r="P121" s="110"/>
      <c r="Q121" s="110"/>
      <c r="R121" s="416"/>
      <c r="S121" s="435"/>
      <c r="T121" s="110"/>
      <c r="U121" s="110"/>
      <c r="V121" s="110"/>
      <c r="W121" s="110">
        <v>0</v>
      </c>
      <c r="X121" s="110">
        <f t="shared" si="326"/>
        <v>0</v>
      </c>
      <c r="Y121" s="110">
        <f t="shared" si="327"/>
        <v>0</v>
      </c>
      <c r="Z121" s="110"/>
      <c r="AA121" s="110"/>
      <c r="AB121" s="110"/>
      <c r="AC121" s="110"/>
      <c r="AD121" s="110"/>
      <c r="AE121" s="110"/>
      <c r="AF121" s="110">
        <v>43000</v>
      </c>
      <c r="AG121" s="135">
        <f t="shared" si="328"/>
        <v>43000</v>
      </c>
      <c r="AH121" s="135">
        <f t="shared" si="329"/>
        <v>0</v>
      </c>
      <c r="AI121" s="135"/>
      <c r="AJ121" s="135"/>
      <c r="AK121" s="135"/>
      <c r="AL121" s="454"/>
      <c r="AM121" s="135"/>
      <c r="AN121" s="135"/>
      <c r="AO121" s="135"/>
      <c r="AP121" s="135"/>
      <c r="AQ121" s="135"/>
      <c r="AR121" s="135">
        <v>0</v>
      </c>
      <c r="AS121" s="135">
        <f t="shared" si="330"/>
        <v>0</v>
      </c>
      <c r="AT121" s="135">
        <f t="shared" si="331"/>
        <v>0</v>
      </c>
      <c r="AU121" s="135"/>
      <c r="AV121" s="135"/>
      <c r="AW121" s="454"/>
      <c r="AX121" s="135"/>
      <c r="AY121" s="135"/>
      <c r="AZ121" s="110">
        <f t="shared" si="332"/>
        <v>0</v>
      </c>
      <c r="BA121" s="110">
        <f t="shared" si="333"/>
        <v>0</v>
      </c>
      <c r="BB121" s="110"/>
      <c r="BC121" s="110"/>
      <c r="BD121" s="110"/>
      <c r="BE121" s="110"/>
      <c r="BF121" s="110"/>
      <c r="BG121" s="110"/>
      <c r="BH121" s="110"/>
      <c r="BI121" s="110"/>
      <c r="BJ121" s="110"/>
      <c r="BK121" s="332"/>
      <c r="BL121" s="111" t="s">
        <v>469</v>
      </c>
      <c r="BM121" s="117"/>
      <c r="BN121" s="36"/>
      <c r="BO121" s="36"/>
      <c r="BP121" s="36"/>
      <c r="BQ121" s="36"/>
      <c r="BR121" s="36"/>
      <c r="BS121" s="36"/>
      <c r="BT121" s="36"/>
      <c r="BU121" s="36"/>
    </row>
    <row r="122" spans="1:73" s="218" customFormat="1" ht="15.75" customHeight="1" x14ac:dyDescent="0.2">
      <c r="A122" s="165"/>
      <c r="B122" s="129"/>
      <c r="C122" s="108"/>
      <c r="D122" s="307"/>
      <c r="E122" s="108" t="s">
        <v>391</v>
      </c>
      <c r="F122" s="346">
        <f t="shared" si="322"/>
        <v>93848</v>
      </c>
      <c r="G122" s="109">
        <f t="shared" si="323"/>
        <v>124037</v>
      </c>
      <c r="H122" s="110">
        <v>53847</v>
      </c>
      <c r="I122" s="110">
        <f t="shared" si="324"/>
        <v>47644</v>
      </c>
      <c r="J122" s="110">
        <f t="shared" si="325"/>
        <v>-6203</v>
      </c>
      <c r="K122" s="110"/>
      <c r="L122" s="110"/>
      <c r="M122" s="110"/>
      <c r="N122" s="110"/>
      <c r="O122" s="110">
        <v>-6203</v>
      </c>
      <c r="P122" s="110"/>
      <c r="Q122" s="110"/>
      <c r="R122" s="416"/>
      <c r="S122" s="435"/>
      <c r="T122" s="110"/>
      <c r="U122" s="110"/>
      <c r="V122" s="110"/>
      <c r="W122" s="110">
        <v>0</v>
      </c>
      <c r="X122" s="110">
        <f t="shared" si="326"/>
        <v>0</v>
      </c>
      <c r="Y122" s="110">
        <f t="shared" si="327"/>
        <v>0</v>
      </c>
      <c r="Z122" s="110"/>
      <c r="AA122" s="110"/>
      <c r="AB122" s="110"/>
      <c r="AC122" s="110"/>
      <c r="AD122" s="110"/>
      <c r="AE122" s="110"/>
      <c r="AF122" s="110">
        <v>40001</v>
      </c>
      <c r="AG122" s="135">
        <f t="shared" si="328"/>
        <v>76393</v>
      </c>
      <c r="AH122" s="135">
        <f t="shared" si="329"/>
        <v>36392</v>
      </c>
      <c r="AI122" s="135">
        <v>23319</v>
      </c>
      <c r="AJ122" s="135"/>
      <c r="AK122" s="135"/>
      <c r="AL122" s="454">
        <v>13073</v>
      </c>
      <c r="AM122" s="135"/>
      <c r="AN122" s="135"/>
      <c r="AO122" s="135"/>
      <c r="AP122" s="135"/>
      <c r="AQ122" s="135"/>
      <c r="AR122" s="135">
        <v>0</v>
      </c>
      <c r="AS122" s="135">
        <f t="shared" si="330"/>
        <v>0</v>
      </c>
      <c r="AT122" s="135">
        <f t="shared" si="331"/>
        <v>0</v>
      </c>
      <c r="AU122" s="135"/>
      <c r="AV122" s="135"/>
      <c r="AW122" s="454"/>
      <c r="AX122" s="135"/>
      <c r="AY122" s="135"/>
      <c r="AZ122" s="110">
        <f t="shared" si="332"/>
        <v>0</v>
      </c>
      <c r="BA122" s="110">
        <f t="shared" si="333"/>
        <v>0</v>
      </c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332"/>
      <c r="BL122" s="111" t="s">
        <v>470</v>
      </c>
      <c r="BM122" s="117"/>
      <c r="BN122" s="36"/>
      <c r="BO122" s="36"/>
      <c r="BP122" s="36"/>
      <c r="BQ122" s="36"/>
      <c r="BR122" s="36"/>
      <c r="BS122" s="36"/>
      <c r="BT122" s="36"/>
      <c r="BU122" s="36"/>
    </row>
    <row r="123" spans="1:73" s="218" customFormat="1" ht="24" x14ac:dyDescent="0.2">
      <c r="A123" s="165"/>
      <c r="B123" s="129"/>
      <c r="C123" s="108"/>
      <c r="D123" s="307"/>
      <c r="E123" s="108" t="s">
        <v>392</v>
      </c>
      <c r="F123" s="346">
        <f t="shared" si="322"/>
        <v>26991</v>
      </c>
      <c r="G123" s="109">
        <f t="shared" si="323"/>
        <v>31291</v>
      </c>
      <c r="H123" s="110">
        <v>11673</v>
      </c>
      <c r="I123" s="110">
        <f t="shared" si="324"/>
        <v>8598</v>
      </c>
      <c r="J123" s="110">
        <f t="shared" si="325"/>
        <v>-3075</v>
      </c>
      <c r="K123" s="110"/>
      <c r="L123" s="110"/>
      <c r="M123" s="110"/>
      <c r="N123" s="110"/>
      <c r="O123" s="110">
        <v>-3075</v>
      </c>
      <c r="P123" s="110"/>
      <c r="Q123" s="110"/>
      <c r="R123" s="416"/>
      <c r="S123" s="435"/>
      <c r="T123" s="110"/>
      <c r="U123" s="110"/>
      <c r="V123" s="110"/>
      <c r="W123" s="110">
        <v>0</v>
      </c>
      <c r="X123" s="110">
        <f t="shared" si="326"/>
        <v>0</v>
      </c>
      <c r="Y123" s="110">
        <f t="shared" si="327"/>
        <v>0</v>
      </c>
      <c r="Z123" s="110"/>
      <c r="AA123" s="110"/>
      <c r="AB123" s="110"/>
      <c r="AC123" s="110"/>
      <c r="AD123" s="110"/>
      <c r="AE123" s="110"/>
      <c r="AF123" s="110">
        <v>15318</v>
      </c>
      <c r="AG123" s="135">
        <f t="shared" si="328"/>
        <v>22693</v>
      </c>
      <c r="AH123" s="135">
        <f t="shared" si="329"/>
        <v>7375</v>
      </c>
      <c r="AI123" s="135">
        <v>7375</v>
      </c>
      <c r="AJ123" s="135"/>
      <c r="AK123" s="135"/>
      <c r="AL123" s="454"/>
      <c r="AM123" s="135"/>
      <c r="AN123" s="135"/>
      <c r="AO123" s="135"/>
      <c r="AP123" s="135"/>
      <c r="AQ123" s="135"/>
      <c r="AR123" s="135">
        <v>0</v>
      </c>
      <c r="AS123" s="135">
        <f t="shared" si="330"/>
        <v>0</v>
      </c>
      <c r="AT123" s="135">
        <f t="shared" si="331"/>
        <v>0</v>
      </c>
      <c r="AU123" s="135"/>
      <c r="AV123" s="135"/>
      <c r="AW123" s="454"/>
      <c r="AX123" s="135"/>
      <c r="AY123" s="135"/>
      <c r="AZ123" s="110">
        <f t="shared" si="332"/>
        <v>0</v>
      </c>
      <c r="BA123" s="110">
        <f t="shared" si="333"/>
        <v>0</v>
      </c>
      <c r="BB123" s="110"/>
      <c r="BC123" s="110"/>
      <c r="BD123" s="110"/>
      <c r="BE123" s="110"/>
      <c r="BF123" s="110"/>
      <c r="BG123" s="110"/>
      <c r="BH123" s="110"/>
      <c r="BI123" s="110"/>
      <c r="BJ123" s="110"/>
      <c r="BK123" s="332"/>
      <c r="BL123" s="111" t="s">
        <v>471</v>
      </c>
      <c r="BM123" s="117"/>
      <c r="BN123" s="36"/>
      <c r="BO123" s="36"/>
      <c r="BP123" s="36"/>
      <c r="BQ123" s="36"/>
      <c r="BR123" s="36"/>
      <c r="BS123" s="36"/>
      <c r="BT123" s="36"/>
      <c r="BU123" s="36"/>
    </row>
    <row r="124" spans="1:73" s="261" customFormat="1" ht="24" x14ac:dyDescent="0.2">
      <c r="A124" s="165"/>
      <c r="B124" s="129"/>
      <c r="C124" s="108"/>
      <c r="D124" s="307"/>
      <c r="E124" s="108" t="s">
        <v>618</v>
      </c>
      <c r="F124" s="346">
        <f t="shared" si="322"/>
        <v>42867</v>
      </c>
      <c r="G124" s="109">
        <f t="shared" si="323"/>
        <v>48868</v>
      </c>
      <c r="H124" s="110">
        <v>22063</v>
      </c>
      <c r="I124" s="110">
        <f t="shared" si="324"/>
        <v>22063</v>
      </c>
      <c r="J124" s="110">
        <f t="shared" si="325"/>
        <v>0</v>
      </c>
      <c r="K124" s="110"/>
      <c r="L124" s="110"/>
      <c r="M124" s="110"/>
      <c r="N124" s="110"/>
      <c r="O124" s="110"/>
      <c r="P124" s="110"/>
      <c r="Q124" s="110"/>
      <c r="R124" s="416"/>
      <c r="S124" s="435"/>
      <c r="T124" s="110"/>
      <c r="U124" s="110"/>
      <c r="V124" s="110"/>
      <c r="W124" s="110">
        <v>0</v>
      </c>
      <c r="X124" s="110">
        <f t="shared" si="326"/>
        <v>0</v>
      </c>
      <c r="Y124" s="110">
        <f t="shared" si="327"/>
        <v>0</v>
      </c>
      <c r="Z124" s="110"/>
      <c r="AA124" s="110"/>
      <c r="AB124" s="110"/>
      <c r="AC124" s="110"/>
      <c r="AD124" s="110"/>
      <c r="AE124" s="110"/>
      <c r="AF124" s="110">
        <v>20804</v>
      </c>
      <c r="AG124" s="135">
        <f t="shared" si="328"/>
        <v>26805</v>
      </c>
      <c r="AH124" s="135">
        <f t="shared" si="329"/>
        <v>6001</v>
      </c>
      <c r="AI124" s="135">
        <v>6001</v>
      </c>
      <c r="AJ124" s="135"/>
      <c r="AK124" s="135"/>
      <c r="AL124" s="454"/>
      <c r="AM124" s="135"/>
      <c r="AN124" s="135"/>
      <c r="AO124" s="135"/>
      <c r="AP124" s="135"/>
      <c r="AQ124" s="135"/>
      <c r="AR124" s="135">
        <v>0</v>
      </c>
      <c r="AS124" s="135">
        <f t="shared" si="330"/>
        <v>0</v>
      </c>
      <c r="AT124" s="135">
        <f t="shared" si="331"/>
        <v>0</v>
      </c>
      <c r="AU124" s="135"/>
      <c r="AV124" s="135"/>
      <c r="AW124" s="454"/>
      <c r="AX124" s="135"/>
      <c r="AY124" s="135"/>
      <c r="AZ124" s="110">
        <f t="shared" si="332"/>
        <v>0</v>
      </c>
      <c r="BA124" s="110">
        <f t="shared" si="333"/>
        <v>0</v>
      </c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332"/>
      <c r="BL124" s="111" t="s">
        <v>660</v>
      </c>
      <c r="BM124" s="117"/>
      <c r="BN124" s="36"/>
      <c r="BO124" s="36"/>
      <c r="BP124" s="36"/>
      <c r="BQ124" s="36"/>
      <c r="BR124" s="36"/>
      <c r="BS124" s="36"/>
      <c r="BT124" s="36"/>
      <c r="BU124" s="36"/>
    </row>
    <row r="125" spans="1:73" ht="36" x14ac:dyDescent="0.2">
      <c r="A125" s="165">
        <v>40000056408</v>
      </c>
      <c r="B125" s="129"/>
      <c r="C125" s="471" t="s">
        <v>16</v>
      </c>
      <c r="D125" s="472"/>
      <c r="E125" s="108" t="s">
        <v>577</v>
      </c>
      <c r="F125" s="346">
        <f t="shared" si="322"/>
        <v>427772</v>
      </c>
      <c r="G125" s="109">
        <f t="shared" si="323"/>
        <v>439731</v>
      </c>
      <c r="H125" s="110">
        <v>410045</v>
      </c>
      <c r="I125" s="110">
        <f t="shared" si="324"/>
        <v>420543</v>
      </c>
      <c r="J125" s="110">
        <f t="shared" si="325"/>
        <v>10498</v>
      </c>
      <c r="K125" s="110"/>
      <c r="L125" s="110"/>
      <c r="M125" s="110"/>
      <c r="N125" s="110"/>
      <c r="O125" s="110">
        <v>9900</v>
      </c>
      <c r="P125" s="110"/>
      <c r="Q125" s="110"/>
      <c r="R125" s="416"/>
      <c r="S125" s="435">
        <v>598</v>
      </c>
      <c r="T125" s="110"/>
      <c r="U125" s="110"/>
      <c r="V125" s="110"/>
      <c r="W125" s="110">
        <v>0</v>
      </c>
      <c r="X125" s="110">
        <f t="shared" si="326"/>
        <v>0</v>
      </c>
      <c r="Y125" s="110">
        <f t="shared" si="327"/>
        <v>0</v>
      </c>
      <c r="Z125" s="110"/>
      <c r="AA125" s="110"/>
      <c r="AB125" s="110"/>
      <c r="AC125" s="110"/>
      <c r="AD125" s="110"/>
      <c r="AE125" s="110"/>
      <c r="AF125" s="110">
        <v>17727</v>
      </c>
      <c r="AG125" s="135">
        <f t="shared" si="328"/>
        <v>18874</v>
      </c>
      <c r="AH125" s="135">
        <f t="shared" si="329"/>
        <v>1147</v>
      </c>
      <c r="AI125" s="135">
        <v>1147</v>
      </c>
      <c r="AJ125" s="135"/>
      <c r="AK125" s="135"/>
      <c r="AL125" s="454"/>
      <c r="AM125" s="135"/>
      <c r="AN125" s="135"/>
      <c r="AO125" s="135"/>
      <c r="AP125" s="135"/>
      <c r="AQ125" s="135"/>
      <c r="AR125" s="135">
        <v>0</v>
      </c>
      <c r="AS125" s="135">
        <f t="shared" si="330"/>
        <v>314</v>
      </c>
      <c r="AT125" s="135">
        <f t="shared" si="331"/>
        <v>314</v>
      </c>
      <c r="AU125" s="135"/>
      <c r="AV125" s="135">
        <v>314</v>
      </c>
      <c r="AW125" s="454"/>
      <c r="AX125" s="135"/>
      <c r="AY125" s="135"/>
      <c r="AZ125" s="110">
        <f t="shared" si="332"/>
        <v>0</v>
      </c>
      <c r="BA125" s="110">
        <f t="shared" si="333"/>
        <v>0</v>
      </c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332"/>
      <c r="BL125" s="111" t="s">
        <v>472</v>
      </c>
      <c r="BM125" s="117"/>
      <c r="BN125" s="36"/>
      <c r="BO125" s="36"/>
      <c r="BP125" s="36"/>
      <c r="BQ125" s="36"/>
      <c r="BR125" s="36"/>
      <c r="BS125" s="36"/>
      <c r="BT125" s="36"/>
      <c r="BU125" s="36"/>
    </row>
    <row r="126" spans="1:73" s="209" customFormat="1" ht="36" x14ac:dyDescent="0.2">
      <c r="A126" s="165"/>
      <c r="B126" s="129"/>
      <c r="C126" s="108"/>
      <c r="D126" s="307"/>
      <c r="E126" s="108" t="s">
        <v>359</v>
      </c>
      <c r="F126" s="346">
        <f t="shared" si="322"/>
        <v>37071</v>
      </c>
      <c r="G126" s="109">
        <f t="shared" si="323"/>
        <v>37071</v>
      </c>
      <c r="H126" s="110">
        <v>37071</v>
      </c>
      <c r="I126" s="110">
        <f t="shared" si="324"/>
        <v>37071</v>
      </c>
      <c r="J126" s="110">
        <f t="shared" si="325"/>
        <v>0</v>
      </c>
      <c r="K126" s="110"/>
      <c r="L126" s="110"/>
      <c r="M126" s="110"/>
      <c r="N126" s="110"/>
      <c r="O126" s="110"/>
      <c r="P126" s="110"/>
      <c r="Q126" s="110"/>
      <c r="R126" s="416"/>
      <c r="S126" s="435"/>
      <c r="T126" s="110"/>
      <c r="U126" s="110"/>
      <c r="V126" s="110"/>
      <c r="W126" s="110">
        <v>0</v>
      </c>
      <c r="X126" s="110">
        <f t="shared" si="326"/>
        <v>0</v>
      </c>
      <c r="Y126" s="110">
        <f t="shared" si="327"/>
        <v>0</v>
      </c>
      <c r="Z126" s="110"/>
      <c r="AA126" s="110"/>
      <c r="AB126" s="110"/>
      <c r="AC126" s="110"/>
      <c r="AD126" s="110"/>
      <c r="AE126" s="110"/>
      <c r="AF126" s="110">
        <v>0</v>
      </c>
      <c r="AG126" s="135">
        <f t="shared" si="328"/>
        <v>0</v>
      </c>
      <c r="AH126" s="135">
        <f t="shared" si="329"/>
        <v>0</v>
      </c>
      <c r="AI126" s="135"/>
      <c r="AJ126" s="135"/>
      <c r="AK126" s="135"/>
      <c r="AL126" s="454"/>
      <c r="AM126" s="135"/>
      <c r="AN126" s="135"/>
      <c r="AO126" s="135"/>
      <c r="AP126" s="135"/>
      <c r="AQ126" s="135"/>
      <c r="AR126" s="135">
        <v>0</v>
      </c>
      <c r="AS126" s="135">
        <f t="shared" si="330"/>
        <v>0</v>
      </c>
      <c r="AT126" s="135">
        <f t="shared" si="331"/>
        <v>0</v>
      </c>
      <c r="AU126" s="135"/>
      <c r="AV126" s="135"/>
      <c r="AW126" s="454"/>
      <c r="AX126" s="135"/>
      <c r="AY126" s="135"/>
      <c r="AZ126" s="110">
        <f t="shared" si="332"/>
        <v>0</v>
      </c>
      <c r="BA126" s="110">
        <f t="shared" si="333"/>
        <v>0</v>
      </c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332"/>
      <c r="BL126" s="111" t="s">
        <v>473</v>
      </c>
      <c r="BM126" s="117"/>
      <c r="BN126" s="36"/>
      <c r="BO126" s="36"/>
      <c r="BP126" s="36"/>
      <c r="BQ126" s="36"/>
      <c r="BR126" s="36"/>
      <c r="BS126" s="36"/>
      <c r="BT126" s="36"/>
      <c r="BU126" s="36"/>
    </row>
    <row r="127" spans="1:73" ht="27.75" customHeight="1" x14ac:dyDescent="0.2">
      <c r="A127" s="165"/>
      <c r="B127" s="129"/>
      <c r="C127" s="108"/>
      <c r="D127" s="307"/>
      <c r="E127" s="108" t="s">
        <v>364</v>
      </c>
      <c r="F127" s="346">
        <f t="shared" si="322"/>
        <v>24866</v>
      </c>
      <c r="G127" s="109">
        <f t="shared" si="323"/>
        <v>26610</v>
      </c>
      <c r="H127" s="110">
        <v>22486</v>
      </c>
      <c r="I127" s="110">
        <f t="shared" si="324"/>
        <v>24230</v>
      </c>
      <c r="J127" s="110">
        <f t="shared" si="325"/>
        <v>1744</v>
      </c>
      <c r="K127" s="110"/>
      <c r="L127" s="110"/>
      <c r="M127" s="110"/>
      <c r="N127" s="110"/>
      <c r="O127" s="110">
        <v>150</v>
      </c>
      <c r="P127" s="110"/>
      <c r="Q127" s="110"/>
      <c r="R127" s="416"/>
      <c r="S127" s="435">
        <v>1594</v>
      </c>
      <c r="T127" s="110"/>
      <c r="U127" s="110"/>
      <c r="V127" s="110"/>
      <c r="W127" s="110">
        <v>0</v>
      </c>
      <c r="X127" s="110">
        <f t="shared" si="326"/>
        <v>0</v>
      </c>
      <c r="Y127" s="110">
        <f t="shared" si="327"/>
        <v>0</v>
      </c>
      <c r="Z127" s="110"/>
      <c r="AA127" s="110"/>
      <c r="AB127" s="110"/>
      <c r="AC127" s="110"/>
      <c r="AD127" s="110"/>
      <c r="AE127" s="110"/>
      <c r="AF127" s="110">
        <v>2380</v>
      </c>
      <c r="AG127" s="135">
        <f t="shared" si="328"/>
        <v>2380</v>
      </c>
      <c r="AH127" s="135">
        <f t="shared" si="329"/>
        <v>0</v>
      </c>
      <c r="AI127" s="135"/>
      <c r="AJ127" s="135"/>
      <c r="AK127" s="135"/>
      <c r="AL127" s="454"/>
      <c r="AM127" s="135"/>
      <c r="AN127" s="135"/>
      <c r="AO127" s="135"/>
      <c r="AP127" s="135"/>
      <c r="AQ127" s="135"/>
      <c r="AR127" s="135">
        <v>0</v>
      </c>
      <c r="AS127" s="135">
        <f t="shared" si="330"/>
        <v>0</v>
      </c>
      <c r="AT127" s="135">
        <f t="shared" si="331"/>
        <v>0</v>
      </c>
      <c r="AU127" s="135"/>
      <c r="AV127" s="135"/>
      <c r="AW127" s="454"/>
      <c r="AX127" s="135"/>
      <c r="AY127" s="135"/>
      <c r="AZ127" s="110">
        <f t="shared" si="332"/>
        <v>0</v>
      </c>
      <c r="BA127" s="110">
        <f t="shared" si="333"/>
        <v>0</v>
      </c>
      <c r="BB127" s="110"/>
      <c r="BC127" s="110"/>
      <c r="BD127" s="110"/>
      <c r="BE127" s="110"/>
      <c r="BF127" s="110"/>
      <c r="BG127" s="110"/>
      <c r="BH127" s="110"/>
      <c r="BI127" s="110"/>
      <c r="BJ127" s="110"/>
      <c r="BK127" s="332"/>
      <c r="BL127" s="111" t="s">
        <v>474</v>
      </c>
      <c r="BM127" s="117" t="s">
        <v>573</v>
      </c>
      <c r="BN127" s="36"/>
      <c r="BO127" s="36"/>
      <c r="BP127" s="36"/>
      <c r="BQ127" s="36"/>
      <c r="BR127" s="36"/>
      <c r="BS127" s="36"/>
      <c r="BT127" s="36"/>
      <c r="BU127" s="36"/>
    </row>
    <row r="128" spans="1:73" s="386" customFormat="1" ht="36" x14ac:dyDescent="0.2">
      <c r="A128" s="165"/>
      <c r="B128" s="129"/>
      <c r="C128" s="384"/>
      <c r="D128" s="385"/>
      <c r="E128" s="384" t="s">
        <v>754</v>
      </c>
      <c r="F128" s="346">
        <f t="shared" ref="F128" si="334">H128+W128+AF128+AQ128+AR128+AY128</f>
        <v>0</v>
      </c>
      <c r="G128" s="109">
        <f t="shared" ref="G128" si="335">I128+X128+AG128+AQ128+AS128+AZ128</f>
        <v>3500</v>
      </c>
      <c r="H128" s="110"/>
      <c r="I128" s="110">
        <f t="shared" ref="I128" si="336">J128+H128</f>
        <v>3500</v>
      </c>
      <c r="J128" s="110">
        <f t="shared" ref="J128" si="337">SUM(K128:V128)</f>
        <v>3500</v>
      </c>
      <c r="K128" s="110"/>
      <c r="L128" s="110"/>
      <c r="M128" s="110"/>
      <c r="N128" s="110">
        <v>3500</v>
      </c>
      <c r="O128" s="110"/>
      <c r="P128" s="110"/>
      <c r="Q128" s="110"/>
      <c r="R128" s="416"/>
      <c r="S128" s="435"/>
      <c r="T128" s="110"/>
      <c r="U128" s="110"/>
      <c r="V128" s="110"/>
      <c r="W128" s="110"/>
      <c r="X128" s="110">
        <f t="shared" ref="X128" si="338">Y128+W128</f>
        <v>0</v>
      </c>
      <c r="Y128" s="110">
        <f t="shared" ref="Y128" si="339">SUM(Z128:AE128)</f>
        <v>0</v>
      </c>
      <c r="Z128" s="110"/>
      <c r="AA128" s="110"/>
      <c r="AB128" s="110"/>
      <c r="AC128" s="110"/>
      <c r="AD128" s="110"/>
      <c r="AE128" s="110"/>
      <c r="AF128" s="110"/>
      <c r="AG128" s="135">
        <f t="shared" ref="AG128" si="340">AH128+AF128</f>
        <v>0</v>
      </c>
      <c r="AH128" s="135">
        <f t="shared" ref="AH128" si="341">SUM(AI128:AP128)</f>
        <v>0</v>
      </c>
      <c r="AI128" s="135"/>
      <c r="AJ128" s="135"/>
      <c r="AK128" s="135"/>
      <c r="AL128" s="454"/>
      <c r="AM128" s="135"/>
      <c r="AN128" s="135"/>
      <c r="AO128" s="135"/>
      <c r="AP128" s="135"/>
      <c r="AQ128" s="135"/>
      <c r="AR128" s="135"/>
      <c r="AS128" s="135">
        <f t="shared" ref="AS128" si="342">AT128+AR128</f>
        <v>0</v>
      </c>
      <c r="AT128" s="135">
        <f t="shared" ref="AT128" si="343">SUM(AU128:AX128)</f>
        <v>0</v>
      </c>
      <c r="AU128" s="135"/>
      <c r="AV128" s="135"/>
      <c r="AW128" s="454"/>
      <c r="AX128" s="135"/>
      <c r="AY128" s="135"/>
      <c r="AZ128" s="110">
        <f t="shared" ref="AZ128" si="344">BA128+AY128</f>
        <v>0</v>
      </c>
      <c r="BA128" s="110">
        <f t="shared" ref="BA128" si="345">SUM(BB128:BK128)</f>
        <v>0</v>
      </c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332"/>
      <c r="BL128" s="111" t="s">
        <v>755</v>
      </c>
      <c r="BM128" s="117"/>
      <c r="BN128" s="36"/>
      <c r="BO128" s="36"/>
      <c r="BP128" s="36"/>
      <c r="BQ128" s="36"/>
      <c r="BR128" s="36"/>
      <c r="BS128" s="36"/>
      <c r="BT128" s="36"/>
      <c r="BU128" s="36"/>
    </row>
    <row r="129" spans="1:73" s="19" customFormat="1" ht="36" customHeight="1" x14ac:dyDescent="0.2">
      <c r="A129" s="166">
        <v>40003378932</v>
      </c>
      <c r="B129" s="108"/>
      <c r="C129" s="471" t="s">
        <v>393</v>
      </c>
      <c r="D129" s="472"/>
      <c r="E129" s="108" t="s">
        <v>588</v>
      </c>
      <c r="F129" s="346">
        <f t="shared" si="322"/>
        <v>500000</v>
      </c>
      <c r="G129" s="109">
        <f t="shared" si="323"/>
        <v>500000</v>
      </c>
      <c r="H129" s="110">
        <v>500000</v>
      </c>
      <c r="I129" s="110">
        <f t="shared" si="324"/>
        <v>500000</v>
      </c>
      <c r="J129" s="110">
        <f t="shared" si="325"/>
        <v>0</v>
      </c>
      <c r="K129" s="110"/>
      <c r="L129" s="110"/>
      <c r="M129" s="110"/>
      <c r="N129" s="110"/>
      <c r="O129" s="110"/>
      <c r="P129" s="110"/>
      <c r="Q129" s="110"/>
      <c r="R129" s="416"/>
      <c r="S129" s="435"/>
      <c r="T129" s="110"/>
      <c r="U129" s="110"/>
      <c r="V129" s="110"/>
      <c r="W129" s="110">
        <v>0</v>
      </c>
      <c r="X129" s="110">
        <f t="shared" si="326"/>
        <v>0</v>
      </c>
      <c r="Y129" s="110">
        <f t="shared" si="327"/>
        <v>0</v>
      </c>
      <c r="Z129" s="110"/>
      <c r="AA129" s="110"/>
      <c r="AB129" s="110"/>
      <c r="AC129" s="110"/>
      <c r="AD129" s="110"/>
      <c r="AE129" s="110"/>
      <c r="AF129" s="110">
        <v>0</v>
      </c>
      <c r="AG129" s="135">
        <f t="shared" si="328"/>
        <v>0</v>
      </c>
      <c r="AH129" s="135">
        <f t="shared" si="329"/>
        <v>0</v>
      </c>
      <c r="AI129" s="135"/>
      <c r="AJ129" s="135"/>
      <c r="AK129" s="135"/>
      <c r="AL129" s="454"/>
      <c r="AM129" s="135"/>
      <c r="AN129" s="135"/>
      <c r="AO129" s="135"/>
      <c r="AP129" s="135"/>
      <c r="AQ129" s="137"/>
      <c r="AR129" s="110">
        <v>0</v>
      </c>
      <c r="AS129" s="135">
        <f t="shared" si="330"/>
        <v>0</v>
      </c>
      <c r="AT129" s="135">
        <f t="shared" si="331"/>
        <v>0</v>
      </c>
      <c r="AU129" s="135"/>
      <c r="AV129" s="135"/>
      <c r="AW129" s="454"/>
      <c r="AX129" s="135"/>
      <c r="AY129" s="135"/>
      <c r="AZ129" s="110">
        <f t="shared" si="332"/>
        <v>0</v>
      </c>
      <c r="BA129" s="110">
        <f t="shared" si="333"/>
        <v>0</v>
      </c>
      <c r="BB129" s="110"/>
      <c r="BC129" s="110"/>
      <c r="BD129" s="110"/>
      <c r="BE129" s="110"/>
      <c r="BF129" s="110"/>
      <c r="BG129" s="110"/>
      <c r="BH129" s="110"/>
      <c r="BI129" s="110"/>
      <c r="BJ129" s="110"/>
      <c r="BK129" s="332"/>
      <c r="BL129" s="111" t="s">
        <v>475</v>
      </c>
      <c r="BM129" s="117"/>
      <c r="BN129" s="36"/>
      <c r="BO129" s="36"/>
      <c r="BP129" s="36"/>
      <c r="BQ129" s="36"/>
      <c r="BR129" s="36"/>
      <c r="BS129" s="36"/>
      <c r="BT129" s="36"/>
      <c r="BU129" s="36"/>
    </row>
    <row r="130" spans="1:73" s="19" customFormat="1" x14ac:dyDescent="0.2">
      <c r="A130" s="166"/>
      <c r="B130" s="108"/>
      <c r="C130" s="108"/>
      <c r="D130" s="307"/>
      <c r="E130" s="108" t="s">
        <v>585</v>
      </c>
      <c r="F130" s="346">
        <f t="shared" si="322"/>
        <v>88100</v>
      </c>
      <c r="G130" s="109">
        <f t="shared" si="323"/>
        <v>88100</v>
      </c>
      <c r="H130" s="110">
        <v>88100</v>
      </c>
      <c r="I130" s="110">
        <f t="shared" si="324"/>
        <v>88100</v>
      </c>
      <c r="J130" s="110">
        <f t="shared" si="325"/>
        <v>0</v>
      </c>
      <c r="K130" s="110"/>
      <c r="L130" s="110"/>
      <c r="M130" s="110"/>
      <c r="N130" s="110"/>
      <c r="O130" s="110"/>
      <c r="P130" s="110"/>
      <c r="Q130" s="110"/>
      <c r="R130" s="416"/>
      <c r="S130" s="435"/>
      <c r="T130" s="110"/>
      <c r="U130" s="110"/>
      <c r="V130" s="110"/>
      <c r="W130" s="110">
        <v>0</v>
      </c>
      <c r="X130" s="110">
        <f t="shared" si="326"/>
        <v>0</v>
      </c>
      <c r="Y130" s="110">
        <f t="shared" si="327"/>
        <v>0</v>
      </c>
      <c r="Z130" s="110"/>
      <c r="AA130" s="110"/>
      <c r="AB130" s="110"/>
      <c r="AC130" s="110"/>
      <c r="AD130" s="110"/>
      <c r="AE130" s="110"/>
      <c r="AF130" s="110">
        <v>0</v>
      </c>
      <c r="AG130" s="135">
        <f t="shared" si="328"/>
        <v>0</v>
      </c>
      <c r="AH130" s="135">
        <f t="shared" si="329"/>
        <v>0</v>
      </c>
      <c r="AI130" s="135"/>
      <c r="AJ130" s="135"/>
      <c r="AK130" s="135"/>
      <c r="AL130" s="454"/>
      <c r="AM130" s="135"/>
      <c r="AN130" s="135"/>
      <c r="AO130" s="135"/>
      <c r="AP130" s="135"/>
      <c r="AQ130" s="137"/>
      <c r="AR130" s="110">
        <v>0</v>
      </c>
      <c r="AS130" s="135">
        <f t="shared" si="330"/>
        <v>0</v>
      </c>
      <c r="AT130" s="135">
        <f t="shared" si="331"/>
        <v>0</v>
      </c>
      <c r="AU130" s="135"/>
      <c r="AV130" s="135"/>
      <c r="AW130" s="454"/>
      <c r="AX130" s="135"/>
      <c r="AY130" s="135"/>
      <c r="AZ130" s="110">
        <f t="shared" si="332"/>
        <v>0</v>
      </c>
      <c r="BA130" s="110">
        <f t="shared" si="333"/>
        <v>0</v>
      </c>
      <c r="BB130" s="110"/>
      <c r="BC130" s="110"/>
      <c r="BD130" s="110"/>
      <c r="BE130" s="110"/>
      <c r="BF130" s="110"/>
      <c r="BG130" s="110"/>
      <c r="BH130" s="110"/>
      <c r="BI130" s="110"/>
      <c r="BJ130" s="110"/>
      <c r="BK130" s="332"/>
      <c r="BL130" s="111" t="s">
        <v>476</v>
      </c>
      <c r="BM130" s="117"/>
      <c r="BN130" s="36"/>
      <c r="BO130" s="36"/>
      <c r="BP130" s="36"/>
      <c r="BQ130" s="36"/>
      <c r="BR130" s="36"/>
      <c r="BS130" s="36"/>
      <c r="BT130" s="36"/>
      <c r="BU130" s="36"/>
    </row>
    <row r="131" spans="1:73" ht="60" x14ac:dyDescent="0.2">
      <c r="A131" s="165"/>
      <c r="B131" s="129"/>
      <c r="C131" s="471" t="s">
        <v>189</v>
      </c>
      <c r="D131" s="472"/>
      <c r="E131" s="283" t="s">
        <v>307</v>
      </c>
      <c r="F131" s="346">
        <f t="shared" si="322"/>
        <v>224960</v>
      </c>
      <c r="G131" s="109">
        <f t="shared" si="323"/>
        <v>224960</v>
      </c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416"/>
      <c r="S131" s="435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435"/>
      <c r="AM131" s="110"/>
      <c r="AN131" s="110"/>
      <c r="AO131" s="110"/>
      <c r="AP131" s="110"/>
      <c r="AQ131" s="110">
        <v>224960</v>
      </c>
      <c r="AR131" s="135"/>
      <c r="AS131" s="135"/>
      <c r="AT131" s="135"/>
      <c r="AU131" s="135"/>
      <c r="AV131" s="135"/>
      <c r="AW131" s="454"/>
      <c r="AX131" s="135"/>
      <c r="AY131" s="135"/>
      <c r="AZ131" s="110"/>
      <c r="BA131" s="110"/>
      <c r="BB131" s="110"/>
      <c r="BC131" s="110"/>
      <c r="BD131" s="110"/>
      <c r="BE131" s="110"/>
      <c r="BF131" s="110"/>
      <c r="BG131" s="110"/>
      <c r="BH131" s="110"/>
      <c r="BI131" s="110"/>
      <c r="BJ131" s="110"/>
      <c r="BK131" s="332"/>
      <c r="BL131" s="111"/>
      <c r="BM131" s="117"/>
      <c r="BN131" s="36"/>
      <c r="BO131" s="36"/>
      <c r="BP131" s="36"/>
      <c r="BQ131" s="36"/>
      <c r="BR131" s="36"/>
      <c r="BS131" s="36"/>
      <c r="BT131" s="36"/>
      <c r="BU131" s="36"/>
    </row>
    <row r="132" spans="1:73" s="183" customFormat="1" ht="51.75" customHeight="1" x14ac:dyDescent="0.2">
      <c r="A132" s="165"/>
      <c r="B132" s="186"/>
      <c r="C132" s="162"/>
      <c r="D132" s="163"/>
      <c r="E132" s="286" t="s">
        <v>311</v>
      </c>
      <c r="F132" s="346">
        <f t="shared" si="322"/>
        <v>651688</v>
      </c>
      <c r="G132" s="109">
        <f t="shared" si="323"/>
        <v>651688</v>
      </c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416"/>
      <c r="S132" s="435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35"/>
      <c r="AH132" s="135"/>
      <c r="AI132" s="135"/>
      <c r="AJ132" s="135"/>
      <c r="AK132" s="135"/>
      <c r="AL132" s="454"/>
      <c r="AM132" s="135"/>
      <c r="AN132" s="135"/>
      <c r="AO132" s="135"/>
      <c r="AP132" s="135"/>
      <c r="AQ132" s="135">
        <v>651688</v>
      </c>
      <c r="AR132" s="135"/>
      <c r="AS132" s="135"/>
      <c r="AT132" s="135"/>
      <c r="AU132" s="135"/>
      <c r="AV132" s="135"/>
      <c r="AW132" s="454"/>
      <c r="AX132" s="135"/>
      <c r="AY132" s="135"/>
      <c r="AZ132" s="110"/>
      <c r="BA132" s="110"/>
      <c r="BB132" s="110"/>
      <c r="BC132" s="110"/>
      <c r="BD132" s="110"/>
      <c r="BE132" s="110"/>
      <c r="BF132" s="110"/>
      <c r="BG132" s="110"/>
      <c r="BH132" s="110"/>
      <c r="BI132" s="110"/>
      <c r="BJ132" s="110"/>
      <c r="BK132" s="332"/>
      <c r="BL132" s="111"/>
      <c r="BM132" s="117"/>
      <c r="BN132" s="36"/>
      <c r="BO132" s="36"/>
      <c r="BP132" s="36"/>
      <c r="BQ132" s="36"/>
      <c r="BR132" s="36"/>
      <c r="BS132" s="36"/>
      <c r="BT132" s="36"/>
      <c r="BU132" s="36"/>
    </row>
    <row r="133" spans="1:73" ht="12.75" thickBot="1" x14ac:dyDescent="0.25">
      <c r="A133" s="165"/>
      <c r="B133" s="148"/>
      <c r="C133" s="504"/>
      <c r="D133" s="505"/>
      <c r="E133" s="161"/>
      <c r="F133" s="347"/>
      <c r="G133" s="95"/>
      <c r="H133" s="96"/>
      <c r="I133" s="96"/>
      <c r="J133" s="96"/>
      <c r="K133" s="96"/>
      <c r="L133" s="96"/>
      <c r="M133" s="96"/>
      <c r="N133" s="96"/>
      <c r="O133" s="96"/>
      <c r="P133" s="96"/>
      <c r="Q133" s="96"/>
      <c r="R133" s="417"/>
      <c r="S133" s="436"/>
      <c r="T133" s="96"/>
      <c r="U133" s="96"/>
      <c r="V133" s="96"/>
      <c r="W133" s="96"/>
      <c r="X133" s="96"/>
      <c r="Y133" s="96"/>
      <c r="Z133" s="96"/>
      <c r="AA133" s="96"/>
      <c r="AB133" s="96"/>
      <c r="AC133" s="96"/>
      <c r="AD133" s="96"/>
      <c r="AE133" s="96"/>
      <c r="AF133" s="96"/>
      <c r="AG133" s="134"/>
      <c r="AH133" s="134"/>
      <c r="AI133" s="134"/>
      <c r="AJ133" s="134"/>
      <c r="AK133" s="134"/>
      <c r="AL133" s="455"/>
      <c r="AM133" s="134"/>
      <c r="AN133" s="134"/>
      <c r="AO133" s="134"/>
      <c r="AP133" s="134"/>
      <c r="AQ133" s="134"/>
      <c r="AR133" s="134"/>
      <c r="AS133" s="134"/>
      <c r="AT133" s="134"/>
      <c r="AU133" s="134"/>
      <c r="AV133" s="134"/>
      <c r="AW133" s="455"/>
      <c r="AX133" s="134"/>
      <c r="AY133" s="134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  <c r="BJ133" s="96"/>
      <c r="BK133" s="333"/>
      <c r="BL133" s="97"/>
      <c r="BM133" s="118"/>
      <c r="BN133" s="36"/>
      <c r="BO133" s="36"/>
      <c r="BP133" s="36"/>
      <c r="BQ133" s="36"/>
      <c r="BR133" s="36"/>
      <c r="BS133" s="36"/>
      <c r="BT133" s="36"/>
      <c r="BU133" s="36"/>
    </row>
    <row r="134" spans="1:73" ht="12.75" thickBot="1" x14ac:dyDescent="0.25">
      <c r="A134" s="201"/>
      <c r="B134" s="501" t="s">
        <v>17</v>
      </c>
      <c r="C134" s="501"/>
      <c r="D134" s="198" t="s">
        <v>18</v>
      </c>
      <c r="E134" s="16"/>
      <c r="F134" s="348">
        <f t="shared" ref="F134:AY134" si="346">SUM(F135:F228)</f>
        <v>34927907</v>
      </c>
      <c r="G134" s="17">
        <f t="shared" si="346"/>
        <v>32954457</v>
      </c>
      <c r="H134" s="10">
        <f t="shared" si="346"/>
        <v>24893724</v>
      </c>
      <c r="I134" s="10">
        <f t="shared" ref="I134" si="347">SUM(I135:I228)</f>
        <v>22472713</v>
      </c>
      <c r="J134" s="10">
        <f t="shared" ref="J134" si="348">SUM(J135:J228)</f>
        <v>-2421011</v>
      </c>
      <c r="K134" s="10">
        <f t="shared" ref="K134" si="349">SUM(K135:K228)</f>
        <v>5529</v>
      </c>
      <c r="L134" s="10">
        <f t="shared" ref="L134" si="350">SUM(L135:L228)</f>
        <v>259310</v>
      </c>
      <c r="M134" s="10">
        <f t="shared" ref="M134" si="351">SUM(M135:M228)</f>
        <v>516</v>
      </c>
      <c r="N134" s="10">
        <f t="shared" ref="N134" si="352">SUM(N135:N228)</f>
        <v>30061</v>
      </c>
      <c r="O134" s="10">
        <f t="shared" ref="O134" si="353">SUM(O135:O228)</f>
        <v>-2814251</v>
      </c>
      <c r="P134" s="10">
        <f t="shared" ref="P134" si="354">SUM(P135:P228)</f>
        <v>26460</v>
      </c>
      <c r="Q134" s="10">
        <f t="shared" ref="Q134" si="355">SUM(Q135:Q228)</f>
        <v>73378</v>
      </c>
      <c r="R134" s="415">
        <f t="shared" ref="R134" si="356">SUM(R135:R228)</f>
        <v>-575</v>
      </c>
      <c r="S134" s="434">
        <f t="shared" ref="S134" si="357">SUM(S135:S228)</f>
        <v>-1439</v>
      </c>
      <c r="T134" s="10">
        <f t="shared" ref="T134" si="358">SUM(T135:T228)</f>
        <v>0</v>
      </c>
      <c r="U134" s="10">
        <f t="shared" ref="U134" si="359">SUM(U135:U228)</f>
        <v>0</v>
      </c>
      <c r="V134" s="10">
        <f t="shared" ref="V134" si="360">SUM(V135:V228)</f>
        <v>0</v>
      </c>
      <c r="W134" s="10">
        <f t="shared" si="346"/>
        <v>8187679</v>
      </c>
      <c r="X134" s="10">
        <f t="shared" ref="X134" si="361">SUM(X135:X228)</f>
        <v>8583390</v>
      </c>
      <c r="Y134" s="10">
        <f t="shared" ref="Y134" si="362">SUM(Y135:Y228)</f>
        <v>395711</v>
      </c>
      <c r="Z134" s="10">
        <f t="shared" ref="Z134" si="363">SUM(Z135:Z228)</f>
        <v>30992</v>
      </c>
      <c r="AA134" s="10">
        <f t="shared" ref="AA134" si="364">SUM(AA135:AA228)</f>
        <v>360678</v>
      </c>
      <c r="AB134" s="10">
        <f t="shared" ref="AB134" si="365">SUM(AB135:AB228)</f>
        <v>4041</v>
      </c>
      <c r="AC134" s="10">
        <f t="shared" ref="AC134" si="366">SUM(AC135:AC228)</f>
        <v>0</v>
      </c>
      <c r="AD134" s="10">
        <f t="shared" ref="AD134" si="367">SUM(AD135:AD228)</f>
        <v>0</v>
      </c>
      <c r="AE134" s="10">
        <f t="shared" ref="AE134" si="368">SUM(AE135:AE228)</f>
        <v>0</v>
      </c>
      <c r="AF134" s="10">
        <f t="shared" si="346"/>
        <v>431850</v>
      </c>
      <c r="AG134" s="10">
        <f t="shared" ref="AG134" si="369">SUM(AG135:AG228)</f>
        <v>494223</v>
      </c>
      <c r="AH134" s="10">
        <f t="shared" ref="AH134" si="370">SUM(AH135:AH228)</f>
        <v>62373</v>
      </c>
      <c r="AI134" s="10">
        <f t="shared" ref="AI134" si="371">SUM(AI135:AI228)</f>
        <v>52141</v>
      </c>
      <c r="AJ134" s="10">
        <f t="shared" ref="AJ134" si="372">SUM(AJ135:AJ228)</f>
        <v>6723</v>
      </c>
      <c r="AK134" s="10">
        <f t="shared" ref="AK134" si="373">SUM(AK135:AK228)</f>
        <v>3155</v>
      </c>
      <c r="AL134" s="434">
        <f t="shared" ref="AL134" si="374">SUM(AL135:AL228)</f>
        <v>354</v>
      </c>
      <c r="AM134" s="10">
        <f t="shared" ref="AM134" si="375">SUM(AM135:AM228)</f>
        <v>0</v>
      </c>
      <c r="AN134" s="10">
        <f t="shared" ref="AN134" si="376">SUM(AN135:AN228)</f>
        <v>0</v>
      </c>
      <c r="AO134" s="10">
        <f t="shared" ref="AO134" si="377">SUM(AO135:AO228)</f>
        <v>0</v>
      </c>
      <c r="AP134" s="10">
        <f t="shared" ref="AP134" si="378">SUM(AP135:AP228)</f>
        <v>0</v>
      </c>
      <c r="AQ134" s="10">
        <f t="shared" si="346"/>
        <v>1414063</v>
      </c>
      <c r="AR134" s="133">
        <f t="shared" si="346"/>
        <v>616</v>
      </c>
      <c r="AS134" s="133">
        <f t="shared" ref="AS134" si="379">SUM(AS135:AS228)</f>
        <v>2991</v>
      </c>
      <c r="AT134" s="133">
        <f t="shared" ref="AT134" si="380">SUM(AT135:AT228)</f>
        <v>2375</v>
      </c>
      <c r="AU134" s="133">
        <f t="shared" ref="AU134" si="381">SUM(AU135:AU228)</f>
        <v>2345</v>
      </c>
      <c r="AV134" s="133">
        <f t="shared" ref="AV134" si="382">SUM(AV135:AV228)</f>
        <v>0</v>
      </c>
      <c r="AW134" s="440">
        <f t="shared" ref="AW134" si="383">SUM(AW135:AW228)</f>
        <v>30</v>
      </c>
      <c r="AX134" s="133">
        <f t="shared" ref="AX134" si="384">SUM(AX135:AX228)</f>
        <v>0</v>
      </c>
      <c r="AY134" s="133">
        <f t="shared" si="346"/>
        <v>-25</v>
      </c>
      <c r="AZ134" s="10">
        <f t="shared" ref="AZ134" si="385">SUM(AZ135:AZ228)</f>
        <v>-12923</v>
      </c>
      <c r="BA134" s="10">
        <f t="shared" ref="BA134" si="386">SUM(BA135:BA228)</f>
        <v>-12898</v>
      </c>
      <c r="BB134" s="10">
        <f t="shared" ref="BB134" si="387">SUM(BB135:BB228)</f>
        <v>-1</v>
      </c>
      <c r="BC134" s="10">
        <f t="shared" ref="BC134" si="388">SUM(BC135:BC228)</f>
        <v>-12576</v>
      </c>
      <c r="BD134" s="10">
        <f t="shared" ref="BD134" si="389">SUM(BD135:BD228)</f>
        <v>0</v>
      </c>
      <c r="BE134" s="10">
        <f t="shared" ref="BE134" si="390">SUM(BE135:BE228)</f>
        <v>-321</v>
      </c>
      <c r="BF134" s="10">
        <f t="shared" ref="BF134" si="391">SUM(BF135:BF228)</f>
        <v>0</v>
      </c>
      <c r="BG134" s="10">
        <f t="shared" ref="BG134" si="392">SUM(BG135:BG228)</f>
        <v>0</v>
      </c>
      <c r="BH134" s="10">
        <f t="shared" ref="BH134" si="393">SUM(BH135:BH228)</f>
        <v>0</v>
      </c>
      <c r="BI134" s="10">
        <f t="shared" ref="BI134" si="394">SUM(BI135:BI228)</f>
        <v>0</v>
      </c>
      <c r="BJ134" s="10">
        <f t="shared" ref="BJ134" si="395">SUM(BJ135:BJ228)</f>
        <v>0</v>
      </c>
      <c r="BK134" s="334">
        <f t="shared" ref="BK134" si="396">SUM(BK135:BK228)</f>
        <v>0</v>
      </c>
      <c r="BL134" s="18"/>
      <c r="BM134" s="119"/>
      <c r="BN134" s="36"/>
      <c r="BO134" s="36"/>
      <c r="BP134" s="36"/>
      <c r="BQ134" s="36"/>
      <c r="BR134" s="36"/>
      <c r="BS134" s="36"/>
      <c r="BT134" s="36"/>
      <c r="BU134" s="36"/>
    </row>
    <row r="135" spans="1:73" ht="12.75" thickTop="1" x14ac:dyDescent="0.2">
      <c r="A135" s="165">
        <v>90000056357</v>
      </c>
      <c r="B135" s="200"/>
      <c r="C135" s="499" t="s">
        <v>5</v>
      </c>
      <c r="D135" s="500"/>
      <c r="E135" s="267" t="s">
        <v>205</v>
      </c>
      <c r="F135" s="350">
        <f t="shared" ref="F135:F209" si="397">H135+W135+AF135+AQ135+AR135+AY135</f>
        <v>322616</v>
      </c>
      <c r="G135" s="113">
        <f t="shared" ref="G135:G209" si="398">I135+X135+AG135+AQ135+AS135+AZ135</f>
        <v>322616</v>
      </c>
      <c r="H135" s="273">
        <v>322616</v>
      </c>
      <c r="I135" s="273">
        <f t="shared" ref="I135:I209" si="399">J135+H135</f>
        <v>322616</v>
      </c>
      <c r="J135" s="273">
        <f t="shared" ref="J135:J209" si="400">SUM(K135:V135)</f>
        <v>0</v>
      </c>
      <c r="K135" s="273"/>
      <c r="L135" s="273"/>
      <c r="M135" s="273"/>
      <c r="N135" s="273"/>
      <c r="O135" s="273"/>
      <c r="P135" s="273"/>
      <c r="Q135" s="273"/>
      <c r="R135" s="419"/>
      <c r="S135" s="438"/>
      <c r="T135" s="273"/>
      <c r="U135" s="273"/>
      <c r="V135" s="273"/>
      <c r="W135" s="273">
        <v>0</v>
      </c>
      <c r="X135" s="273">
        <f t="shared" ref="X135:X209" si="401">Y135+W135</f>
        <v>0</v>
      </c>
      <c r="Y135" s="273">
        <f t="shared" ref="Y135:Y209" si="402">SUM(Z135:AE135)</f>
        <v>0</v>
      </c>
      <c r="Z135" s="273"/>
      <c r="AA135" s="273"/>
      <c r="AB135" s="273"/>
      <c r="AC135" s="273"/>
      <c r="AD135" s="273"/>
      <c r="AE135" s="273"/>
      <c r="AF135" s="273">
        <v>0</v>
      </c>
      <c r="AG135" s="136">
        <f t="shared" ref="AG135:AG209" si="403">AH135+AF135</f>
        <v>0</v>
      </c>
      <c r="AH135" s="136">
        <f t="shared" ref="AH135:AH209" si="404">SUM(AI135:AP135)</f>
        <v>0</v>
      </c>
      <c r="AI135" s="136"/>
      <c r="AJ135" s="136"/>
      <c r="AK135" s="136"/>
      <c r="AL135" s="457"/>
      <c r="AM135" s="136"/>
      <c r="AN135" s="136"/>
      <c r="AO135" s="136"/>
      <c r="AP135" s="136"/>
      <c r="AQ135" s="136"/>
      <c r="AR135" s="136">
        <v>0</v>
      </c>
      <c r="AS135" s="136">
        <f t="shared" ref="AS135:AS209" si="405">AT135+AR135</f>
        <v>0</v>
      </c>
      <c r="AT135" s="136">
        <f t="shared" ref="AT135:AT209" si="406">SUM(AU135:AX135)</f>
        <v>0</v>
      </c>
      <c r="AU135" s="136"/>
      <c r="AV135" s="136"/>
      <c r="AW135" s="457"/>
      <c r="AX135" s="136"/>
      <c r="AY135" s="136"/>
      <c r="AZ135" s="273">
        <f t="shared" ref="AZ135:AZ209" si="407">BA135+AY135</f>
        <v>0</v>
      </c>
      <c r="BA135" s="273">
        <f t="shared" ref="BA135:BA209" si="408">SUM(BB135:BK135)</f>
        <v>0</v>
      </c>
      <c r="BB135" s="273"/>
      <c r="BC135" s="273"/>
      <c r="BD135" s="273"/>
      <c r="BE135" s="273"/>
      <c r="BF135" s="273"/>
      <c r="BG135" s="273"/>
      <c r="BH135" s="273"/>
      <c r="BI135" s="273"/>
      <c r="BJ135" s="273"/>
      <c r="BK135" s="336"/>
      <c r="BL135" s="271" t="s">
        <v>441</v>
      </c>
      <c r="BM135" s="195"/>
      <c r="BN135" s="36"/>
      <c r="BO135" s="36"/>
      <c r="BP135" s="36"/>
      <c r="BQ135" s="36"/>
      <c r="BR135" s="36"/>
      <c r="BS135" s="36"/>
      <c r="BT135" s="36"/>
      <c r="BU135" s="36"/>
    </row>
    <row r="136" spans="1:73" s="268" customFormat="1" ht="24" x14ac:dyDescent="0.2">
      <c r="A136" s="165"/>
      <c r="B136" s="131"/>
      <c r="C136" s="265"/>
      <c r="D136" s="308"/>
      <c r="E136" s="108" t="s">
        <v>248</v>
      </c>
      <c r="F136" s="346">
        <f t="shared" si="397"/>
        <v>1950</v>
      </c>
      <c r="G136" s="109">
        <f t="shared" si="398"/>
        <v>1950</v>
      </c>
      <c r="H136" s="110">
        <v>1950</v>
      </c>
      <c r="I136" s="110">
        <f t="shared" si="399"/>
        <v>1950</v>
      </c>
      <c r="J136" s="110">
        <f t="shared" si="400"/>
        <v>0</v>
      </c>
      <c r="K136" s="110"/>
      <c r="L136" s="110"/>
      <c r="M136" s="110"/>
      <c r="N136" s="110"/>
      <c r="O136" s="110"/>
      <c r="P136" s="110"/>
      <c r="Q136" s="110"/>
      <c r="R136" s="416"/>
      <c r="S136" s="435"/>
      <c r="T136" s="110"/>
      <c r="U136" s="110"/>
      <c r="V136" s="110"/>
      <c r="W136" s="110">
        <v>0</v>
      </c>
      <c r="X136" s="110">
        <f t="shared" si="401"/>
        <v>0</v>
      </c>
      <c r="Y136" s="110">
        <f t="shared" si="402"/>
        <v>0</v>
      </c>
      <c r="Z136" s="110"/>
      <c r="AA136" s="110"/>
      <c r="AB136" s="110"/>
      <c r="AC136" s="110"/>
      <c r="AD136" s="110"/>
      <c r="AE136" s="110"/>
      <c r="AF136" s="110">
        <v>0</v>
      </c>
      <c r="AG136" s="135">
        <f t="shared" si="403"/>
        <v>0</v>
      </c>
      <c r="AH136" s="135">
        <f t="shared" si="404"/>
        <v>0</v>
      </c>
      <c r="AI136" s="135"/>
      <c r="AJ136" s="135"/>
      <c r="AK136" s="135"/>
      <c r="AL136" s="454"/>
      <c r="AM136" s="135"/>
      <c r="AN136" s="135"/>
      <c r="AO136" s="135"/>
      <c r="AP136" s="135"/>
      <c r="AQ136" s="135"/>
      <c r="AR136" s="135">
        <v>0</v>
      </c>
      <c r="AS136" s="138">
        <f t="shared" si="405"/>
        <v>0</v>
      </c>
      <c r="AT136" s="138">
        <f t="shared" si="406"/>
        <v>0</v>
      </c>
      <c r="AU136" s="138"/>
      <c r="AV136" s="138"/>
      <c r="AW136" s="456"/>
      <c r="AX136" s="138"/>
      <c r="AY136" s="138"/>
      <c r="AZ136" s="269">
        <f t="shared" si="407"/>
        <v>0</v>
      </c>
      <c r="BA136" s="269">
        <f t="shared" si="408"/>
        <v>0</v>
      </c>
      <c r="BB136" s="269"/>
      <c r="BC136" s="269"/>
      <c r="BD136" s="269"/>
      <c r="BE136" s="269"/>
      <c r="BF136" s="269"/>
      <c r="BG136" s="269"/>
      <c r="BH136" s="269"/>
      <c r="BI136" s="269"/>
      <c r="BJ136" s="269"/>
      <c r="BK136" s="335"/>
      <c r="BL136" s="270" t="s">
        <v>442</v>
      </c>
      <c r="BM136" s="117" t="s">
        <v>670</v>
      </c>
      <c r="BN136" s="36"/>
      <c r="BO136" s="36"/>
      <c r="BP136" s="36"/>
      <c r="BQ136" s="36"/>
      <c r="BR136" s="36"/>
      <c r="BS136" s="36"/>
      <c r="BT136" s="36"/>
      <c r="BU136" s="36"/>
    </row>
    <row r="137" spans="1:73" ht="36" x14ac:dyDescent="0.2">
      <c r="A137" s="165"/>
      <c r="B137" s="131"/>
      <c r="C137" s="265"/>
      <c r="D137" s="308"/>
      <c r="E137" s="266" t="s">
        <v>334</v>
      </c>
      <c r="F137" s="349">
        <f t="shared" si="397"/>
        <v>166720</v>
      </c>
      <c r="G137" s="127">
        <f t="shared" si="398"/>
        <v>161810</v>
      </c>
      <c r="H137" s="269">
        <v>166720</v>
      </c>
      <c r="I137" s="269">
        <f t="shared" si="399"/>
        <v>161810</v>
      </c>
      <c r="J137" s="269">
        <f t="shared" si="400"/>
        <v>-4910</v>
      </c>
      <c r="K137" s="269"/>
      <c r="L137" s="269">
        <v>7859</v>
      </c>
      <c r="M137" s="269"/>
      <c r="N137" s="269"/>
      <c r="O137" s="269"/>
      <c r="P137" s="269"/>
      <c r="Q137" s="269">
        <f>37410-50179</f>
        <v>-12769</v>
      </c>
      <c r="R137" s="418"/>
      <c r="S137" s="437"/>
      <c r="T137" s="269"/>
      <c r="U137" s="269"/>
      <c r="V137" s="269"/>
      <c r="W137" s="269">
        <v>0</v>
      </c>
      <c r="X137" s="269">
        <f t="shared" si="401"/>
        <v>0</v>
      </c>
      <c r="Y137" s="269">
        <f t="shared" si="402"/>
        <v>0</v>
      </c>
      <c r="Z137" s="269"/>
      <c r="AA137" s="269"/>
      <c r="AB137" s="269"/>
      <c r="AC137" s="269"/>
      <c r="AD137" s="269"/>
      <c r="AE137" s="269"/>
      <c r="AF137" s="269">
        <v>0</v>
      </c>
      <c r="AG137" s="138">
        <f t="shared" si="403"/>
        <v>0</v>
      </c>
      <c r="AH137" s="138">
        <f t="shared" si="404"/>
        <v>0</v>
      </c>
      <c r="AI137" s="138"/>
      <c r="AJ137" s="138"/>
      <c r="AK137" s="138"/>
      <c r="AL137" s="456"/>
      <c r="AM137" s="138"/>
      <c r="AN137" s="138"/>
      <c r="AO137" s="138"/>
      <c r="AP137" s="138"/>
      <c r="AQ137" s="135"/>
      <c r="AR137" s="135">
        <v>0</v>
      </c>
      <c r="AS137" s="135">
        <f t="shared" si="405"/>
        <v>0</v>
      </c>
      <c r="AT137" s="135">
        <f t="shared" si="406"/>
        <v>0</v>
      </c>
      <c r="AU137" s="135"/>
      <c r="AV137" s="135"/>
      <c r="AW137" s="454"/>
      <c r="AX137" s="135"/>
      <c r="AY137" s="135"/>
      <c r="AZ137" s="110">
        <f t="shared" si="407"/>
        <v>0</v>
      </c>
      <c r="BA137" s="110">
        <f t="shared" si="408"/>
        <v>0</v>
      </c>
      <c r="BB137" s="110"/>
      <c r="BC137" s="110"/>
      <c r="BD137" s="110"/>
      <c r="BE137" s="110"/>
      <c r="BF137" s="110"/>
      <c r="BG137" s="110"/>
      <c r="BH137" s="110"/>
      <c r="BI137" s="110"/>
      <c r="BJ137" s="110"/>
      <c r="BK137" s="332"/>
      <c r="BL137" s="111" t="s">
        <v>443</v>
      </c>
      <c r="BM137" s="196" t="s">
        <v>565</v>
      </c>
      <c r="BN137" s="36"/>
      <c r="BO137" s="36"/>
      <c r="BP137" s="36"/>
      <c r="BQ137" s="36"/>
      <c r="BR137" s="36"/>
      <c r="BS137" s="36"/>
      <c r="BT137" s="36"/>
      <c r="BU137" s="36"/>
    </row>
    <row r="138" spans="1:73" s="262" customFormat="1" ht="24" x14ac:dyDescent="0.2">
      <c r="A138" s="165"/>
      <c r="B138" s="131"/>
      <c r="C138" s="265"/>
      <c r="D138" s="308"/>
      <c r="E138" s="263" t="s">
        <v>619</v>
      </c>
      <c r="F138" s="346">
        <f t="shared" si="397"/>
        <v>86000</v>
      </c>
      <c r="G138" s="109">
        <f t="shared" si="398"/>
        <v>97634</v>
      </c>
      <c r="H138" s="110">
        <v>86000</v>
      </c>
      <c r="I138" s="110">
        <f t="shared" si="399"/>
        <v>97634</v>
      </c>
      <c r="J138" s="110">
        <f t="shared" si="400"/>
        <v>11634</v>
      </c>
      <c r="K138" s="110"/>
      <c r="L138" s="110"/>
      <c r="M138" s="110"/>
      <c r="N138" s="110"/>
      <c r="O138" s="110">
        <v>11634</v>
      </c>
      <c r="P138" s="110"/>
      <c r="Q138" s="110"/>
      <c r="R138" s="416"/>
      <c r="S138" s="435"/>
      <c r="T138" s="110"/>
      <c r="U138" s="110"/>
      <c r="V138" s="110"/>
      <c r="W138" s="110">
        <v>0</v>
      </c>
      <c r="X138" s="110">
        <f t="shared" si="401"/>
        <v>0</v>
      </c>
      <c r="Y138" s="110">
        <f t="shared" si="402"/>
        <v>0</v>
      </c>
      <c r="Z138" s="110"/>
      <c r="AA138" s="110"/>
      <c r="AB138" s="110"/>
      <c r="AC138" s="110"/>
      <c r="AD138" s="110"/>
      <c r="AE138" s="110"/>
      <c r="AF138" s="110">
        <v>0</v>
      </c>
      <c r="AG138" s="138">
        <f t="shared" si="403"/>
        <v>0</v>
      </c>
      <c r="AH138" s="138">
        <f t="shared" si="404"/>
        <v>0</v>
      </c>
      <c r="AI138" s="138"/>
      <c r="AJ138" s="138"/>
      <c r="AK138" s="138"/>
      <c r="AL138" s="456"/>
      <c r="AM138" s="138"/>
      <c r="AN138" s="138"/>
      <c r="AO138" s="138"/>
      <c r="AP138" s="138"/>
      <c r="AQ138" s="138"/>
      <c r="AR138" s="138">
        <v>0</v>
      </c>
      <c r="AS138" s="138">
        <f t="shared" si="405"/>
        <v>0</v>
      </c>
      <c r="AT138" s="138">
        <f t="shared" si="406"/>
        <v>0</v>
      </c>
      <c r="AU138" s="138"/>
      <c r="AV138" s="138"/>
      <c r="AW138" s="456"/>
      <c r="AX138" s="138"/>
      <c r="AY138" s="138"/>
      <c r="AZ138" s="269">
        <f t="shared" si="407"/>
        <v>0</v>
      </c>
      <c r="BA138" s="269">
        <f t="shared" si="408"/>
        <v>0</v>
      </c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335"/>
      <c r="BL138" s="270" t="s">
        <v>444</v>
      </c>
      <c r="BM138" s="117" t="s">
        <v>670</v>
      </c>
      <c r="BN138" s="36"/>
      <c r="BO138" s="36"/>
      <c r="BP138" s="36"/>
      <c r="BQ138" s="36"/>
      <c r="BR138" s="36"/>
      <c r="BS138" s="36"/>
      <c r="BT138" s="36"/>
      <c r="BU138" s="36"/>
    </row>
    <row r="139" spans="1:73" s="262" customFormat="1" ht="24" x14ac:dyDescent="0.2">
      <c r="A139" s="165"/>
      <c r="B139" s="131"/>
      <c r="C139" s="265"/>
      <c r="D139" s="308"/>
      <c r="E139" s="275" t="s">
        <v>620</v>
      </c>
      <c r="F139" s="349">
        <f t="shared" si="397"/>
        <v>38797</v>
      </c>
      <c r="G139" s="127">
        <f t="shared" si="398"/>
        <v>38797</v>
      </c>
      <c r="H139" s="269">
        <v>38797</v>
      </c>
      <c r="I139" s="269">
        <f t="shared" si="399"/>
        <v>38797</v>
      </c>
      <c r="J139" s="269">
        <f t="shared" si="400"/>
        <v>0</v>
      </c>
      <c r="K139" s="269"/>
      <c r="L139" s="269"/>
      <c r="M139" s="269"/>
      <c r="N139" s="269"/>
      <c r="O139" s="269"/>
      <c r="P139" s="269"/>
      <c r="Q139" s="269"/>
      <c r="R139" s="418"/>
      <c r="S139" s="437"/>
      <c r="T139" s="269"/>
      <c r="U139" s="269"/>
      <c r="V139" s="269"/>
      <c r="W139" s="269">
        <v>0</v>
      </c>
      <c r="X139" s="269">
        <f t="shared" si="401"/>
        <v>0</v>
      </c>
      <c r="Y139" s="269">
        <f t="shared" si="402"/>
        <v>0</v>
      </c>
      <c r="Z139" s="269"/>
      <c r="AA139" s="269"/>
      <c r="AB139" s="269"/>
      <c r="AC139" s="269"/>
      <c r="AD139" s="269"/>
      <c r="AE139" s="269"/>
      <c r="AF139" s="269">
        <v>0</v>
      </c>
      <c r="AG139" s="138">
        <f t="shared" si="403"/>
        <v>0</v>
      </c>
      <c r="AH139" s="138">
        <f t="shared" si="404"/>
        <v>0</v>
      </c>
      <c r="AI139" s="138"/>
      <c r="AJ139" s="138"/>
      <c r="AK139" s="138"/>
      <c r="AL139" s="456"/>
      <c r="AM139" s="138"/>
      <c r="AN139" s="138"/>
      <c r="AO139" s="138"/>
      <c r="AP139" s="138"/>
      <c r="AQ139" s="138"/>
      <c r="AR139" s="138">
        <v>0</v>
      </c>
      <c r="AS139" s="138">
        <f t="shared" si="405"/>
        <v>0</v>
      </c>
      <c r="AT139" s="138">
        <f t="shared" si="406"/>
        <v>0</v>
      </c>
      <c r="AU139" s="138"/>
      <c r="AV139" s="138"/>
      <c r="AW139" s="456"/>
      <c r="AX139" s="138"/>
      <c r="AY139" s="138"/>
      <c r="AZ139" s="269">
        <f t="shared" si="407"/>
        <v>0</v>
      </c>
      <c r="BA139" s="269">
        <f t="shared" si="408"/>
        <v>0</v>
      </c>
      <c r="BB139" s="269"/>
      <c r="BC139" s="269"/>
      <c r="BD139" s="269"/>
      <c r="BE139" s="269"/>
      <c r="BF139" s="269"/>
      <c r="BG139" s="269"/>
      <c r="BH139" s="269"/>
      <c r="BI139" s="269"/>
      <c r="BJ139" s="269"/>
      <c r="BK139" s="335"/>
      <c r="BL139" s="270" t="s">
        <v>445</v>
      </c>
      <c r="BM139" s="117" t="s">
        <v>670</v>
      </c>
      <c r="BN139" s="36"/>
      <c r="BO139" s="36"/>
      <c r="BP139" s="36"/>
      <c r="BQ139" s="36"/>
      <c r="BR139" s="36"/>
      <c r="BS139" s="36"/>
      <c r="BT139" s="36"/>
      <c r="BU139" s="36"/>
    </row>
    <row r="140" spans="1:73" s="262" customFormat="1" x14ac:dyDescent="0.2">
      <c r="A140" s="165"/>
      <c r="B140" s="131"/>
      <c r="C140" s="265"/>
      <c r="D140" s="308"/>
      <c r="E140" s="263" t="s">
        <v>250</v>
      </c>
      <c r="F140" s="346">
        <f t="shared" si="397"/>
        <v>12960</v>
      </c>
      <c r="G140" s="127">
        <f t="shared" si="398"/>
        <v>12960</v>
      </c>
      <c r="H140" s="269">
        <v>12960</v>
      </c>
      <c r="I140" s="269">
        <f t="shared" si="399"/>
        <v>12960</v>
      </c>
      <c r="J140" s="269">
        <f t="shared" si="400"/>
        <v>0</v>
      </c>
      <c r="K140" s="269"/>
      <c r="L140" s="269"/>
      <c r="M140" s="269"/>
      <c r="N140" s="269"/>
      <c r="O140" s="269"/>
      <c r="P140" s="269"/>
      <c r="Q140" s="269"/>
      <c r="R140" s="418"/>
      <c r="S140" s="437"/>
      <c r="T140" s="269"/>
      <c r="U140" s="269"/>
      <c r="V140" s="269"/>
      <c r="W140" s="269">
        <v>0</v>
      </c>
      <c r="X140" s="269">
        <f t="shared" si="401"/>
        <v>0</v>
      </c>
      <c r="Y140" s="269">
        <f t="shared" si="402"/>
        <v>0</v>
      </c>
      <c r="Z140" s="269"/>
      <c r="AA140" s="269"/>
      <c r="AB140" s="269"/>
      <c r="AC140" s="269"/>
      <c r="AD140" s="269"/>
      <c r="AE140" s="269"/>
      <c r="AF140" s="269">
        <v>0</v>
      </c>
      <c r="AG140" s="138">
        <f t="shared" si="403"/>
        <v>0</v>
      </c>
      <c r="AH140" s="138">
        <f t="shared" si="404"/>
        <v>0</v>
      </c>
      <c r="AI140" s="138"/>
      <c r="AJ140" s="138"/>
      <c r="AK140" s="138"/>
      <c r="AL140" s="456"/>
      <c r="AM140" s="138"/>
      <c r="AN140" s="138"/>
      <c r="AO140" s="138"/>
      <c r="AP140" s="138"/>
      <c r="AQ140" s="138"/>
      <c r="AR140" s="138">
        <v>0</v>
      </c>
      <c r="AS140" s="138">
        <f t="shared" si="405"/>
        <v>0</v>
      </c>
      <c r="AT140" s="138">
        <f t="shared" si="406"/>
        <v>0</v>
      </c>
      <c r="AU140" s="138"/>
      <c r="AV140" s="138"/>
      <c r="AW140" s="456"/>
      <c r="AX140" s="138"/>
      <c r="AY140" s="138"/>
      <c r="AZ140" s="269">
        <f t="shared" si="407"/>
        <v>0</v>
      </c>
      <c r="BA140" s="269">
        <f t="shared" si="408"/>
        <v>0</v>
      </c>
      <c r="BB140" s="269"/>
      <c r="BC140" s="269"/>
      <c r="BD140" s="269"/>
      <c r="BE140" s="269"/>
      <c r="BF140" s="269"/>
      <c r="BG140" s="269"/>
      <c r="BH140" s="269"/>
      <c r="BI140" s="269"/>
      <c r="BJ140" s="269"/>
      <c r="BK140" s="335"/>
      <c r="BL140" s="270" t="s">
        <v>625</v>
      </c>
      <c r="BM140" s="117" t="s">
        <v>670</v>
      </c>
      <c r="BN140" s="36"/>
      <c r="BO140" s="36"/>
      <c r="BP140" s="36"/>
      <c r="BQ140" s="36"/>
      <c r="BR140" s="36"/>
      <c r="BS140" s="36"/>
      <c r="BT140" s="36"/>
      <c r="BU140" s="36"/>
    </row>
    <row r="141" spans="1:73" s="262" customFormat="1" ht="36" x14ac:dyDescent="0.2">
      <c r="A141" s="165"/>
      <c r="B141" s="131"/>
      <c r="C141" s="265"/>
      <c r="D141" s="308"/>
      <c r="E141" s="263" t="s">
        <v>676</v>
      </c>
      <c r="F141" s="346">
        <f t="shared" si="397"/>
        <v>83187</v>
      </c>
      <c r="G141" s="127">
        <f t="shared" si="398"/>
        <v>83887</v>
      </c>
      <c r="H141" s="269">
        <v>83187</v>
      </c>
      <c r="I141" s="269">
        <f t="shared" si="399"/>
        <v>83887</v>
      </c>
      <c r="J141" s="269">
        <f t="shared" si="400"/>
        <v>700</v>
      </c>
      <c r="K141" s="269"/>
      <c r="L141" s="269"/>
      <c r="M141" s="269"/>
      <c r="N141" s="269"/>
      <c r="O141" s="269"/>
      <c r="P141" s="269">
        <v>700</v>
      </c>
      <c r="Q141" s="269"/>
      <c r="R141" s="418"/>
      <c r="S141" s="437"/>
      <c r="T141" s="269"/>
      <c r="U141" s="269"/>
      <c r="V141" s="269"/>
      <c r="W141" s="269">
        <v>0</v>
      </c>
      <c r="X141" s="269">
        <f t="shared" si="401"/>
        <v>0</v>
      </c>
      <c r="Y141" s="269">
        <f t="shared" si="402"/>
        <v>0</v>
      </c>
      <c r="Z141" s="269"/>
      <c r="AA141" s="269"/>
      <c r="AB141" s="269"/>
      <c r="AC141" s="269"/>
      <c r="AD141" s="269"/>
      <c r="AE141" s="269"/>
      <c r="AF141" s="269">
        <v>0</v>
      </c>
      <c r="AG141" s="138">
        <f t="shared" si="403"/>
        <v>0</v>
      </c>
      <c r="AH141" s="138">
        <f t="shared" si="404"/>
        <v>0</v>
      </c>
      <c r="AI141" s="138"/>
      <c r="AJ141" s="138"/>
      <c r="AK141" s="138"/>
      <c r="AL141" s="456"/>
      <c r="AM141" s="138"/>
      <c r="AN141" s="138"/>
      <c r="AO141" s="138"/>
      <c r="AP141" s="138"/>
      <c r="AQ141" s="138"/>
      <c r="AR141" s="138">
        <v>0</v>
      </c>
      <c r="AS141" s="138">
        <f t="shared" si="405"/>
        <v>0</v>
      </c>
      <c r="AT141" s="138">
        <f t="shared" si="406"/>
        <v>0</v>
      </c>
      <c r="AU141" s="138"/>
      <c r="AV141" s="138"/>
      <c r="AW141" s="456"/>
      <c r="AX141" s="138"/>
      <c r="AY141" s="138"/>
      <c r="AZ141" s="269">
        <f t="shared" si="407"/>
        <v>0</v>
      </c>
      <c r="BA141" s="269">
        <f t="shared" si="408"/>
        <v>0</v>
      </c>
      <c r="BB141" s="269"/>
      <c r="BC141" s="269"/>
      <c r="BD141" s="269"/>
      <c r="BE141" s="269"/>
      <c r="BF141" s="269"/>
      <c r="BG141" s="269"/>
      <c r="BH141" s="269"/>
      <c r="BI141" s="269"/>
      <c r="BJ141" s="269"/>
      <c r="BK141" s="335"/>
      <c r="BL141" s="270" t="s">
        <v>626</v>
      </c>
      <c r="BM141" s="117" t="s">
        <v>670</v>
      </c>
      <c r="BN141" s="36"/>
      <c r="BO141" s="36"/>
      <c r="BP141" s="36"/>
      <c r="BQ141" s="36"/>
      <c r="BR141" s="36"/>
      <c r="BS141" s="36"/>
      <c r="BT141" s="36"/>
      <c r="BU141" s="36"/>
    </row>
    <row r="142" spans="1:73" s="268" customFormat="1" ht="36" x14ac:dyDescent="0.2">
      <c r="A142" s="165"/>
      <c r="B142" s="131"/>
      <c r="C142" s="265"/>
      <c r="D142" s="308"/>
      <c r="E142" s="19" t="s">
        <v>332</v>
      </c>
      <c r="F142" s="346">
        <f t="shared" si="397"/>
        <v>403474</v>
      </c>
      <c r="G142" s="109">
        <f t="shared" si="398"/>
        <v>421624</v>
      </c>
      <c r="H142" s="110">
        <v>403474</v>
      </c>
      <c r="I142" s="110">
        <f t="shared" si="399"/>
        <v>421624</v>
      </c>
      <c r="J142" s="110">
        <f t="shared" si="400"/>
        <v>18150</v>
      </c>
      <c r="K142" s="110"/>
      <c r="L142" s="110"/>
      <c r="M142" s="110"/>
      <c r="N142" s="110"/>
      <c r="O142" s="110"/>
      <c r="P142" s="110"/>
      <c r="Q142" s="110">
        <f>-7000+25150</f>
        <v>18150</v>
      </c>
      <c r="R142" s="416"/>
      <c r="S142" s="435"/>
      <c r="T142" s="110"/>
      <c r="U142" s="110"/>
      <c r="V142" s="110"/>
      <c r="W142" s="110">
        <v>0</v>
      </c>
      <c r="X142" s="110">
        <f t="shared" si="401"/>
        <v>0</v>
      </c>
      <c r="Y142" s="110">
        <f t="shared" si="402"/>
        <v>0</v>
      </c>
      <c r="Z142" s="110"/>
      <c r="AA142" s="110"/>
      <c r="AB142" s="110"/>
      <c r="AC142" s="110"/>
      <c r="AD142" s="110"/>
      <c r="AE142" s="110"/>
      <c r="AF142" s="110">
        <v>0</v>
      </c>
      <c r="AG142" s="138">
        <f t="shared" si="403"/>
        <v>0</v>
      </c>
      <c r="AH142" s="138">
        <f t="shared" si="404"/>
        <v>0</v>
      </c>
      <c r="AI142" s="138"/>
      <c r="AJ142" s="138"/>
      <c r="AK142" s="138"/>
      <c r="AL142" s="456"/>
      <c r="AM142" s="138"/>
      <c r="AN142" s="138"/>
      <c r="AO142" s="138"/>
      <c r="AP142" s="138"/>
      <c r="AQ142" s="138"/>
      <c r="AR142" s="138">
        <v>0</v>
      </c>
      <c r="AS142" s="138">
        <f t="shared" si="405"/>
        <v>0</v>
      </c>
      <c r="AT142" s="138">
        <f t="shared" si="406"/>
        <v>0</v>
      </c>
      <c r="AU142" s="138"/>
      <c r="AV142" s="138"/>
      <c r="AW142" s="456"/>
      <c r="AX142" s="138"/>
      <c r="AY142" s="138"/>
      <c r="AZ142" s="269">
        <f t="shared" si="407"/>
        <v>0</v>
      </c>
      <c r="BA142" s="269">
        <f t="shared" si="408"/>
        <v>0</v>
      </c>
      <c r="BB142" s="269"/>
      <c r="BC142" s="269"/>
      <c r="BD142" s="269"/>
      <c r="BE142" s="269"/>
      <c r="BF142" s="269"/>
      <c r="BG142" s="269"/>
      <c r="BH142" s="269"/>
      <c r="BI142" s="269"/>
      <c r="BJ142" s="269"/>
      <c r="BK142" s="335"/>
      <c r="BL142" s="270" t="s">
        <v>705</v>
      </c>
      <c r="BM142" s="196" t="s">
        <v>565</v>
      </c>
      <c r="BN142" s="36"/>
      <c r="BO142" s="36"/>
      <c r="BP142" s="36"/>
      <c r="BQ142" s="36"/>
      <c r="BR142" s="36"/>
      <c r="BS142" s="36"/>
      <c r="BT142" s="36"/>
      <c r="BU142" s="36"/>
    </row>
    <row r="143" spans="1:73" s="268" customFormat="1" ht="36" x14ac:dyDescent="0.2">
      <c r="A143" s="165"/>
      <c r="B143" s="131"/>
      <c r="C143" s="265"/>
      <c r="D143" s="308"/>
      <c r="E143" s="263" t="s">
        <v>333</v>
      </c>
      <c r="F143" s="346">
        <f t="shared" si="397"/>
        <v>10080079</v>
      </c>
      <c r="G143" s="109">
        <f t="shared" si="398"/>
        <v>7574427</v>
      </c>
      <c r="H143" s="110">
        <v>10080079</v>
      </c>
      <c r="I143" s="110">
        <f t="shared" si="399"/>
        <v>7574427</v>
      </c>
      <c r="J143" s="110">
        <f t="shared" si="400"/>
        <v>-2505652</v>
      </c>
      <c r="K143" s="110">
        <v>4235</v>
      </c>
      <c r="L143" s="110">
        <v>238240</v>
      </c>
      <c r="M143" s="110"/>
      <c r="N143" s="110">
        <v>2900</v>
      </c>
      <c r="O143" s="110">
        <f>-348396-2492038</f>
        <v>-2840434</v>
      </c>
      <c r="P143" s="110">
        <v>25760</v>
      </c>
      <c r="Q143" s="110">
        <f>-9152+73374</f>
        <v>64222</v>
      </c>
      <c r="R143" s="416">
        <v>-575</v>
      </c>
      <c r="S143" s="435"/>
      <c r="T143" s="110"/>
      <c r="U143" s="110"/>
      <c r="V143" s="110"/>
      <c r="W143" s="110">
        <v>0</v>
      </c>
      <c r="X143" s="110">
        <f t="shared" si="401"/>
        <v>0</v>
      </c>
      <c r="Y143" s="110">
        <f t="shared" si="402"/>
        <v>0</v>
      </c>
      <c r="Z143" s="110"/>
      <c r="AA143" s="110"/>
      <c r="AB143" s="110"/>
      <c r="AC143" s="110"/>
      <c r="AD143" s="110"/>
      <c r="AE143" s="110"/>
      <c r="AF143" s="110">
        <v>0</v>
      </c>
      <c r="AG143" s="138">
        <f t="shared" si="403"/>
        <v>0</v>
      </c>
      <c r="AH143" s="138">
        <f t="shared" si="404"/>
        <v>0</v>
      </c>
      <c r="AI143" s="138"/>
      <c r="AJ143" s="138"/>
      <c r="AK143" s="138"/>
      <c r="AL143" s="456"/>
      <c r="AM143" s="138"/>
      <c r="AN143" s="138"/>
      <c r="AO143" s="138"/>
      <c r="AP143" s="138"/>
      <c r="AQ143" s="138"/>
      <c r="AR143" s="138">
        <v>0</v>
      </c>
      <c r="AS143" s="138">
        <f t="shared" si="405"/>
        <v>0</v>
      </c>
      <c r="AT143" s="138">
        <f t="shared" si="406"/>
        <v>0</v>
      </c>
      <c r="AU143" s="138"/>
      <c r="AV143" s="138"/>
      <c r="AW143" s="456"/>
      <c r="AX143" s="138"/>
      <c r="AY143" s="138"/>
      <c r="AZ143" s="269">
        <f t="shared" si="407"/>
        <v>0</v>
      </c>
      <c r="BA143" s="269">
        <f t="shared" si="408"/>
        <v>0</v>
      </c>
      <c r="BB143" s="269"/>
      <c r="BC143" s="269"/>
      <c r="BD143" s="269"/>
      <c r="BE143" s="269"/>
      <c r="BF143" s="269"/>
      <c r="BG143" s="269"/>
      <c r="BH143" s="269"/>
      <c r="BI143" s="269"/>
      <c r="BJ143" s="269"/>
      <c r="BK143" s="335"/>
      <c r="BL143" s="270" t="s">
        <v>732</v>
      </c>
      <c r="BM143" s="196" t="s">
        <v>565</v>
      </c>
      <c r="BN143" s="36"/>
      <c r="BO143" s="36"/>
      <c r="BP143" s="36"/>
      <c r="BQ143" s="36"/>
      <c r="BR143" s="36"/>
      <c r="BS143" s="36"/>
      <c r="BT143" s="36"/>
      <c r="BU143" s="36"/>
    </row>
    <row r="144" spans="1:73" s="389" customFormat="1" ht="36" x14ac:dyDescent="0.2">
      <c r="A144" s="165"/>
      <c r="B144" s="131"/>
      <c r="C144" s="265"/>
      <c r="D144" s="308"/>
      <c r="E144" s="387" t="s">
        <v>756</v>
      </c>
      <c r="F144" s="346">
        <f t="shared" ref="F144" si="409">H144+W144+AF144+AQ144+AR144+AY144</f>
        <v>0</v>
      </c>
      <c r="G144" s="109">
        <f t="shared" ref="G144" si="410">I144+X144+AG144+AQ144+AS144+AZ144</f>
        <v>12906</v>
      </c>
      <c r="H144" s="110"/>
      <c r="I144" s="110">
        <f t="shared" ref="I144" si="411">J144+H144</f>
        <v>19615</v>
      </c>
      <c r="J144" s="110">
        <f t="shared" ref="J144" si="412">SUM(K144:V144)</f>
        <v>19615</v>
      </c>
      <c r="K144" s="110"/>
      <c r="L144" s="110"/>
      <c r="M144" s="110"/>
      <c r="N144" s="110">
        <v>19615</v>
      </c>
      <c r="O144" s="110"/>
      <c r="P144" s="110"/>
      <c r="Q144" s="110"/>
      <c r="R144" s="416"/>
      <c r="S144" s="435"/>
      <c r="T144" s="110"/>
      <c r="U144" s="110"/>
      <c r="V144" s="110"/>
      <c r="W144" s="110"/>
      <c r="X144" s="110">
        <f t="shared" ref="X144" si="413">Y144+W144</f>
        <v>0</v>
      </c>
      <c r="Y144" s="110">
        <f t="shared" ref="Y144" si="414">SUM(Z144:AE144)</f>
        <v>0</v>
      </c>
      <c r="Z144" s="110"/>
      <c r="AA144" s="110"/>
      <c r="AB144" s="110"/>
      <c r="AC144" s="110"/>
      <c r="AD144" s="110"/>
      <c r="AE144" s="110"/>
      <c r="AF144" s="110"/>
      <c r="AG144" s="138">
        <f t="shared" ref="AG144" si="415">AH144+AF144</f>
        <v>0</v>
      </c>
      <c r="AH144" s="138">
        <f t="shared" ref="AH144" si="416">SUM(AI144:AP144)</f>
        <v>0</v>
      </c>
      <c r="AI144" s="138"/>
      <c r="AJ144" s="138"/>
      <c r="AK144" s="138"/>
      <c r="AL144" s="456"/>
      <c r="AM144" s="138"/>
      <c r="AN144" s="138"/>
      <c r="AO144" s="138"/>
      <c r="AP144" s="138"/>
      <c r="AQ144" s="138"/>
      <c r="AR144" s="138"/>
      <c r="AS144" s="138">
        <f t="shared" ref="AS144" si="417">AT144+AR144</f>
        <v>0</v>
      </c>
      <c r="AT144" s="138">
        <f t="shared" ref="AT144" si="418">SUM(AU144:AX144)</f>
        <v>0</v>
      </c>
      <c r="AU144" s="138"/>
      <c r="AV144" s="138"/>
      <c r="AW144" s="456"/>
      <c r="AX144" s="138"/>
      <c r="AY144" s="138"/>
      <c r="AZ144" s="269">
        <f t="shared" ref="AZ144" si="419">BA144+AY144</f>
        <v>-6709</v>
      </c>
      <c r="BA144" s="269">
        <f t="shared" ref="BA144" si="420">SUM(BB144:BK144)</f>
        <v>-6709</v>
      </c>
      <c r="BB144" s="269"/>
      <c r="BC144" s="269">
        <v>-6709</v>
      </c>
      <c r="BD144" s="269"/>
      <c r="BE144" s="269"/>
      <c r="BF144" s="269"/>
      <c r="BG144" s="269"/>
      <c r="BH144" s="269"/>
      <c r="BI144" s="269"/>
      <c r="BJ144" s="269"/>
      <c r="BK144" s="335"/>
      <c r="BL144" s="270" t="s">
        <v>757</v>
      </c>
      <c r="BM144" s="196"/>
      <c r="BN144" s="36"/>
      <c r="BO144" s="36"/>
      <c r="BP144" s="36"/>
      <c r="BQ144" s="36"/>
      <c r="BR144" s="36"/>
      <c r="BS144" s="36"/>
      <c r="BT144" s="36"/>
      <c r="BU144" s="36"/>
    </row>
    <row r="145" spans="1:73" s="397" customFormat="1" x14ac:dyDescent="0.2">
      <c r="A145" s="165"/>
      <c r="B145" s="131"/>
      <c r="C145" s="265"/>
      <c r="D145" s="308"/>
      <c r="E145" s="396" t="s">
        <v>775</v>
      </c>
      <c r="F145" s="346">
        <f t="shared" ref="F145" si="421">H145+W145+AF145+AQ145+AR145+AY145</f>
        <v>0</v>
      </c>
      <c r="G145" s="109">
        <f t="shared" ref="G145" si="422">I145+X145+AG145+AQ145+AS145+AZ145</f>
        <v>3301</v>
      </c>
      <c r="H145" s="110"/>
      <c r="I145" s="110">
        <f t="shared" ref="I145" si="423">J145+H145</f>
        <v>3301</v>
      </c>
      <c r="J145" s="110">
        <f t="shared" ref="J145" si="424">SUM(K145:V145)</f>
        <v>3301</v>
      </c>
      <c r="K145" s="110"/>
      <c r="L145" s="110"/>
      <c r="M145" s="110"/>
      <c r="N145" s="110"/>
      <c r="O145" s="110">
        <v>3301</v>
      </c>
      <c r="P145" s="110"/>
      <c r="Q145" s="110"/>
      <c r="R145" s="416"/>
      <c r="S145" s="435"/>
      <c r="T145" s="110"/>
      <c r="U145" s="110"/>
      <c r="V145" s="110"/>
      <c r="W145" s="110"/>
      <c r="X145" s="110">
        <f t="shared" ref="X145" si="425">Y145+W145</f>
        <v>0</v>
      </c>
      <c r="Y145" s="110">
        <f t="shared" ref="Y145" si="426">SUM(Z145:AE145)</f>
        <v>0</v>
      </c>
      <c r="Z145" s="110"/>
      <c r="AA145" s="110"/>
      <c r="AB145" s="110"/>
      <c r="AC145" s="110"/>
      <c r="AD145" s="110"/>
      <c r="AE145" s="110"/>
      <c r="AF145" s="110"/>
      <c r="AG145" s="138">
        <f t="shared" ref="AG145" si="427">AH145+AF145</f>
        <v>0</v>
      </c>
      <c r="AH145" s="138">
        <f t="shared" ref="AH145" si="428">SUM(AI145:AP145)</f>
        <v>0</v>
      </c>
      <c r="AI145" s="138"/>
      <c r="AJ145" s="138"/>
      <c r="AK145" s="138"/>
      <c r="AL145" s="456"/>
      <c r="AM145" s="138"/>
      <c r="AN145" s="138"/>
      <c r="AO145" s="138"/>
      <c r="AP145" s="138"/>
      <c r="AQ145" s="138"/>
      <c r="AR145" s="138"/>
      <c r="AS145" s="138">
        <f t="shared" ref="AS145" si="429">AT145+AR145</f>
        <v>0</v>
      </c>
      <c r="AT145" s="138">
        <f t="shared" ref="AT145" si="430">SUM(AU145:AX145)</f>
        <v>0</v>
      </c>
      <c r="AU145" s="138"/>
      <c r="AV145" s="138"/>
      <c r="AW145" s="456"/>
      <c r="AX145" s="138"/>
      <c r="AY145" s="138"/>
      <c r="AZ145" s="269">
        <f t="shared" ref="AZ145" si="431">BA145+AY145</f>
        <v>0</v>
      </c>
      <c r="BA145" s="269">
        <f t="shared" ref="BA145" si="432">SUM(BB145:BK145)</f>
        <v>0</v>
      </c>
      <c r="BB145" s="269"/>
      <c r="BC145" s="269"/>
      <c r="BD145" s="269"/>
      <c r="BE145" s="269"/>
      <c r="BF145" s="269"/>
      <c r="BG145" s="269"/>
      <c r="BH145" s="269"/>
      <c r="BI145" s="269"/>
      <c r="BJ145" s="269"/>
      <c r="BK145" s="335"/>
      <c r="BL145" s="270" t="s">
        <v>776</v>
      </c>
      <c r="BM145" s="196"/>
      <c r="BN145" s="36"/>
      <c r="BO145" s="36"/>
      <c r="BP145" s="36"/>
      <c r="BQ145" s="36"/>
      <c r="BR145" s="36"/>
      <c r="BS145" s="36"/>
      <c r="BT145" s="36"/>
      <c r="BU145" s="36"/>
    </row>
    <row r="146" spans="1:73" ht="24" x14ac:dyDescent="0.2">
      <c r="A146" s="165">
        <v>90000051665</v>
      </c>
      <c r="B146" s="129"/>
      <c r="C146" s="471" t="s">
        <v>292</v>
      </c>
      <c r="D146" s="472"/>
      <c r="E146" s="108" t="s">
        <v>259</v>
      </c>
      <c r="F146" s="346">
        <f t="shared" si="397"/>
        <v>720394</v>
      </c>
      <c r="G146" s="109">
        <f t="shared" si="398"/>
        <v>728134</v>
      </c>
      <c r="H146" s="110">
        <v>486755</v>
      </c>
      <c r="I146" s="110">
        <f t="shared" si="399"/>
        <v>486755</v>
      </c>
      <c r="J146" s="110">
        <f t="shared" si="400"/>
        <v>0</v>
      </c>
      <c r="K146" s="110"/>
      <c r="L146" s="110"/>
      <c r="M146" s="110"/>
      <c r="N146" s="110"/>
      <c r="O146" s="110"/>
      <c r="P146" s="110"/>
      <c r="Q146" s="110"/>
      <c r="R146" s="416"/>
      <c r="S146" s="435"/>
      <c r="T146" s="110"/>
      <c r="U146" s="110"/>
      <c r="V146" s="110"/>
      <c r="W146" s="110">
        <v>207202</v>
      </c>
      <c r="X146" s="110">
        <f t="shared" si="401"/>
        <v>210889</v>
      </c>
      <c r="Y146" s="110">
        <f t="shared" si="402"/>
        <v>3687</v>
      </c>
      <c r="Z146" s="110"/>
      <c r="AA146" s="110">
        <v>3687</v>
      </c>
      <c r="AB146" s="110"/>
      <c r="AC146" s="110"/>
      <c r="AD146" s="110"/>
      <c r="AE146" s="110"/>
      <c r="AF146" s="110">
        <v>26437</v>
      </c>
      <c r="AG146" s="135">
        <f t="shared" si="403"/>
        <v>30490</v>
      </c>
      <c r="AH146" s="135">
        <f t="shared" si="404"/>
        <v>4053</v>
      </c>
      <c r="AI146" s="135">
        <v>4053</v>
      </c>
      <c r="AJ146" s="135"/>
      <c r="AK146" s="135"/>
      <c r="AL146" s="454"/>
      <c r="AM146" s="135"/>
      <c r="AN146" s="135"/>
      <c r="AO146" s="135"/>
      <c r="AP146" s="135"/>
      <c r="AQ146" s="135"/>
      <c r="AR146" s="135">
        <v>0</v>
      </c>
      <c r="AS146" s="135">
        <f t="shared" si="405"/>
        <v>0</v>
      </c>
      <c r="AT146" s="135">
        <f t="shared" si="406"/>
        <v>0</v>
      </c>
      <c r="AU146" s="135"/>
      <c r="AV146" s="135"/>
      <c r="AW146" s="454"/>
      <c r="AX146" s="135"/>
      <c r="AY146" s="135"/>
      <c r="AZ146" s="110">
        <f t="shared" si="407"/>
        <v>0</v>
      </c>
      <c r="BA146" s="110">
        <f t="shared" si="408"/>
        <v>0</v>
      </c>
      <c r="BB146" s="110"/>
      <c r="BC146" s="110"/>
      <c r="BD146" s="110"/>
      <c r="BE146" s="110"/>
      <c r="BF146" s="110"/>
      <c r="BG146" s="110"/>
      <c r="BH146" s="110"/>
      <c r="BI146" s="110"/>
      <c r="BJ146" s="110"/>
      <c r="BK146" s="332"/>
      <c r="BL146" s="111" t="s">
        <v>477</v>
      </c>
      <c r="BM146" s="117"/>
      <c r="BN146" s="36"/>
      <c r="BO146" s="36"/>
      <c r="BP146" s="36"/>
      <c r="BQ146" s="36"/>
      <c r="BR146" s="36"/>
      <c r="BS146" s="36"/>
      <c r="BT146" s="36"/>
      <c r="BU146" s="36"/>
    </row>
    <row r="147" spans="1:73" x14ac:dyDescent="0.2">
      <c r="A147" s="165"/>
      <c r="B147" s="129"/>
      <c r="C147" s="108"/>
      <c r="D147" s="307"/>
      <c r="E147" s="108" t="s">
        <v>286</v>
      </c>
      <c r="F147" s="346">
        <f t="shared" si="397"/>
        <v>63907</v>
      </c>
      <c r="G147" s="109">
        <f t="shared" si="398"/>
        <v>63907</v>
      </c>
      <c r="H147" s="110">
        <v>44753</v>
      </c>
      <c r="I147" s="110">
        <f t="shared" si="399"/>
        <v>44753</v>
      </c>
      <c r="J147" s="110">
        <f t="shared" si="400"/>
        <v>0</v>
      </c>
      <c r="K147" s="110"/>
      <c r="L147" s="110"/>
      <c r="M147" s="110"/>
      <c r="N147" s="110"/>
      <c r="O147" s="110"/>
      <c r="P147" s="110"/>
      <c r="Q147" s="110"/>
      <c r="R147" s="416"/>
      <c r="S147" s="435"/>
      <c r="T147" s="110"/>
      <c r="U147" s="110"/>
      <c r="V147" s="110"/>
      <c r="W147" s="110">
        <v>19154</v>
      </c>
      <c r="X147" s="110">
        <f t="shared" si="401"/>
        <v>19154</v>
      </c>
      <c r="Y147" s="110">
        <f t="shared" si="402"/>
        <v>0</v>
      </c>
      <c r="Z147" s="110"/>
      <c r="AA147" s="110"/>
      <c r="AB147" s="110"/>
      <c r="AC147" s="110"/>
      <c r="AD147" s="110"/>
      <c r="AE147" s="110"/>
      <c r="AF147" s="110">
        <v>0</v>
      </c>
      <c r="AG147" s="135">
        <f t="shared" si="403"/>
        <v>0</v>
      </c>
      <c r="AH147" s="135">
        <f t="shared" si="404"/>
        <v>0</v>
      </c>
      <c r="AI147" s="135"/>
      <c r="AJ147" s="135"/>
      <c r="AK147" s="135"/>
      <c r="AL147" s="454"/>
      <c r="AM147" s="135"/>
      <c r="AN147" s="135"/>
      <c r="AO147" s="135"/>
      <c r="AP147" s="135"/>
      <c r="AQ147" s="135"/>
      <c r="AR147" s="135">
        <v>0</v>
      </c>
      <c r="AS147" s="135">
        <f t="shared" si="405"/>
        <v>0</v>
      </c>
      <c r="AT147" s="135">
        <f t="shared" si="406"/>
        <v>0</v>
      </c>
      <c r="AU147" s="135"/>
      <c r="AV147" s="135"/>
      <c r="AW147" s="454"/>
      <c r="AX147" s="135"/>
      <c r="AY147" s="135"/>
      <c r="AZ147" s="110">
        <f t="shared" si="407"/>
        <v>0</v>
      </c>
      <c r="BA147" s="110">
        <f t="shared" si="408"/>
        <v>0</v>
      </c>
      <c r="BB147" s="110"/>
      <c r="BC147" s="110"/>
      <c r="BD147" s="110"/>
      <c r="BE147" s="110"/>
      <c r="BF147" s="110"/>
      <c r="BG147" s="110"/>
      <c r="BH147" s="110"/>
      <c r="BI147" s="110"/>
      <c r="BJ147" s="110"/>
      <c r="BK147" s="332"/>
      <c r="BL147" s="111" t="s">
        <v>478</v>
      </c>
      <c r="BM147" s="117"/>
      <c r="BN147" s="36"/>
      <c r="BO147" s="36"/>
      <c r="BP147" s="36"/>
      <c r="BQ147" s="36"/>
      <c r="BR147" s="36"/>
      <c r="BS147" s="36"/>
      <c r="BT147" s="36"/>
      <c r="BU147" s="36"/>
    </row>
    <row r="148" spans="1:73" s="259" customFormat="1" ht="24" x14ac:dyDescent="0.2">
      <c r="A148" s="165"/>
      <c r="B148" s="129"/>
      <c r="C148" s="108"/>
      <c r="D148" s="307"/>
      <c r="E148" s="108" t="s">
        <v>611</v>
      </c>
      <c r="F148" s="346">
        <f t="shared" si="397"/>
        <v>0</v>
      </c>
      <c r="G148" s="109">
        <f t="shared" si="398"/>
        <v>0</v>
      </c>
      <c r="H148" s="110">
        <v>25</v>
      </c>
      <c r="I148" s="110">
        <f t="shared" si="399"/>
        <v>25</v>
      </c>
      <c r="J148" s="110">
        <f t="shared" si="400"/>
        <v>0</v>
      </c>
      <c r="K148" s="110"/>
      <c r="L148" s="110"/>
      <c r="M148" s="110"/>
      <c r="N148" s="110"/>
      <c r="O148" s="110"/>
      <c r="P148" s="110"/>
      <c r="Q148" s="110"/>
      <c r="R148" s="416"/>
      <c r="S148" s="435"/>
      <c r="T148" s="110"/>
      <c r="U148" s="110"/>
      <c r="V148" s="110"/>
      <c r="W148" s="110">
        <v>0</v>
      </c>
      <c r="X148" s="110">
        <f t="shared" si="401"/>
        <v>0</v>
      </c>
      <c r="Y148" s="110">
        <f t="shared" si="402"/>
        <v>0</v>
      </c>
      <c r="Z148" s="110"/>
      <c r="AA148" s="110"/>
      <c r="AB148" s="110"/>
      <c r="AC148" s="110"/>
      <c r="AD148" s="110"/>
      <c r="AE148" s="110"/>
      <c r="AF148" s="110">
        <v>0</v>
      </c>
      <c r="AG148" s="135">
        <f t="shared" si="403"/>
        <v>0</v>
      </c>
      <c r="AH148" s="135">
        <f t="shared" si="404"/>
        <v>0</v>
      </c>
      <c r="AI148" s="135"/>
      <c r="AJ148" s="135"/>
      <c r="AK148" s="135"/>
      <c r="AL148" s="454"/>
      <c r="AM148" s="135"/>
      <c r="AN148" s="135"/>
      <c r="AO148" s="135"/>
      <c r="AP148" s="135"/>
      <c r="AQ148" s="135"/>
      <c r="AR148" s="135">
        <v>0</v>
      </c>
      <c r="AS148" s="135">
        <f t="shared" si="405"/>
        <v>0</v>
      </c>
      <c r="AT148" s="135">
        <f t="shared" si="406"/>
        <v>0</v>
      </c>
      <c r="AU148" s="135"/>
      <c r="AV148" s="135"/>
      <c r="AW148" s="454"/>
      <c r="AX148" s="135"/>
      <c r="AY148" s="135">
        <v>-25</v>
      </c>
      <c r="AZ148" s="110">
        <f t="shared" si="407"/>
        <v>-25</v>
      </c>
      <c r="BA148" s="110">
        <f t="shared" si="408"/>
        <v>0</v>
      </c>
      <c r="BB148" s="110"/>
      <c r="BC148" s="110"/>
      <c r="BD148" s="110"/>
      <c r="BE148" s="110"/>
      <c r="BF148" s="110"/>
      <c r="BG148" s="110"/>
      <c r="BH148" s="110"/>
      <c r="BI148" s="110"/>
      <c r="BJ148" s="110"/>
      <c r="BK148" s="332"/>
      <c r="BL148" s="111" t="s">
        <v>661</v>
      </c>
      <c r="BM148" s="117"/>
      <c r="BN148" s="36"/>
      <c r="BO148" s="36"/>
      <c r="BP148" s="36"/>
      <c r="BQ148" s="36"/>
      <c r="BR148" s="36"/>
      <c r="BS148" s="36"/>
      <c r="BT148" s="36"/>
      <c r="BU148" s="36"/>
    </row>
    <row r="149" spans="1:73" ht="24" x14ac:dyDescent="0.2">
      <c r="A149" s="165">
        <v>90000051561</v>
      </c>
      <c r="B149" s="129"/>
      <c r="C149" s="471" t="s">
        <v>366</v>
      </c>
      <c r="D149" s="472"/>
      <c r="E149" s="108" t="s">
        <v>259</v>
      </c>
      <c r="F149" s="346">
        <f t="shared" si="397"/>
        <v>693896</v>
      </c>
      <c r="G149" s="109">
        <f t="shared" si="398"/>
        <v>701084</v>
      </c>
      <c r="H149" s="110">
        <v>330379</v>
      </c>
      <c r="I149" s="110">
        <f t="shared" si="399"/>
        <v>330379</v>
      </c>
      <c r="J149" s="110">
        <f t="shared" si="400"/>
        <v>0</v>
      </c>
      <c r="K149" s="110"/>
      <c r="L149" s="110"/>
      <c r="M149" s="110"/>
      <c r="N149" s="110"/>
      <c r="O149" s="110"/>
      <c r="P149" s="110"/>
      <c r="Q149" s="110"/>
      <c r="R149" s="416"/>
      <c r="S149" s="435"/>
      <c r="T149" s="110"/>
      <c r="U149" s="110"/>
      <c r="V149" s="110"/>
      <c r="W149" s="110">
        <v>338188</v>
      </c>
      <c r="X149" s="110">
        <f t="shared" si="401"/>
        <v>344050</v>
      </c>
      <c r="Y149" s="110">
        <f t="shared" si="402"/>
        <v>5862</v>
      </c>
      <c r="Z149" s="110"/>
      <c r="AA149" s="110">
        <v>5862</v>
      </c>
      <c r="AB149" s="110"/>
      <c r="AC149" s="110"/>
      <c r="AD149" s="110"/>
      <c r="AE149" s="110"/>
      <c r="AF149" s="110">
        <v>24829</v>
      </c>
      <c r="AG149" s="135">
        <f t="shared" si="403"/>
        <v>26291</v>
      </c>
      <c r="AH149" s="135">
        <f t="shared" si="404"/>
        <v>1462</v>
      </c>
      <c r="AI149" s="135">
        <v>1462</v>
      </c>
      <c r="AJ149" s="135"/>
      <c r="AK149" s="135"/>
      <c r="AL149" s="454"/>
      <c r="AM149" s="135"/>
      <c r="AN149" s="135"/>
      <c r="AO149" s="135"/>
      <c r="AP149" s="135"/>
      <c r="AQ149" s="135"/>
      <c r="AR149" s="135">
        <v>500</v>
      </c>
      <c r="AS149" s="135">
        <f t="shared" si="405"/>
        <v>506</v>
      </c>
      <c r="AT149" s="135">
        <f t="shared" si="406"/>
        <v>6</v>
      </c>
      <c r="AU149" s="135">
        <v>6</v>
      </c>
      <c r="AV149" s="135"/>
      <c r="AW149" s="454"/>
      <c r="AX149" s="135"/>
      <c r="AY149" s="135"/>
      <c r="AZ149" s="110">
        <f t="shared" si="407"/>
        <v>-142</v>
      </c>
      <c r="BA149" s="110">
        <f t="shared" si="408"/>
        <v>-142</v>
      </c>
      <c r="BB149" s="110"/>
      <c r="BC149" s="110">
        <v>-142</v>
      </c>
      <c r="BD149" s="110"/>
      <c r="BE149" s="110"/>
      <c r="BF149" s="110"/>
      <c r="BG149" s="110"/>
      <c r="BH149" s="110"/>
      <c r="BI149" s="110"/>
      <c r="BJ149" s="110"/>
      <c r="BK149" s="332"/>
      <c r="BL149" s="111" t="s">
        <v>479</v>
      </c>
      <c r="BM149" s="117"/>
      <c r="BN149" s="36"/>
      <c r="BO149" s="36"/>
      <c r="BP149" s="36"/>
      <c r="BQ149" s="36"/>
      <c r="BR149" s="36"/>
      <c r="BS149" s="36"/>
      <c r="BT149" s="36"/>
      <c r="BU149" s="36"/>
    </row>
    <row r="150" spans="1:73" x14ac:dyDescent="0.2">
      <c r="A150" s="165"/>
      <c r="B150" s="129"/>
      <c r="C150" s="108"/>
      <c r="D150" s="307"/>
      <c r="E150" s="108" t="s">
        <v>286</v>
      </c>
      <c r="F150" s="346">
        <f t="shared" si="397"/>
        <v>81353</v>
      </c>
      <c r="G150" s="109">
        <f t="shared" si="398"/>
        <v>86761</v>
      </c>
      <c r="H150" s="110">
        <v>52996</v>
      </c>
      <c r="I150" s="110">
        <f t="shared" si="399"/>
        <v>52996</v>
      </c>
      <c r="J150" s="110">
        <f t="shared" si="400"/>
        <v>0</v>
      </c>
      <c r="K150" s="110"/>
      <c r="L150" s="110"/>
      <c r="M150" s="110"/>
      <c r="N150" s="110"/>
      <c r="O150" s="110"/>
      <c r="P150" s="110"/>
      <c r="Q150" s="110"/>
      <c r="R150" s="416"/>
      <c r="S150" s="435"/>
      <c r="T150" s="110"/>
      <c r="U150" s="110"/>
      <c r="V150" s="110"/>
      <c r="W150" s="110">
        <v>28357</v>
      </c>
      <c r="X150" s="110">
        <f t="shared" si="401"/>
        <v>33765</v>
      </c>
      <c r="Y150" s="110">
        <f t="shared" si="402"/>
        <v>5408</v>
      </c>
      <c r="Z150" s="110"/>
      <c r="AA150" s="110">
        <v>5408</v>
      </c>
      <c r="AB150" s="110"/>
      <c r="AC150" s="110"/>
      <c r="AD150" s="110"/>
      <c r="AE150" s="110"/>
      <c r="AF150" s="110">
        <v>0</v>
      </c>
      <c r="AG150" s="135">
        <f t="shared" si="403"/>
        <v>0</v>
      </c>
      <c r="AH150" s="135">
        <f t="shared" si="404"/>
        <v>0</v>
      </c>
      <c r="AI150" s="135"/>
      <c r="AJ150" s="135"/>
      <c r="AK150" s="135"/>
      <c r="AL150" s="454"/>
      <c r="AM150" s="135"/>
      <c r="AN150" s="135"/>
      <c r="AO150" s="135"/>
      <c r="AP150" s="135"/>
      <c r="AQ150" s="135"/>
      <c r="AR150" s="135">
        <v>0</v>
      </c>
      <c r="AS150" s="135">
        <f t="shared" si="405"/>
        <v>0</v>
      </c>
      <c r="AT150" s="135">
        <f t="shared" si="406"/>
        <v>0</v>
      </c>
      <c r="AU150" s="135"/>
      <c r="AV150" s="135"/>
      <c r="AW150" s="454"/>
      <c r="AX150" s="135"/>
      <c r="AY150" s="135"/>
      <c r="AZ150" s="110">
        <f t="shared" si="407"/>
        <v>0</v>
      </c>
      <c r="BA150" s="110">
        <f t="shared" si="408"/>
        <v>0</v>
      </c>
      <c r="BB150" s="110"/>
      <c r="BC150" s="110"/>
      <c r="BD150" s="110"/>
      <c r="BE150" s="110"/>
      <c r="BF150" s="110"/>
      <c r="BG150" s="110"/>
      <c r="BH150" s="110"/>
      <c r="BI150" s="110"/>
      <c r="BJ150" s="110"/>
      <c r="BK150" s="332"/>
      <c r="BL150" s="111" t="s">
        <v>480</v>
      </c>
      <c r="BM150" s="117"/>
      <c r="BN150" s="36"/>
      <c r="BO150" s="36"/>
      <c r="BP150" s="36"/>
      <c r="BQ150" s="36"/>
      <c r="BR150" s="36"/>
      <c r="BS150" s="36"/>
      <c r="BT150" s="36"/>
      <c r="BU150" s="36"/>
    </row>
    <row r="151" spans="1:73" s="223" customFormat="1" x14ac:dyDescent="0.2">
      <c r="A151" s="165"/>
      <c r="B151" s="129"/>
      <c r="C151" s="108"/>
      <c r="D151" s="307"/>
      <c r="E151" s="108" t="s">
        <v>400</v>
      </c>
      <c r="F151" s="346">
        <f t="shared" si="397"/>
        <v>6732</v>
      </c>
      <c r="G151" s="109">
        <f t="shared" si="398"/>
        <v>6732</v>
      </c>
      <c r="H151" s="110">
        <v>6732</v>
      </c>
      <c r="I151" s="110">
        <f t="shared" si="399"/>
        <v>6732</v>
      </c>
      <c r="J151" s="110">
        <f t="shared" si="400"/>
        <v>0</v>
      </c>
      <c r="K151" s="110"/>
      <c r="L151" s="110"/>
      <c r="M151" s="110"/>
      <c r="N151" s="110"/>
      <c r="O151" s="110"/>
      <c r="P151" s="110"/>
      <c r="Q151" s="110"/>
      <c r="R151" s="416"/>
      <c r="S151" s="435"/>
      <c r="T151" s="110"/>
      <c r="U151" s="110"/>
      <c r="V151" s="110"/>
      <c r="W151" s="110">
        <v>0</v>
      </c>
      <c r="X151" s="110">
        <f t="shared" si="401"/>
        <v>0</v>
      </c>
      <c r="Y151" s="110">
        <f t="shared" si="402"/>
        <v>0</v>
      </c>
      <c r="Z151" s="110"/>
      <c r="AA151" s="110"/>
      <c r="AB151" s="110"/>
      <c r="AC151" s="110"/>
      <c r="AD151" s="110"/>
      <c r="AE151" s="110"/>
      <c r="AF151" s="110">
        <v>0</v>
      </c>
      <c r="AG151" s="135">
        <f t="shared" si="403"/>
        <v>0</v>
      </c>
      <c r="AH151" s="135">
        <f t="shared" si="404"/>
        <v>0</v>
      </c>
      <c r="AI151" s="135"/>
      <c r="AJ151" s="135"/>
      <c r="AK151" s="135"/>
      <c r="AL151" s="454"/>
      <c r="AM151" s="135"/>
      <c r="AN151" s="135"/>
      <c r="AO151" s="135"/>
      <c r="AP151" s="135"/>
      <c r="AQ151" s="135"/>
      <c r="AR151" s="135">
        <v>0</v>
      </c>
      <c r="AS151" s="135">
        <f t="shared" si="405"/>
        <v>0</v>
      </c>
      <c r="AT151" s="135">
        <f t="shared" si="406"/>
        <v>0</v>
      </c>
      <c r="AU151" s="135"/>
      <c r="AV151" s="135"/>
      <c r="AW151" s="454"/>
      <c r="AX151" s="135"/>
      <c r="AY151" s="135"/>
      <c r="AZ151" s="110">
        <f t="shared" si="407"/>
        <v>0</v>
      </c>
      <c r="BA151" s="110">
        <f t="shared" si="408"/>
        <v>0</v>
      </c>
      <c r="BB151" s="110"/>
      <c r="BC151" s="110"/>
      <c r="BD151" s="110"/>
      <c r="BE151" s="110"/>
      <c r="BF151" s="110"/>
      <c r="BG151" s="110"/>
      <c r="BH151" s="110"/>
      <c r="BI151" s="110"/>
      <c r="BJ151" s="110"/>
      <c r="BK151" s="332"/>
      <c r="BL151" s="111" t="s">
        <v>481</v>
      </c>
      <c r="BM151" s="117"/>
      <c r="BN151" s="36"/>
      <c r="BO151" s="36"/>
      <c r="BP151" s="36"/>
      <c r="BQ151" s="36"/>
      <c r="BR151" s="36"/>
      <c r="BS151" s="36"/>
      <c r="BT151" s="36"/>
      <c r="BU151" s="36"/>
    </row>
    <row r="152" spans="1:73" ht="36" x14ac:dyDescent="0.2">
      <c r="A152" s="165">
        <v>90009226256</v>
      </c>
      <c r="B152" s="129"/>
      <c r="C152" s="471" t="s">
        <v>172</v>
      </c>
      <c r="D152" s="472"/>
      <c r="E152" s="108" t="s">
        <v>578</v>
      </c>
      <c r="F152" s="346">
        <f t="shared" si="397"/>
        <v>306669</v>
      </c>
      <c r="G152" s="109">
        <f t="shared" si="398"/>
        <v>307870</v>
      </c>
      <c r="H152" s="110">
        <v>235633</v>
      </c>
      <c r="I152" s="110">
        <f t="shared" si="399"/>
        <v>236133</v>
      </c>
      <c r="J152" s="110">
        <f t="shared" si="400"/>
        <v>500</v>
      </c>
      <c r="K152" s="110"/>
      <c r="L152" s="110"/>
      <c r="M152" s="110"/>
      <c r="N152" s="110"/>
      <c r="O152" s="110"/>
      <c r="P152" s="110"/>
      <c r="Q152" s="110">
        <v>500</v>
      </c>
      <c r="R152" s="416"/>
      <c r="S152" s="435"/>
      <c r="T152" s="110"/>
      <c r="U152" s="110"/>
      <c r="V152" s="110"/>
      <c r="W152" s="110">
        <v>60584</v>
      </c>
      <c r="X152" s="110">
        <f t="shared" si="401"/>
        <v>60584</v>
      </c>
      <c r="Y152" s="110">
        <f t="shared" si="402"/>
        <v>0</v>
      </c>
      <c r="Z152" s="110"/>
      <c r="AA152" s="110"/>
      <c r="AB152" s="110"/>
      <c r="AC152" s="110"/>
      <c r="AD152" s="110"/>
      <c r="AE152" s="110"/>
      <c r="AF152" s="110">
        <v>10452</v>
      </c>
      <c r="AG152" s="135">
        <f t="shared" si="403"/>
        <v>11153</v>
      </c>
      <c r="AH152" s="135">
        <f t="shared" si="404"/>
        <v>701</v>
      </c>
      <c r="AI152" s="135">
        <v>349</v>
      </c>
      <c r="AJ152" s="135"/>
      <c r="AK152" s="135"/>
      <c r="AL152" s="454">
        <v>352</v>
      </c>
      <c r="AM152" s="135"/>
      <c r="AN152" s="135"/>
      <c r="AO152" s="135"/>
      <c r="AP152" s="135"/>
      <c r="AQ152" s="135"/>
      <c r="AR152" s="110">
        <v>0</v>
      </c>
      <c r="AS152" s="135">
        <f t="shared" si="405"/>
        <v>0</v>
      </c>
      <c r="AT152" s="135">
        <f t="shared" si="406"/>
        <v>0</v>
      </c>
      <c r="AU152" s="135"/>
      <c r="AV152" s="135"/>
      <c r="AW152" s="454"/>
      <c r="AX152" s="135"/>
      <c r="AY152" s="135"/>
      <c r="AZ152" s="110">
        <f t="shared" si="407"/>
        <v>0</v>
      </c>
      <c r="BA152" s="110">
        <f t="shared" si="408"/>
        <v>0</v>
      </c>
      <c r="BB152" s="110"/>
      <c r="BC152" s="110"/>
      <c r="BD152" s="110"/>
      <c r="BE152" s="110"/>
      <c r="BF152" s="110"/>
      <c r="BG152" s="110"/>
      <c r="BH152" s="110"/>
      <c r="BI152" s="110"/>
      <c r="BJ152" s="110"/>
      <c r="BK152" s="332"/>
      <c r="BL152" s="111" t="s">
        <v>482</v>
      </c>
      <c r="BM152" s="117"/>
      <c r="BN152" s="36"/>
      <c r="BO152" s="36"/>
      <c r="BP152" s="36"/>
      <c r="BQ152" s="36"/>
      <c r="BR152" s="36"/>
      <c r="BS152" s="36"/>
      <c r="BT152" s="36"/>
      <c r="BU152" s="36"/>
    </row>
    <row r="153" spans="1:73" s="218" customFormat="1" x14ac:dyDescent="0.2">
      <c r="A153" s="167"/>
      <c r="B153" s="129"/>
      <c r="C153" s="313"/>
      <c r="D153" s="314"/>
      <c r="E153" s="108" t="s">
        <v>394</v>
      </c>
      <c r="F153" s="346">
        <f t="shared" si="397"/>
        <v>66928</v>
      </c>
      <c r="G153" s="109">
        <f t="shared" si="398"/>
        <v>66928</v>
      </c>
      <c r="H153" s="110">
        <v>66928</v>
      </c>
      <c r="I153" s="110">
        <f t="shared" si="399"/>
        <v>66928</v>
      </c>
      <c r="J153" s="110">
        <f t="shared" si="400"/>
        <v>0</v>
      </c>
      <c r="K153" s="110"/>
      <c r="L153" s="110"/>
      <c r="M153" s="110"/>
      <c r="N153" s="110"/>
      <c r="O153" s="110"/>
      <c r="P153" s="110"/>
      <c r="Q153" s="110"/>
      <c r="R153" s="416"/>
      <c r="S153" s="435"/>
      <c r="T153" s="110"/>
      <c r="U153" s="110"/>
      <c r="V153" s="110"/>
      <c r="W153" s="110">
        <v>0</v>
      </c>
      <c r="X153" s="110">
        <f t="shared" si="401"/>
        <v>0</v>
      </c>
      <c r="Y153" s="110">
        <f t="shared" si="402"/>
        <v>0</v>
      </c>
      <c r="Z153" s="110"/>
      <c r="AA153" s="110"/>
      <c r="AB153" s="110"/>
      <c r="AC153" s="110"/>
      <c r="AD153" s="110"/>
      <c r="AE153" s="110"/>
      <c r="AF153" s="110">
        <v>0</v>
      </c>
      <c r="AG153" s="135">
        <f t="shared" si="403"/>
        <v>0</v>
      </c>
      <c r="AH153" s="135">
        <f t="shared" si="404"/>
        <v>0</v>
      </c>
      <c r="AI153" s="135"/>
      <c r="AJ153" s="135"/>
      <c r="AK153" s="135"/>
      <c r="AL153" s="454"/>
      <c r="AM153" s="135"/>
      <c r="AN153" s="135"/>
      <c r="AO153" s="135"/>
      <c r="AP153" s="135"/>
      <c r="AQ153" s="135"/>
      <c r="AR153" s="135">
        <v>0</v>
      </c>
      <c r="AS153" s="135">
        <f t="shared" si="405"/>
        <v>0</v>
      </c>
      <c r="AT153" s="135">
        <f t="shared" si="406"/>
        <v>0</v>
      </c>
      <c r="AU153" s="135"/>
      <c r="AV153" s="135"/>
      <c r="AW153" s="454"/>
      <c r="AX153" s="135"/>
      <c r="AY153" s="135"/>
      <c r="AZ153" s="110">
        <f t="shared" si="407"/>
        <v>0</v>
      </c>
      <c r="BA153" s="110">
        <f t="shared" si="408"/>
        <v>0</v>
      </c>
      <c r="BB153" s="110"/>
      <c r="BC153" s="110"/>
      <c r="BD153" s="110"/>
      <c r="BE153" s="110"/>
      <c r="BF153" s="110"/>
      <c r="BG153" s="110"/>
      <c r="BH153" s="110"/>
      <c r="BI153" s="110"/>
      <c r="BJ153" s="110"/>
      <c r="BK153" s="332"/>
      <c r="BL153" s="111" t="s">
        <v>662</v>
      </c>
      <c r="BM153" s="117"/>
      <c r="BN153" s="36"/>
      <c r="BO153" s="36"/>
      <c r="BP153" s="36"/>
      <c r="BQ153" s="36"/>
      <c r="BR153" s="36"/>
      <c r="BS153" s="36"/>
      <c r="BT153" s="36"/>
      <c r="BU153" s="36"/>
    </row>
    <row r="154" spans="1:73" s="361" customFormat="1" x14ac:dyDescent="0.2">
      <c r="A154" s="167"/>
      <c r="B154" s="129"/>
      <c r="C154" s="313"/>
      <c r="D154" s="314"/>
      <c r="E154" s="359" t="s">
        <v>735</v>
      </c>
      <c r="F154" s="346">
        <f t="shared" ref="F154" si="433">H154+W154+AF154+AQ154+AR154+AY154</f>
        <v>0</v>
      </c>
      <c r="G154" s="109">
        <f t="shared" ref="G154" si="434">I154+X154+AG154+AQ154+AS154+AZ154</f>
        <v>16016</v>
      </c>
      <c r="H154" s="110"/>
      <c r="I154" s="110">
        <f t="shared" ref="I154" si="435">J154+H154</f>
        <v>16016</v>
      </c>
      <c r="J154" s="110">
        <f t="shared" ref="J154" si="436">SUM(K154:V154)</f>
        <v>16016</v>
      </c>
      <c r="K154" s="110"/>
      <c r="L154" s="110">
        <v>10410</v>
      </c>
      <c r="M154" s="110"/>
      <c r="N154" s="110">
        <v>5606</v>
      </c>
      <c r="O154" s="110"/>
      <c r="P154" s="110"/>
      <c r="Q154" s="110"/>
      <c r="R154" s="416"/>
      <c r="S154" s="435"/>
      <c r="T154" s="110"/>
      <c r="U154" s="110"/>
      <c r="V154" s="110"/>
      <c r="W154" s="110"/>
      <c r="X154" s="110">
        <f t="shared" ref="X154" si="437">Y154+W154</f>
        <v>0</v>
      </c>
      <c r="Y154" s="110">
        <f t="shared" ref="Y154" si="438">SUM(Z154:AE154)</f>
        <v>0</v>
      </c>
      <c r="Z154" s="110"/>
      <c r="AA154" s="110"/>
      <c r="AB154" s="110"/>
      <c r="AC154" s="110"/>
      <c r="AD154" s="110"/>
      <c r="AE154" s="110"/>
      <c r="AF154" s="110"/>
      <c r="AG154" s="135">
        <f t="shared" ref="AG154" si="439">AH154+AF154</f>
        <v>0</v>
      </c>
      <c r="AH154" s="135">
        <f t="shared" ref="AH154" si="440">SUM(AI154:AP154)</f>
        <v>0</v>
      </c>
      <c r="AI154" s="135"/>
      <c r="AJ154" s="135"/>
      <c r="AK154" s="135"/>
      <c r="AL154" s="454"/>
      <c r="AM154" s="135"/>
      <c r="AN154" s="135"/>
      <c r="AO154" s="135"/>
      <c r="AP154" s="135"/>
      <c r="AQ154" s="135"/>
      <c r="AR154" s="135"/>
      <c r="AS154" s="135">
        <f t="shared" ref="AS154" si="441">AT154+AR154</f>
        <v>0</v>
      </c>
      <c r="AT154" s="135">
        <f t="shared" ref="AT154" si="442">SUM(AU154:AX154)</f>
        <v>0</v>
      </c>
      <c r="AU154" s="135"/>
      <c r="AV154" s="135"/>
      <c r="AW154" s="454"/>
      <c r="AX154" s="135"/>
      <c r="AY154" s="135"/>
      <c r="AZ154" s="110">
        <f t="shared" ref="AZ154" si="443">BA154+AY154</f>
        <v>0</v>
      </c>
      <c r="BA154" s="110">
        <f t="shared" ref="BA154" si="444">SUM(BB154:BK154)</f>
        <v>0</v>
      </c>
      <c r="BB154" s="110"/>
      <c r="BC154" s="110"/>
      <c r="BD154" s="110"/>
      <c r="BE154" s="110"/>
      <c r="BF154" s="110"/>
      <c r="BG154" s="110"/>
      <c r="BH154" s="110"/>
      <c r="BI154" s="110"/>
      <c r="BJ154" s="110"/>
      <c r="BK154" s="332"/>
      <c r="BL154" s="111" t="s">
        <v>736</v>
      </c>
      <c r="BM154" s="117"/>
      <c r="BN154" s="36"/>
      <c r="BO154" s="36"/>
      <c r="BP154" s="36"/>
      <c r="BQ154" s="36"/>
      <c r="BR154" s="36"/>
      <c r="BS154" s="36"/>
      <c r="BT154" s="36"/>
      <c r="BU154" s="36"/>
    </row>
    <row r="155" spans="1:73" s="393" customFormat="1" ht="36" x14ac:dyDescent="0.2">
      <c r="A155" s="167"/>
      <c r="B155" s="129"/>
      <c r="C155" s="313"/>
      <c r="D155" s="314"/>
      <c r="E155" s="392" t="s">
        <v>767</v>
      </c>
      <c r="F155" s="346">
        <f t="shared" ref="F155" si="445">H155+W155+AF155+AQ155+AR155+AY155</f>
        <v>0</v>
      </c>
      <c r="G155" s="109">
        <f t="shared" ref="G155" si="446">I155+X155+AG155+AQ155+AS155+AZ155</f>
        <v>10240</v>
      </c>
      <c r="H155" s="110"/>
      <c r="I155" s="110">
        <f t="shared" ref="I155" si="447">J155+H155</f>
        <v>10240</v>
      </c>
      <c r="J155" s="110">
        <f t="shared" ref="J155" si="448">SUM(K155:V155)</f>
        <v>10240</v>
      </c>
      <c r="K155" s="110"/>
      <c r="L155" s="110"/>
      <c r="M155" s="110"/>
      <c r="N155" s="110"/>
      <c r="O155" s="110">
        <v>10240</v>
      </c>
      <c r="P155" s="110"/>
      <c r="Q155" s="110"/>
      <c r="R155" s="416"/>
      <c r="S155" s="435"/>
      <c r="T155" s="110"/>
      <c r="U155" s="110"/>
      <c r="V155" s="110"/>
      <c r="W155" s="110"/>
      <c r="X155" s="110">
        <f t="shared" ref="X155" si="449">Y155+W155</f>
        <v>0</v>
      </c>
      <c r="Y155" s="110">
        <f t="shared" ref="Y155" si="450">SUM(Z155:AE155)</f>
        <v>0</v>
      </c>
      <c r="Z155" s="110"/>
      <c r="AA155" s="110"/>
      <c r="AB155" s="110"/>
      <c r="AC155" s="110"/>
      <c r="AD155" s="110"/>
      <c r="AE155" s="110"/>
      <c r="AF155" s="110"/>
      <c r="AG155" s="135">
        <f t="shared" ref="AG155" si="451">AH155+AF155</f>
        <v>0</v>
      </c>
      <c r="AH155" s="135">
        <f t="shared" ref="AH155" si="452">SUM(AI155:AP155)</f>
        <v>0</v>
      </c>
      <c r="AI155" s="135"/>
      <c r="AJ155" s="135"/>
      <c r="AK155" s="135"/>
      <c r="AL155" s="454"/>
      <c r="AM155" s="135"/>
      <c r="AN155" s="135"/>
      <c r="AO155" s="135"/>
      <c r="AP155" s="135"/>
      <c r="AQ155" s="135"/>
      <c r="AR155" s="135"/>
      <c r="AS155" s="135">
        <f t="shared" ref="AS155" si="453">AT155+AR155</f>
        <v>0</v>
      </c>
      <c r="AT155" s="135">
        <f t="shared" ref="AT155" si="454">SUM(AU155:AX155)</f>
        <v>0</v>
      </c>
      <c r="AU155" s="135"/>
      <c r="AV155" s="135"/>
      <c r="AW155" s="454"/>
      <c r="AX155" s="135"/>
      <c r="AY155" s="135"/>
      <c r="AZ155" s="110">
        <f t="shared" ref="AZ155" si="455">BA155+AY155</f>
        <v>0</v>
      </c>
      <c r="BA155" s="110">
        <f t="shared" ref="BA155" si="456">SUM(BB155:BK155)</f>
        <v>0</v>
      </c>
      <c r="BB155" s="110"/>
      <c r="BC155" s="110"/>
      <c r="BD155" s="110"/>
      <c r="BE155" s="110"/>
      <c r="BF155" s="110"/>
      <c r="BG155" s="110"/>
      <c r="BH155" s="110"/>
      <c r="BI155" s="110"/>
      <c r="BJ155" s="110"/>
      <c r="BK155" s="332"/>
      <c r="BL155" s="111" t="s">
        <v>763</v>
      </c>
      <c r="BM155" s="117"/>
      <c r="BN155" s="36"/>
      <c r="BO155" s="36"/>
      <c r="BP155" s="36"/>
      <c r="BQ155" s="36"/>
      <c r="BR155" s="36"/>
      <c r="BS155" s="36"/>
      <c r="BT155" s="36"/>
      <c r="BU155" s="36"/>
    </row>
    <row r="156" spans="1:73" s="395" customFormat="1" ht="36" x14ac:dyDescent="0.2">
      <c r="A156" s="167"/>
      <c r="B156" s="129"/>
      <c r="C156" s="313"/>
      <c r="D156" s="314"/>
      <c r="E156" s="394" t="s">
        <v>765</v>
      </c>
      <c r="F156" s="346">
        <f t="shared" ref="F156" si="457">H156+W156+AF156+AQ156+AR156+AY156</f>
        <v>0</v>
      </c>
      <c r="G156" s="109">
        <f t="shared" ref="G156" si="458">I156+X156+AG156+AQ156+AS156+AZ156</f>
        <v>1008</v>
      </c>
      <c r="H156" s="110"/>
      <c r="I156" s="110">
        <f t="shared" ref="I156" si="459">J156+H156</f>
        <v>1008</v>
      </c>
      <c r="J156" s="110">
        <f t="shared" ref="J156" si="460">SUM(K156:V156)</f>
        <v>1008</v>
      </c>
      <c r="K156" s="110"/>
      <c r="L156" s="110"/>
      <c r="M156" s="110"/>
      <c r="N156" s="110"/>
      <c r="O156" s="110">
        <v>1008</v>
      </c>
      <c r="P156" s="110"/>
      <c r="Q156" s="110"/>
      <c r="R156" s="416"/>
      <c r="S156" s="435"/>
      <c r="T156" s="110"/>
      <c r="U156" s="110"/>
      <c r="V156" s="110"/>
      <c r="W156" s="110"/>
      <c r="X156" s="110">
        <f t="shared" ref="X156" si="461">Y156+W156</f>
        <v>0</v>
      </c>
      <c r="Y156" s="110">
        <f t="shared" ref="Y156" si="462">SUM(Z156:AE156)</f>
        <v>0</v>
      </c>
      <c r="Z156" s="110"/>
      <c r="AA156" s="110"/>
      <c r="AB156" s="110"/>
      <c r="AC156" s="110"/>
      <c r="AD156" s="110"/>
      <c r="AE156" s="110"/>
      <c r="AF156" s="110"/>
      <c r="AG156" s="135">
        <f t="shared" ref="AG156" si="463">AH156+AF156</f>
        <v>0</v>
      </c>
      <c r="AH156" s="135">
        <f t="shared" ref="AH156" si="464">SUM(AI156:AP156)</f>
        <v>0</v>
      </c>
      <c r="AI156" s="135"/>
      <c r="AJ156" s="135"/>
      <c r="AK156" s="135"/>
      <c r="AL156" s="454"/>
      <c r="AM156" s="135"/>
      <c r="AN156" s="135"/>
      <c r="AO156" s="135"/>
      <c r="AP156" s="135"/>
      <c r="AQ156" s="135"/>
      <c r="AR156" s="135"/>
      <c r="AS156" s="135">
        <f t="shared" ref="AS156" si="465">AT156+AR156</f>
        <v>0</v>
      </c>
      <c r="AT156" s="135">
        <f t="shared" ref="AT156" si="466">SUM(AU156:AX156)</f>
        <v>0</v>
      </c>
      <c r="AU156" s="135"/>
      <c r="AV156" s="135"/>
      <c r="AW156" s="454"/>
      <c r="AX156" s="135"/>
      <c r="AY156" s="135"/>
      <c r="AZ156" s="110">
        <f t="shared" ref="AZ156" si="467">BA156+AY156</f>
        <v>0</v>
      </c>
      <c r="BA156" s="110">
        <f t="shared" ref="BA156" si="468">SUM(BB156:BK156)</f>
        <v>0</v>
      </c>
      <c r="BB156" s="110"/>
      <c r="BC156" s="110"/>
      <c r="BD156" s="110"/>
      <c r="BE156" s="110"/>
      <c r="BF156" s="110"/>
      <c r="BG156" s="110"/>
      <c r="BH156" s="110"/>
      <c r="BI156" s="110"/>
      <c r="BJ156" s="110"/>
      <c r="BK156" s="332"/>
      <c r="BL156" s="111" t="s">
        <v>766</v>
      </c>
      <c r="BM156" s="117"/>
      <c r="BN156" s="36"/>
      <c r="BO156" s="36"/>
      <c r="BP156" s="36"/>
      <c r="BQ156" s="36"/>
      <c r="BR156" s="36"/>
      <c r="BS156" s="36"/>
      <c r="BT156" s="36"/>
      <c r="BU156" s="36"/>
    </row>
    <row r="157" spans="1:73" ht="24" x14ac:dyDescent="0.2">
      <c r="A157" s="165">
        <v>90000051487</v>
      </c>
      <c r="B157" s="129"/>
      <c r="C157" s="471" t="s">
        <v>153</v>
      </c>
      <c r="D157" s="472"/>
      <c r="E157" s="108" t="s">
        <v>259</v>
      </c>
      <c r="F157" s="346">
        <f t="shared" si="397"/>
        <v>883169</v>
      </c>
      <c r="G157" s="109">
        <f t="shared" si="398"/>
        <v>892521</v>
      </c>
      <c r="H157" s="110">
        <v>357281</v>
      </c>
      <c r="I157" s="110">
        <f t="shared" si="399"/>
        <v>357281</v>
      </c>
      <c r="J157" s="110">
        <f t="shared" si="400"/>
        <v>0</v>
      </c>
      <c r="K157" s="110"/>
      <c r="L157" s="110"/>
      <c r="M157" s="110"/>
      <c r="N157" s="110"/>
      <c r="O157" s="110"/>
      <c r="P157" s="110"/>
      <c r="Q157" s="110"/>
      <c r="R157" s="416"/>
      <c r="S157" s="435"/>
      <c r="T157" s="110"/>
      <c r="U157" s="110"/>
      <c r="V157" s="110"/>
      <c r="W157" s="110">
        <v>513489</v>
      </c>
      <c r="X157" s="110">
        <f t="shared" si="401"/>
        <v>519729</v>
      </c>
      <c r="Y157" s="110">
        <f t="shared" si="402"/>
        <v>6240</v>
      </c>
      <c r="Z157" s="110"/>
      <c r="AA157" s="110">
        <v>6240</v>
      </c>
      <c r="AB157" s="110"/>
      <c r="AC157" s="110"/>
      <c r="AD157" s="110"/>
      <c r="AE157" s="110"/>
      <c r="AF157" s="110">
        <v>12399</v>
      </c>
      <c r="AG157" s="135">
        <f t="shared" si="403"/>
        <v>15511</v>
      </c>
      <c r="AH157" s="135">
        <f t="shared" si="404"/>
        <v>3112</v>
      </c>
      <c r="AI157" s="135">
        <v>3112</v>
      </c>
      <c r="AJ157" s="135"/>
      <c r="AK157" s="135"/>
      <c r="AL157" s="454"/>
      <c r="AM157" s="135"/>
      <c r="AN157" s="135"/>
      <c r="AO157" s="135"/>
      <c r="AP157" s="135"/>
      <c r="AQ157" s="135"/>
      <c r="AR157" s="135">
        <v>0</v>
      </c>
      <c r="AS157" s="135">
        <f t="shared" si="405"/>
        <v>0</v>
      </c>
      <c r="AT157" s="135">
        <f t="shared" si="406"/>
        <v>0</v>
      </c>
      <c r="AU157" s="135"/>
      <c r="AV157" s="135"/>
      <c r="AW157" s="454"/>
      <c r="AX157" s="135"/>
      <c r="AY157" s="135"/>
      <c r="AZ157" s="110">
        <f t="shared" si="407"/>
        <v>0</v>
      </c>
      <c r="BA157" s="110">
        <f t="shared" si="408"/>
        <v>0</v>
      </c>
      <c r="BB157" s="110"/>
      <c r="BC157" s="110"/>
      <c r="BD157" s="110"/>
      <c r="BE157" s="110"/>
      <c r="BF157" s="110"/>
      <c r="BG157" s="110"/>
      <c r="BH157" s="110"/>
      <c r="BI157" s="110"/>
      <c r="BJ157" s="110"/>
      <c r="BK157" s="332"/>
      <c r="BL157" s="111" t="s">
        <v>483</v>
      </c>
      <c r="BM157" s="117"/>
      <c r="BN157" s="36"/>
      <c r="BO157" s="36"/>
      <c r="BP157" s="36"/>
      <c r="BQ157" s="36"/>
      <c r="BR157" s="36"/>
      <c r="BS157" s="36"/>
      <c r="BT157" s="36"/>
      <c r="BU157" s="36"/>
    </row>
    <row r="158" spans="1:73" s="153" customFormat="1" x14ac:dyDescent="0.2">
      <c r="A158" s="165"/>
      <c r="B158" s="129"/>
      <c r="C158" s="108"/>
      <c r="D158" s="307"/>
      <c r="E158" s="108" t="s">
        <v>286</v>
      </c>
      <c r="F158" s="346">
        <f t="shared" si="397"/>
        <v>92973</v>
      </c>
      <c r="G158" s="109">
        <f t="shared" si="398"/>
        <v>92973</v>
      </c>
      <c r="H158" s="110">
        <v>92973</v>
      </c>
      <c r="I158" s="110">
        <f t="shared" si="399"/>
        <v>92973</v>
      </c>
      <c r="J158" s="110">
        <f t="shared" si="400"/>
        <v>0</v>
      </c>
      <c r="K158" s="110"/>
      <c r="L158" s="110"/>
      <c r="M158" s="110"/>
      <c r="N158" s="110"/>
      <c r="O158" s="110"/>
      <c r="P158" s="110"/>
      <c r="Q158" s="110"/>
      <c r="R158" s="416"/>
      <c r="S158" s="435"/>
      <c r="T158" s="110"/>
      <c r="U158" s="110"/>
      <c r="V158" s="110"/>
      <c r="W158" s="110">
        <v>0</v>
      </c>
      <c r="X158" s="110">
        <f t="shared" si="401"/>
        <v>0</v>
      </c>
      <c r="Y158" s="110">
        <f t="shared" si="402"/>
        <v>0</v>
      </c>
      <c r="Z158" s="110"/>
      <c r="AA158" s="110"/>
      <c r="AB158" s="110"/>
      <c r="AC158" s="110"/>
      <c r="AD158" s="110"/>
      <c r="AE158" s="110"/>
      <c r="AF158" s="110">
        <v>0</v>
      </c>
      <c r="AG158" s="135">
        <f t="shared" si="403"/>
        <v>0</v>
      </c>
      <c r="AH158" s="135">
        <f t="shared" si="404"/>
        <v>0</v>
      </c>
      <c r="AI158" s="135"/>
      <c r="AJ158" s="135"/>
      <c r="AK158" s="135"/>
      <c r="AL158" s="454"/>
      <c r="AM158" s="135"/>
      <c r="AN158" s="135"/>
      <c r="AO158" s="135"/>
      <c r="AP158" s="135"/>
      <c r="AQ158" s="135"/>
      <c r="AR158" s="135">
        <v>0</v>
      </c>
      <c r="AS158" s="135">
        <f t="shared" si="405"/>
        <v>0</v>
      </c>
      <c r="AT158" s="135">
        <f t="shared" si="406"/>
        <v>0</v>
      </c>
      <c r="AU158" s="135"/>
      <c r="AV158" s="135"/>
      <c r="AW158" s="454"/>
      <c r="AX158" s="135"/>
      <c r="AY158" s="135"/>
      <c r="AZ158" s="110">
        <f t="shared" si="407"/>
        <v>0</v>
      </c>
      <c r="BA158" s="110">
        <f t="shared" si="408"/>
        <v>0</v>
      </c>
      <c r="BB158" s="110"/>
      <c r="BC158" s="110"/>
      <c r="BD158" s="110"/>
      <c r="BE158" s="110"/>
      <c r="BF158" s="110"/>
      <c r="BG158" s="110"/>
      <c r="BH158" s="110"/>
      <c r="BI158" s="110"/>
      <c r="BJ158" s="110"/>
      <c r="BK158" s="332"/>
      <c r="BL158" s="111" t="s">
        <v>484</v>
      </c>
      <c r="BM158" s="117"/>
      <c r="BN158" s="36"/>
      <c r="BO158" s="36"/>
      <c r="BP158" s="36"/>
      <c r="BQ158" s="36"/>
      <c r="BR158" s="36"/>
      <c r="BS158" s="36"/>
      <c r="BT158" s="36"/>
      <c r="BU158" s="36"/>
    </row>
    <row r="159" spans="1:73" s="164" customFormat="1" ht="36" x14ac:dyDescent="0.2">
      <c r="A159" s="165"/>
      <c r="B159" s="129"/>
      <c r="C159" s="108"/>
      <c r="D159" s="307"/>
      <c r="E159" s="108" t="s">
        <v>296</v>
      </c>
      <c r="F159" s="346">
        <f t="shared" si="397"/>
        <v>1423</v>
      </c>
      <c r="G159" s="109">
        <f t="shared" si="398"/>
        <v>5545</v>
      </c>
      <c r="H159" s="110">
        <v>0</v>
      </c>
      <c r="I159" s="110">
        <f t="shared" si="399"/>
        <v>0</v>
      </c>
      <c r="J159" s="110">
        <f t="shared" si="400"/>
        <v>0</v>
      </c>
      <c r="K159" s="110"/>
      <c r="L159" s="110"/>
      <c r="M159" s="110"/>
      <c r="N159" s="110"/>
      <c r="O159" s="110"/>
      <c r="P159" s="110"/>
      <c r="Q159" s="110"/>
      <c r="R159" s="416"/>
      <c r="S159" s="435"/>
      <c r="T159" s="110"/>
      <c r="U159" s="110"/>
      <c r="V159" s="110"/>
      <c r="W159" s="110">
        <v>1423</v>
      </c>
      <c r="X159" s="110">
        <f t="shared" si="401"/>
        <v>5545</v>
      </c>
      <c r="Y159" s="110">
        <f t="shared" si="402"/>
        <v>4122</v>
      </c>
      <c r="Z159" s="110">
        <v>81</v>
      </c>
      <c r="AA159" s="110"/>
      <c r="AB159" s="110">
        <v>4041</v>
      </c>
      <c r="AC159" s="110"/>
      <c r="AD159" s="110"/>
      <c r="AE159" s="110"/>
      <c r="AF159" s="110">
        <v>0</v>
      </c>
      <c r="AG159" s="135">
        <f t="shared" si="403"/>
        <v>0</v>
      </c>
      <c r="AH159" s="135">
        <f t="shared" si="404"/>
        <v>0</v>
      </c>
      <c r="AI159" s="135"/>
      <c r="AJ159" s="135"/>
      <c r="AK159" s="135"/>
      <c r="AL159" s="454"/>
      <c r="AM159" s="135"/>
      <c r="AN159" s="135"/>
      <c r="AO159" s="135"/>
      <c r="AP159" s="135"/>
      <c r="AQ159" s="135"/>
      <c r="AR159" s="135">
        <v>0</v>
      </c>
      <c r="AS159" s="135">
        <f t="shared" si="405"/>
        <v>0</v>
      </c>
      <c r="AT159" s="135">
        <f t="shared" si="406"/>
        <v>0</v>
      </c>
      <c r="AU159" s="135"/>
      <c r="AV159" s="135"/>
      <c r="AW159" s="454"/>
      <c r="AX159" s="135"/>
      <c r="AY159" s="135"/>
      <c r="AZ159" s="110">
        <f t="shared" si="407"/>
        <v>0</v>
      </c>
      <c r="BA159" s="110">
        <f t="shared" si="408"/>
        <v>0</v>
      </c>
      <c r="BB159" s="110"/>
      <c r="BC159" s="110"/>
      <c r="BD159" s="110"/>
      <c r="BE159" s="110"/>
      <c r="BF159" s="110"/>
      <c r="BG159" s="110"/>
      <c r="BH159" s="110"/>
      <c r="BI159" s="110"/>
      <c r="BJ159" s="110"/>
      <c r="BK159" s="332"/>
      <c r="BL159" s="111" t="s">
        <v>485</v>
      </c>
      <c r="BM159" s="117"/>
      <c r="BN159" s="36"/>
      <c r="BO159" s="36"/>
      <c r="BP159" s="36"/>
      <c r="BQ159" s="36"/>
      <c r="BR159" s="36"/>
      <c r="BS159" s="36"/>
      <c r="BT159" s="36"/>
      <c r="BU159" s="36"/>
    </row>
    <row r="160" spans="1:73" s="168" customFormat="1" ht="36" x14ac:dyDescent="0.2">
      <c r="A160" s="165"/>
      <c r="B160" s="129"/>
      <c r="C160" s="108"/>
      <c r="D160" s="307"/>
      <c r="E160" s="108" t="s">
        <v>298</v>
      </c>
      <c r="F160" s="346">
        <f t="shared" si="397"/>
        <v>57774</v>
      </c>
      <c r="G160" s="109">
        <f t="shared" si="398"/>
        <v>59700</v>
      </c>
      <c r="H160" s="110">
        <v>57774</v>
      </c>
      <c r="I160" s="110">
        <f t="shared" si="399"/>
        <v>59700</v>
      </c>
      <c r="J160" s="110">
        <f t="shared" si="400"/>
        <v>1926</v>
      </c>
      <c r="K160" s="110"/>
      <c r="L160" s="110">
        <v>1926</v>
      </c>
      <c r="M160" s="110"/>
      <c r="N160" s="110"/>
      <c r="O160" s="110"/>
      <c r="P160" s="110"/>
      <c r="Q160" s="110"/>
      <c r="R160" s="416"/>
      <c r="S160" s="435"/>
      <c r="T160" s="110"/>
      <c r="U160" s="110"/>
      <c r="V160" s="110"/>
      <c r="W160" s="110">
        <v>0</v>
      </c>
      <c r="X160" s="110">
        <f t="shared" si="401"/>
        <v>0</v>
      </c>
      <c r="Y160" s="110">
        <f t="shared" si="402"/>
        <v>0</v>
      </c>
      <c r="Z160" s="110"/>
      <c r="AA160" s="110"/>
      <c r="AB160" s="110"/>
      <c r="AC160" s="110"/>
      <c r="AD160" s="110"/>
      <c r="AE160" s="110"/>
      <c r="AF160" s="110">
        <v>0</v>
      </c>
      <c r="AG160" s="135">
        <f t="shared" si="403"/>
        <v>0</v>
      </c>
      <c r="AH160" s="135">
        <f t="shared" si="404"/>
        <v>0</v>
      </c>
      <c r="AI160" s="135"/>
      <c r="AJ160" s="135"/>
      <c r="AK160" s="135"/>
      <c r="AL160" s="454"/>
      <c r="AM160" s="135"/>
      <c r="AN160" s="135"/>
      <c r="AO160" s="135"/>
      <c r="AP160" s="135"/>
      <c r="AQ160" s="135"/>
      <c r="AR160" s="135">
        <v>0</v>
      </c>
      <c r="AS160" s="135">
        <f t="shared" si="405"/>
        <v>0</v>
      </c>
      <c r="AT160" s="135">
        <f t="shared" si="406"/>
        <v>0</v>
      </c>
      <c r="AU160" s="135"/>
      <c r="AV160" s="135"/>
      <c r="AW160" s="454"/>
      <c r="AX160" s="135"/>
      <c r="AY160" s="135"/>
      <c r="AZ160" s="110">
        <f t="shared" si="407"/>
        <v>0</v>
      </c>
      <c r="BA160" s="110">
        <f t="shared" si="408"/>
        <v>0</v>
      </c>
      <c r="BB160" s="110"/>
      <c r="BC160" s="110"/>
      <c r="BD160" s="110"/>
      <c r="BE160" s="110"/>
      <c r="BF160" s="110"/>
      <c r="BG160" s="110"/>
      <c r="BH160" s="110"/>
      <c r="BI160" s="110"/>
      <c r="BJ160" s="110"/>
      <c r="BK160" s="332"/>
      <c r="BL160" s="111" t="s">
        <v>486</v>
      </c>
      <c r="BM160" s="117"/>
      <c r="BN160" s="36"/>
      <c r="BO160" s="36"/>
      <c r="BP160" s="36"/>
      <c r="BQ160" s="36"/>
      <c r="BR160" s="36"/>
      <c r="BS160" s="36"/>
      <c r="BT160" s="36"/>
      <c r="BU160" s="36"/>
    </row>
    <row r="161" spans="1:73" s="389" customFormat="1" ht="36" x14ac:dyDescent="0.2">
      <c r="A161" s="165"/>
      <c r="B161" s="129"/>
      <c r="C161" s="387"/>
      <c r="D161" s="388"/>
      <c r="E161" s="387" t="s">
        <v>756</v>
      </c>
      <c r="F161" s="346">
        <f t="shared" ref="F161" si="469">H161+W161+AF161+AQ161+AR161+AY161</f>
        <v>0</v>
      </c>
      <c r="G161" s="109">
        <f t="shared" ref="G161" si="470">I161+X161+AG161+AQ161+AS161+AZ161</f>
        <v>2215</v>
      </c>
      <c r="H161" s="110"/>
      <c r="I161" s="110">
        <f t="shared" ref="I161" si="471">J161+H161</f>
        <v>2215</v>
      </c>
      <c r="J161" s="110">
        <f t="shared" ref="J161" si="472">SUM(K161:V161)</f>
        <v>2215</v>
      </c>
      <c r="K161" s="110"/>
      <c r="L161" s="110"/>
      <c r="M161" s="110"/>
      <c r="N161" s="110">
        <v>2215</v>
      </c>
      <c r="O161" s="110"/>
      <c r="P161" s="110"/>
      <c r="Q161" s="110"/>
      <c r="R161" s="416"/>
      <c r="S161" s="435"/>
      <c r="T161" s="110"/>
      <c r="U161" s="110"/>
      <c r="V161" s="110"/>
      <c r="W161" s="110"/>
      <c r="X161" s="110">
        <f t="shared" ref="X161" si="473">Y161+W161</f>
        <v>0</v>
      </c>
      <c r="Y161" s="110">
        <f t="shared" ref="Y161" si="474">SUM(Z161:AE161)</f>
        <v>0</v>
      </c>
      <c r="Z161" s="110"/>
      <c r="AA161" s="110"/>
      <c r="AB161" s="110"/>
      <c r="AC161" s="110"/>
      <c r="AD161" s="110"/>
      <c r="AE161" s="110"/>
      <c r="AF161" s="110"/>
      <c r="AG161" s="135">
        <f t="shared" ref="AG161" si="475">AH161+AF161</f>
        <v>0</v>
      </c>
      <c r="AH161" s="135">
        <f t="shared" ref="AH161" si="476">SUM(AI161:AP161)</f>
        <v>0</v>
      </c>
      <c r="AI161" s="135"/>
      <c r="AJ161" s="135"/>
      <c r="AK161" s="135"/>
      <c r="AL161" s="454"/>
      <c r="AM161" s="135"/>
      <c r="AN161" s="135"/>
      <c r="AO161" s="135"/>
      <c r="AP161" s="135"/>
      <c r="AQ161" s="135"/>
      <c r="AR161" s="135"/>
      <c r="AS161" s="135">
        <f t="shared" ref="AS161" si="477">AT161+AR161</f>
        <v>0</v>
      </c>
      <c r="AT161" s="135">
        <f t="shared" ref="AT161" si="478">SUM(AU161:AX161)</f>
        <v>0</v>
      </c>
      <c r="AU161" s="135"/>
      <c r="AV161" s="135"/>
      <c r="AW161" s="454"/>
      <c r="AX161" s="135"/>
      <c r="AY161" s="135"/>
      <c r="AZ161" s="110">
        <f t="shared" ref="AZ161" si="479">BA161+AY161</f>
        <v>0</v>
      </c>
      <c r="BA161" s="110">
        <f t="shared" ref="BA161" si="480">SUM(BB161:BK161)</f>
        <v>0</v>
      </c>
      <c r="BB161" s="110"/>
      <c r="BC161" s="110"/>
      <c r="BD161" s="110"/>
      <c r="BE161" s="110"/>
      <c r="BF161" s="110"/>
      <c r="BG161" s="110"/>
      <c r="BH161" s="110"/>
      <c r="BI161" s="110"/>
      <c r="BJ161" s="110"/>
      <c r="BK161" s="332"/>
      <c r="BL161" s="111" t="s">
        <v>758</v>
      </c>
      <c r="BM161" s="117"/>
      <c r="BN161" s="36"/>
      <c r="BO161" s="36"/>
      <c r="BP161" s="36"/>
      <c r="BQ161" s="36"/>
      <c r="BR161" s="36"/>
      <c r="BS161" s="36"/>
      <c r="BT161" s="36"/>
      <c r="BU161" s="36"/>
    </row>
    <row r="162" spans="1:73" ht="28.5" customHeight="1" x14ac:dyDescent="0.2">
      <c r="A162" s="165">
        <v>90000051519</v>
      </c>
      <c r="B162" s="129"/>
      <c r="C162" s="471" t="s">
        <v>222</v>
      </c>
      <c r="D162" s="472"/>
      <c r="E162" s="108" t="s">
        <v>259</v>
      </c>
      <c r="F162" s="346">
        <f t="shared" si="397"/>
        <v>1457186</v>
      </c>
      <c r="G162" s="109">
        <f t="shared" si="398"/>
        <v>1467130</v>
      </c>
      <c r="H162" s="110">
        <v>640990</v>
      </c>
      <c r="I162" s="110">
        <f t="shared" si="399"/>
        <v>640990</v>
      </c>
      <c r="J162" s="110">
        <f t="shared" si="400"/>
        <v>0</v>
      </c>
      <c r="K162" s="110"/>
      <c r="L162" s="110"/>
      <c r="M162" s="110"/>
      <c r="N162" s="110"/>
      <c r="O162" s="110"/>
      <c r="P162" s="110"/>
      <c r="Q162" s="110"/>
      <c r="R162" s="416"/>
      <c r="S162" s="435"/>
      <c r="T162" s="110"/>
      <c r="U162" s="110"/>
      <c r="V162" s="110"/>
      <c r="W162" s="110">
        <v>794545</v>
      </c>
      <c r="X162" s="110">
        <f t="shared" si="401"/>
        <v>808179</v>
      </c>
      <c r="Y162" s="110">
        <f t="shared" si="402"/>
        <v>13634</v>
      </c>
      <c r="Z162" s="110"/>
      <c r="AA162" s="110">
        <v>13634</v>
      </c>
      <c r="AB162" s="110"/>
      <c r="AC162" s="110"/>
      <c r="AD162" s="110"/>
      <c r="AE162" s="110"/>
      <c r="AF162" s="110">
        <v>21651</v>
      </c>
      <c r="AG162" s="135">
        <f t="shared" si="403"/>
        <v>17990</v>
      </c>
      <c r="AH162" s="135">
        <f t="shared" si="404"/>
        <v>-3661</v>
      </c>
      <c r="AI162" s="135">
        <f>-3690+29</f>
        <v>-3661</v>
      </c>
      <c r="AJ162" s="135"/>
      <c r="AK162" s="135"/>
      <c r="AL162" s="454"/>
      <c r="AM162" s="135"/>
      <c r="AN162" s="135"/>
      <c r="AO162" s="135"/>
      <c r="AP162" s="135"/>
      <c r="AQ162" s="135"/>
      <c r="AR162" s="110">
        <v>0</v>
      </c>
      <c r="AS162" s="135">
        <f t="shared" si="405"/>
        <v>0</v>
      </c>
      <c r="AT162" s="135">
        <f t="shared" si="406"/>
        <v>0</v>
      </c>
      <c r="AU162" s="135"/>
      <c r="AV162" s="135"/>
      <c r="AW162" s="454"/>
      <c r="AX162" s="135"/>
      <c r="AY162" s="135"/>
      <c r="AZ162" s="110">
        <f t="shared" si="407"/>
        <v>-29</v>
      </c>
      <c r="BA162" s="110">
        <f t="shared" si="408"/>
        <v>-29</v>
      </c>
      <c r="BB162" s="110"/>
      <c r="BC162" s="110">
        <v>-29</v>
      </c>
      <c r="BD162" s="110"/>
      <c r="BE162" s="110"/>
      <c r="BF162" s="110"/>
      <c r="BG162" s="110"/>
      <c r="BH162" s="110"/>
      <c r="BI162" s="110"/>
      <c r="BJ162" s="110"/>
      <c r="BK162" s="332"/>
      <c r="BL162" s="111" t="s">
        <v>487</v>
      </c>
      <c r="BM162" s="117"/>
      <c r="BN162" s="36"/>
      <c r="BO162" s="36"/>
      <c r="BP162" s="36"/>
      <c r="BQ162" s="36"/>
      <c r="BR162" s="36"/>
      <c r="BS162" s="36"/>
      <c r="BT162" s="36"/>
      <c r="BU162" s="36"/>
    </row>
    <row r="163" spans="1:73" x14ac:dyDescent="0.2">
      <c r="A163" s="165"/>
      <c r="B163" s="129"/>
      <c r="C163" s="108"/>
      <c r="D163" s="307"/>
      <c r="E163" s="108" t="s">
        <v>286</v>
      </c>
      <c r="F163" s="346">
        <f t="shared" si="397"/>
        <v>197723</v>
      </c>
      <c r="G163" s="109">
        <f t="shared" si="398"/>
        <v>198175</v>
      </c>
      <c r="H163" s="110">
        <v>124479</v>
      </c>
      <c r="I163" s="110">
        <f t="shared" si="399"/>
        <v>124479</v>
      </c>
      <c r="J163" s="110">
        <f t="shared" si="400"/>
        <v>0</v>
      </c>
      <c r="K163" s="110"/>
      <c r="L163" s="110"/>
      <c r="M163" s="110"/>
      <c r="N163" s="110"/>
      <c r="O163" s="110"/>
      <c r="P163" s="110"/>
      <c r="Q163" s="110"/>
      <c r="R163" s="416"/>
      <c r="S163" s="435"/>
      <c r="T163" s="110"/>
      <c r="U163" s="110"/>
      <c r="V163" s="110"/>
      <c r="W163" s="110">
        <v>73244</v>
      </c>
      <c r="X163" s="110">
        <f t="shared" si="401"/>
        <v>73696</v>
      </c>
      <c r="Y163" s="110">
        <f t="shared" si="402"/>
        <v>452</v>
      </c>
      <c r="Z163" s="110"/>
      <c r="AA163" s="110">
        <v>452</v>
      </c>
      <c r="AB163" s="110"/>
      <c r="AC163" s="110"/>
      <c r="AD163" s="110"/>
      <c r="AE163" s="110"/>
      <c r="AF163" s="110">
        <v>0</v>
      </c>
      <c r="AG163" s="135">
        <f t="shared" si="403"/>
        <v>0</v>
      </c>
      <c r="AH163" s="135">
        <f t="shared" si="404"/>
        <v>0</v>
      </c>
      <c r="AI163" s="135"/>
      <c r="AJ163" s="135"/>
      <c r="AK163" s="135"/>
      <c r="AL163" s="454"/>
      <c r="AM163" s="135"/>
      <c r="AN163" s="135"/>
      <c r="AO163" s="135"/>
      <c r="AP163" s="135"/>
      <c r="AQ163" s="135"/>
      <c r="AR163" s="110">
        <v>0</v>
      </c>
      <c r="AS163" s="135">
        <f t="shared" si="405"/>
        <v>0</v>
      </c>
      <c r="AT163" s="135">
        <f t="shared" si="406"/>
        <v>0</v>
      </c>
      <c r="AU163" s="135"/>
      <c r="AV163" s="135"/>
      <c r="AW163" s="454"/>
      <c r="AX163" s="135"/>
      <c r="AY163" s="135"/>
      <c r="AZ163" s="110">
        <f t="shared" si="407"/>
        <v>0</v>
      </c>
      <c r="BA163" s="110">
        <f t="shared" si="408"/>
        <v>0</v>
      </c>
      <c r="BB163" s="110"/>
      <c r="BC163" s="110"/>
      <c r="BD163" s="110"/>
      <c r="BE163" s="110"/>
      <c r="BF163" s="110"/>
      <c r="BG163" s="110"/>
      <c r="BH163" s="110"/>
      <c r="BI163" s="110"/>
      <c r="BJ163" s="110"/>
      <c r="BK163" s="332"/>
      <c r="BL163" s="111" t="s">
        <v>488</v>
      </c>
      <c r="BM163" s="117"/>
      <c r="BN163" s="36"/>
      <c r="BO163" s="36"/>
      <c r="BP163" s="36"/>
      <c r="BQ163" s="36"/>
      <c r="BR163" s="36"/>
      <c r="BS163" s="36"/>
      <c r="BT163" s="36"/>
      <c r="BU163" s="36"/>
    </row>
    <row r="164" spans="1:73" s="259" customFormat="1" ht="24" x14ac:dyDescent="0.2">
      <c r="A164" s="165"/>
      <c r="B164" s="129"/>
      <c r="C164" s="108"/>
      <c r="D164" s="307"/>
      <c r="E164" s="108" t="s">
        <v>674</v>
      </c>
      <c r="F164" s="346">
        <f t="shared" si="397"/>
        <v>0</v>
      </c>
      <c r="G164" s="109">
        <f t="shared" si="398"/>
        <v>80</v>
      </c>
      <c r="H164" s="110">
        <v>0</v>
      </c>
      <c r="I164" s="110">
        <f t="shared" si="399"/>
        <v>80</v>
      </c>
      <c r="J164" s="110">
        <f t="shared" si="400"/>
        <v>80</v>
      </c>
      <c r="K164" s="110"/>
      <c r="L164" s="110"/>
      <c r="M164" s="110"/>
      <c r="N164" s="110"/>
      <c r="O164" s="110"/>
      <c r="P164" s="110"/>
      <c r="Q164" s="110">
        <v>80</v>
      </c>
      <c r="R164" s="416"/>
      <c r="S164" s="435"/>
      <c r="T164" s="110"/>
      <c r="U164" s="110"/>
      <c r="V164" s="110"/>
      <c r="W164" s="110">
        <v>0</v>
      </c>
      <c r="X164" s="110">
        <f t="shared" si="401"/>
        <v>0</v>
      </c>
      <c r="Y164" s="110">
        <f t="shared" si="402"/>
        <v>0</v>
      </c>
      <c r="Z164" s="110"/>
      <c r="AA164" s="110"/>
      <c r="AB164" s="110"/>
      <c r="AC164" s="110"/>
      <c r="AD164" s="110"/>
      <c r="AE164" s="110"/>
      <c r="AF164" s="110">
        <v>0</v>
      </c>
      <c r="AG164" s="135">
        <f t="shared" si="403"/>
        <v>0</v>
      </c>
      <c r="AH164" s="135">
        <f t="shared" si="404"/>
        <v>0</v>
      </c>
      <c r="AI164" s="135"/>
      <c r="AJ164" s="135"/>
      <c r="AK164" s="135"/>
      <c r="AL164" s="454"/>
      <c r="AM164" s="135"/>
      <c r="AN164" s="135"/>
      <c r="AO164" s="135"/>
      <c r="AP164" s="135"/>
      <c r="AQ164" s="135"/>
      <c r="AR164" s="135">
        <v>0</v>
      </c>
      <c r="AS164" s="135">
        <f t="shared" si="405"/>
        <v>0</v>
      </c>
      <c r="AT164" s="135">
        <f t="shared" si="406"/>
        <v>0</v>
      </c>
      <c r="AU164" s="135"/>
      <c r="AV164" s="135"/>
      <c r="AW164" s="454"/>
      <c r="AX164" s="135"/>
      <c r="AY164" s="135"/>
      <c r="AZ164" s="110">
        <f t="shared" si="407"/>
        <v>0</v>
      </c>
      <c r="BA164" s="110">
        <f t="shared" si="408"/>
        <v>0</v>
      </c>
      <c r="BB164" s="110"/>
      <c r="BC164" s="110"/>
      <c r="BD164" s="110"/>
      <c r="BE164" s="110"/>
      <c r="BF164" s="110"/>
      <c r="BG164" s="110"/>
      <c r="BH164" s="110"/>
      <c r="BI164" s="110"/>
      <c r="BJ164" s="110"/>
      <c r="BK164" s="332"/>
      <c r="BL164" s="111" t="s">
        <v>663</v>
      </c>
      <c r="BM164" s="117"/>
      <c r="BN164" s="36"/>
      <c r="BO164" s="36"/>
      <c r="BP164" s="36"/>
      <c r="BQ164" s="36"/>
      <c r="BR164" s="36"/>
      <c r="BS164" s="36"/>
      <c r="BT164" s="36"/>
      <c r="BU164" s="36"/>
    </row>
    <row r="165" spans="1:73" ht="29.25" customHeight="1" x14ac:dyDescent="0.2">
      <c r="A165" s="165">
        <v>90009251338</v>
      </c>
      <c r="B165" s="129"/>
      <c r="C165" s="471" t="s">
        <v>609</v>
      </c>
      <c r="D165" s="472"/>
      <c r="E165" s="108" t="s">
        <v>259</v>
      </c>
      <c r="F165" s="346">
        <f t="shared" si="397"/>
        <v>394743</v>
      </c>
      <c r="G165" s="109">
        <f t="shared" si="398"/>
        <v>397045</v>
      </c>
      <c r="H165" s="110">
        <v>261150</v>
      </c>
      <c r="I165" s="110">
        <f t="shared" si="399"/>
        <v>261150</v>
      </c>
      <c r="J165" s="110">
        <f t="shared" si="400"/>
        <v>0</v>
      </c>
      <c r="K165" s="110"/>
      <c r="L165" s="110"/>
      <c r="M165" s="110"/>
      <c r="N165" s="110"/>
      <c r="O165" s="110"/>
      <c r="P165" s="110"/>
      <c r="Q165" s="110"/>
      <c r="R165" s="416"/>
      <c r="S165" s="435"/>
      <c r="T165" s="110"/>
      <c r="U165" s="110"/>
      <c r="V165" s="110"/>
      <c r="W165" s="110">
        <v>131593</v>
      </c>
      <c r="X165" s="110">
        <f t="shared" si="401"/>
        <v>133862</v>
      </c>
      <c r="Y165" s="110">
        <f t="shared" si="402"/>
        <v>2269</v>
      </c>
      <c r="Z165" s="110"/>
      <c r="AA165" s="110">
        <v>2269</v>
      </c>
      <c r="AB165" s="110"/>
      <c r="AC165" s="110"/>
      <c r="AD165" s="110"/>
      <c r="AE165" s="110"/>
      <c r="AF165" s="110">
        <v>2000</v>
      </c>
      <c r="AG165" s="135">
        <f t="shared" si="403"/>
        <v>2033</v>
      </c>
      <c r="AH165" s="135">
        <f t="shared" si="404"/>
        <v>33</v>
      </c>
      <c r="AI165" s="135">
        <v>33</v>
      </c>
      <c r="AJ165" s="135"/>
      <c r="AK165" s="135"/>
      <c r="AL165" s="454"/>
      <c r="AM165" s="135"/>
      <c r="AN165" s="135"/>
      <c r="AO165" s="135"/>
      <c r="AP165" s="135"/>
      <c r="AQ165" s="135"/>
      <c r="AR165" s="135">
        <v>0</v>
      </c>
      <c r="AS165" s="135">
        <f t="shared" si="405"/>
        <v>0</v>
      </c>
      <c r="AT165" s="135">
        <f t="shared" si="406"/>
        <v>0</v>
      </c>
      <c r="AU165" s="135"/>
      <c r="AV165" s="135"/>
      <c r="AW165" s="454"/>
      <c r="AX165" s="135"/>
      <c r="AY165" s="135"/>
      <c r="AZ165" s="110">
        <f t="shared" si="407"/>
        <v>0</v>
      </c>
      <c r="BA165" s="110">
        <f t="shared" si="408"/>
        <v>0</v>
      </c>
      <c r="BB165" s="110"/>
      <c r="BC165" s="110"/>
      <c r="BD165" s="110"/>
      <c r="BE165" s="110"/>
      <c r="BF165" s="110"/>
      <c r="BG165" s="110"/>
      <c r="BH165" s="110"/>
      <c r="BI165" s="110"/>
      <c r="BJ165" s="110"/>
      <c r="BK165" s="332"/>
      <c r="BL165" s="111" t="s">
        <v>489</v>
      </c>
      <c r="BM165" s="117"/>
      <c r="BN165" s="36"/>
      <c r="BO165" s="36"/>
      <c r="BP165" s="36"/>
      <c r="BQ165" s="36"/>
      <c r="BR165" s="36"/>
      <c r="BS165" s="36"/>
      <c r="BT165" s="36"/>
      <c r="BU165" s="36"/>
    </row>
    <row r="166" spans="1:73" x14ac:dyDescent="0.2">
      <c r="A166" s="165"/>
      <c r="B166" s="129"/>
      <c r="C166" s="108"/>
      <c r="D166" s="307"/>
      <c r="E166" s="108" t="s">
        <v>286</v>
      </c>
      <c r="F166" s="346">
        <f t="shared" si="397"/>
        <v>35336</v>
      </c>
      <c r="G166" s="109">
        <f t="shared" si="398"/>
        <v>35336</v>
      </c>
      <c r="H166" s="110">
        <v>20528</v>
      </c>
      <c r="I166" s="110">
        <f t="shared" si="399"/>
        <v>20528</v>
      </c>
      <c r="J166" s="110">
        <f t="shared" si="400"/>
        <v>0</v>
      </c>
      <c r="K166" s="110"/>
      <c r="L166" s="110"/>
      <c r="M166" s="110"/>
      <c r="N166" s="110"/>
      <c r="O166" s="110"/>
      <c r="P166" s="110"/>
      <c r="Q166" s="110"/>
      <c r="R166" s="416"/>
      <c r="S166" s="435"/>
      <c r="T166" s="110"/>
      <c r="U166" s="110"/>
      <c r="V166" s="110"/>
      <c r="W166" s="110">
        <v>14808</v>
      </c>
      <c r="X166" s="110">
        <f t="shared" si="401"/>
        <v>14808</v>
      </c>
      <c r="Y166" s="110">
        <f t="shared" si="402"/>
        <v>0</v>
      </c>
      <c r="Z166" s="110"/>
      <c r="AA166" s="110"/>
      <c r="AB166" s="110"/>
      <c r="AC166" s="110"/>
      <c r="AD166" s="110"/>
      <c r="AE166" s="110"/>
      <c r="AF166" s="110">
        <v>0</v>
      </c>
      <c r="AG166" s="135">
        <f t="shared" si="403"/>
        <v>0</v>
      </c>
      <c r="AH166" s="135">
        <f t="shared" si="404"/>
        <v>0</v>
      </c>
      <c r="AI166" s="135"/>
      <c r="AJ166" s="135"/>
      <c r="AK166" s="135"/>
      <c r="AL166" s="454"/>
      <c r="AM166" s="135"/>
      <c r="AN166" s="135"/>
      <c r="AO166" s="135"/>
      <c r="AP166" s="135"/>
      <c r="AQ166" s="135"/>
      <c r="AR166" s="135">
        <v>0</v>
      </c>
      <c r="AS166" s="135">
        <f t="shared" si="405"/>
        <v>0</v>
      </c>
      <c r="AT166" s="135">
        <f t="shared" si="406"/>
        <v>0</v>
      </c>
      <c r="AU166" s="135"/>
      <c r="AV166" s="135"/>
      <c r="AW166" s="454"/>
      <c r="AX166" s="135"/>
      <c r="AY166" s="135"/>
      <c r="AZ166" s="110">
        <f t="shared" si="407"/>
        <v>0</v>
      </c>
      <c r="BA166" s="110">
        <f t="shared" si="408"/>
        <v>0</v>
      </c>
      <c r="BB166" s="110"/>
      <c r="BC166" s="110"/>
      <c r="BD166" s="110"/>
      <c r="BE166" s="110"/>
      <c r="BF166" s="110"/>
      <c r="BG166" s="110"/>
      <c r="BH166" s="110"/>
      <c r="BI166" s="110"/>
      <c r="BJ166" s="110"/>
      <c r="BK166" s="332"/>
      <c r="BL166" s="111" t="s">
        <v>490</v>
      </c>
      <c r="BM166" s="117"/>
      <c r="BN166" s="36"/>
      <c r="BO166" s="36"/>
      <c r="BP166" s="36"/>
      <c r="BQ166" s="36"/>
      <c r="BR166" s="36"/>
      <c r="BS166" s="36"/>
      <c r="BT166" s="36"/>
      <c r="BU166" s="36"/>
    </row>
    <row r="167" spans="1:73" ht="24" x14ac:dyDescent="0.2">
      <c r="A167" s="165">
        <v>90000051576</v>
      </c>
      <c r="B167" s="129"/>
      <c r="C167" s="471" t="s">
        <v>608</v>
      </c>
      <c r="D167" s="472"/>
      <c r="E167" s="108" t="s">
        <v>259</v>
      </c>
      <c r="F167" s="346">
        <f t="shared" si="397"/>
        <v>584379</v>
      </c>
      <c r="G167" s="109">
        <f t="shared" si="398"/>
        <v>575063</v>
      </c>
      <c r="H167" s="110">
        <v>422729</v>
      </c>
      <c r="I167" s="110">
        <f t="shared" si="399"/>
        <v>406110</v>
      </c>
      <c r="J167" s="110">
        <f t="shared" si="400"/>
        <v>-16619</v>
      </c>
      <c r="K167" s="110"/>
      <c r="L167" s="110"/>
      <c r="M167" s="110"/>
      <c r="N167" s="110"/>
      <c r="O167" s="110"/>
      <c r="P167" s="110"/>
      <c r="Q167" s="110"/>
      <c r="R167" s="416"/>
      <c r="S167" s="435">
        <v>-16619</v>
      </c>
      <c r="T167" s="110"/>
      <c r="U167" s="110"/>
      <c r="V167" s="110"/>
      <c r="W167" s="110">
        <v>159238</v>
      </c>
      <c r="X167" s="110">
        <f t="shared" si="401"/>
        <v>162320</v>
      </c>
      <c r="Y167" s="110">
        <f t="shared" si="402"/>
        <v>3082</v>
      </c>
      <c r="Z167" s="110"/>
      <c r="AA167" s="110">
        <v>3082</v>
      </c>
      <c r="AB167" s="110"/>
      <c r="AC167" s="110"/>
      <c r="AD167" s="110"/>
      <c r="AE167" s="110"/>
      <c r="AF167" s="110">
        <v>2412</v>
      </c>
      <c r="AG167" s="135">
        <f t="shared" si="403"/>
        <v>6633</v>
      </c>
      <c r="AH167" s="135">
        <f t="shared" si="404"/>
        <v>4221</v>
      </c>
      <c r="AI167" s="135">
        <v>1387</v>
      </c>
      <c r="AJ167" s="135"/>
      <c r="AK167" s="135">
        <v>2834</v>
      </c>
      <c r="AL167" s="454"/>
      <c r="AM167" s="135"/>
      <c r="AN167" s="135"/>
      <c r="AO167" s="135"/>
      <c r="AP167" s="135"/>
      <c r="AQ167" s="135"/>
      <c r="AR167" s="135">
        <v>0</v>
      </c>
      <c r="AS167" s="135">
        <f t="shared" si="405"/>
        <v>0</v>
      </c>
      <c r="AT167" s="135">
        <f t="shared" si="406"/>
        <v>0</v>
      </c>
      <c r="AU167" s="135"/>
      <c r="AV167" s="135"/>
      <c r="AW167" s="454"/>
      <c r="AX167" s="135"/>
      <c r="AY167" s="135"/>
      <c r="AZ167" s="110">
        <f t="shared" si="407"/>
        <v>0</v>
      </c>
      <c r="BA167" s="110">
        <f t="shared" si="408"/>
        <v>0</v>
      </c>
      <c r="BB167" s="110"/>
      <c r="BC167" s="110"/>
      <c r="BD167" s="110"/>
      <c r="BE167" s="110"/>
      <c r="BF167" s="110"/>
      <c r="BG167" s="110"/>
      <c r="BH167" s="110"/>
      <c r="BI167" s="110"/>
      <c r="BJ167" s="110"/>
      <c r="BK167" s="332"/>
      <c r="BL167" s="111" t="s">
        <v>491</v>
      </c>
      <c r="BM167" s="117"/>
      <c r="BN167" s="36"/>
      <c r="BO167" s="36"/>
      <c r="BP167" s="36"/>
      <c r="BQ167" s="36"/>
      <c r="BR167" s="36"/>
      <c r="BS167" s="36"/>
      <c r="BT167" s="36"/>
      <c r="BU167" s="36"/>
    </row>
    <row r="168" spans="1:73" x14ac:dyDescent="0.2">
      <c r="A168" s="165"/>
      <c r="B168" s="129"/>
      <c r="C168" s="108"/>
      <c r="D168" s="307"/>
      <c r="E168" s="108" t="s">
        <v>286</v>
      </c>
      <c r="F168" s="346">
        <f t="shared" si="397"/>
        <v>48859</v>
      </c>
      <c r="G168" s="109">
        <f t="shared" si="398"/>
        <v>48861</v>
      </c>
      <c r="H168" s="110">
        <v>31163</v>
      </c>
      <c r="I168" s="110">
        <f t="shared" si="399"/>
        <v>31163</v>
      </c>
      <c r="J168" s="110">
        <f t="shared" si="400"/>
        <v>0</v>
      </c>
      <c r="K168" s="110"/>
      <c r="L168" s="110"/>
      <c r="M168" s="110"/>
      <c r="N168" s="110"/>
      <c r="O168" s="110"/>
      <c r="P168" s="110"/>
      <c r="Q168" s="110"/>
      <c r="R168" s="416"/>
      <c r="S168" s="435"/>
      <c r="T168" s="110"/>
      <c r="U168" s="110"/>
      <c r="V168" s="110"/>
      <c r="W168" s="110">
        <v>17696</v>
      </c>
      <c r="X168" s="110">
        <f t="shared" si="401"/>
        <v>17698</v>
      </c>
      <c r="Y168" s="110">
        <f t="shared" si="402"/>
        <v>2</v>
      </c>
      <c r="Z168" s="110"/>
      <c r="AA168" s="110">
        <v>2</v>
      </c>
      <c r="AB168" s="110"/>
      <c r="AC168" s="110"/>
      <c r="AD168" s="110"/>
      <c r="AE168" s="110"/>
      <c r="AF168" s="110">
        <v>0</v>
      </c>
      <c r="AG168" s="135">
        <f t="shared" si="403"/>
        <v>0</v>
      </c>
      <c r="AH168" s="135">
        <f t="shared" si="404"/>
        <v>0</v>
      </c>
      <c r="AI168" s="135"/>
      <c r="AJ168" s="135"/>
      <c r="AK168" s="135"/>
      <c r="AL168" s="454"/>
      <c r="AM168" s="135"/>
      <c r="AN168" s="135"/>
      <c r="AO168" s="135"/>
      <c r="AP168" s="135"/>
      <c r="AQ168" s="135"/>
      <c r="AR168" s="135">
        <v>0</v>
      </c>
      <c r="AS168" s="135">
        <f t="shared" si="405"/>
        <v>0</v>
      </c>
      <c r="AT168" s="135">
        <f t="shared" si="406"/>
        <v>0</v>
      </c>
      <c r="AU168" s="135"/>
      <c r="AV168" s="135"/>
      <c r="AW168" s="454"/>
      <c r="AX168" s="135"/>
      <c r="AY168" s="135"/>
      <c r="AZ168" s="110">
        <f t="shared" si="407"/>
        <v>0</v>
      </c>
      <c r="BA168" s="110">
        <f t="shared" si="408"/>
        <v>0</v>
      </c>
      <c r="BB168" s="110"/>
      <c r="BC168" s="110"/>
      <c r="BD168" s="110"/>
      <c r="BE168" s="110"/>
      <c r="BF168" s="110"/>
      <c r="BG168" s="110"/>
      <c r="BH168" s="110"/>
      <c r="BI168" s="110"/>
      <c r="BJ168" s="110"/>
      <c r="BK168" s="332"/>
      <c r="BL168" s="111" t="s">
        <v>492</v>
      </c>
      <c r="BM168" s="117"/>
      <c r="BN168" s="36"/>
      <c r="BO168" s="36"/>
      <c r="BP168" s="36"/>
      <c r="BQ168" s="36"/>
      <c r="BR168" s="36"/>
      <c r="BS168" s="36"/>
      <c r="BT168" s="36"/>
      <c r="BU168" s="36"/>
    </row>
    <row r="169" spans="1:73" ht="24" x14ac:dyDescent="0.2">
      <c r="A169" s="165">
        <v>90000051627</v>
      </c>
      <c r="B169" s="129"/>
      <c r="C169" s="471" t="s">
        <v>223</v>
      </c>
      <c r="D169" s="472"/>
      <c r="E169" s="108" t="s">
        <v>259</v>
      </c>
      <c r="F169" s="346">
        <f t="shared" si="397"/>
        <v>944245</v>
      </c>
      <c r="G169" s="109">
        <f t="shared" si="398"/>
        <v>954494</v>
      </c>
      <c r="H169" s="110">
        <v>456241</v>
      </c>
      <c r="I169" s="110">
        <f t="shared" si="399"/>
        <v>456241</v>
      </c>
      <c r="J169" s="110">
        <f t="shared" si="400"/>
        <v>0</v>
      </c>
      <c r="K169" s="110"/>
      <c r="L169" s="110"/>
      <c r="M169" s="110"/>
      <c r="N169" s="110"/>
      <c r="O169" s="110"/>
      <c r="P169" s="110"/>
      <c r="Q169" s="110"/>
      <c r="R169" s="416"/>
      <c r="S169" s="435"/>
      <c r="T169" s="110"/>
      <c r="U169" s="110"/>
      <c r="V169" s="110"/>
      <c r="W169" s="110">
        <v>476458</v>
      </c>
      <c r="X169" s="110">
        <f t="shared" si="401"/>
        <v>484759</v>
      </c>
      <c r="Y169" s="110">
        <f t="shared" si="402"/>
        <v>8301</v>
      </c>
      <c r="Z169" s="110"/>
      <c r="AA169" s="110">
        <v>8301</v>
      </c>
      <c r="AB169" s="110"/>
      <c r="AC169" s="110"/>
      <c r="AD169" s="110"/>
      <c r="AE169" s="110"/>
      <c r="AF169" s="110">
        <v>11546</v>
      </c>
      <c r="AG169" s="135">
        <f t="shared" si="403"/>
        <v>13494</v>
      </c>
      <c r="AH169" s="135">
        <f t="shared" si="404"/>
        <v>1948</v>
      </c>
      <c r="AI169" s="135">
        <v>1948</v>
      </c>
      <c r="AJ169" s="135"/>
      <c r="AK169" s="135"/>
      <c r="AL169" s="454"/>
      <c r="AM169" s="135"/>
      <c r="AN169" s="135"/>
      <c r="AO169" s="135"/>
      <c r="AP169" s="135"/>
      <c r="AQ169" s="135"/>
      <c r="AR169" s="110">
        <v>0</v>
      </c>
      <c r="AS169" s="135">
        <f t="shared" si="405"/>
        <v>0</v>
      </c>
      <c r="AT169" s="135">
        <f t="shared" si="406"/>
        <v>0</v>
      </c>
      <c r="AU169" s="135"/>
      <c r="AV169" s="135"/>
      <c r="AW169" s="454"/>
      <c r="AX169" s="135"/>
      <c r="AY169" s="135"/>
      <c r="AZ169" s="110">
        <f t="shared" si="407"/>
        <v>0</v>
      </c>
      <c r="BA169" s="110">
        <f t="shared" si="408"/>
        <v>0</v>
      </c>
      <c r="BB169" s="110"/>
      <c r="BC169" s="110"/>
      <c r="BD169" s="110"/>
      <c r="BE169" s="110"/>
      <c r="BF169" s="110"/>
      <c r="BG169" s="110"/>
      <c r="BH169" s="110"/>
      <c r="BI169" s="110"/>
      <c r="BJ169" s="110"/>
      <c r="BK169" s="332"/>
      <c r="BL169" s="111" t="s">
        <v>493</v>
      </c>
      <c r="BM169" s="117"/>
      <c r="BN169" s="36"/>
      <c r="BO169" s="36"/>
      <c r="BP169" s="36"/>
      <c r="BQ169" s="36"/>
      <c r="BR169" s="36"/>
      <c r="BS169" s="36"/>
      <c r="BT169" s="36"/>
      <c r="BU169" s="36"/>
    </row>
    <row r="170" spans="1:73" x14ac:dyDescent="0.2">
      <c r="A170" s="165"/>
      <c r="B170" s="129"/>
      <c r="C170" s="108"/>
      <c r="D170" s="307"/>
      <c r="E170" s="108" t="s">
        <v>286</v>
      </c>
      <c r="F170" s="346">
        <f t="shared" si="397"/>
        <v>117880</v>
      </c>
      <c r="G170" s="109">
        <f t="shared" si="398"/>
        <v>117880</v>
      </c>
      <c r="H170" s="110">
        <v>73530</v>
      </c>
      <c r="I170" s="110">
        <f t="shared" si="399"/>
        <v>73530</v>
      </c>
      <c r="J170" s="110">
        <f t="shared" si="400"/>
        <v>0</v>
      </c>
      <c r="K170" s="110"/>
      <c r="L170" s="110"/>
      <c r="M170" s="110"/>
      <c r="N170" s="110"/>
      <c r="O170" s="110"/>
      <c r="P170" s="110"/>
      <c r="Q170" s="110"/>
      <c r="R170" s="416"/>
      <c r="S170" s="435"/>
      <c r="T170" s="110"/>
      <c r="U170" s="110"/>
      <c r="V170" s="110"/>
      <c r="W170" s="110">
        <v>44350</v>
      </c>
      <c r="X170" s="110">
        <f t="shared" si="401"/>
        <v>44350</v>
      </c>
      <c r="Y170" s="110">
        <f t="shared" si="402"/>
        <v>0</v>
      </c>
      <c r="Z170" s="110"/>
      <c r="AA170" s="110"/>
      <c r="AB170" s="110"/>
      <c r="AC170" s="110"/>
      <c r="AD170" s="110"/>
      <c r="AE170" s="110"/>
      <c r="AF170" s="110">
        <v>0</v>
      </c>
      <c r="AG170" s="135">
        <f t="shared" si="403"/>
        <v>0</v>
      </c>
      <c r="AH170" s="135">
        <f t="shared" si="404"/>
        <v>0</v>
      </c>
      <c r="AI170" s="135"/>
      <c r="AJ170" s="135"/>
      <c r="AK170" s="135"/>
      <c r="AL170" s="454"/>
      <c r="AM170" s="135"/>
      <c r="AN170" s="135"/>
      <c r="AO170" s="135"/>
      <c r="AP170" s="135"/>
      <c r="AQ170" s="135"/>
      <c r="AR170" s="110">
        <v>0</v>
      </c>
      <c r="AS170" s="135">
        <f t="shared" si="405"/>
        <v>0</v>
      </c>
      <c r="AT170" s="135">
        <f t="shared" si="406"/>
        <v>0</v>
      </c>
      <c r="AU170" s="135"/>
      <c r="AV170" s="135"/>
      <c r="AW170" s="454"/>
      <c r="AX170" s="135"/>
      <c r="AY170" s="135"/>
      <c r="AZ170" s="110">
        <f t="shared" si="407"/>
        <v>0</v>
      </c>
      <c r="BA170" s="110">
        <f t="shared" si="408"/>
        <v>0</v>
      </c>
      <c r="BB170" s="110"/>
      <c r="BC170" s="110"/>
      <c r="BD170" s="110"/>
      <c r="BE170" s="110"/>
      <c r="BF170" s="110"/>
      <c r="BG170" s="110"/>
      <c r="BH170" s="110"/>
      <c r="BI170" s="110"/>
      <c r="BJ170" s="110"/>
      <c r="BK170" s="332"/>
      <c r="BL170" s="111" t="s">
        <v>494</v>
      </c>
      <c r="BM170" s="117"/>
      <c r="BN170" s="36"/>
      <c r="BO170" s="36"/>
      <c r="BP170" s="36"/>
      <c r="BQ170" s="36"/>
      <c r="BR170" s="36"/>
      <c r="BS170" s="36"/>
      <c r="BT170" s="36"/>
      <c r="BU170" s="36"/>
    </row>
    <row r="171" spans="1:73" s="408" customFormat="1" x14ac:dyDescent="0.2">
      <c r="A171" s="165"/>
      <c r="B171" s="129"/>
      <c r="C171" s="406"/>
      <c r="D171" s="407"/>
      <c r="E171" s="406" t="s">
        <v>787</v>
      </c>
      <c r="F171" s="346">
        <f t="shared" ref="F171" si="481">H171+W171+AF171+AQ171+AR171+AY171</f>
        <v>0</v>
      </c>
      <c r="G171" s="109">
        <f t="shared" ref="G171" si="482">I171+X171+AG171+AQ171+AS171+AZ171</f>
        <v>795</v>
      </c>
      <c r="H171" s="110"/>
      <c r="I171" s="110">
        <f t="shared" ref="I171" si="483">J171+H171</f>
        <v>795</v>
      </c>
      <c r="J171" s="110">
        <f t="shared" ref="J171" si="484">SUM(K171:V171)</f>
        <v>795</v>
      </c>
      <c r="K171" s="110"/>
      <c r="L171" s="110"/>
      <c r="M171" s="110"/>
      <c r="N171" s="110"/>
      <c r="O171" s="110"/>
      <c r="P171" s="110"/>
      <c r="Q171" s="110">
        <v>795</v>
      </c>
      <c r="R171" s="416"/>
      <c r="S171" s="435"/>
      <c r="T171" s="110"/>
      <c r="U171" s="110"/>
      <c r="V171" s="110"/>
      <c r="W171" s="110"/>
      <c r="X171" s="110">
        <f t="shared" ref="X171" si="485">Y171+W171</f>
        <v>0</v>
      </c>
      <c r="Y171" s="110">
        <f t="shared" ref="Y171" si="486">SUM(Z171:AE171)</f>
        <v>0</v>
      </c>
      <c r="Z171" s="110"/>
      <c r="AA171" s="110"/>
      <c r="AB171" s="110"/>
      <c r="AC171" s="110"/>
      <c r="AD171" s="110"/>
      <c r="AE171" s="110"/>
      <c r="AF171" s="110"/>
      <c r="AG171" s="135">
        <f t="shared" ref="AG171" si="487">AH171+AF171</f>
        <v>0</v>
      </c>
      <c r="AH171" s="135">
        <f t="shared" ref="AH171" si="488">SUM(AI171:AP171)</f>
        <v>0</v>
      </c>
      <c r="AI171" s="135"/>
      <c r="AJ171" s="135"/>
      <c r="AK171" s="135"/>
      <c r="AL171" s="454"/>
      <c r="AM171" s="135"/>
      <c r="AN171" s="135"/>
      <c r="AO171" s="135"/>
      <c r="AP171" s="135"/>
      <c r="AQ171" s="135"/>
      <c r="AR171" s="110"/>
      <c r="AS171" s="135">
        <f t="shared" ref="AS171" si="489">AT171+AR171</f>
        <v>0</v>
      </c>
      <c r="AT171" s="135">
        <f t="shared" ref="AT171" si="490">SUM(AU171:AX171)</f>
        <v>0</v>
      </c>
      <c r="AU171" s="135"/>
      <c r="AV171" s="135"/>
      <c r="AW171" s="454"/>
      <c r="AX171" s="135"/>
      <c r="AY171" s="135"/>
      <c r="AZ171" s="110">
        <f t="shared" ref="AZ171" si="491">BA171+AY171</f>
        <v>0</v>
      </c>
      <c r="BA171" s="110">
        <f t="shared" ref="BA171" si="492">SUM(BB171:BK171)</f>
        <v>0</v>
      </c>
      <c r="BB171" s="110"/>
      <c r="BC171" s="110"/>
      <c r="BD171" s="110"/>
      <c r="BE171" s="110"/>
      <c r="BF171" s="110"/>
      <c r="BG171" s="110"/>
      <c r="BH171" s="110"/>
      <c r="BI171" s="110"/>
      <c r="BJ171" s="110"/>
      <c r="BK171" s="332"/>
      <c r="BL171" s="111" t="s">
        <v>788</v>
      </c>
      <c r="BM171" s="117"/>
      <c r="BN171" s="36"/>
      <c r="BO171" s="36"/>
      <c r="BP171" s="36"/>
      <c r="BQ171" s="36"/>
      <c r="BR171" s="36"/>
      <c r="BS171" s="36"/>
      <c r="BT171" s="36"/>
      <c r="BU171" s="36"/>
    </row>
    <row r="172" spans="1:73" ht="36" x14ac:dyDescent="0.2">
      <c r="A172" s="165">
        <v>90000053670</v>
      </c>
      <c r="B172" s="129"/>
      <c r="C172" s="471" t="s">
        <v>367</v>
      </c>
      <c r="D172" s="472"/>
      <c r="E172" s="108" t="s">
        <v>297</v>
      </c>
      <c r="F172" s="346">
        <f t="shared" si="397"/>
        <v>507725</v>
      </c>
      <c r="G172" s="109">
        <f t="shared" si="398"/>
        <v>515923</v>
      </c>
      <c r="H172" s="110">
        <v>298738</v>
      </c>
      <c r="I172" s="110">
        <f t="shared" si="399"/>
        <v>291598</v>
      </c>
      <c r="J172" s="110">
        <f t="shared" si="400"/>
        <v>-7140</v>
      </c>
      <c r="K172" s="110"/>
      <c r="L172" s="110"/>
      <c r="M172" s="110"/>
      <c r="N172" s="110">
        <v>-7140</v>
      </c>
      <c r="O172" s="110"/>
      <c r="P172" s="110"/>
      <c r="Q172" s="110"/>
      <c r="R172" s="416"/>
      <c r="S172" s="435"/>
      <c r="T172" s="110"/>
      <c r="U172" s="110"/>
      <c r="V172" s="110"/>
      <c r="W172" s="110">
        <v>147183</v>
      </c>
      <c r="X172" s="110">
        <f t="shared" si="401"/>
        <v>148110</v>
      </c>
      <c r="Y172" s="110">
        <f t="shared" si="402"/>
        <v>927</v>
      </c>
      <c r="Z172" s="110"/>
      <c r="AA172" s="110">
        <v>927</v>
      </c>
      <c r="AB172" s="110"/>
      <c r="AC172" s="110"/>
      <c r="AD172" s="110"/>
      <c r="AE172" s="110"/>
      <c r="AF172" s="110">
        <v>61804</v>
      </c>
      <c r="AG172" s="135">
        <f t="shared" si="403"/>
        <v>76215</v>
      </c>
      <c r="AH172" s="135">
        <f t="shared" si="404"/>
        <v>14411</v>
      </c>
      <c r="AI172" s="135">
        <v>14411</v>
      </c>
      <c r="AJ172" s="135"/>
      <c r="AK172" s="135"/>
      <c r="AL172" s="454"/>
      <c r="AM172" s="135"/>
      <c r="AN172" s="135"/>
      <c r="AO172" s="135"/>
      <c r="AP172" s="135"/>
      <c r="AQ172" s="135"/>
      <c r="AR172" s="110">
        <v>0</v>
      </c>
      <c r="AS172" s="135">
        <f t="shared" si="405"/>
        <v>0</v>
      </c>
      <c r="AT172" s="135">
        <f t="shared" si="406"/>
        <v>0</v>
      </c>
      <c r="AU172" s="135"/>
      <c r="AV172" s="135"/>
      <c r="AW172" s="454"/>
      <c r="AX172" s="135"/>
      <c r="AY172" s="135"/>
      <c r="AZ172" s="110">
        <f t="shared" si="407"/>
        <v>0</v>
      </c>
      <c r="BA172" s="110">
        <f t="shared" si="408"/>
        <v>0</v>
      </c>
      <c r="BB172" s="110"/>
      <c r="BC172" s="110"/>
      <c r="BD172" s="110"/>
      <c r="BE172" s="110"/>
      <c r="BF172" s="110"/>
      <c r="BG172" s="110"/>
      <c r="BH172" s="110"/>
      <c r="BI172" s="110"/>
      <c r="BJ172" s="110"/>
      <c r="BK172" s="332"/>
      <c r="BL172" s="111" t="s">
        <v>495</v>
      </c>
      <c r="BM172" s="117"/>
      <c r="BN172" s="36"/>
      <c r="BO172" s="36"/>
      <c r="BP172" s="36"/>
      <c r="BQ172" s="36"/>
      <c r="BR172" s="36"/>
      <c r="BS172" s="36"/>
      <c r="BT172" s="36"/>
      <c r="BU172" s="36"/>
    </row>
    <row r="173" spans="1:73" s="218" customFormat="1" x14ac:dyDescent="0.2">
      <c r="A173" s="165"/>
      <c r="B173" s="129"/>
      <c r="C173" s="108"/>
      <c r="D173" s="307"/>
      <c r="E173" s="108" t="s">
        <v>286</v>
      </c>
      <c r="F173" s="346">
        <f t="shared" si="397"/>
        <v>17224</v>
      </c>
      <c r="G173" s="109">
        <f t="shared" si="398"/>
        <v>17224</v>
      </c>
      <c r="H173" s="110">
        <v>17224</v>
      </c>
      <c r="I173" s="110">
        <f t="shared" si="399"/>
        <v>17224</v>
      </c>
      <c r="J173" s="110">
        <f t="shared" si="400"/>
        <v>0</v>
      </c>
      <c r="K173" s="110"/>
      <c r="L173" s="110"/>
      <c r="M173" s="110"/>
      <c r="N173" s="110"/>
      <c r="O173" s="110"/>
      <c r="P173" s="110"/>
      <c r="Q173" s="110"/>
      <c r="R173" s="416"/>
      <c r="S173" s="435"/>
      <c r="T173" s="110"/>
      <c r="U173" s="110"/>
      <c r="V173" s="110"/>
      <c r="W173" s="110">
        <v>0</v>
      </c>
      <c r="X173" s="110">
        <f t="shared" si="401"/>
        <v>0</v>
      </c>
      <c r="Y173" s="110">
        <f t="shared" si="402"/>
        <v>0</v>
      </c>
      <c r="Z173" s="110"/>
      <c r="AA173" s="110"/>
      <c r="AB173" s="110"/>
      <c r="AC173" s="110"/>
      <c r="AD173" s="110"/>
      <c r="AE173" s="110"/>
      <c r="AF173" s="110">
        <v>0</v>
      </c>
      <c r="AG173" s="135">
        <f t="shared" si="403"/>
        <v>0</v>
      </c>
      <c r="AH173" s="135">
        <f t="shared" si="404"/>
        <v>0</v>
      </c>
      <c r="AI173" s="135"/>
      <c r="AJ173" s="135"/>
      <c r="AK173" s="135"/>
      <c r="AL173" s="454"/>
      <c r="AM173" s="135"/>
      <c r="AN173" s="135"/>
      <c r="AO173" s="135"/>
      <c r="AP173" s="135"/>
      <c r="AQ173" s="135"/>
      <c r="AR173" s="135">
        <v>0</v>
      </c>
      <c r="AS173" s="135">
        <f t="shared" si="405"/>
        <v>0</v>
      </c>
      <c r="AT173" s="135">
        <f t="shared" si="406"/>
        <v>0</v>
      </c>
      <c r="AU173" s="135"/>
      <c r="AV173" s="135"/>
      <c r="AW173" s="454"/>
      <c r="AX173" s="135"/>
      <c r="AY173" s="135"/>
      <c r="AZ173" s="110">
        <f t="shared" si="407"/>
        <v>0</v>
      </c>
      <c r="BA173" s="110">
        <f t="shared" si="408"/>
        <v>0</v>
      </c>
      <c r="BB173" s="110"/>
      <c r="BC173" s="110"/>
      <c r="BD173" s="110"/>
      <c r="BE173" s="110"/>
      <c r="BF173" s="110"/>
      <c r="BG173" s="110"/>
      <c r="BH173" s="110"/>
      <c r="BI173" s="110"/>
      <c r="BJ173" s="110"/>
      <c r="BK173" s="332"/>
      <c r="BL173" s="111" t="s">
        <v>497</v>
      </c>
      <c r="BM173" s="117"/>
      <c r="BN173" s="36"/>
      <c r="BO173" s="36"/>
      <c r="BP173" s="36"/>
      <c r="BQ173" s="36"/>
      <c r="BR173" s="36"/>
      <c r="BS173" s="36"/>
      <c r="BT173" s="36"/>
      <c r="BU173" s="36"/>
    </row>
    <row r="174" spans="1:73" s="377" customFormat="1" ht="48" x14ac:dyDescent="0.2">
      <c r="A174" s="165"/>
      <c r="B174" s="129"/>
      <c r="C174" s="375"/>
      <c r="D174" s="376"/>
      <c r="E174" s="375" t="s">
        <v>750</v>
      </c>
      <c r="F174" s="346">
        <f t="shared" ref="F174" si="493">H174+W174+AF174+AQ174+AR174+AY174</f>
        <v>0</v>
      </c>
      <c r="G174" s="109">
        <f t="shared" ref="G174" si="494">I174+X174+AG174+AQ174+AS174+AZ174</f>
        <v>4053</v>
      </c>
      <c r="H174" s="110"/>
      <c r="I174" s="110">
        <f t="shared" ref="I174" si="495">J174+H174</f>
        <v>4053</v>
      </c>
      <c r="J174" s="110">
        <f t="shared" ref="J174" si="496">SUM(K174:V174)</f>
        <v>4053</v>
      </c>
      <c r="K174" s="110"/>
      <c r="L174" s="110"/>
      <c r="M174" s="110"/>
      <c r="N174" s="110">
        <v>4053</v>
      </c>
      <c r="O174" s="110"/>
      <c r="P174" s="110"/>
      <c r="Q174" s="110"/>
      <c r="R174" s="416"/>
      <c r="S174" s="435"/>
      <c r="T174" s="110"/>
      <c r="U174" s="110"/>
      <c r="V174" s="110"/>
      <c r="W174" s="110"/>
      <c r="X174" s="110">
        <f t="shared" ref="X174" si="497">Y174+W174</f>
        <v>0</v>
      </c>
      <c r="Y174" s="110">
        <f t="shared" ref="Y174" si="498">SUM(Z174:AE174)</f>
        <v>0</v>
      </c>
      <c r="Z174" s="110"/>
      <c r="AA174" s="110"/>
      <c r="AB174" s="110"/>
      <c r="AC174" s="110"/>
      <c r="AD174" s="110"/>
      <c r="AE174" s="110"/>
      <c r="AF174" s="110"/>
      <c r="AG174" s="135">
        <f t="shared" ref="AG174" si="499">AH174+AF174</f>
        <v>0</v>
      </c>
      <c r="AH174" s="135">
        <f t="shared" ref="AH174" si="500">SUM(AI174:AP174)</f>
        <v>0</v>
      </c>
      <c r="AI174" s="135"/>
      <c r="AJ174" s="135"/>
      <c r="AK174" s="135"/>
      <c r="AL174" s="454"/>
      <c r="AM174" s="135"/>
      <c r="AN174" s="135"/>
      <c r="AO174" s="135"/>
      <c r="AP174" s="135"/>
      <c r="AQ174" s="135"/>
      <c r="AR174" s="135"/>
      <c r="AS174" s="135">
        <f t="shared" ref="AS174" si="501">AT174+AR174</f>
        <v>0</v>
      </c>
      <c r="AT174" s="135">
        <f t="shared" ref="AT174" si="502">SUM(AU174:AX174)</f>
        <v>0</v>
      </c>
      <c r="AU174" s="135"/>
      <c r="AV174" s="135"/>
      <c r="AW174" s="454"/>
      <c r="AX174" s="135"/>
      <c r="AY174" s="135"/>
      <c r="AZ174" s="110">
        <f t="shared" ref="AZ174" si="503">BA174+AY174</f>
        <v>0</v>
      </c>
      <c r="BA174" s="110">
        <f t="shared" ref="BA174" si="504">SUM(BB174:BK174)</f>
        <v>0</v>
      </c>
      <c r="BB174" s="110"/>
      <c r="BC174" s="110"/>
      <c r="BD174" s="110"/>
      <c r="BE174" s="110"/>
      <c r="BF174" s="110"/>
      <c r="BG174" s="110"/>
      <c r="BH174" s="110"/>
      <c r="BI174" s="110"/>
      <c r="BJ174" s="110"/>
      <c r="BK174" s="332"/>
      <c r="BL174" s="111" t="s">
        <v>751</v>
      </c>
      <c r="BM174" s="117"/>
      <c r="BN174" s="36"/>
      <c r="BO174" s="36"/>
      <c r="BP174" s="36"/>
      <c r="BQ174" s="36"/>
      <c r="BR174" s="36"/>
      <c r="BS174" s="36"/>
      <c r="BT174" s="36"/>
      <c r="BU174" s="36"/>
    </row>
    <row r="175" spans="1:73" ht="24" x14ac:dyDescent="0.2">
      <c r="A175" s="165">
        <v>90000051595</v>
      </c>
      <c r="B175" s="129"/>
      <c r="C175" s="471" t="s">
        <v>173</v>
      </c>
      <c r="D175" s="472"/>
      <c r="E175" s="108" t="s">
        <v>259</v>
      </c>
      <c r="F175" s="346">
        <f t="shared" si="397"/>
        <v>1015887</v>
      </c>
      <c r="G175" s="109">
        <f t="shared" si="398"/>
        <v>1025986</v>
      </c>
      <c r="H175" s="110">
        <v>496747</v>
      </c>
      <c r="I175" s="110">
        <f t="shared" si="399"/>
        <v>493847</v>
      </c>
      <c r="J175" s="110">
        <f t="shared" si="400"/>
        <v>-2900</v>
      </c>
      <c r="K175" s="110"/>
      <c r="L175" s="110"/>
      <c r="M175" s="110"/>
      <c r="N175" s="110">
        <v>-2900</v>
      </c>
      <c r="O175" s="110"/>
      <c r="P175" s="110"/>
      <c r="Q175" s="110"/>
      <c r="R175" s="416"/>
      <c r="S175" s="435"/>
      <c r="T175" s="110"/>
      <c r="U175" s="110"/>
      <c r="V175" s="110"/>
      <c r="W175" s="110">
        <v>510179</v>
      </c>
      <c r="X175" s="110">
        <f t="shared" si="401"/>
        <v>519283</v>
      </c>
      <c r="Y175" s="110">
        <f t="shared" si="402"/>
        <v>9104</v>
      </c>
      <c r="Z175" s="110"/>
      <c r="AA175" s="110">
        <f>8585+420+99</f>
        <v>9104</v>
      </c>
      <c r="AB175" s="110"/>
      <c r="AC175" s="110"/>
      <c r="AD175" s="110"/>
      <c r="AE175" s="110"/>
      <c r="AF175" s="110">
        <v>8961</v>
      </c>
      <c r="AG175" s="135">
        <f t="shared" si="403"/>
        <v>12856</v>
      </c>
      <c r="AH175" s="135">
        <f t="shared" si="404"/>
        <v>3895</v>
      </c>
      <c r="AI175" s="135">
        <v>3895</v>
      </c>
      <c r="AJ175" s="135"/>
      <c r="AK175" s="135"/>
      <c r="AL175" s="454"/>
      <c r="AM175" s="135"/>
      <c r="AN175" s="135"/>
      <c r="AO175" s="135"/>
      <c r="AP175" s="135"/>
      <c r="AQ175" s="135"/>
      <c r="AR175" s="110">
        <v>0</v>
      </c>
      <c r="AS175" s="135">
        <f t="shared" si="405"/>
        <v>0</v>
      </c>
      <c r="AT175" s="135">
        <f t="shared" si="406"/>
        <v>0</v>
      </c>
      <c r="AU175" s="135"/>
      <c r="AV175" s="135"/>
      <c r="AW175" s="454"/>
      <c r="AX175" s="135"/>
      <c r="AY175" s="135"/>
      <c r="AZ175" s="110">
        <f t="shared" si="407"/>
        <v>0</v>
      </c>
      <c r="BA175" s="110">
        <f t="shared" si="408"/>
        <v>0</v>
      </c>
      <c r="BB175" s="110"/>
      <c r="BC175" s="110"/>
      <c r="BD175" s="110"/>
      <c r="BE175" s="110"/>
      <c r="BF175" s="110"/>
      <c r="BG175" s="110"/>
      <c r="BH175" s="110"/>
      <c r="BI175" s="110"/>
      <c r="BJ175" s="110"/>
      <c r="BK175" s="332"/>
      <c r="BL175" s="111" t="s">
        <v>498</v>
      </c>
      <c r="BM175" s="117"/>
      <c r="BN175" s="36"/>
      <c r="BO175" s="36"/>
      <c r="BP175" s="36"/>
      <c r="BQ175" s="36"/>
      <c r="BR175" s="36"/>
      <c r="BS175" s="36"/>
      <c r="BT175" s="36"/>
      <c r="BU175" s="36"/>
    </row>
    <row r="176" spans="1:73" x14ac:dyDescent="0.2">
      <c r="A176" s="165"/>
      <c r="B176" s="129"/>
      <c r="C176" s="108"/>
      <c r="D176" s="307"/>
      <c r="E176" s="108" t="s">
        <v>286</v>
      </c>
      <c r="F176" s="346">
        <f t="shared" si="397"/>
        <v>122968</v>
      </c>
      <c r="G176" s="109">
        <f t="shared" si="398"/>
        <v>122968</v>
      </c>
      <c r="H176" s="110">
        <v>80321</v>
      </c>
      <c r="I176" s="110">
        <f t="shared" si="399"/>
        <v>80321</v>
      </c>
      <c r="J176" s="110">
        <f t="shared" si="400"/>
        <v>0</v>
      </c>
      <c r="K176" s="110"/>
      <c r="L176" s="110"/>
      <c r="M176" s="110"/>
      <c r="N176" s="110"/>
      <c r="O176" s="110"/>
      <c r="P176" s="110"/>
      <c r="Q176" s="110"/>
      <c r="R176" s="416"/>
      <c r="S176" s="435"/>
      <c r="T176" s="110"/>
      <c r="U176" s="110"/>
      <c r="V176" s="110"/>
      <c r="W176" s="110">
        <v>42647</v>
      </c>
      <c r="X176" s="110">
        <f t="shared" si="401"/>
        <v>42647</v>
      </c>
      <c r="Y176" s="110">
        <f t="shared" si="402"/>
        <v>0</v>
      </c>
      <c r="Z176" s="110"/>
      <c r="AA176" s="110"/>
      <c r="AB176" s="110"/>
      <c r="AC176" s="110"/>
      <c r="AD176" s="110"/>
      <c r="AE176" s="110"/>
      <c r="AF176" s="110">
        <v>0</v>
      </c>
      <c r="AG176" s="135">
        <f t="shared" si="403"/>
        <v>0</v>
      </c>
      <c r="AH176" s="135">
        <f t="shared" si="404"/>
        <v>0</v>
      </c>
      <c r="AI176" s="135"/>
      <c r="AJ176" s="135"/>
      <c r="AK176" s="135"/>
      <c r="AL176" s="454"/>
      <c r="AM176" s="135"/>
      <c r="AN176" s="135"/>
      <c r="AO176" s="135"/>
      <c r="AP176" s="135"/>
      <c r="AQ176" s="135"/>
      <c r="AR176" s="110">
        <v>0</v>
      </c>
      <c r="AS176" s="135">
        <f t="shared" si="405"/>
        <v>0</v>
      </c>
      <c r="AT176" s="135">
        <f t="shared" si="406"/>
        <v>0</v>
      </c>
      <c r="AU176" s="135"/>
      <c r="AV176" s="135"/>
      <c r="AW176" s="454"/>
      <c r="AX176" s="135"/>
      <c r="AY176" s="135"/>
      <c r="AZ176" s="110">
        <f t="shared" si="407"/>
        <v>0</v>
      </c>
      <c r="BA176" s="110">
        <f t="shared" si="408"/>
        <v>0</v>
      </c>
      <c r="BB176" s="110"/>
      <c r="BC176" s="110"/>
      <c r="BD176" s="110"/>
      <c r="BE176" s="110"/>
      <c r="BF176" s="110"/>
      <c r="BG176" s="110"/>
      <c r="BH176" s="110"/>
      <c r="BI176" s="110"/>
      <c r="BJ176" s="110"/>
      <c r="BK176" s="332"/>
      <c r="BL176" s="111" t="s">
        <v>496</v>
      </c>
      <c r="BM176" s="117"/>
      <c r="BN176" s="36"/>
      <c r="BO176" s="36"/>
      <c r="BP176" s="36"/>
      <c r="BQ176" s="36"/>
      <c r="BR176" s="36"/>
      <c r="BS176" s="36"/>
      <c r="BT176" s="36"/>
      <c r="BU176" s="36"/>
    </row>
    <row r="177" spans="1:73" s="389" customFormat="1" ht="36" x14ac:dyDescent="0.2">
      <c r="A177" s="165"/>
      <c r="B177" s="129"/>
      <c r="C177" s="387"/>
      <c r="D177" s="388"/>
      <c r="E177" s="387" t="s">
        <v>756</v>
      </c>
      <c r="F177" s="346">
        <f t="shared" ref="F177" si="505">H177+W177+AF177+AQ177+AR177+AY177</f>
        <v>0</v>
      </c>
      <c r="G177" s="109">
        <f t="shared" ref="G177" si="506">I177+X177+AG177+AQ177+AS177+AZ177</f>
        <v>2648</v>
      </c>
      <c r="H177" s="110"/>
      <c r="I177" s="110">
        <f t="shared" ref="I177" si="507">J177+H177</f>
        <v>2648</v>
      </c>
      <c r="J177" s="110">
        <f t="shared" ref="J177" si="508">SUM(K177:V177)</f>
        <v>2648</v>
      </c>
      <c r="K177" s="110"/>
      <c r="L177" s="110"/>
      <c r="M177" s="110"/>
      <c r="N177" s="110">
        <v>2648</v>
      </c>
      <c r="O177" s="110"/>
      <c r="P177" s="110"/>
      <c r="Q177" s="110"/>
      <c r="R177" s="416"/>
      <c r="S177" s="435"/>
      <c r="T177" s="110"/>
      <c r="U177" s="110"/>
      <c r="V177" s="110"/>
      <c r="W177" s="110"/>
      <c r="X177" s="110">
        <f t="shared" ref="X177" si="509">Y177+W177</f>
        <v>0</v>
      </c>
      <c r="Y177" s="110">
        <f t="shared" ref="Y177" si="510">SUM(Z177:AE177)</f>
        <v>0</v>
      </c>
      <c r="Z177" s="110"/>
      <c r="AA177" s="110"/>
      <c r="AB177" s="110"/>
      <c r="AC177" s="110"/>
      <c r="AD177" s="110"/>
      <c r="AE177" s="110"/>
      <c r="AF177" s="110"/>
      <c r="AG177" s="135">
        <f t="shared" ref="AG177" si="511">AH177+AF177</f>
        <v>0</v>
      </c>
      <c r="AH177" s="135">
        <f t="shared" ref="AH177" si="512">SUM(AI177:AP177)</f>
        <v>0</v>
      </c>
      <c r="AI177" s="135"/>
      <c r="AJ177" s="135"/>
      <c r="AK177" s="135"/>
      <c r="AL177" s="454"/>
      <c r="AM177" s="135"/>
      <c r="AN177" s="135"/>
      <c r="AO177" s="135"/>
      <c r="AP177" s="135"/>
      <c r="AQ177" s="135"/>
      <c r="AR177" s="110"/>
      <c r="AS177" s="135">
        <f t="shared" ref="AS177" si="513">AT177+AR177</f>
        <v>0</v>
      </c>
      <c r="AT177" s="135">
        <f t="shared" ref="AT177" si="514">SUM(AU177:AX177)</f>
        <v>0</v>
      </c>
      <c r="AU177" s="135"/>
      <c r="AV177" s="135"/>
      <c r="AW177" s="454"/>
      <c r="AX177" s="135"/>
      <c r="AY177" s="135"/>
      <c r="AZ177" s="110">
        <f t="shared" ref="AZ177" si="515">BA177+AY177</f>
        <v>0</v>
      </c>
      <c r="BA177" s="110">
        <f t="shared" ref="BA177" si="516">SUM(BB177:BK177)</f>
        <v>0</v>
      </c>
      <c r="BB177" s="110"/>
      <c r="BC177" s="110"/>
      <c r="BD177" s="110"/>
      <c r="BE177" s="110"/>
      <c r="BF177" s="110"/>
      <c r="BG177" s="110"/>
      <c r="BH177" s="110"/>
      <c r="BI177" s="110"/>
      <c r="BJ177" s="110"/>
      <c r="BK177" s="332"/>
      <c r="BL177" s="111" t="s">
        <v>759</v>
      </c>
      <c r="BM177" s="117"/>
      <c r="BN177" s="36"/>
      <c r="BO177" s="36"/>
      <c r="BP177" s="36"/>
      <c r="BQ177" s="36"/>
      <c r="BR177" s="36"/>
      <c r="BS177" s="36"/>
      <c r="BT177" s="36"/>
      <c r="BU177" s="36"/>
    </row>
    <row r="178" spans="1:73" ht="24" x14ac:dyDescent="0.2">
      <c r="A178" s="165">
        <v>90000056465</v>
      </c>
      <c r="B178" s="129"/>
      <c r="C178" s="471" t="s">
        <v>368</v>
      </c>
      <c r="D178" s="472"/>
      <c r="E178" s="108" t="s">
        <v>289</v>
      </c>
      <c r="F178" s="346">
        <f t="shared" si="397"/>
        <v>878094</v>
      </c>
      <c r="G178" s="109">
        <f t="shared" si="398"/>
        <v>890692</v>
      </c>
      <c r="H178" s="110">
        <v>350141</v>
      </c>
      <c r="I178" s="110">
        <f t="shared" si="399"/>
        <v>365995</v>
      </c>
      <c r="J178" s="110">
        <f t="shared" si="400"/>
        <v>15854</v>
      </c>
      <c r="K178" s="110"/>
      <c r="L178" s="110"/>
      <c r="M178" s="110"/>
      <c r="N178" s="110">
        <v>15854</v>
      </c>
      <c r="O178" s="110"/>
      <c r="P178" s="110"/>
      <c r="Q178" s="110"/>
      <c r="R178" s="416"/>
      <c r="S178" s="435"/>
      <c r="T178" s="110"/>
      <c r="U178" s="110"/>
      <c r="V178" s="110"/>
      <c r="W178" s="110">
        <v>440392</v>
      </c>
      <c r="X178" s="110">
        <f t="shared" si="401"/>
        <v>434982</v>
      </c>
      <c r="Y178" s="110">
        <f t="shared" si="402"/>
        <v>-5410</v>
      </c>
      <c r="Z178" s="110"/>
      <c r="AA178" s="110">
        <f>-5498+88</f>
        <v>-5410</v>
      </c>
      <c r="AB178" s="110"/>
      <c r="AC178" s="110"/>
      <c r="AD178" s="110"/>
      <c r="AE178" s="110"/>
      <c r="AF178" s="110">
        <v>87561</v>
      </c>
      <c r="AG178" s="135">
        <f t="shared" si="403"/>
        <v>89685</v>
      </c>
      <c r="AH178" s="135">
        <f t="shared" si="404"/>
        <v>2124</v>
      </c>
      <c r="AI178" s="135">
        <v>2124</v>
      </c>
      <c r="AJ178" s="135"/>
      <c r="AK178" s="135"/>
      <c r="AL178" s="454"/>
      <c r="AM178" s="135"/>
      <c r="AN178" s="135"/>
      <c r="AO178" s="135"/>
      <c r="AP178" s="135"/>
      <c r="AQ178" s="135"/>
      <c r="AR178" s="110">
        <v>0</v>
      </c>
      <c r="AS178" s="135">
        <f t="shared" si="405"/>
        <v>30</v>
      </c>
      <c r="AT178" s="135">
        <f t="shared" si="406"/>
        <v>30</v>
      </c>
      <c r="AU178" s="135"/>
      <c r="AV178" s="135"/>
      <c r="AW178" s="454">
        <v>30</v>
      </c>
      <c r="AX178" s="135"/>
      <c r="AY178" s="135"/>
      <c r="AZ178" s="110">
        <f t="shared" si="407"/>
        <v>0</v>
      </c>
      <c r="BA178" s="110">
        <f t="shared" si="408"/>
        <v>0</v>
      </c>
      <c r="BB178" s="110"/>
      <c r="BC178" s="110"/>
      <c r="BD178" s="110"/>
      <c r="BE178" s="110"/>
      <c r="BF178" s="110"/>
      <c r="BG178" s="110"/>
      <c r="BH178" s="110"/>
      <c r="BI178" s="110"/>
      <c r="BJ178" s="110"/>
      <c r="BK178" s="332"/>
      <c r="BL178" s="111" t="s">
        <v>499</v>
      </c>
      <c r="BM178" s="117"/>
      <c r="BN178" s="36"/>
      <c r="BO178" s="36"/>
      <c r="BP178" s="36"/>
      <c r="BQ178" s="36"/>
      <c r="BR178" s="36"/>
      <c r="BS178" s="36"/>
      <c r="BT178" s="36"/>
      <c r="BU178" s="36"/>
    </row>
    <row r="179" spans="1:73" s="402" customFormat="1" ht="60" x14ac:dyDescent="0.2">
      <c r="A179" s="165"/>
      <c r="B179" s="129"/>
      <c r="C179" s="400"/>
      <c r="D179" s="401"/>
      <c r="E179" s="400" t="s">
        <v>779</v>
      </c>
      <c r="F179" s="346">
        <f t="shared" ref="F179" si="517">H179+W179+AF179+AQ179+AR179+AY179</f>
        <v>0</v>
      </c>
      <c r="G179" s="109">
        <f t="shared" ref="G179" si="518">I179+X179+AG179+AQ179+AS179+AZ179</f>
        <v>2400</v>
      </c>
      <c r="H179" s="110"/>
      <c r="I179" s="110">
        <f t="shared" ref="I179" si="519">J179+H179</f>
        <v>2400</v>
      </c>
      <c r="J179" s="110">
        <f t="shared" ref="J179" si="520">SUM(K179:V179)</f>
        <v>2400</v>
      </c>
      <c r="K179" s="110"/>
      <c r="L179" s="110"/>
      <c r="M179" s="110"/>
      <c r="N179" s="110"/>
      <c r="O179" s="110"/>
      <c r="P179" s="110"/>
      <c r="Q179" s="110">
        <v>2400</v>
      </c>
      <c r="R179" s="416"/>
      <c r="S179" s="435"/>
      <c r="T179" s="110"/>
      <c r="U179" s="110"/>
      <c r="V179" s="110"/>
      <c r="W179" s="110"/>
      <c r="X179" s="110">
        <f t="shared" ref="X179" si="521">Y179+W179</f>
        <v>0</v>
      </c>
      <c r="Y179" s="110">
        <f t="shared" ref="Y179" si="522">SUM(Z179:AE179)</f>
        <v>0</v>
      </c>
      <c r="Z179" s="110"/>
      <c r="AA179" s="110"/>
      <c r="AB179" s="110"/>
      <c r="AC179" s="110"/>
      <c r="AD179" s="110"/>
      <c r="AE179" s="110"/>
      <c r="AF179" s="110"/>
      <c r="AG179" s="135">
        <f t="shared" ref="AG179" si="523">AH179+AF179</f>
        <v>0</v>
      </c>
      <c r="AH179" s="135">
        <f t="shared" ref="AH179" si="524">SUM(AI179:AP179)</f>
        <v>0</v>
      </c>
      <c r="AI179" s="135"/>
      <c r="AJ179" s="135"/>
      <c r="AK179" s="135"/>
      <c r="AL179" s="454"/>
      <c r="AM179" s="135"/>
      <c r="AN179" s="135"/>
      <c r="AO179" s="135"/>
      <c r="AP179" s="135"/>
      <c r="AQ179" s="135"/>
      <c r="AR179" s="135"/>
      <c r="AS179" s="135">
        <f t="shared" ref="AS179" si="525">AT179+AR179</f>
        <v>0</v>
      </c>
      <c r="AT179" s="135">
        <f t="shared" ref="AT179" si="526">SUM(AU179:AX179)</f>
        <v>0</v>
      </c>
      <c r="AU179" s="135"/>
      <c r="AV179" s="135"/>
      <c r="AW179" s="454"/>
      <c r="AX179" s="135"/>
      <c r="AY179" s="135"/>
      <c r="AZ179" s="110">
        <f t="shared" ref="AZ179" si="527">BA179+AY179</f>
        <v>0</v>
      </c>
      <c r="BA179" s="110">
        <f t="shared" ref="BA179" si="528">SUM(BB179:BK179)</f>
        <v>0</v>
      </c>
      <c r="BB179" s="110"/>
      <c r="BC179" s="110"/>
      <c r="BD179" s="110"/>
      <c r="BE179" s="110"/>
      <c r="BF179" s="110"/>
      <c r="BG179" s="110"/>
      <c r="BH179" s="110"/>
      <c r="BI179" s="110"/>
      <c r="BJ179" s="110"/>
      <c r="BK179" s="332"/>
      <c r="BL179" s="111" t="s">
        <v>780</v>
      </c>
      <c r="BM179" s="117"/>
      <c r="BN179" s="36"/>
      <c r="BO179" s="36"/>
      <c r="BP179" s="36"/>
      <c r="BQ179" s="36"/>
      <c r="BR179" s="36"/>
      <c r="BS179" s="36"/>
      <c r="BT179" s="36"/>
      <c r="BU179" s="36"/>
    </row>
    <row r="180" spans="1:73" ht="36" x14ac:dyDescent="0.2">
      <c r="A180" s="165">
        <v>90009249140</v>
      </c>
      <c r="B180" s="129"/>
      <c r="C180" s="471" t="s">
        <v>691</v>
      </c>
      <c r="D180" s="472"/>
      <c r="E180" s="108" t="s">
        <v>260</v>
      </c>
      <c r="F180" s="346">
        <f t="shared" si="397"/>
        <v>321337</v>
      </c>
      <c r="G180" s="109">
        <f t="shared" si="398"/>
        <v>321923</v>
      </c>
      <c r="H180" s="110">
        <v>299327</v>
      </c>
      <c r="I180" s="110">
        <f t="shared" si="399"/>
        <v>299327</v>
      </c>
      <c r="J180" s="110">
        <f t="shared" si="400"/>
        <v>0</v>
      </c>
      <c r="K180" s="110"/>
      <c r="L180" s="110"/>
      <c r="M180" s="110"/>
      <c r="N180" s="110"/>
      <c r="O180" s="110"/>
      <c r="P180" s="110"/>
      <c r="Q180" s="110"/>
      <c r="R180" s="416"/>
      <c r="S180" s="435"/>
      <c r="T180" s="110"/>
      <c r="U180" s="110"/>
      <c r="V180" s="110"/>
      <c r="W180" s="110">
        <v>20674</v>
      </c>
      <c r="X180" s="110">
        <f t="shared" si="401"/>
        <v>21260</v>
      </c>
      <c r="Y180" s="110">
        <f t="shared" si="402"/>
        <v>586</v>
      </c>
      <c r="Z180" s="110"/>
      <c r="AA180" s="110">
        <v>586</v>
      </c>
      <c r="AB180" s="110"/>
      <c r="AC180" s="110"/>
      <c r="AD180" s="110"/>
      <c r="AE180" s="110"/>
      <c r="AF180" s="110">
        <v>1336</v>
      </c>
      <c r="AG180" s="135">
        <f t="shared" si="403"/>
        <v>1351</v>
      </c>
      <c r="AH180" s="135">
        <f t="shared" si="404"/>
        <v>15</v>
      </c>
      <c r="AI180" s="135">
        <v>15</v>
      </c>
      <c r="AJ180" s="135"/>
      <c r="AK180" s="135"/>
      <c r="AL180" s="454"/>
      <c r="AM180" s="135"/>
      <c r="AN180" s="135"/>
      <c r="AO180" s="135"/>
      <c r="AP180" s="135"/>
      <c r="AQ180" s="135"/>
      <c r="AR180" s="135">
        <v>0</v>
      </c>
      <c r="AS180" s="135">
        <f t="shared" si="405"/>
        <v>0</v>
      </c>
      <c r="AT180" s="135">
        <f t="shared" si="406"/>
        <v>0</v>
      </c>
      <c r="AU180" s="135"/>
      <c r="AV180" s="135"/>
      <c r="AW180" s="454"/>
      <c r="AX180" s="135"/>
      <c r="AY180" s="135"/>
      <c r="AZ180" s="110">
        <f t="shared" si="407"/>
        <v>-15</v>
      </c>
      <c r="BA180" s="110">
        <f t="shared" si="408"/>
        <v>-15</v>
      </c>
      <c r="BB180" s="110"/>
      <c r="BC180" s="110">
        <v>-15</v>
      </c>
      <c r="BD180" s="110"/>
      <c r="BE180" s="110"/>
      <c r="BF180" s="110"/>
      <c r="BG180" s="110"/>
      <c r="BH180" s="110"/>
      <c r="BI180" s="110"/>
      <c r="BJ180" s="110"/>
      <c r="BK180" s="332"/>
      <c r="BL180" s="111" t="s">
        <v>500</v>
      </c>
      <c r="BM180" s="117"/>
      <c r="BN180" s="36"/>
      <c r="BO180" s="36"/>
      <c r="BP180" s="36"/>
      <c r="BQ180" s="36"/>
      <c r="BR180" s="36"/>
      <c r="BS180" s="36"/>
      <c r="BT180" s="36"/>
      <c r="BU180" s="36"/>
    </row>
    <row r="181" spans="1:73" x14ac:dyDescent="0.2">
      <c r="A181" s="165"/>
      <c r="B181" s="129"/>
      <c r="C181" s="108"/>
      <c r="D181" s="307"/>
      <c r="E181" s="108" t="s">
        <v>286</v>
      </c>
      <c r="F181" s="346">
        <f t="shared" si="397"/>
        <v>33576</v>
      </c>
      <c r="G181" s="109">
        <f t="shared" si="398"/>
        <v>33576</v>
      </c>
      <c r="H181" s="110">
        <v>33576</v>
      </c>
      <c r="I181" s="110">
        <f t="shared" si="399"/>
        <v>33576</v>
      </c>
      <c r="J181" s="110">
        <f t="shared" si="400"/>
        <v>0</v>
      </c>
      <c r="K181" s="110"/>
      <c r="L181" s="110"/>
      <c r="M181" s="110"/>
      <c r="N181" s="110"/>
      <c r="O181" s="110"/>
      <c r="P181" s="110"/>
      <c r="Q181" s="110"/>
      <c r="R181" s="416"/>
      <c r="S181" s="435"/>
      <c r="T181" s="110"/>
      <c r="U181" s="110"/>
      <c r="V181" s="110"/>
      <c r="W181" s="110">
        <v>0</v>
      </c>
      <c r="X181" s="110">
        <f t="shared" si="401"/>
        <v>0</v>
      </c>
      <c r="Y181" s="110">
        <f t="shared" si="402"/>
        <v>0</v>
      </c>
      <c r="Z181" s="110"/>
      <c r="AA181" s="110"/>
      <c r="AB181" s="110"/>
      <c r="AC181" s="110"/>
      <c r="AD181" s="110"/>
      <c r="AE181" s="110"/>
      <c r="AF181" s="110">
        <v>0</v>
      </c>
      <c r="AG181" s="135">
        <f t="shared" si="403"/>
        <v>0</v>
      </c>
      <c r="AH181" s="135">
        <f t="shared" si="404"/>
        <v>0</v>
      </c>
      <c r="AI181" s="135"/>
      <c r="AJ181" s="135"/>
      <c r="AK181" s="135"/>
      <c r="AL181" s="454"/>
      <c r="AM181" s="135"/>
      <c r="AN181" s="135"/>
      <c r="AO181" s="135"/>
      <c r="AP181" s="135"/>
      <c r="AQ181" s="135"/>
      <c r="AR181" s="135">
        <v>0</v>
      </c>
      <c r="AS181" s="135">
        <f t="shared" si="405"/>
        <v>0</v>
      </c>
      <c r="AT181" s="135">
        <f t="shared" si="406"/>
        <v>0</v>
      </c>
      <c r="AU181" s="135"/>
      <c r="AV181" s="135"/>
      <c r="AW181" s="454"/>
      <c r="AX181" s="135"/>
      <c r="AY181" s="135"/>
      <c r="AZ181" s="110">
        <f t="shared" si="407"/>
        <v>0</v>
      </c>
      <c r="BA181" s="110">
        <f t="shared" si="408"/>
        <v>0</v>
      </c>
      <c r="BB181" s="110"/>
      <c r="BC181" s="110"/>
      <c r="BD181" s="110"/>
      <c r="BE181" s="110"/>
      <c r="BF181" s="110"/>
      <c r="BG181" s="110"/>
      <c r="BH181" s="110"/>
      <c r="BI181" s="110"/>
      <c r="BJ181" s="110"/>
      <c r="BK181" s="332"/>
      <c r="BL181" s="111" t="s">
        <v>501</v>
      </c>
      <c r="BM181" s="117"/>
      <c r="BN181" s="36"/>
      <c r="BO181" s="36"/>
      <c r="BP181" s="36"/>
      <c r="BQ181" s="36"/>
      <c r="BR181" s="36"/>
      <c r="BS181" s="36"/>
      <c r="BT181" s="36"/>
      <c r="BU181" s="36"/>
    </row>
    <row r="182" spans="1:73" ht="36" x14ac:dyDescent="0.2">
      <c r="A182" s="165">
        <v>90009249210</v>
      </c>
      <c r="B182" s="129"/>
      <c r="C182" s="471" t="s">
        <v>692</v>
      </c>
      <c r="D182" s="472"/>
      <c r="E182" s="108" t="s">
        <v>260</v>
      </c>
      <c r="F182" s="346">
        <f t="shared" si="397"/>
        <v>607246</v>
      </c>
      <c r="G182" s="109">
        <f t="shared" si="398"/>
        <v>608364</v>
      </c>
      <c r="H182" s="110">
        <v>566029</v>
      </c>
      <c r="I182" s="110">
        <f t="shared" si="399"/>
        <v>566029</v>
      </c>
      <c r="J182" s="110">
        <f t="shared" si="400"/>
        <v>0</v>
      </c>
      <c r="K182" s="110"/>
      <c r="L182" s="110"/>
      <c r="M182" s="110"/>
      <c r="N182" s="110"/>
      <c r="O182" s="110"/>
      <c r="P182" s="110"/>
      <c r="Q182" s="110"/>
      <c r="R182" s="416"/>
      <c r="S182" s="435"/>
      <c r="T182" s="110"/>
      <c r="U182" s="110"/>
      <c r="V182" s="110"/>
      <c r="W182" s="110">
        <v>38056</v>
      </c>
      <c r="X182" s="110">
        <f t="shared" si="401"/>
        <v>39077</v>
      </c>
      <c r="Y182" s="110">
        <f t="shared" si="402"/>
        <v>1021</v>
      </c>
      <c r="Z182" s="110"/>
      <c r="AA182" s="110">
        <v>1021</v>
      </c>
      <c r="AB182" s="110"/>
      <c r="AC182" s="110"/>
      <c r="AD182" s="110"/>
      <c r="AE182" s="110"/>
      <c r="AF182" s="110">
        <v>3161</v>
      </c>
      <c r="AG182" s="135">
        <f t="shared" si="403"/>
        <v>3615</v>
      </c>
      <c r="AH182" s="135">
        <f t="shared" si="404"/>
        <v>454</v>
      </c>
      <c r="AI182" s="135">
        <v>454</v>
      </c>
      <c r="AJ182" s="135"/>
      <c r="AK182" s="135"/>
      <c r="AL182" s="454"/>
      <c r="AM182" s="135"/>
      <c r="AN182" s="135"/>
      <c r="AO182" s="135"/>
      <c r="AP182" s="135"/>
      <c r="AQ182" s="135"/>
      <c r="AR182" s="135">
        <v>0</v>
      </c>
      <c r="AS182" s="135">
        <f t="shared" si="405"/>
        <v>0</v>
      </c>
      <c r="AT182" s="135">
        <f t="shared" si="406"/>
        <v>0</v>
      </c>
      <c r="AU182" s="135"/>
      <c r="AV182" s="135"/>
      <c r="AW182" s="454"/>
      <c r="AX182" s="135"/>
      <c r="AY182" s="135"/>
      <c r="AZ182" s="110">
        <f t="shared" si="407"/>
        <v>-357</v>
      </c>
      <c r="BA182" s="110">
        <f t="shared" si="408"/>
        <v>-357</v>
      </c>
      <c r="BB182" s="110"/>
      <c r="BC182" s="110">
        <v>-357</v>
      </c>
      <c r="BD182" s="110"/>
      <c r="BE182" s="110"/>
      <c r="BF182" s="110"/>
      <c r="BG182" s="110"/>
      <c r="BH182" s="110"/>
      <c r="BI182" s="110"/>
      <c r="BJ182" s="110"/>
      <c r="BK182" s="332"/>
      <c r="BL182" s="111" t="s">
        <v>502</v>
      </c>
      <c r="BM182" s="117"/>
      <c r="BN182" s="36"/>
      <c r="BO182" s="36"/>
      <c r="BP182" s="36"/>
      <c r="BQ182" s="36"/>
      <c r="BR182" s="36"/>
      <c r="BS182" s="36"/>
      <c r="BT182" s="36"/>
      <c r="BU182" s="36"/>
    </row>
    <row r="183" spans="1:73" x14ac:dyDescent="0.2">
      <c r="A183" s="165"/>
      <c r="B183" s="129"/>
      <c r="C183" s="108"/>
      <c r="D183" s="307"/>
      <c r="E183" s="108" t="s">
        <v>286</v>
      </c>
      <c r="F183" s="346">
        <f t="shared" si="397"/>
        <v>83567</v>
      </c>
      <c r="G183" s="109">
        <f t="shared" si="398"/>
        <v>83567</v>
      </c>
      <c r="H183" s="110">
        <v>83567</v>
      </c>
      <c r="I183" s="110">
        <f t="shared" si="399"/>
        <v>83567</v>
      </c>
      <c r="J183" s="110">
        <f t="shared" si="400"/>
        <v>0</v>
      </c>
      <c r="K183" s="110"/>
      <c r="L183" s="110"/>
      <c r="M183" s="110"/>
      <c r="N183" s="110"/>
      <c r="O183" s="110"/>
      <c r="P183" s="110"/>
      <c r="Q183" s="110"/>
      <c r="R183" s="416"/>
      <c r="S183" s="435"/>
      <c r="T183" s="110"/>
      <c r="U183" s="110"/>
      <c r="V183" s="110"/>
      <c r="W183" s="110">
        <v>0</v>
      </c>
      <c r="X183" s="110">
        <f t="shared" si="401"/>
        <v>0</v>
      </c>
      <c r="Y183" s="110">
        <f t="shared" si="402"/>
        <v>0</v>
      </c>
      <c r="Z183" s="110"/>
      <c r="AA183" s="110"/>
      <c r="AB183" s="110"/>
      <c r="AC183" s="110"/>
      <c r="AD183" s="110"/>
      <c r="AE183" s="110"/>
      <c r="AF183" s="110">
        <v>0</v>
      </c>
      <c r="AG183" s="135">
        <f t="shared" si="403"/>
        <v>0</v>
      </c>
      <c r="AH183" s="135">
        <f t="shared" si="404"/>
        <v>0</v>
      </c>
      <c r="AI183" s="135"/>
      <c r="AJ183" s="135"/>
      <c r="AK183" s="135"/>
      <c r="AL183" s="454"/>
      <c r="AM183" s="135"/>
      <c r="AN183" s="135"/>
      <c r="AO183" s="135"/>
      <c r="AP183" s="135"/>
      <c r="AQ183" s="135"/>
      <c r="AR183" s="135">
        <v>0</v>
      </c>
      <c r="AS183" s="135">
        <f t="shared" si="405"/>
        <v>0</v>
      </c>
      <c r="AT183" s="135">
        <f t="shared" si="406"/>
        <v>0</v>
      </c>
      <c r="AU183" s="135"/>
      <c r="AV183" s="135"/>
      <c r="AW183" s="454"/>
      <c r="AX183" s="135"/>
      <c r="AY183" s="135"/>
      <c r="AZ183" s="110">
        <f t="shared" si="407"/>
        <v>0</v>
      </c>
      <c r="BA183" s="110">
        <f t="shared" si="408"/>
        <v>0</v>
      </c>
      <c r="BB183" s="110"/>
      <c r="BC183" s="110"/>
      <c r="BD183" s="110"/>
      <c r="BE183" s="110"/>
      <c r="BF183" s="110"/>
      <c r="BG183" s="110"/>
      <c r="BH183" s="110"/>
      <c r="BI183" s="110"/>
      <c r="BJ183" s="110"/>
      <c r="BK183" s="332"/>
      <c r="BL183" s="111" t="s">
        <v>503</v>
      </c>
      <c r="BM183" s="117"/>
      <c r="BN183" s="36"/>
      <c r="BO183" s="36"/>
      <c r="BP183" s="36"/>
      <c r="BQ183" s="36"/>
      <c r="BR183" s="36"/>
      <c r="BS183" s="36"/>
      <c r="BT183" s="36"/>
      <c r="BU183" s="36"/>
    </row>
    <row r="184" spans="1:73" ht="36" x14ac:dyDescent="0.2">
      <c r="A184" s="165">
        <v>90009249155</v>
      </c>
      <c r="B184" s="129"/>
      <c r="C184" s="471" t="s">
        <v>693</v>
      </c>
      <c r="D184" s="472"/>
      <c r="E184" s="108" t="s">
        <v>260</v>
      </c>
      <c r="F184" s="346">
        <f t="shared" si="397"/>
        <v>347802</v>
      </c>
      <c r="G184" s="109">
        <f t="shared" si="398"/>
        <v>348371</v>
      </c>
      <c r="H184" s="110">
        <v>325322</v>
      </c>
      <c r="I184" s="110">
        <f t="shared" si="399"/>
        <v>325322</v>
      </c>
      <c r="J184" s="110">
        <f t="shared" si="400"/>
        <v>0</v>
      </c>
      <c r="K184" s="110"/>
      <c r="L184" s="110"/>
      <c r="M184" s="110"/>
      <c r="N184" s="110"/>
      <c r="O184" s="110"/>
      <c r="P184" s="110"/>
      <c r="Q184" s="110"/>
      <c r="R184" s="416"/>
      <c r="S184" s="435"/>
      <c r="T184" s="110"/>
      <c r="U184" s="110"/>
      <c r="V184" s="110"/>
      <c r="W184" s="110">
        <v>22395</v>
      </c>
      <c r="X184" s="110">
        <f t="shared" si="401"/>
        <v>22962</v>
      </c>
      <c r="Y184" s="110">
        <f t="shared" si="402"/>
        <v>567</v>
      </c>
      <c r="Z184" s="110"/>
      <c r="AA184" s="110">
        <v>567</v>
      </c>
      <c r="AB184" s="110"/>
      <c r="AC184" s="110"/>
      <c r="AD184" s="110"/>
      <c r="AE184" s="110"/>
      <c r="AF184" s="110">
        <v>85</v>
      </c>
      <c r="AG184" s="135">
        <f t="shared" si="403"/>
        <v>464</v>
      </c>
      <c r="AH184" s="135">
        <f t="shared" si="404"/>
        <v>379</v>
      </c>
      <c r="AI184" s="135">
        <v>377</v>
      </c>
      <c r="AJ184" s="135"/>
      <c r="AK184" s="135"/>
      <c r="AL184" s="454">
        <v>2</v>
      </c>
      <c r="AM184" s="135"/>
      <c r="AN184" s="135"/>
      <c r="AO184" s="135"/>
      <c r="AP184" s="135"/>
      <c r="AQ184" s="135"/>
      <c r="AR184" s="135">
        <v>0</v>
      </c>
      <c r="AS184" s="135">
        <f t="shared" si="405"/>
        <v>0</v>
      </c>
      <c r="AT184" s="135">
        <f t="shared" si="406"/>
        <v>0</v>
      </c>
      <c r="AU184" s="135"/>
      <c r="AV184" s="135"/>
      <c r="AW184" s="454"/>
      <c r="AX184" s="135"/>
      <c r="AY184" s="135"/>
      <c r="AZ184" s="110">
        <f t="shared" si="407"/>
        <v>-377</v>
      </c>
      <c r="BA184" s="110">
        <f t="shared" si="408"/>
        <v>-377</v>
      </c>
      <c r="BB184" s="110"/>
      <c r="BC184" s="110">
        <v>-377</v>
      </c>
      <c r="BD184" s="110"/>
      <c r="BE184" s="110"/>
      <c r="BF184" s="110"/>
      <c r="BG184" s="110"/>
      <c r="BH184" s="110"/>
      <c r="BI184" s="110"/>
      <c r="BJ184" s="110"/>
      <c r="BK184" s="332"/>
      <c r="BL184" s="111" t="s">
        <v>504</v>
      </c>
      <c r="BM184" s="117"/>
      <c r="BN184" s="36"/>
      <c r="BO184" s="36"/>
      <c r="BP184" s="36"/>
      <c r="BQ184" s="36"/>
      <c r="BR184" s="36"/>
      <c r="BS184" s="36"/>
      <c r="BT184" s="36"/>
      <c r="BU184" s="36"/>
    </row>
    <row r="185" spans="1:73" x14ac:dyDescent="0.2">
      <c r="A185" s="165"/>
      <c r="B185" s="129"/>
      <c r="C185" s="108"/>
      <c r="D185" s="307"/>
      <c r="E185" s="108" t="s">
        <v>286</v>
      </c>
      <c r="F185" s="346">
        <f t="shared" si="397"/>
        <v>31711</v>
      </c>
      <c r="G185" s="109">
        <f t="shared" si="398"/>
        <v>31711</v>
      </c>
      <c r="H185" s="110">
        <v>31711</v>
      </c>
      <c r="I185" s="110">
        <f t="shared" si="399"/>
        <v>31711</v>
      </c>
      <c r="J185" s="110">
        <f t="shared" si="400"/>
        <v>0</v>
      </c>
      <c r="K185" s="110"/>
      <c r="L185" s="110"/>
      <c r="M185" s="110"/>
      <c r="N185" s="110"/>
      <c r="O185" s="110"/>
      <c r="P185" s="110"/>
      <c r="Q185" s="110"/>
      <c r="R185" s="416"/>
      <c r="S185" s="435"/>
      <c r="T185" s="110"/>
      <c r="U185" s="110"/>
      <c r="V185" s="110"/>
      <c r="W185" s="110">
        <v>0</v>
      </c>
      <c r="X185" s="110">
        <f t="shared" si="401"/>
        <v>0</v>
      </c>
      <c r="Y185" s="110">
        <f t="shared" si="402"/>
        <v>0</v>
      </c>
      <c r="Z185" s="110"/>
      <c r="AA185" s="110"/>
      <c r="AB185" s="110"/>
      <c r="AC185" s="110"/>
      <c r="AD185" s="110"/>
      <c r="AE185" s="110"/>
      <c r="AF185" s="110">
        <v>0</v>
      </c>
      <c r="AG185" s="135">
        <f t="shared" si="403"/>
        <v>0</v>
      </c>
      <c r="AH185" s="135">
        <f t="shared" si="404"/>
        <v>0</v>
      </c>
      <c r="AI185" s="135"/>
      <c r="AJ185" s="135"/>
      <c r="AK185" s="135"/>
      <c r="AL185" s="454"/>
      <c r="AM185" s="135"/>
      <c r="AN185" s="135"/>
      <c r="AO185" s="135"/>
      <c r="AP185" s="135"/>
      <c r="AQ185" s="135"/>
      <c r="AR185" s="135">
        <v>0</v>
      </c>
      <c r="AS185" s="135">
        <f t="shared" si="405"/>
        <v>0</v>
      </c>
      <c r="AT185" s="135">
        <f t="shared" si="406"/>
        <v>0</v>
      </c>
      <c r="AU185" s="135"/>
      <c r="AV185" s="135"/>
      <c r="AW185" s="454"/>
      <c r="AX185" s="135"/>
      <c r="AY185" s="135"/>
      <c r="AZ185" s="110">
        <f t="shared" si="407"/>
        <v>0</v>
      </c>
      <c r="BA185" s="110">
        <f t="shared" si="408"/>
        <v>0</v>
      </c>
      <c r="BB185" s="110"/>
      <c r="BC185" s="110"/>
      <c r="BD185" s="110"/>
      <c r="BE185" s="110"/>
      <c r="BF185" s="110"/>
      <c r="BG185" s="110"/>
      <c r="BH185" s="110"/>
      <c r="BI185" s="110"/>
      <c r="BJ185" s="110"/>
      <c r="BK185" s="332"/>
      <c r="BL185" s="111" t="s">
        <v>505</v>
      </c>
      <c r="BM185" s="117"/>
      <c r="BN185" s="36"/>
      <c r="BO185" s="36"/>
      <c r="BP185" s="36"/>
      <c r="BQ185" s="36"/>
      <c r="BR185" s="36"/>
      <c r="BS185" s="36"/>
      <c r="BT185" s="36"/>
      <c r="BU185" s="36"/>
    </row>
    <row r="186" spans="1:73" ht="36" x14ac:dyDescent="0.2">
      <c r="A186" s="165">
        <v>90009249259</v>
      </c>
      <c r="B186" s="129"/>
      <c r="C186" s="471" t="s">
        <v>694</v>
      </c>
      <c r="D186" s="472"/>
      <c r="E186" s="108" t="s">
        <v>260</v>
      </c>
      <c r="F186" s="346">
        <f t="shared" si="397"/>
        <v>606195</v>
      </c>
      <c r="G186" s="109">
        <f t="shared" si="398"/>
        <v>607575</v>
      </c>
      <c r="H186" s="110">
        <v>560911</v>
      </c>
      <c r="I186" s="110">
        <f t="shared" si="399"/>
        <v>560911</v>
      </c>
      <c r="J186" s="110">
        <f t="shared" si="400"/>
        <v>0</v>
      </c>
      <c r="K186" s="110"/>
      <c r="L186" s="110"/>
      <c r="M186" s="110"/>
      <c r="N186" s="110"/>
      <c r="O186" s="110"/>
      <c r="P186" s="110"/>
      <c r="Q186" s="110"/>
      <c r="R186" s="416"/>
      <c r="S186" s="435"/>
      <c r="T186" s="110"/>
      <c r="U186" s="110"/>
      <c r="V186" s="110"/>
      <c r="W186" s="110">
        <v>41363</v>
      </c>
      <c r="X186" s="110">
        <f t="shared" si="401"/>
        <v>42498</v>
      </c>
      <c r="Y186" s="110">
        <f t="shared" si="402"/>
        <v>1135</v>
      </c>
      <c r="Z186" s="110"/>
      <c r="AA186" s="110">
        <v>1135</v>
      </c>
      <c r="AB186" s="110"/>
      <c r="AC186" s="110"/>
      <c r="AD186" s="110"/>
      <c r="AE186" s="110"/>
      <c r="AF186" s="110">
        <v>3921</v>
      </c>
      <c r="AG186" s="135">
        <f t="shared" si="403"/>
        <v>4553</v>
      </c>
      <c r="AH186" s="135">
        <f t="shared" si="404"/>
        <v>632</v>
      </c>
      <c r="AI186" s="135">
        <v>632</v>
      </c>
      <c r="AJ186" s="135"/>
      <c r="AK186" s="135"/>
      <c r="AL186" s="454"/>
      <c r="AM186" s="135"/>
      <c r="AN186" s="135"/>
      <c r="AO186" s="135"/>
      <c r="AP186" s="135"/>
      <c r="AQ186" s="135"/>
      <c r="AR186" s="135">
        <v>0</v>
      </c>
      <c r="AS186" s="135">
        <f t="shared" si="405"/>
        <v>0</v>
      </c>
      <c r="AT186" s="135">
        <f t="shared" si="406"/>
        <v>0</v>
      </c>
      <c r="AU186" s="135"/>
      <c r="AV186" s="135"/>
      <c r="AW186" s="454"/>
      <c r="AX186" s="135"/>
      <c r="AY186" s="135"/>
      <c r="AZ186" s="110">
        <f t="shared" si="407"/>
        <v>-387</v>
      </c>
      <c r="BA186" s="110">
        <f t="shared" si="408"/>
        <v>-387</v>
      </c>
      <c r="BB186" s="110"/>
      <c r="BC186" s="110">
        <v>-387</v>
      </c>
      <c r="BD186" s="110"/>
      <c r="BE186" s="110"/>
      <c r="BF186" s="110"/>
      <c r="BG186" s="110"/>
      <c r="BH186" s="110"/>
      <c r="BI186" s="110"/>
      <c r="BJ186" s="110"/>
      <c r="BK186" s="332"/>
      <c r="BL186" s="111" t="s">
        <v>506</v>
      </c>
      <c r="BM186" s="117"/>
      <c r="BN186" s="36"/>
      <c r="BO186" s="36"/>
      <c r="BP186" s="36"/>
      <c r="BQ186" s="36"/>
      <c r="BR186" s="36"/>
      <c r="BS186" s="36"/>
      <c r="BT186" s="36"/>
      <c r="BU186" s="36"/>
    </row>
    <row r="187" spans="1:73" x14ac:dyDescent="0.2">
      <c r="A187" s="165"/>
      <c r="B187" s="129"/>
      <c r="C187" s="108"/>
      <c r="D187" s="307"/>
      <c r="E187" s="108" t="s">
        <v>286</v>
      </c>
      <c r="F187" s="346">
        <f t="shared" si="397"/>
        <v>74240</v>
      </c>
      <c r="G187" s="109">
        <f t="shared" si="398"/>
        <v>74240</v>
      </c>
      <c r="H187" s="110">
        <v>74240</v>
      </c>
      <c r="I187" s="110">
        <f t="shared" si="399"/>
        <v>74240</v>
      </c>
      <c r="J187" s="110">
        <f t="shared" si="400"/>
        <v>0</v>
      </c>
      <c r="K187" s="110"/>
      <c r="L187" s="110"/>
      <c r="M187" s="110"/>
      <c r="N187" s="110"/>
      <c r="O187" s="110"/>
      <c r="P187" s="110"/>
      <c r="Q187" s="110"/>
      <c r="R187" s="416"/>
      <c r="S187" s="435"/>
      <c r="T187" s="110"/>
      <c r="U187" s="110"/>
      <c r="V187" s="110"/>
      <c r="W187" s="110">
        <v>0</v>
      </c>
      <c r="X187" s="110">
        <f t="shared" si="401"/>
        <v>0</v>
      </c>
      <c r="Y187" s="110">
        <f t="shared" si="402"/>
        <v>0</v>
      </c>
      <c r="Z187" s="110"/>
      <c r="AA187" s="110"/>
      <c r="AB187" s="110"/>
      <c r="AC187" s="110"/>
      <c r="AD187" s="110"/>
      <c r="AE187" s="110"/>
      <c r="AF187" s="110">
        <v>0</v>
      </c>
      <c r="AG187" s="135">
        <f t="shared" si="403"/>
        <v>0</v>
      </c>
      <c r="AH187" s="135">
        <f t="shared" si="404"/>
        <v>0</v>
      </c>
      <c r="AI187" s="135"/>
      <c r="AJ187" s="135"/>
      <c r="AK187" s="135"/>
      <c r="AL187" s="454"/>
      <c r="AM187" s="135"/>
      <c r="AN187" s="135"/>
      <c r="AO187" s="135"/>
      <c r="AP187" s="135"/>
      <c r="AQ187" s="135"/>
      <c r="AR187" s="135">
        <v>0</v>
      </c>
      <c r="AS187" s="135">
        <f t="shared" si="405"/>
        <v>0</v>
      </c>
      <c r="AT187" s="135">
        <f t="shared" si="406"/>
        <v>0</v>
      </c>
      <c r="AU187" s="135"/>
      <c r="AV187" s="135"/>
      <c r="AW187" s="454"/>
      <c r="AX187" s="135"/>
      <c r="AY187" s="135"/>
      <c r="AZ187" s="110">
        <f t="shared" si="407"/>
        <v>0</v>
      </c>
      <c r="BA187" s="110">
        <f t="shared" si="408"/>
        <v>0</v>
      </c>
      <c r="BB187" s="110"/>
      <c r="BC187" s="110"/>
      <c r="BD187" s="110"/>
      <c r="BE187" s="110"/>
      <c r="BF187" s="110"/>
      <c r="BG187" s="110"/>
      <c r="BH187" s="110"/>
      <c r="BI187" s="110"/>
      <c r="BJ187" s="110"/>
      <c r="BK187" s="332"/>
      <c r="BL187" s="111" t="s">
        <v>507</v>
      </c>
      <c r="BM187" s="117"/>
      <c r="BN187" s="36"/>
      <c r="BO187" s="36"/>
      <c r="BP187" s="36"/>
      <c r="BQ187" s="36"/>
      <c r="BR187" s="36"/>
      <c r="BS187" s="36"/>
      <c r="BT187" s="36"/>
      <c r="BU187" s="36"/>
    </row>
    <row r="188" spans="1:73" ht="36" x14ac:dyDescent="0.2">
      <c r="A188" s="165">
        <v>90009249314</v>
      </c>
      <c r="B188" s="129"/>
      <c r="C188" s="471" t="s">
        <v>695</v>
      </c>
      <c r="D188" s="472"/>
      <c r="E188" s="108" t="s">
        <v>260</v>
      </c>
      <c r="F188" s="346">
        <f t="shared" si="397"/>
        <v>615974</v>
      </c>
      <c r="G188" s="109">
        <f t="shared" si="398"/>
        <v>618355</v>
      </c>
      <c r="H188" s="110">
        <v>545668</v>
      </c>
      <c r="I188" s="110">
        <f t="shared" si="399"/>
        <v>545668</v>
      </c>
      <c r="J188" s="110">
        <f t="shared" si="400"/>
        <v>0</v>
      </c>
      <c r="K188" s="110"/>
      <c r="L188" s="110"/>
      <c r="M188" s="110"/>
      <c r="N188" s="110"/>
      <c r="O188" s="110"/>
      <c r="P188" s="110"/>
      <c r="Q188" s="110"/>
      <c r="R188" s="416"/>
      <c r="S188" s="435"/>
      <c r="T188" s="110"/>
      <c r="U188" s="110"/>
      <c r="V188" s="110"/>
      <c r="W188" s="110">
        <v>65256</v>
      </c>
      <c r="X188" s="110">
        <f t="shared" si="401"/>
        <v>66731</v>
      </c>
      <c r="Y188" s="110">
        <f t="shared" si="402"/>
        <v>1475</v>
      </c>
      <c r="Z188" s="110"/>
      <c r="AA188" s="110">
        <v>1475</v>
      </c>
      <c r="AB188" s="110"/>
      <c r="AC188" s="110"/>
      <c r="AD188" s="110"/>
      <c r="AE188" s="110"/>
      <c r="AF188" s="110">
        <v>5050</v>
      </c>
      <c r="AG188" s="135">
        <f t="shared" si="403"/>
        <v>6860</v>
      </c>
      <c r="AH188" s="135">
        <f t="shared" si="404"/>
        <v>1810</v>
      </c>
      <c r="AI188" s="135">
        <f>100+1710</f>
        <v>1810</v>
      </c>
      <c r="AJ188" s="135"/>
      <c r="AK188" s="135"/>
      <c r="AL188" s="454"/>
      <c r="AM188" s="135"/>
      <c r="AN188" s="135"/>
      <c r="AO188" s="135"/>
      <c r="AP188" s="135"/>
      <c r="AQ188" s="135"/>
      <c r="AR188" s="135">
        <v>0</v>
      </c>
      <c r="AS188" s="135">
        <f t="shared" si="405"/>
        <v>0</v>
      </c>
      <c r="AT188" s="135">
        <f t="shared" si="406"/>
        <v>0</v>
      </c>
      <c r="AU188" s="135"/>
      <c r="AV188" s="135"/>
      <c r="AW188" s="454"/>
      <c r="AX188" s="135"/>
      <c r="AY188" s="135"/>
      <c r="AZ188" s="110">
        <f t="shared" si="407"/>
        <v>-904</v>
      </c>
      <c r="BA188" s="110">
        <f t="shared" si="408"/>
        <v>-904</v>
      </c>
      <c r="BB188" s="110"/>
      <c r="BC188" s="110">
        <v>-904</v>
      </c>
      <c r="BD188" s="110"/>
      <c r="BE188" s="110"/>
      <c r="BF188" s="110"/>
      <c r="BG188" s="110"/>
      <c r="BH188" s="110"/>
      <c r="BI188" s="110"/>
      <c r="BJ188" s="110"/>
      <c r="BK188" s="332"/>
      <c r="BL188" s="111" t="s">
        <v>508</v>
      </c>
      <c r="BM188" s="117"/>
      <c r="BN188" s="36"/>
      <c r="BO188" s="36"/>
      <c r="BP188" s="36"/>
      <c r="BQ188" s="36"/>
      <c r="BR188" s="36"/>
      <c r="BS188" s="36"/>
      <c r="BT188" s="36"/>
      <c r="BU188" s="36"/>
    </row>
    <row r="189" spans="1:73" x14ac:dyDescent="0.2">
      <c r="A189" s="165"/>
      <c r="B189" s="129"/>
      <c r="C189" s="108"/>
      <c r="D189" s="307"/>
      <c r="E189" s="108" t="s">
        <v>286</v>
      </c>
      <c r="F189" s="346">
        <f t="shared" si="397"/>
        <v>75359</v>
      </c>
      <c r="G189" s="109">
        <f t="shared" si="398"/>
        <v>75359</v>
      </c>
      <c r="H189" s="110">
        <v>75359</v>
      </c>
      <c r="I189" s="110">
        <f t="shared" si="399"/>
        <v>75359</v>
      </c>
      <c r="J189" s="110">
        <f t="shared" si="400"/>
        <v>0</v>
      </c>
      <c r="K189" s="110"/>
      <c r="L189" s="110"/>
      <c r="M189" s="110"/>
      <c r="N189" s="110"/>
      <c r="O189" s="110"/>
      <c r="P189" s="110"/>
      <c r="Q189" s="110"/>
      <c r="R189" s="416"/>
      <c r="S189" s="435"/>
      <c r="T189" s="110"/>
      <c r="U189" s="110"/>
      <c r="V189" s="110"/>
      <c r="W189" s="110">
        <v>0</v>
      </c>
      <c r="X189" s="110">
        <f t="shared" si="401"/>
        <v>0</v>
      </c>
      <c r="Y189" s="110">
        <f t="shared" si="402"/>
        <v>0</v>
      </c>
      <c r="Z189" s="110"/>
      <c r="AA189" s="110"/>
      <c r="AB189" s="110"/>
      <c r="AC189" s="110"/>
      <c r="AD189" s="110"/>
      <c r="AE189" s="110"/>
      <c r="AF189" s="110">
        <v>0</v>
      </c>
      <c r="AG189" s="135">
        <f t="shared" si="403"/>
        <v>0</v>
      </c>
      <c r="AH189" s="135">
        <f t="shared" si="404"/>
        <v>0</v>
      </c>
      <c r="AI189" s="135"/>
      <c r="AJ189" s="135"/>
      <c r="AK189" s="135"/>
      <c r="AL189" s="454"/>
      <c r="AM189" s="135"/>
      <c r="AN189" s="135"/>
      <c r="AO189" s="135"/>
      <c r="AP189" s="135"/>
      <c r="AQ189" s="135"/>
      <c r="AR189" s="135">
        <v>0</v>
      </c>
      <c r="AS189" s="135">
        <f t="shared" si="405"/>
        <v>0</v>
      </c>
      <c r="AT189" s="135">
        <f t="shared" si="406"/>
        <v>0</v>
      </c>
      <c r="AU189" s="135"/>
      <c r="AV189" s="135"/>
      <c r="AW189" s="454"/>
      <c r="AX189" s="135"/>
      <c r="AY189" s="135"/>
      <c r="AZ189" s="110">
        <f t="shared" si="407"/>
        <v>0</v>
      </c>
      <c r="BA189" s="110">
        <f t="shared" si="408"/>
        <v>0</v>
      </c>
      <c r="BB189" s="110"/>
      <c r="BC189" s="110"/>
      <c r="BD189" s="110"/>
      <c r="BE189" s="110"/>
      <c r="BF189" s="110"/>
      <c r="BG189" s="110"/>
      <c r="BH189" s="110"/>
      <c r="BI189" s="110"/>
      <c r="BJ189" s="110"/>
      <c r="BK189" s="332"/>
      <c r="BL189" s="111" t="s">
        <v>509</v>
      </c>
      <c r="BM189" s="117"/>
      <c r="BN189" s="36"/>
      <c r="BO189" s="36"/>
      <c r="BP189" s="36"/>
      <c r="BQ189" s="36"/>
      <c r="BR189" s="36"/>
      <c r="BS189" s="36"/>
      <c r="BT189" s="36"/>
      <c r="BU189" s="36"/>
    </row>
    <row r="190" spans="1:73" ht="36" x14ac:dyDescent="0.2">
      <c r="A190" s="165">
        <v>90009249189</v>
      </c>
      <c r="B190" s="129"/>
      <c r="C190" s="471" t="s">
        <v>696</v>
      </c>
      <c r="D190" s="472"/>
      <c r="E190" s="108" t="s">
        <v>260</v>
      </c>
      <c r="F190" s="346">
        <f t="shared" si="397"/>
        <v>595712</v>
      </c>
      <c r="G190" s="109">
        <f t="shared" si="398"/>
        <v>597236</v>
      </c>
      <c r="H190" s="110">
        <v>523582</v>
      </c>
      <c r="I190" s="110">
        <f t="shared" si="399"/>
        <v>523582</v>
      </c>
      <c r="J190" s="110">
        <f t="shared" si="400"/>
        <v>0</v>
      </c>
      <c r="K190" s="110"/>
      <c r="L190" s="110"/>
      <c r="M190" s="110"/>
      <c r="N190" s="110"/>
      <c r="O190" s="110"/>
      <c r="P190" s="110"/>
      <c r="Q190" s="110"/>
      <c r="R190" s="416"/>
      <c r="S190" s="435"/>
      <c r="T190" s="110"/>
      <c r="U190" s="110"/>
      <c r="V190" s="110"/>
      <c r="W190" s="110">
        <v>69037</v>
      </c>
      <c r="X190" s="110">
        <f t="shared" si="401"/>
        <v>70474</v>
      </c>
      <c r="Y190" s="110">
        <f t="shared" si="402"/>
        <v>1437</v>
      </c>
      <c r="Z190" s="110"/>
      <c r="AA190" s="110">
        <v>1437</v>
      </c>
      <c r="AB190" s="110"/>
      <c r="AC190" s="110"/>
      <c r="AD190" s="110"/>
      <c r="AE190" s="110"/>
      <c r="AF190" s="110">
        <v>3093</v>
      </c>
      <c r="AG190" s="135">
        <f t="shared" si="403"/>
        <v>3295</v>
      </c>
      <c r="AH190" s="135">
        <f t="shared" si="404"/>
        <v>202</v>
      </c>
      <c r="AI190" s="135">
        <v>202</v>
      </c>
      <c r="AJ190" s="135"/>
      <c r="AK190" s="135"/>
      <c r="AL190" s="454"/>
      <c r="AM190" s="135"/>
      <c r="AN190" s="135"/>
      <c r="AO190" s="135"/>
      <c r="AP190" s="135"/>
      <c r="AQ190" s="135"/>
      <c r="AR190" s="135">
        <v>0</v>
      </c>
      <c r="AS190" s="135">
        <f t="shared" si="405"/>
        <v>0</v>
      </c>
      <c r="AT190" s="135">
        <f t="shared" si="406"/>
        <v>0</v>
      </c>
      <c r="AU190" s="135"/>
      <c r="AV190" s="135"/>
      <c r="AW190" s="454"/>
      <c r="AX190" s="135"/>
      <c r="AY190" s="135"/>
      <c r="AZ190" s="110">
        <f t="shared" si="407"/>
        <v>-115</v>
      </c>
      <c r="BA190" s="110">
        <f t="shared" si="408"/>
        <v>-115</v>
      </c>
      <c r="BB190" s="110"/>
      <c r="BC190" s="110">
        <v>-115</v>
      </c>
      <c r="BD190" s="110"/>
      <c r="BE190" s="110"/>
      <c r="BF190" s="110"/>
      <c r="BG190" s="110"/>
      <c r="BH190" s="110"/>
      <c r="BI190" s="110"/>
      <c r="BJ190" s="110"/>
      <c r="BK190" s="332"/>
      <c r="BL190" s="111" t="s">
        <v>510</v>
      </c>
      <c r="BM190" s="117"/>
      <c r="BN190" s="36"/>
      <c r="BO190" s="36"/>
      <c r="BP190" s="36"/>
      <c r="BQ190" s="36"/>
      <c r="BR190" s="36"/>
      <c r="BS190" s="36"/>
      <c r="BT190" s="36"/>
      <c r="BU190" s="36"/>
    </row>
    <row r="191" spans="1:73" x14ac:dyDescent="0.2">
      <c r="A191" s="165"/>
      <c r="B191" s="129"/>
      <c r="C191" s="108"/>
      <c r="D191" s="307"/>
      <c r="E191" s="108" t="s">
        <v>286</v>
      </c>
      <c r="F191" s="346">
        <f t="shared" si="397"/>
        <v>70882</v>
      </c>
      <c r="G191" s="109">
        <f t="shared" si="398"/>
        <v>70882</v>
      </c>
      <c r="H191" s="110">
        <v>70882</v>
      </c>
      <c r="I191" s="110">
        <f t="shared" si="399"/>
        <v>70882</v>
      </c>
      <c r="J191" s="110">
        <f t="shared" si="400"/>
        <v>0</v>
      </c>
      <c r="K191" s="110"/>
      <c r="L191" s="110"/>
      <c r="M191" s="110"/>
      <c r="N191" s="110"/>
      <c r="O191" s="110"/>
      <c r="P191" s="110"/>
      <c r="Q191" s="110"/>
      <c r="R191" s="416"/>
      <c r="S191" s="435"/>
      <c r="T191" s="110"/>
      <c r="U191" s="110"/>
      <c r="V191" s="110"/>
      <c r="W191" s="110">
        <v>0</v>
      </c>
      <c r="X191" s="110">
        <f t="shared" si="401"/>
        <v>0</v>
      </c>
      <c r="Y191" s="110">
        <f t="shared" si="402"/>
        <v>0</v>
      </c>
      <c r="Z191" s="110"/>
      <c r="AA191" s="110"/>
      <c r="AB191" s="110"/>
      <c r="AC191" s="110"/>
      <c r="AD191" s="110"/>
      <c r="AE191" s="110"/>
      <c r="AF191" s="110">
        <v>0</v>
      </c>
      <c r="AG191" s="135">
        <f t="shared" si="403"/>
        <v>0</v>
      </c>
      <c r="AH191" s="135">
        <f t="shared" si="404"/>
        <v>0</v>
      </c>
      <c r="AI191" s="135"/>
      <c r="AJ191" s="135"/>
      <c r="AK191" s="135"/>
      <c r="AL191" s="454"/>
      <c r="AM191" s="135"/>
      <c r="AN191" s="135"/>
      <c r="AO191" s="135"/>
      <c r="AP191" s="135"/>
      <c r="AQ191" s="135"/>
      <c r="AR191" s="135">
        <v>0</v>
      </c>
      <c r="AS191" s="135">
        <f t="shared" si="405"/>
        <v>0</v>
      </c>
      <c r="AT191" s="135">
        <f t="shared" si="406"/>
        <v>0</v>
      </c>
      <c r="AU191" s="135"/>
      <c r="AV191" s="135"/>
      <c r="AW191" s="454"/>
      <c r="AX191" s="135"/>
      <c r="AY191" s="135"/>
      <c r="AZ191" s="110">
        <f t="shared" si="407"/>
        <v>0</v>
      </c>
      <c r="BA191" s="110">
        <f t="shared" si="408"/>
        <v>0</v>
      </c>
      <c r="BB191" s="110"/>
      <c r="BC191" s="110"/>
      <c r="BD191" s="110"/>
      <c r="BE191" s="110"/>
      <c r="BF191" s="110"/>
      <c r="BG191" s="110"/>
      <c r="BH191" s="110"/>
      <c r="BI191" s="110"/>
      <c r="BJ191" s="110"/>
      <c r="BK191" s="332"/>
      <c r="BL191" s="111" t="s">
        <v>511</v>
      </c>
      <c r="BM191" s="117"/>
      <c r="BN191" s="36"/>
      <c r="BO191" s="36"/>
      <c r="BP191" s="36"/>
      <c r="BQ191" s="36"/>
      <c r="BR191" s="36"/>
      <c r="BS191" s="36"/>
      <c r="BT191" s="36"/>
      <c r="BU191" s="36"/>
    </row>
    <row r="192" spans="1:73" ht="36" x14ac:dyDescent="0.2">
      <c r="A192" s="165">
        <v>90009249136</v>
      </c>
      <c r="B192" s="129"/>
      <c r="C192" s="471" t="s">
        <v>697</v>
      </c>
      <c r="D192" s="472"/>
      <c r="E192" s="108" t="s">
        <v>260</v>
      </c>
      <c r="F192" s="346">
        <f t="shared" si="397"/>
        <v>303647</v>
      </c>
      <c r="G192" s="109">
        <f t="shared" si="398"/>
        <v>304044</v>
      </c>
      <c r="H192" s="110">
        <v>288742</v>
      </c>
      <c r="I192" s="110">
        <f t="shared" si="399"/>
        <v>288742</v>
      </c>
      <c r="J192" s="110">
        <f t="shared" si="400"/>
        <v>0</v>
      </c>
      <c r="K192" s="110"/>
      <c r="L192" s="110"/>
      <c r="M192" s="110"/>
      <c r="N192" s="110"/>
      <c r="O192" s="110"/>
      <c r="P192" s="110"/>
      <c r="Q192" s="110"/>
      <c r="R192" s="416"/>
      <c r="S192" s="435"/>
      <c r="T192" s="110"/>
      <c r="U192" s="110"/>
      <c r="V192" s="110"/>
      <c r="W192" s="110">
        <v>14905</v>
      </c>
      <c r="X192" s="110">
        <f t="shared" si="401"/>
        <v>15302</v>
      </c>
      <c r="Y192" s="110">
        <f t="shared" si="402"/>
        <v>397</v>
      </c>
      <c r="Z192" s="110"/>
      <c r="AA192" s="110">
        <v>397</v>
      </c>
      <c r="AB192" s="110"/>
      <c r="AC192" s="110"/>
      <c r="AD192" s="110"/>
      <c r="AE192" s="110"/>
      <c r="AF192" s="110">
        <v>0</v>
      </c>
      <c r="AG192" s="135">
        <f t="shared" si="403"/>
        <v>394</v>
      </c>
      <c r="AH192" s="135">
        <f t="shared" si="404"/>
        <v>394</v>
      </c>
      <c r="AI192" s="135">
        <v>394</v>
      </c>
      <c r="AJ192" s="135"/>
      <c r="AK192" s="135"/>
      <c r="AL192" s="454"/>
      <c r="AM192" s="135"/>
      <c r="AN192" s="135"/>
      <c r="AO192" s="135"/>
      <c r="AP192" s="135"/>
      <c r="AQ192" s="135"/>
      <c r="AR192" s="135">
        <v>0</v>
      </c>
      <c r="AS192" s="135">
        <f t="shared" si="405"/>
        <v>0</v>
      </c>
      <c r="AT192" s="135">
        <f t="shared" si="406"/>
        <v>0</v>
      </c>
      <c r="AU192" s="135"/>
      <c r="AV192" s="135"/>
      <c r="AW192" s="454"/>
      <c r="AX192" s="135"/>
      <c r="AY192" s="135"/>
      <c r="AZ192" s="110">
        <f t="shared" si="407"/>
        <v>-394</v>
      </c>
      <c r="BA192" s="110">
        <f t="shared" si="408"/>
        <v>-394</v>
      </c>
      <c r="BB192" s="110"/>
      <c r="BC192" s="110">
        <v>-394</v>
      </c>
      <c r="BD192" s="110"/>
      <c r="BE192" s="110"/>
      <c r="BF192" s="110"/>
      <c r="BG192" s="110"/>
      <c r="BH192" s="110"/>
      <c r="BI192" s="110"/>
      <c r="BJ192" s="110"/>
      <c r="BK192" s="332"/>
      <c r="BL192" s="111" t="s">
        <v>512</v>
      </c>
      <c r="BM192" s="117"/>
      <c r="BN192" s="36"/>
      <c r="BO192" s="36"/>
      <c r="BP192" s="36"/>
      <c r="BQ192" s="36"/>
      <c r="BR192" s="36"/>
      <c r="BS192" s="36"/>
      <c r="BT192" s="36"/>
      <c r="BU192" s="36"/>
    </row>
    <row r="193" spans="1:73" x14ac:dyDescent="0.2">
      <c r="A193" s="165"/>
      <c r="B193" s="129"/>
      <c r="C193" s="108"/>
      <c r="D193" s="307"/>
      <c r="E193" s="108" t="s">
        <v>286</v>
      </c>
      <c r="F193" s="346">
        <f t="shared" si="397"/>
        <v>31337</v>
      </c>
      <c r="G193" s="109">
        <f t="shared" si="398"/>
        <v>31337</v>
      </c>
      <c r="H193" s="110">
        <v>31337</v>
      </c>
      <c r="I193" s="110">
        <f t="shared" si="399"/>
        <v>31337</v>
      </c>
      <c r="J193" s="110">
        <f t="shared" si="400"/>
        <v>0</v>
      </c>
      <c r="K193" s="110"/>
      <c r="L193" s="110"/>
      <c r="M193" s="110"/>
      <c r="N193" s="110"/>
      <c r="O193" s="110"/>
      <c r="P193" s="110"/>
      <c r="Q193" s="110"/>
      <c r="R193" s="416"/>
      <c r="S193" s="435"/>
      <c r="T193" s="110"/>
      <c r="U193" s="110"/>
      <c r="V193" s="110"/>
      <c r="W193" s="110">
        <v>0</v>
      </c>
      <c r="X193" s="110">
        <f t="shared" si="401"/>
        <v>0</v>
      </c>
      <c r="Y193" s="110">
        <f t="shared" si="402"/>
        <v>0</v>
      </c>
      <c r="Z193" s="110"/>
      <c r="AA193" s="110"/>
      <c r="AB193" s="110"/>
      <c r="AC193" s="110"/>
      <c r="AD193" s="110"/>
      <c r="AE193" s="110"/>
      <c r="AF193" s="110">
        <v>0</v>
      </c>
      <c r="AG193" s="135">
        <f t="shared" si="403"/>
        <v>0</v>
      </c>
      <c r="AH193" s="135">
        <f t="shared" si="404"/>
        <v>0</v>
      </c>
      <c r="AI193" s="135"/>
      <c r="AJ193" s="135"/>
      <c r="AK193" s="135"/>
      <c r="AL193" s="454"/>
      <c r="AM193" s="135"/>
      <c r="AN193" s="135"/>
      <c r="AO193" s="135"/>
      <c r="AP193" s="135"/>
      <c r="AQ193" s="135"/>
      <c r="AR193" s="135">
        <v>0</v>
      </c>
      <c r="AS193" s="135">
        <f t="shared" si="405"/>
        <v>0</v>
      </c>
      <c r="AT193" s="135">
        <f t="shared" si="406"/>
        <v>0</v>
      </c>
      <c r="AU193" s="135"/>
      <c r="AV193" s="135"/>
      <c r="AW193" s="454"/>
      <c r="AX193" s="135"/>
      <c r="AY193" s="135"/>
      <c r="AZ193" s="110">
        <f t="shared" si="407"/>
        <v>0</v>
      </c>
      <c r="BA193" s="110">
        <f t="shared" si="408"/>
        <v>0</v>
      </c>
      <c r="BB193" s="110"/>
      <c r="BC193" s="110"/>
      <c r="BD193" s="110"/>
      <c r="BE193" s="110"/>
      <c r="BF193" s="110"/>
      <c r="BG193" s="110"/>
      <c r="BH193" s="110"/>
      <c r="BI193" s="110"/>
      <c r="BJ193" s="110"/>
      <c r="BK193" s="332"/>
      <c r="BL193" s="111" t="s">
        <v>513</v>
      </c>
      <c r="BM193" s="117"/>
      <c r="BN193" s="36"/>
      <c r="BO193" s="36"/>
      <c r="BP193" s="36"/>
      <c r="BQ193" s="36"/>
      <c r="BR193" s="36"/>
      <c r="BS193" s="36"/>
      <c r="BT193" s="36"/>
      <c r="BU193" s="36"/>
    </row>
    <row r="194" spans="1:73" ht="36" x14ac:dyDescent="0.2">
      <c r="A194" s="165">
        <v>90009563202</v>
      </c>
      <c r="B194" s="129"/>
      <c r="C194" s="471" t="s">
        <v>698</v>
      </c>
      <c r="D194" s="472"/>
      <c r="E194" s="108" t="s">
        <v>260</v>
      </c>
      <c r="F194" s="346">
        <f t="shared" si="397"/>
        <v>302294</v>
      </c>
      <c r="G194" s="109">
        <f t="shared" si="398"/>
        <v>316233</v>
      </c>
      <c r="H194" s="110">
        <v>100816</v>
      </c>
      <c r="I194" s="110">
        <f t="shared" si="399"/>
        <v>100816</v>
      </c>
      <c r="J194" s="110">
        <f t="shared" si="400"/>
        <v>0</v>
      </c>
      <c r="K194" s="110"/>
      <c r="L194" s="110"/>
      <c r="M194" s="110"/>
      <c r="N194" s="110"/>
      <c r="O194" s="110"/>
      <c r="P194" s="110"/>
      <c r="Q194" s="110"/>
      <c r="R194" s="416"/>
      <c r="S194" s="435"/>
      <c r="T194" s="110"/>
      <c r="U194" s="110"/>
      <c r="V194" s="110"/>
      <c r="W194" s="110">
        <v>200609</v>
      </c>
      <c r="X194" s="110">
        <f t="shared" si="401"/>
        <v>214548</v>
      </c>
      <c r="Y194" s="110">
        <f t="shared" si="402"/>
        <v>13939</v>
      </c>
      <c r="Z194" s="110">
        <v>13939</v>
      </c>
      <c r="AA194" s="110"/>
      <c r="AB194" s="110"/>
      <c r="AC194" s="110"/>
      <c r="AD194" s="110"/>
      <c r="AE194" s="110"/>
      <c r="AF194" s="110">
        <v>869</v>
      </c>
      <c r="AG194" s="135">
        <f t="shared" si="403"/>
        <v>869</v>
      </c>
      <c r="AH194" s="135">
        <f t="shared" si="404"/>
        <v>0</v>
      </c>
      <c r="AI194" s="135"/>
      <c r="AJ194" s="135"/>
      <c r="AK194" s="135"/>
      <c r="AL194" s="454"/>
      <c r="AM194" s="135"/>
      <c r="AN194" s="135"/>
      <c r="AO194" s="135"/>
      <c r="AP194" s="135"/>
      <c r="AQ194" s="135"/>
      <c r="AR194" s="135">
        <v>0</v>
      </c>
      <c r="AS194" s="135">
        <f t="shared" si="405"/>
        <v>0</v>
      </c>
      <c r="AT194" s="135">
        <f t="shared" si="406"/>
        <v>0</v>
      </c>
      <c r="AU194" s="135"/>
      <c r="AV194" s="135"/>
      <c r="AW194" s="454"/>
      <c r="AX194" s="135"/>
      <c r="AY194" s="135"/>
      <c r="AZ194" s="110">
        <f t="shared" si="407"/>
        <v>0</v>
      </c>
      <c r="BA194" s="110">
        <f t="shared" si="408"/>
        <v>0</v>
      </c>
      <c r="BB194" s="110"/>
      <c r="BC194" s="110"/>
      <c r="BD194" s="110"/>
      <c r="BE194" s="110"/>
      <c r="BF194" s="110"/>
      <c r="BG194" s="110"/>
      <c r="BH194" s="110"/>
      <c r="BI194" s="110"/>
      <c r="BJ194" s="110"/>
      <c r="BK194" s="332"/>
      <c r="BL194" s="111" t="s">
        <v>514</v>
      </c>
      <c r="BM194" s="117"/>
      <c r="BN194" s="36"/>
      <c r="BO194" s="36"/>
      <c r="BP194" s="36"/>
      <c r="BQ194" s="36"/>
      <c r="BR194" s="36"/>
      <c r="BS194" s="36"/>
      <c r="BT194" s="36"/>
      <c r="BU194" s="36"/>
    </row>
    <row r="195" spans="1:73" s="287" customFormat="1" x14ac:dyDescent="0.2">
      <c r="A195" s="165"/>
      <c r="B195" s="129"/>
      <c r="C195" s="108"/>
      <c r="D195" s="307"/>
      <c r="E195" s="108" t="s">
        <v>286</v>
      </c>
      <c r="F195" s="346">
        <f t="shared" si="397"/>
        <v>19241</v>
      </c>
      <c r="G195" s="109">
        <f t="shared" si="398"/>
        <v>19241</v>
      </c>
      <c r="H195" s="110">
        <v>19241</v>
      </c>
      <c r="I195" s="110">
        <f t="shared" si="399"/>
        <v>19241</v>
      </c>
      <c r="J195" s="110">
        <f t="shared" si="400"/>
        <v>0</v>
      </c>
      <c r="K195" s="110"/>
      <c r="L195" s="110"/>
      <c r="M195" s="110"/>
      <c r="N195" s="110"/>
      <c r="O195" s="110"/>
      <c r="P195" s="110"/>
      <c r="Q195" s="110"/>
      <c r="R195" s="416"/>
      <c r="S195" s="435"/>
      <c r="T195" s="110"/>
      <c r="U195" s="110"/>
      <c r="V195" s="110"/>
      <c r="W195" s="110">
        <v>0</v>
      </c>
      <c r="X195" s="110">
        <f t="shared" si="401"/>
        <v>0</v>
      </c>
      <c r="Y195" s="110">
        <f t="shared" si="402"/>
        <v>0</v>
      </c>
      <c r="Z195" s="110"/>
      <c r="AA195" s="110"/>
      <c r="AB195" s="110"/>
      <c r="AC195" s="110"/>
      <c r="AD195" s="110"/>
      <c r="AE195" s="110"/>
      <c r="AF195" s="110">
        <v>0</v>
      </c>
      <c r="AG195" s="135">
        <f t="shared" si="403"/>
        <v>0</v>
      </c>
      <c r="AH195" s="135">
        <f t="shared" si="404"/>
        <v>0</v>
      </c>
      <c r="AI195" s="135"/>
      <c r="AJ195" s="135"/>
      <c r="AK195" s="135"/>
      <c r="AL195" s="454"/>
      <c r="AM195" s="135"/>
      <c r="AN195" s="135"/>
      <c r="AO195" s="135"/>
      <c r="AP195" s="135"/>
      <c r="AQ195" s="135"/>
      <c r="AR195" s="135">
        <v>0</v>
      </c>
      <c r="AS195" s="135">
        <f t="shared" si="405"/>
        <v>0</v>
      </c>
      <c r="AT195" s="135">
        <f t="shared" si="406"/>
        <v>0</v>
      </c>
      <c r="AU195" s="135"/>
      <c r="AV195" s="135"/>
      <c r="AW195" s="454"/>
      <c r="AX195" s="135"/>
      <c r="AY195" s="135"/>
      <c r="AZ195" s="110">
        <f t="shared" si="407"/>
        <v>0</v>
      </c>
      <c r="BA195" s="110">
        <f t="shared" si="408"/>
        <v>0</v>
      </c>
      <c r="BB195" s="110"/>
      <c r="BC195" s="110"/>
      <c r="BD195" s="110"/>
      <c r="BE195" s="110"/>
      <c r="BF195" s="110"/>
      <c r="BG195" s="110"/>
      <c r="BH195" s="110"/>
      <c r="BI195" s="110"/>
      <c r="BJ195" s="110"/>
      <c r="BK195" s="332"/>
      <c r="BL195" s="111" t="s">
        <v>645</v>
      </c>
      <c r="BM195" s="117"/>
      <c r="BN195" s="36"/>
      <c r="BO195" s="36"/>
      <c r="BP195" s="36"/>
      <c r="BQ195" s="36"/>
      <c r="BR195" s="36"/>
      <c r="BS195" s="36"/>
      <c r="BT195" s="36"/>
      <c r="BU195" s="36"/>
    </row>
    <row r="196" spans="1:73" ht="36" x14ac:dyDescent="0.2">
      <c r="A196" s="165">
        <v>90009249206</v>
      </c>
      <c r="B196" s="129"/>
      <c r="C196" s="471" t="s">
        <v>699</v>
      </c>
      <c r="D196" s="472"/>
      <c r="E196" s="108" t="s">
        <v>260</v>
      </c>
      <c r="F196" s="346">
        <f t="shared" si="397"/>
        <v>609645</v>
      </c>
      <c r="G196" s="109">
        <f t="shared" si="398"/>
        <v>611560</v>
      </c>
      <c r="H196" s="110">
        <v>556339</v>
      </c>
      <c r="I196" s="110">
        <f t="shared" si="399"/>
        <v>556339</v>
      </c>
      <c r="J196" s="110">
        <f t="shared" si="400"/>
        <v>0</v>
      </c>
      <c r="K196" s="110"/>
      <c r="L196" s="110"/>
      <c r="M196" s="110"/>
      <c r="N196" s="110"/>
      <c r="O196" s="110"/>
      <c r="P196" s="110"/>
      <c r="Q196" s="110"/>
      <c r="R196" s="416"/>
      <c r="S196" s="435"/>
      <c r="T196" s="110"/>
      <c r="U196" s="110"/>
      <c r="V196" s="110"/>
      <c r="W196" s="110">
        <v>49090</v>
      </c>
      <c r="X196" s="110">
        <f t="shared" si="401"/>
        <v>50508</v>
      </c>
      <c r="Y196" s="110">
        <f t="shared" si="402"/>
        <v>1418</v>
      </c>
      <c r="Z196" s="110"/>
      <c r="AA196" s="110">
        <v>1418</v>
      </c>
      <c r="AB196" s="110"/>
      <c r="AC196" s="110"/>
      <c r="AD196" s="110"/>
      <c r="AE196" s="110"/>
      <c r="AF196" s="110">
        <v>4216</v>
      </c>
      <c r="AG196" s="135">
        <f t="shared" si="403"/>
        <v>5939</v>
      </c>
      <c r="AH196" s="135">
        <f t="shared" si="404"/>
        <v>1723</v>
      </c>
      <c r="AI196" s="135">
        <v>1723</v>
      </c>
      <c r="AJ196" s="135"/>
      <c r="AK196" s="135"/>
      <c r="AL196" s="454"/>
      <c r="AM196" s="135"/>
      <c r="AN196" s="135"/>
      <c r="AO196" s="135"/>
      <c r="AP196" s="135"/>
      <c r="AQ196" s="135"/>
      <c r="AR196" s="135">
        <v>0</v>
      </c>
      <c r="AS196" s="135">
        <f t="shared" si="405"/>
        <v>0</v>
      </c>
      <c r="AT196" s="135">
        <f t="shared" si="406"/>
        <v>0</v>
      </c>
      <c r="AU196" s="135"/>
      <c r="AV196" s="135"/>
      <c r="AW196" s="454"/>
      <c r="AX196" s="135"/>
      <c r="AY196" s="135"/>
      <c r="AZ196" s="110">
        <f t="shared" si="407"/>
        <v>-1226</v>
      </c>
      <c r="BA196" s="110">
        <f t="shared" si="408"/>
        <v>-1226</v>
      </c>
      <c r="BB196" s="110"/>
      <c r="BC196" s="110">
        <v>-1226</v>
      </c>
      <c r="BD196" s="110"/>
      <c r="BE196" s="110"/>
      <c r="BF196" s="110"/>
      <c r="BG196" s="110"/>
      <c r="BH196" s="110"/>
      <c r="BI196" s="110"/>
      <c r="BJ196" s="110"/>
      <c r="BK196" s="332"/>
      <c r="BL196" s="111" t="s">
        <v>515</v>
      </c>
      <c r="BM196" s="117"/>
      <c r="BN196" s="36"/>
      <c r="BO196" s="36"/>
      <c r="BP196" s="36"/>
      <c r="BQ196" s="36"/>
      <c r="BR196" s="36"/>
      <c r="BS196" s="36"/>
      <c r="BT196" s="36"/>
      <c r="BU196" s="36"/>
    </row>
    <row r="197" spans="1:73" x14ac:dyDescent="0.2">
      <c r="A197" s="165"/>
      <c r="B197" s="129"/>
      <c r="C197" s="108"/>
      <c r="D197" s="307"/>
      <c r="E197" s="108" t="s">
        <v>286</v>
      </c>
      <c r="F197" s="346">
        <f t="shared" si="397"/>
        <v>87297</v>
      </c>
      <c r="G197" s="109">
        <f t="shared" si="398"/>
        <v>87297</v>
      </c>
      <c r="H197" s="110">
        <v>87297</v>
      </c>
      <c r="I197" s="110">
        <f t="shared" si="399"/>
        <v>87297</v>
      </c>
      <c r="J197" s="110">
        <f t="shared" si="400"/>
        <v>0</v>
      </c>
      <c r="K197" s="110"/>
      <c r="L197" s="110"/>
      <c r="M197" s="110"/>
      <c r="N197" s="110"/>
      <c r="O197" s="110"/>
      <c r="P197" s="110"/>
      <c r="Q197" s="110"/>
      <c r="R197" s="416"/>
      <c r="S197" s="435"/>
      <c r="T197" s="110"/>
      <c r="U197" s="110"/>
      <c r="V197" s="110"/>
      <c r="W197" s="110">
        <v>0</v>
      </c>
      <c r="X197" s="110">
        <f t="shared" si="401"/>
        <v>0</v>
      </c>
      <c r="Y197" s="110">
        <f t="shared" si="402"/>
        <v>0</v>
      </c>
      <c r="Z197" s="110"/>
      <c r="AA197" s="110"/>
      <c r="AB197" s="110"/>
      <c r="AC197" s="110"/>
      <c r="AD197" s="110"/>
      <c r="AE197" s="110"/>
      <c r="AF197" s="110">
        <v>0</v>
      </c>
      <c r="AG197" s="135">
        <f t="shared" si="403"/>
        <v>0</v>
      </c>
      <c r="AH197" s="135">
        <f t="shared" si="404"/>
        <v>0</v>
      </c>
      <c r="AI197" s="135"/>
      <c r="AJ197" s="135"/>
      <c r="AK197" s="135"/>
      <c r="AL197" s="454"/>
      <c r="AM197" s="135"/>
      <c r="AN197" s="135"/>
      <c r="AO197" s="135"/>
      <c r="AP197" s="135"/>
      <c r="AQ197" s="135"/>
      <c r="AR197" s="135">
        <v>0</v>
      </c>
      <c r="AS197" s="135">
        <f t="shared" si="405"/>
        <v>0</v>
      </c>
      <c r="AT197" s="135">
        <f t="shared" si="406"/>
        <v>0</v>
      </c>
      <c r="AU197" s="135"/>
      <c r="AV197" s="135"/>
      <c r="AW197" s="454"/>
      <c r="AX197" s="135"/>
      <c r="AY197" s="135"/>
      <c r="AZ197" s="110">
        <f t="shared" si="407"/>
        <v>0</v>
      </c>
      <c r="BA197" s="110">
        <f t="shared" si="408"/>
        <v>0</v>
      </c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332"/>
      <c r="BL197" s="111" t="s">
        <v>516</v>
      </c>
      <c r="BM197" s="117"/>
      <c r="BN197" s="36"/>
      <c r="BO197" s="36"/>
      <c r="BP197" s="36"/>
      <c r="BQ197" s="36"/>
      <c r="BR197" s="36"/>
      <c r="BS197" s="36"/>
      <c r="BT197" s="36"/>
      <c r="BU197" s="36"/>
    </row>
    <row r="198" spans="1:73" ht="36" x14ac:dyDescent="0.2">
      <c r="A198" s="165">
        <v>90009251357</v>
      </c>
      <c r="B198" s="129"/>
      <c r="C198" s="471" t="s">
        <v>700</v>
      </c>
      <c r="D198" s="472"/>
      <c r="E198" s="108" t="s">
        <v>260</v>
      </c>
      <c r="F198" s="346">
        <f t="shared" si="397"/>
        <v>378516</v>
      </c>
      <c r="G198" s="109">
        <f t="shared" si="398"/>
        <v>379373</v>
      </c>
      <c r="H198" s="110">
        <v>347742</v>
      </c>
      <c r="I198" s="110">
        <f t="shared" si="399"/>
        <v>347742</v>
      </c>
      <c r="J198" s="110">
        <f t="shared" si="400"/>
        <v>0</v>
      </c>
      <c r="K198" s="110"/>
      <c r="L198" s="110"/>
      <c r="M198" s="110"/>
      <c r="N198" s="110"/>
      <c r="O198" s="110"/>
      <c r="P198" s="110"/>
      <c r="Q198" s="110"/>
      <c r="R198" s="416"/>
      <c r="S198" s="435"/>
      <c r="T198" s="110"/>
      <c r="U198" s="110"/>
      <c r="V198" s="110"/>
      <c r="W198" s="110">
        <v>30433</v>
      </c>
      <c r="X198" s="110">
        <f t="shared" si="401"/>
        <v>31227</v>
      </c>
      <c r="Y198" s="110">
        <f t="shared" si="402"/>
        <v>794</v>
      </c>
      <c r="Z198" s="110"/>
      <c r="AA198" s="110">
        <v>794</v>
      </c>
      <c r="AB198" s="110"/>
      <c r="AC198" s="110"/>
      <c r="AD198" s="110"/>
      <c r="AE198" s="110"/>
      <c r="AF198" s="110">
        <v>225</v>
      </c>
      <c r="AG198" s="135">
        <f t="shared" si="403"/>
        <v>924</v>
      </c>
      <c r="AH198" s="135">
        <f t="shared" si="404"/>
        <v>699</v>
      </c>
      <c r="AI198" s="135">
        <v>699</v>
      </c>
      <c r="AJ198" s="135"/>
      <c r="AK198" s="135"/>
      <c r="AL198" s="454"/>
      <c r="AM198" s="135"/>
      <c r="AN198" s="135"/>
      <c r="AO198" s="135"/>
      <c r="AP198" s="135"/>
      <c r="AQ198" s="135"/>
      <c r="AR198" s="135">
        <v>116</v>
      </c>
      <c r="AS198" s="135">
        <f t="shared" si="405"/>
        <v>116</v>
      </c>
      <c r="AT198" s="135">
        <f t="shared" si="406"/>
        <v>0</v>
      </c>
      <c r="AU198" s="135"/>
      <c r="AV198" s="135"/>
      <c r="AW198" s="454"/>
      <c r="AX198" s="135"/>
      <c r="AY198" s="135"/>
      <c r="AZ198" s="110">
        <f t="shared" si="407"/>
        <v>-636</v>
      </c>
      <c r="BA198" s="110">
        <f t="shared" si="408"/>
        <v>-636</v>
      </c>
      <c r="BB198" s="110"/>
      <c r="BC198" s="110">
        <v>-636</v>
      </c>
      <c r="BD198" s="110"/>
      <c r="BE198" s="110"/>
      <c r="BF198" s="110"/>
      <c r="BG198" s="110"/>
      <c r="BH198" s="110"/>
      <c r="BI198" s="110"/>
      <c r="BJ198" s="110"/>
      <c r="BK198" s="332"/>
      <c r="BL198" s="111" t="s">
        <v>517</v>
      </c>
      <c r="BM198" s="117"/>
      <c r="BN198" s="36"/>
      <c r="BO198" s="36"/>
      <c r="BP198" s="36"/>
      <c r="BQ198" s="36"/>
      <c r="BR198" s="36"/>
      <c r="BS198" s="36"/>
      <c r="BT198" s="36"/>
      <c r="BU198" s="36"/>
    </row>
    <row r="199" spans="1:73" x14ac:dyDescent="0.2">
      <c r="A199" s="165"/>
      <c r="B199" s="129"/>
      <c r="C199" s="108"/>
      <c r="D199" s="307"/>
      <c r="E199" s="108" t="s">
        <v>286</v>
      </c>
      <c r="F199" s="346">
        <f t="shared" si="397"/>
        <v>40664</v>
      </c>
      <c r="G199" s="109">
        <f t="shared" si="398"/>
        <v>40664</v>
      </c>
      <c r="H199" s="110">
        <v>40664</v>
      </c>
      <c r="I199" s="110">
        <f t="shared" si="399"/>
        <v>40664</v>
      </c>
      <c r="J199" s="110">
        <f t="shared" si="400"/>
        <v>0</v>
      </c>
      <c r="K199" s="110"/>
      <c r="L199" s="110"/>
      <c r="M199" s="110"/>
      <c r="N199" s="110"/>
      <c r="O199" s="110"/>
      <c r="P199" s="110"/>
      <c r="Q199" s="110"/>
      <c r="R199" s="416"/>
      <c r="S199" s="435"/>
      <c r="T199" s="110"/>
      <c r="U199" s="110"/>
      <c r="V199" s="110"/>
      <c r="W199" s="110">
        <v>0</v>
      </c>
      <c r="X199" s="110">
        <f t="shared" si="401"/>
        <v>0</v>
      </c>
      <c r="Y199" s="110">
        <f t="shared" si="402"/>
        <v>0</v>
      </c>
      <c r="Z199" s="110"/>
      <c r="AA199" s="110"/>
      <c r="AB199" s="110"/>
      <c r="AC199" s="110"/>
      <c r="AD199" s="110"/>
      <c r="AE199" s="110"/>
      <c r="AF199" s="110">
        <v>0</v>
      </c>
      <c r="AG199" s="135">
        <f t="shared" si="403"/>
        <v>0</v>
      </c>
      <c r="AH199" s="135">
        <f t="shared" si="404"/>
        <v>0</v>
      </c>
      <c r="AI199" s="135"/>
      <c r="AJ199" s="135"/>
      <c r="AK199" s="135"/>
      <c r="AL199" s="454"/>
      <c r="AM199" s="135"/>
      <c r="AN199" s="135"/>
      <c r="AO199" s="135"/>
      <c r="AP199" s="135"/>
      <c r="AQ199" s="135"/>
      <c r="AR199" s="135">
        <v>0</v>
      </c>
      <c r="AS199" s="135">
        <f t="shared" si="405"/>
        <v>0</v>
      </c>
      <c r="AT199" s="135">
        <f t="shared" si="406"/>
        <v>0</v>
      </c>
      <c r="AU199" s="135"/>
      <c r="AV199" s="135"/>
      <c r="AW199" s="454"/>
      <c r="AX199" s="135"/>
      <c r="AY199" s="135"/>
      <c r="AZ199" s="110">
        <f t="shared" si="407"/>
        <v>0</v>
      </c>
      <c r="BA199" s="110">
        <f t="shared" si="408"/>
        <v>0</v>
      </c>
      <c r="BB199" s="110"/>
      <c r="BC199" s="110"/>
      <c r="BD199" s="110"/>
      <c r="BE199" s="110"/>
      <c r="BF199" s="110"/>
      <c r="BG199" s="110"/>
      <c r="BH199" s="110"/>
      <c r="BI199" s="110"/>
      <c r="BJ199" s="110"/>
      <c r="BK199" s="332"/>
      <c r="BL199" s="111" t="s">
        <v>518</v>
      </c>
      <c r="BM199" s="117"/>
      <c r="BN199" s="36"/>
      <c r="BO199" s="36"/>
      <c r="BP199" s="36"/>
      <c r="BQ199" s="36"/>
      <c r="BR199" s="36"/>
      <c r="BS199" s="36"/>
      <c r="BT199" s="36"/>
      <c r="BU199" s="36"/>
    </row>
    <row r="200" spans="1:73" ht="24" x14ac:dyDescent="0.2">
      <c r="A200" s="165">
        <v>90000051542</v>
      </c>
      <c r="B200" s="129"/>
      <c r="C200" s="471" t="s">
        <v>20</v>
      </c>
      <c r="D200" s="472"/>
      <c r="E200" s="108" t="s">
        <v>259</v>
      </c>
      <c r="F200" s="346">
        <f t="shared" si="397"/>
        <v>1229813</v>
      </c>
      <c r="G200" s="109">
        <f t="shared" si="398"/>
        <v>1241580</v>
      </c>
      <c r="H200" s="110">
        <v>488373</v>
      </c>
      <c r="I200" s="110">
        <f t="shared" si="399"/>
        <v>488373</v>
      </c>
      <c r="J200" s="110">
        <f t="shared" si="400"/>
        <v>0</v>
      </c>
      <c r="K200" s="110"/>
      <c r="L200" s="110"/>
      <c r="M200" s="110"/>
      <c r="N200" s="110"/>
      <c r="O200" s="110"/>
      <c r="P200" s="110"/>
      <c r="Q200" s="110"/>
      <c r="R200" s="416"/>
      <c r="S200" s="435"/>
      <c r="T200" s="110"/>
      <c r="U200" s="110"/>
      <c r="V200" s="110"/>
      <c r="W200" s="110">
        <v>718097</v>
      </c>
      <c r="X200" s="110">
        <f t="shared" si="401"/>
        <v>728402</v>
      </c>
      <c r="Y200" s="110">
        <f t="shared" si="402"/>
        <v>10305</v>
      </c>
      <c r="Z200" s="110"/>
      <c r="AA200" s="110">
        <v>10305</v>
      </c>
      <c r="AB200" s="110"/>
      <c r="AC200" s="110"/>
      <c r="AD200" s="110"/>
      <c r="AE200" s="110"/>
      <c r="AF200" s="110">
        <v>23343</v>
      </c>
      <c r="AG200" s="135">
        <f t="shared" si="403"/>
        <v>24805</v>
      </c>
      <c r="AH200" s="135">
        <f t="shared" si="404"/>
        <v>1462</v>
      </c>
      <c r="AI200" s="135">
        <v>1462</v>
      </c>
      <c r="AJ200" s="135"/>
      <c r="AK200" s="135"/>
      <c r="AL200" s="454"/>
      <c r="AM200" s="135"/>
      <c r="AN200" s="135"/>
      <c r="AO200" s="135"/>
      <c r="AP200" s="135"/>
      <c r="AQ200" s="135"/>
      <c r="AR200" s="110">
        <v>0</v>
      </c>
      <c r="AS200" s="135">
        <f t="shared" si="405"/>
        <v>0</v>
      </c>
      <c r="AT200" s="135">
        <f t="shared" si="406"/>
        <v>0</v>
      </c>
      <c r="AU200" s="135"/>
      <c r="AV200" s="135"/>
      <c r="AW200" s="454"/>
      <c r="AX200" s="135"/>
      <c r="AY200" s="135"/>
      <c r="AZ200" s="110">
        <f t="shared" si="407"/>
        <v>0</v>
      </c>
      <c r="BA200" s="110">
        <f t="shared" si="408"/>
        <v>0</v>
      </c>
      <c r="BB200" s="110"/>
      <c r="BC200" s="110"/>
      <c r="BD200" s="110"/>
      <c r="BE200" s="110"/>
      <c r="BF200" s="110"/>
      <c r="BG200" s="110"/>
      <c r="BH200" s="110"/>
      <c r="BI200" s="110"/>
      <c r="BJ200" s="110"/>
      <c r="BK200" s="332"/>
      <c r="BL200" s="111" t="s">
        <v>519</v>
      </c>
      <c r="BM200" s="117"/>
      <c r="BN200" s="36"/>
      <c r="BO200" s="36"/>
      <c r="BP200" s="36"/>
      <c r="BQ200" s="36"/>
      <c r="BR200" s="36"/>
      <c r="BS200" s="36"/>
      <c r="BT200" s="36"/>
      <c r="BU200" s="36"/>
    </row>
    <row r="201" spans="1:73" x14ac:dyDescent="0.2">
      <c r="A201" s="165"/>
      <c r="B201" s="129"/>
      <c r="C201" s="108"/>
      <c r="D201" s="307"/>
      <c r="E201" s="108" t="s">
        <v>286</v>
      </c>
      <c r="F201" s="346">
        <f t="shared" si="397"/>
        <v>150452</v>
      </c>
      <c r="G201" s="109">
        <f t="shared" si="398"/>
        <v>150452</v>
      </c>
      <c r="H201" s="110">
        <v>106555</v>
      </c>
      <c r="I201" s="110">
        <f t="shared" si="399"/>
        <v>106555</v>
      </c>
      <c r="J201" s="110">
        <f t="shared" si="400"/>
        <v>0</v>
      </c>
      <c r="K201" s="110"/>
      <c r="L201" s="110"/>
      <c r="M201" s="110"/>
      <c r="N201" s="110"/>
      <c r="O201" s="110"/>
      <c r="P201" s="110"/>
      <c r="Q201" s="110"/>
      <c r="R201" s="416"/>
      <c r="S201" s="435"/>
      <c r="T201" s="110"/>
      <c r="U201" s="110"/>
      <c r="V201" s="110"/>
      <c r="W201" s="110">
        <v>43897</v>
      </c>
      <c r="X201" s="110">
        <f t="shared" si="401"/>
        <v>43897</v>
      </c>
      <c r="Y201" s="110">
        <f t="shared" si="402"/>
        <v>0</v>
      </c>
      <c r="Z201" s="110"/>
      <c r="AA201" s="110"/>
      <c r="AB201" s="110"/>
      <c r="AC201" s="110"/>
      <c r="AD201" s="110"/>
      <c r="AE201" s="110"/>
      <c r="AF201" s="110">
        <v>0</v>
      </c>
      <c r="AG201" s="135">
        <f t="shared" si="403"/>
        <v>0</v>
      </c>
      <c r="AH201" s="135">
        <f t="shared" si="404"/>
        <v>0</v>
      </c>
      <c r="AI201" s="135"/>
      <c r="AJ201" s="135"/>
      <c r="AK201" s="135"/>
      <c r="AL201" s="454"/>
      <c r="AM201" s="135"/>
      <c r="AN201" s="135"/>
      <c r="AO201" s="135"/>
      <c r="AP201" s="135"/>
      <c r="AQ201" s="135"/>
      <c r="AR201" s="110">
        <v>0</v>
      </c>
      <c r="AS201" s="135">
        <f t="shared" si="405"/>
        <v>0</v>
      </c>
      <c r="AT201" s="135">
        <f t="shared" si="406"/>
        <v>0</v>
      </c>
      <c r="AU201" s="135"/>
      <c r="AV201" s="135"/>
      <c r="AW201" s="454"/>
      <c r="AX201" s="135"/>
      <c r="AY201" s="135"/>
      <c r="AZ201" s="110">
        <f t="shared" si="407"/>
        <v>0</v>
      </c>
      <c r="BA201" s="110">
        <f t="shared" si="408"/>
        <v>0</v>
      </c>
      <c r="BB201" s="110"/>
      <c r="BC201" s="110"/>
      <c r="BD201" s="110"/>
      <c r="BE201" s="110"/>
      <c r="BF201" s="110"/>
      <c r="BG201" s="110"/>
      <c r="BH201" s="110"/>
      <c r="BI201" s="110"/>
      <c r="BJ201" s="110"/>
      <c r="BK201" s="332"/>
      <c r="BL201" s="111" t="s">
        <v>520</v>
      </c>
      <c r="BM201" s="117"/>
      <c r="BN201" s="36"/>
      <c r="BO201" s="36"/>
      <c r="BP201" s="36"/>
      <c r="BQ201" s="36"/>
      <c r="BR201" s="36"/>
      <c r="BS201" s="36"/>
      <c r="BT201" s="36"/>
      <c r="BU201" s="36"/>
    </row>
    <row r="202" spans="1:73" s="168" customFormat="1" ht="24" x14ac:dyDescent="0.2">
      <c r="A202" s="165"/>
      <c r="B202" s="129"/>
      <c r="C202" s="108"/>
      <c r="D202" s="307"/>
      <c r="E202" s="108" t="s">
        <v>605</v>
      </c>
      <c r="F202" s="346">
        <f t="shared" si="397"/>
        <v>8100</v>
      </c>
      <c r="G202" s="109">
        <f t="shared" si="398"/>
        <v>8956</v>
      </c>
      <c r="H202" s="110">
        <v>8100</v>
      </c>
      <c r="I202" s="110">
        <f t="shared" si="399"/>
        <v>8956</v>
      </c>
      <c r="J202" s="110">
        <f t="shared" si="400"/>
        <v>856</v>
      </c>
      <c r="K202" s="110"/>
      <c r="L202" s="110">
        <v>856</v>
      </c>
      <c r="M202" s="110"/>
      <c r="N202" s="110"/>
      <c r="O202" s="110"/>
      <c r="P202" s="110"/>
      <c r="Q202" s="110"/>
      <c r="R202" s="416"/>
      <c r="S202" s="435"/>
      <c r="T202" s="110"/>
      <c r="U202" s="110"/>
      <c r="V202" s="110"/>
      <c r="W202" s="110">
        <v>0</v>
      </c>
      <c r="X202" s="110">
        <f t="shared" si="401"/>
        <v>0</v>
      </c>
      <c r="Y202" s="110">
        <f t="shared" si="402"/>
        <v>0</v>
      </c>
      <c r="Z202" s="110"/>
      <c r="AA202" s="110"/>
      <c r="AB202" s="110"/>
      <c r="AC202" s="110"/>
      <c r="AD202" s="110"/>
      <c r="AE202" s="110"/>
      <c r="AF202" s="110">
        <v>0</v>
      </c>
      <c r="AG202" s="135">
        <f t="shared" si="403"/>
        <v>0</v>
      </c>
      <c r="AH202" s="135">
        <f t="shared" si="404"/>
        <v>0</v>
      </c>
      <c r="AI202" s="135"/>
      <c r="AJ202" s="135"/>
      <c r="AK202" s="135"/>
      <c r="AL202" s="454"/>
      <c r="AM202" s="135"/>
      <c r="AN202" s="135"/>
      <c r="AO202" s="135"/>
      <c r="AP202" s="135"/>
      <c r="AQ202" s="135"/>
      <c r="AR202" s="110">
        <v>0</v>
      </c>
      <c r="AS202" s="135">
        <f t="shared" si="405"/>
        <v>0</v>
      </c>
      <c r="AT202" s="135">
        <f t="shared" si="406"/>
        <v>0</v>
      </c>
      <c r="AU202" s="135"/>
      <c r="AV202" s="135"/>
      <c r="AW202" s="454"/>
      <c r="AX202" s="135"/>
      <c r="AY202" s="135"/>
      <c r="AZ202" s="110">
        <f t="shared" si="407"/>
        <v>0</v>
      </c>
      <c r="BA202" s="110">
        <f t="shared" si="408"/>
        <v>0</v>
      </c>
      <c r="BB202" s="110"/>
      <c r="BC202" s="110"/>
      <c r="BD202" s="110"/>
      <c r="BE202" s="110"/>
      <c r="BF202" s="110"/>
      <c r="BG202" s="110"/>
      <c r="BH202" s="110"/>
      <c r="BI202" s="110"/>
      <c r="BJ202" s="110"/>
      <c r="BK202" s="332"/>
      <c r="BL202" s="111" t="s">
        <v>521</v>
      </c>
      <c r="BM202" s="117"/>
      <c r="BN202" s="36"/>
      <c r="BO202" s="36"/>
      <c r="BP202" s="36"/>
      <c r="BQ202" s="36"/>
      <c r="BR202" s="36"/>
      <c r="BS202" s="36"/>
      <c r="BT202" s="36"/>
      <c r="BU202" s="36"/>
    </row>
    <row r="203" spans="1:73" s="364" customFormat="1" ht="24" x14ac:dyDescent="0.2">
      <c r="A203" s="165"/>
      <c r="B203" s="129"/>
      <c r="C203" s="362"/>
      <c r="D203" s="363"/>
      <c r="E203" s="362" t="s">
        <v>737</v>
      </c>
      <c r="F203" s="346">
        <f t="shared" ref="F203" si="529">H203+W203+AF203+AQ203+AR203+AY203</f>
        <v>0</v>
      </c>
      <c r="G203" s="109">
        <f t="shared" ref="G203" si="530">I203+X203+AG203+AQ203+AS203+AZ203</f>
        <v>1</v>
      </c>
      <c r="H203" s="110"/>
      <c r="I203" s="110">
        <f t="shared" ref="I203" si="531">J203+H203</f>
        <v>1</v>
      </c>
      <c r="J203" s="110">
        <f t="shared" ref="J203" si="532">SUM(K203:V203)</f>
        <v>1</v>
      </c>
      <c r="K203" s="110"/>
      <c r="L203" s="110">
        <v>1</v>
      </c>
      <c r="M203" s="110"/>
      <c r="N203" s="110"/>
      <c r="O203" s="110"/>
      <c r="P203" s="110"/>
      <c r="Q203" s="110"/>
      <c r="R203" s="416"/>
      <c r="S203" s="435"/>
      <c r="T203" s="110"/>
      <c r="U203" s="110"/>
      <c r="V203" s="110"/>
      <c r="W203" s="110"/>
      <c r="X203" s="110">
        <f t="shared" ref="X203" si="533">Y203+W203</f>
        <v>0</v>
      </c>
      <c r="Y203" s="110">
        <f t="shared" ref="Y203" si="534">SUM(Z203:AE203)</f>
        <v>0</v>
      </c>
      <c r="Z203" s="110"/>
      <c r="AA203" s="110"/>
      <c r="AB203" s="110"/>
      <c r="AC203" s="110"/>
      <c r="AD203" s="110"/>
      <c r="AE203" s="110"/>
      <c r="AF203" s="110"/>
      <c r="AG203" s="135">
        <f t="shared" ref="AG203" si="535">AH203+AF203</f>
        <v>0</v>
      </c>
      <c r="AH203" s="135">
        <f t="shared" ref="AH203" si="536">SUM(AI203:AP203)</f>
        <v>0</v>
      </c>
      <c r="AI203" s="135"/>
      <c r="AJ203" s="135"/>
      <c r="AK203" s="135"/>
      <c r="AL203" s="454"/>
      <c r="AM203" s="135"/>
      <c r="AN203" s="135"/>
      <c r="AO203" s="135"/>
      <c r="AP203" s="135"/>
      <c r="AQ203" s="135"/>
      <c r="AR203" s="110"/>
      <c r="AS203" s="135">
        <f t="shared" ref="AS203" si="537">AT203+AR203</f>
        <v>0</v>
      </c>
      <c r="AT203" s="135">
        <f t="shared" ref="AT203" si="538">SUM(AU203:AX203)</f>
        <v>0</v>
      </c>
      <c r="AU203" s="135"/>
      <c r="AV203" s="135"/>
      <c r="AW203" s="454"/>
      <c r="AX203" s="135"/>
      <c r="AY203" s="135"/>
      <c r="AZ203" s="110">
        <f t="shared" ref="AZ203" si="539">BA203+AY203</f>
        <v>0</v>
      </c>
      <c r="BA203" s="110">
        <f t="shared" ref="BA203" si="540">SUM(BB203:BK203)</f>
        <v>0</v>
      </c>
      <c r="BB203" s="110"/>
      <c r="BC203" s="110"/>
      <c r="BD203" s="110"/>
      <c r="BE203" s="110"/>
      <c r="BF203" s="110"/>
      <c r="BG203" s="110"/>
      <c r="BH203" s="110"/>
      <c r="BI203" s="110"/>
      <c r="BJ203" s="110"/>
      <c r="BK203" s="332"/>
      <c r="BL203" s="111" t="s">
        <v>738</v>
      </c>
      <c r="BM203" s="117"/>
      <c r="BN203" s="36"/>
      <c r="BO203" s="36"/>
      <c r="BP203" s="36"/>
      <c r="BQ203" s="36"/>
      <c r="BR203" s="36"/>
      <c r="BS203" s="36"/>
      <c r="BT203" s="36"/>
      <c r="BU203" s="36"/>
    </row>
    <row r="204" spans="1:73" ht="24" x14ac:dyDescent="0.2">
      <c r="A204" s="165">
        <v>90001175873</v>
      </c>
      <c r="B204" s="129"/>
      <c r="C204" s="471" t="s">
        <v>174</v>
      </c>
      <c r="D204" s="472"/>
      <c r="E204" s="108" t="s">
        <v>259</v>
      </c>
      <c r="F204" s="346">
        <f t="shared" si="397"/>
        <v>717888</v>
      </c>
      <c r="G204" s="109">
        <f t="shared" si="398"/>
        <v>741161</v>
      </c>
      <c r="H204" s="110">
        <v>284223</v>
      </c>
      <c r="I204" s="110">
        <f t="shared" si="399"/>
        <v>299403</v>
      </c>
      <c r="J204" s="110">
        <f t="shared" si="400"/>
        <v>15180</v>
      </c>
      <c r="K204" s="110"/>
      <c r="L204" s="110"/>
      <c r="M204" s="110"/>
      <c r="N204" s="110"/>
      <c r="O204" s="110"/>
      <c r="P204" s="110"/>
      <c r="Q204" s="110"/>
      <c r="R204" s="416"/>
      <c r="S204" s="435">
        <v>15180</v>
      </c>
      <c r="T204" s="110"/>
      <c r="U204" s="110"/>
      <c r="V204" s="110"/>
      <c r="W204" s="110">
        <v>426415</v>
      </c>
      <c r="X204" s="110">
        <f t="shared" si="401"/>
        <v>433185</v>
      </c>
      <c r="Y204" s="110">
        <f t="shared" si="402"/>
        <v>6770</v>
      </c>
      <c r="Z204" s="110"/>
      <c r="AA204" s="110">
        <v>6770</v>
      </c>
      <c r="AB204" s="110"/>
      <c r="AC204" s="110"/>
      <c r="AD204" s="110"/>
      <c r="AE204" s="110"/>
      <c r="AF204" s="110">
        <v>7250</v>
      </c>
      <c r="AG204" s="135">
        <f t="shared" si="403"/>
        <v>8573</v>
      </c>
      <c r="AH204" s="135">
        <f t="shared" si="404"/>
        <v>1323</v>
      </c>
      <c r="AI204" s="135">
        <v>1323</v>
      </c>
      <c r="AJ204" s="135"/>
      <c r="AK204" s="135"/>
      <c r="AL204" s="454"/>
      <c r="AM204" s="135"/>
      <c r="AN204" s="135"/>
      <c r="AO204" s="135"/>
      <c r="AP204" s="135"/>
      <c r="AQ204" s="135"/>
      <c r="AR204" s="110">
        <v>0</v>
      </c>
      <c r="AS204" s="135">
        <f t="shared" si="405"/>
        <v>0</v>
      </c>
      <c r="AT204" s="135">
        <f t="shared" si="406"/>
        <v>0</v>
      </c>
      <c r="AU204" s="135"/>
      <c r="AV204" s="135"/>
      <c r="AW204" s="454"/>
      <c r="AX204" s="135"/>
      <c r="AY204" s="135"/>
      <c r="AZ204" s="110">
        <f t="shared" si="407"/>
        <v>0</v>
      </c>
      <c r="BA204" s="110">
        <f t="shared" si="408"/>
        <v>0</v>
      </c>
      <c r="BB204" s="110"/>
      <c r="BC204" s="110"/>
      <c r="BD204" s="110"/>
      <c r="BE204" s="110"/>
      <c r="BF204" s="110"/>
      <c r="BG204" s="110"/>
      <c r="BH204" s="110"/>
      <c r="BI204" s="110"/>
      <c r="BJ204" s="110"/>
      <c r="BK204" s="332"/>
      <c r="BL204" s="111" t="s">
        <v>522</v>
      </c>
      <c r="BM204" s="117"/>
      <c r="BN204" s="36"/>
      <c r="BO204" s="36"/>
      <c r="BP204" s="36"/>
      <c r="BQ204" s="36"/>
      <c r="BR204" s="36"/>
      <c r="BS204" s="36"/>
      <c r="BT204" s="36"/>
      <c r="BU204" s="36"/>
    </row>
    <row r="205" spans="1:73" x14ac:dyDescent="0.2">
      <c r="A205" s="165"/>
      <c r="B205" s="129"/>
      <c r="C205" s="108"/>
      <c r="D205" s="307"/>
      <c r="E205" s="108" t="s">
        <v>286</v>
      </c>
      <c r="F205" s="346">
        <f t="shared" si="397"/>
        <v>93797</v>
      </c>
      <c r="G205" s="109">
        <f t="shared" si="398"/>
        <v>93797</v>
      </c>
      <c r="H205" s="110">
        <v>37292</v>
      </c>
      <c r="I205" s="110">
        <f t="shared" si="399"/>
        <v>37292</v>
      </c>
      <c r="J205" s="110">
        <f t="shared" si="400"/>
        <v>0</v>
      </c>
      <c r="K205" s="110"/>
      <c r="L205" s="110"/>
      <c r="M205" s="110"/>
      <c r="N205" s="110"/>
      <c r="O205" s="110"/>
      <c r="P205" s="110"/>
      <c r="Q205" s="110"/>
      <c r="R205" s="416"/>
      <c r="S205" s="435"/>
      <c r="T205" s="110"/>
      <c r="U205" s="110"/>
      <c r="V205" s="110"/>
      <c r="W205" s="110">
        <v>56505</v>
      </c>
      <c r="X205" s="110">
        <f t="shared" si="401"/>
        <v>56505</v>
      </c>
      <c r="Y205" s="110">
        <f t="shared" si="402"/>
        <v>0</v>
      </c>
      <c r="Z205" s="110"/>
      <c r="AA205" s="110"/>
      <c r="AB205" s="110"/>
      <c r="AC205" s="110"/>
      <c r="AD205" s="110"/>
      <c r="AE205" s="110"/>
      <c r="AF205" s="110">
        <v>0</v>
      </c>
      <c r="AG205" s="135">
        <f t="shared" si="403"/>
        <v>0</v>
      </c>
      <c r="AH205" s="135">
        <f t="shared" si="404"/>
        <v>0</v>
      </c>
      <c r="AI205" s="135"/>
      <c r="AJ205" s="135"/>
      <c r="AK205" s="135"/>
      <c r="AL205" s="454"/>
      <c r="AM205" s="135"/>
      <c r="AN205" s="135"/>
      <c r="AO205" s="135"/>
      <c r="AP205" s="135"/>
      <c r="AQ205" s="135"/>
      <c r="AR205" s="110">
        <v>0</v>
      </c>
      <c r="AS205" s="135">
        <f t="shared" si="405"/>
        <v>0</v>
      </c>
      <c r="AT205" s="135">
        <f t="shared" si="406"/>
        <v>0</v>
      </c>
      <c r="AU205" s="135"/>
      <c r="AV205" s="135"/>
      <c r="AW205" s="454"/>
      <c r="AX205" s="135"/>
      <c r="AY205" s="135"/>
      <c r="AZ205" s="110">
        <f t="shared" si="407"/>
        <v>0</v>
      </c>
      <c r="BA205" s="110">
        <f t="shared" si="408"/>
        <v>0</v>
      </c>
      <c r="BB205" s="110"/>
      <c r="BC205" s="110"/>
      <c r="BD205" s="110"/>
      <c r="BE205" s="110"/>
      <c r="BF205" s="110"/>
      <c r="BG205" s="110"/>
      <c r="BH205" s="110"/>
      <c r="BI205" s="110"/>
      <c r="BJ205" s="110"/>
      <c r="BK205" s="332"/>
      <c r="BL205" s="111" t="s">
        <v>523</v>
      </c>
      <c r="BM205" s="117"/>
      <c r="BN205" s="36"/>
      <c r="BO205" s="36"/>
      <c r="BP205" s="36"/>
      <c r="BQ205" s="36"/>
      <c r="BR205" s="36"/>
      <c r="BS205" s="36"/>
      <c r="BT205" s="36"/>
      <c r="BU205" s="36"/>
    </row>
    <row r="206" spans="1:73" ht="24" x14ac:dyDescent="0.2">
      <c r="A206" s="165">
        <v>90009251361</v>
      </c>
      <c r="B206" s="129"/>
      <c r="C206" s="471" t="s">
        <v>224</v>
      </c>
      <c r="D206" s="472"/>
      <c r="E206" s="108" t="s">
        <v>259</v>
      </c>
      <c r="F206" s="346">
        <f t="shared" si="397"/>
        <v>693442</v>
      </c>
      <c r="G206" s="109">
        <f t="shared" si="398"/>
        <v>697277</v>
      </c>
      <c r="H206" s="110">
        <v>491215</v>
      </c>
      <c r="I206" s="110">
        <f t="shared" si="399"/>
        <v>491215</v>
      </c>
      <c r="J206" s="110">
        <f t="shared" si="400"/>
        <v>0</v>
      </c>
      <c r="K206" s="110"/>
      <c r="L206" s="110"/>
      <c r="M206" s="110"/>
      <c r="N206" s="110"/>
      <c r="O206" s="110"/>
      <c r="P206" s="110"/>
      <c r="Q206" s="110"/>
      <c r="R206" s="416"/>
      <c r="S206" s="435"/>
      <c r="T206" s="110"/>
      <c r="U206" s="110"/>
      <c r="V206" s="110"/>
      <c r="W206" s="110">
        <v>182478</v>
      </c>
      <c r="X206" s="110">
        <f t="shared" si="401"/>
        <v>185863</v>
      </c>
      <c r="Y206" s="110">
        <f t="shared" si="402"/>
        <v>3385</v>
      </c>
      <c r="Z206" s="110"/>
      <c r="AA206" s="110">
        <v>3385</v>
      </c>
      <c r="AB206" s="110"/>
      <c r="AC206" s="110"/>
      <c r="AD206" s="110"/>
      <c r="AE206" s="110"/>
      <c r="AF206" s="110">
        <v>19749</v>
      </c>
      <c r="AG206" s="135">
        <f t="shared" si="403"/>
        <v>21099</v>
      </c>
      <c r="AH206" s="135">
        <f t="shared" si="404"/>
        <v>1350</v>
      </c>
      <c r="AI206" s="135">
        <v>1350</v>
      </c>
      <c r="AJ206" s="135"/>
      <c r="AK206" s="135"/>
      <c r="AL206" s="454"/>
      <c r="AM206" s="135"/>
      <c r="AN206" s="135"/>
      <c r="AO206" s="135"/>
      <c r="AP206" s="135"/>
      <c r="AQ206" s="135"/>
      <c r="AR206" s="135">
        <v>0</v>
      </c>
      <c r="AS206" s="135">
        <f t="shared" si="405"/>
        <v>0</v>
      </c>
      <c r="AT206" s="135">
        <f t="shared" si="406"/>
        <v>0</v>
      </c>
      <c r="AU206" s="135"/>
      <c r="AV206" s="135"/>
      <c r="AW206" s="454"/>
      <c r="AX206" s="135"/>
      <c r="AY206" s="135"/>
      <c r="AZ206" s="110">
        <f t="shared" si="407"/>
        <v>-900</v>
      </c>
      <c r="BA206" s="110">
        <f t="shared" si="408"/>
        <v>-900</v>
      </c>
      <c r="BB206" s="110"/>
      <c r="BC206" s="110">
        <v>-900</v>
      </c>
      <c r="BD206" s="110"/>
      <c r="BE206" s="110"/>
      <c r="BF206" s="110"/>
      <c r="BG206" s="110"/>
      <c r="BH206" s="110"/>
      <c r="BI206" s="110"/>
      <c r="BJ206" s="110"/>
      <c r="BK206" s="332"/>
      <c r="BL206" s="111" t="s">
        <v>524</v>
      </c>
      <c r="BM206" s="117"/>
      <c r="BN206" s="36"/>
      <c r="BO206" s="36"/>
      <c r="BP206" s="36"/>
      <c r="BQ206" s="36"/>
      <c r="BR206" s="36"/>
      <c r="BS206" s="36"/>
      <c r="BT206" s="36"/>
      <c r="BU206" s="36"/>
    </row>
    <row r="207" spans="1:73" x14ac:dyDescent="0.2">
      <c r="A207" s="165"/>
      <c r="B207" s="129"/>
      <c r="C207" s="108"/>
      <c r="D207" s="307"/>
      <c r="E207" s="108" t="s">
        <v>286</v>
      </c>
      <c r="F207" s="346">
        <f t="shared" si="397"/>
        <v>74658</v>
      </c>
      <c r="G207" s="109">
        <f t="shared" si="398"/>
        <v>82226</v>
      </c>
      <c r="H207" s="110">
        <v>47752</v>
      </c>
      <c r="I207" s="110">
        <f t="shared" si="399"/>
        <v>47752</v>
      </c>
      <c r="J207" s="110">
        <f t="shared" si="400"/>
        <v>0</v>
      </c>
      <c r="K207" s="110"/>
      <c r="L207" s="110"/>
      <c r="M207" s="110"/>
      <c r="N207" s="110"/>
      <c r="O207" s="110"/>
      <c r="P207" s="110"/>
      <c r="Q207" s="110"/>
      <c r="R207" s="416"/>
      <c r="S207" s="435"/>
      <c r="T207" s="110"/>
      <c r="U207" s="110"/>
      <c r="V207" s="110"/>
      <c r="W207" s="110">
        <v>26906</v>
      </c>
      <c r="X207" s="110">
        <f t="shared" si="401"/>
        <v>34474</v>
      </c>
      <c r="Y207" s="110">
        <f t="shared" si="402"/>
        <v>7568</v>
      </c>
      <c r="Z207" s="110"/>
      <c r="AA207" s="110">
        <v>7568</v>
      </c>
      <c r="AB207" s="110"/>
      <c r="AC207" s="110"/>
      <c r="AD207" s="110"/>
      <c r="AE207" s="110"/>
      <c r="AF207" s="110">
        <v>0</v>
      </c>
      <c r="AG207" s="135">
        <f t="shared" si="403"/>
        <v>0</v>
      </c>
      <c r="AH207" s="135">
        <f t="shared" si="404"/>
        <v>0</v>
      </c>
      <c r="AI207" s="135"/>
      <c r="AJ207" s="135"/>
      <c r="AK207" s="135"/>
      <c r="AL207" s="454"/>
      <c r="AM207" s="135"/>
      <c r="AN207" s="135"/>
      <c r="AO207" s="135"/>
      <c r="AP207" s="135"/>
      <c r="AQ207" s="135"/>
      <c r="AR207" s="135">
        <v>0</v>
      </c>
      <c r="AS207" s="135">
        <f t="shared" si="405"/>
        <v>0</v>
      </c>
      <c r="AT207" s="135">
        <f t="shared" si="406"/>
        <v>0</v>
      </c>
      <c r="AU207" s="135"/>
      <c r="AV207" s="135"/>
      <c r="AW207" s="454"/>
      <c r="AX207" s="135"/>
      <c r="AY207" s="135"/>
      <c r="AZ207" s="110">
        <f t="shared" si="407"/>
        <v>0</v>
      </c>
      <c r="BA207" s="110">
        <f t="shared" si="408"/>
        <v>0</v>
      </c>
      <c r="BB207" s="110"/>
      <c r="BC207" s="110"/>
      <c r="BD207" s="110"/>
      <c r="BE207" s="110"/>
      <c r="BF207" s="110"/>
      <c r="BG207" s="110"/>
      <c r="BH207" s="110"/>
      <c r="BI207" s="110"/>
      <c r="BJ207" s="110"/>
      <c r="BK207" s="332"/>
      <c r="BL207" s="111" t="s">
        <v>525</v>
      </c>
      <c r="BM207" s="117"/>
      <c r="BN207" s="36"/>
      <c r="BO207" s="36"/>
      <c r="BP207" s="36"/>
      <c r="BQ207" s="36"/>
      <c r="BR207" s="36"/>
      <c r="BS207" s="36"/>
      <c r="BT207" s="36"/>
      <c r="BU207" s="36"/>
    </row>
    <row r="208" spans="1:73" ht="27.75" customHeight="1" x14ac:dyDescent="0.2">
      <c r="A208" s="165">
        <v>90000051699</v>
      </c>
      <c r="B208" s="129"/>
      <c r="C208" s="471" t="s">
        <v>225</v>
      </c>
      <c r="D208" s="472"/>
      <c r="E208" s="108" t="s">
        <v>259</v>
      </c>
      <c r="F208" s="346">
        <f t="shared" si="397"/>
        <v>662604</v>
      </c>
      <c r="G208" s="109">
        <f t="shared" si="398"/>
        <v>669037</v>
      </c>
      <c r="H208" s="110">
        <v>443451</v>
      </c>
      <c r="I208" s="110">
        <f t="shared" si="399"/>
        <v>443451</v>
      </c>
      <c r="J208" s="110">
        <f t="shared" si="400"/>
        <v>0</v>
      </c>
      <c r="K208" s="110"/>
      <c r="L208" s="110"/>
      <c r="M208" s="110"/>
      <c r="N208" s="110"/>
      <c r="O208" s="110"/>
      <c r="P208" s="110"/>
      <c r="Q208" s="110"/>
      <c r="R208" s="416"/>
      <c r="S208" s="435"/>
      <c r="T208" s="110"/>
      <c r="U208" s="110"/>
      <c r="V208" s="110"/>
      <c r="W208" s="110">
        <v>189478</v>
      </c>
      <c r="X208" s="110">
        <f t="shared" si="401"/>
        <v>192901</v>
      </c>
      <c r="Y208" s="110">
        <f t="shared" si="402"/>
        <v>3423</v>
      </c>
      <c r="Z208" s="110"/>
      <c r="AA208" s="110">
        <v>3423</v>
      </c>
      <c r="AB208" s="110"/>
      <c r="AC208" s="110"/>
      <c r="AD208" s="110"/>
      <c r="AE208" s="110"/>
      <c r="AF208" s="110">
        <v>29675</v>
      </c>
      <c r="AG208" s="135">
        <f t="shared" si="403"/>
        <v>32685</v>
      </c>
      <c r="AH208" s="135">
        <f t="shared" si="404"/>
        <v>3010</v>
      </c>
      <c r="AI208" s="135">
        <v>3010</v>
      </c>
      <c r="AJ208" s="135"/>
      <c r="AK208" s="135"/>
      <c r="AL208" s="454"/>
      <c r="AM208" s="135"/>
      <c r="AN208" s="135"/>
      <c r="AO208" s="135"/>
      <c r="AP208" s="135"/>
      <c r="AQ208" s="135"/>
      <c r="AR208" s="135">
        <v>0</v>
      </c>
      <c r="AS208" s="135">
        <f t="shared" si="405"/>
        <v>0</v>
      </c>
      <c r="AT208" s="135">
        <f t="shared" si="406"/>
        <v>0</v>
      </c>
      <c r="AU208" s="135"/>
      <c r="AV208" s="135"/>
      <c r="AW208" s="454"/>
      <c r="AX208" s="135"/>
      <c r="AY208" s="135"/>
      <c r="AZ208" s="110">
        <f t="shared" si="407"/>
        <v>0</v>
      </c>
      <c r="BA208" s="110">
        <f t="shared" si="408"/>
        <v>0</v>
      </c>
      <c r="BB208" s="110"/>
      <c r="BC208" s="110"/>
      <c r="BD208" s="110"/>
      <c r="BE208" s="110"/>
      <c r="BF208" s="110"/>
      <c r="BG208" s="110"/>
      <c r="BH208" s="110"/>
      <c r="BI208" s="110"/>
      <c r="BJ208" s="110"/>
      <c r="BK208" s="332"/>
      <c r="BL208" s="111" t="s">
        <v>526</v>
      </c>
      <c r="BM208" s="117"/>
      <c r="BN208" s="36"/>
      <c r="BO208" s="36"/>
      <c r="BP208" s="36"/>
      <c r="BQ208" s="36"/>
      <c r="BR208" s="36"/>
      <c r="BS208" s="36"/>
      <c r="BT208" s="36"/>
      <c r="BU208" s="36"/>
    </row>
    <row r="209" spans="1:73" x14ac:dyDescent="0.2">
      <c r="A209" s="165"/>
      <c r="B209" s="129"/>
      <c r="C209" s="108"/>
      <c r="D209" s="307"/>
      <c r="E209" s="108" t="s">
        <v>286</v>
      </c>
      <c r="F209" s="346">
        <f t="shared" si="397"/>
        <v>73720</v>
      </c>
      <c r="G209" s="109">
        <f t="shared" si="398"/>
        <v>73721</v>
      </c>
      <c r="H209" s="110">
        <v>49458</v>
      </c>
      <c r="I209" s="110">
        <f t="shared" si="399"/>
        <v>49458</v>
      </c>
      <c r="J209" s="110">
        <f t="shared" si="400"/>
        <v>0</v>
      </c>
      <c r="K209" s="110"/>
      <c r="L209" s="110"/>
      <c r="M209" s="110"/>
      <c r="N209" s="110"/>
      <c r="O209" s="110"/>
      <c r="P209" s="110"/>
      <c r="Q209" s="110"/>
      <c r="R209" s="416"/>
      <c r="S209" s="435"/>
      <c r="T209" s="110"/>
      <c r="U209" s="110"/>
      <c r="V209" s="110"/>
      <c r="W209" s="110">
        <v>24262</v>
      </c>
      <c r="X209" s="110">
        <f t="shared" si="401"/>
        <v>24263</v>
      </c>
      <c r="Y209" s="110">
        <f t="shared" si="402"/>
        <v>1</v>
      </c>
      <c r="Z209" s="110"/>
      <c r="AA209" s="110">
        <v>1</v>
      </c>
      <c r="AB209" s="110"/>
      <c r="AC209" s="110"/>
      <c r="AD209" s="110"/>
      <c r="AE209" s="110"/>
      <c r="AF209" s="110">
        <v>0</v>
      </c>
      <c r="AG209" s="135">
        <f t="shared" si="403"/>
        <v>0</v>
      </c>
      <c r="AH209" s="135">
        <f t="shared" si="404"/>
        <v>0</v>
      </c>
      <c r="AI209" s="135"/>
      <c r="AJ209" s="135"/>
      <c r="AK209" s="135"/>
      <c r="AL209" s="454"/>
      <c r="AM209" s="135"/>
      <c r="AN209" s="135"/>
      <c r="AO209" s="135"/>
      <c r="AP209" s="135"/>
      <c r="AQ209" s="135"/>
      <c r="AR209" s="135">
        <v>0</v>
      </c>
      <c r="AS209" s="135">
        <f t="shared" si="405"/>
        <v>0</v>
      </c>
      <c r="AT209" s="135">
        <f t="shared" si="406"/>
        <v>0</v>
      </c>
      <c r="AU209" s="135"/>
      <c r="AV209" s="135"/>
      <c r="AW209" s="454"/>
      <c r="AX209" s="135"/>
      <c r="AY209" s="135"/>
      <c r="AZ209" s="110">
        <f t="shared" si="407"/>
        <v>0</v>
      </c>
      <c r="BA209" s="110">
        <f t="shared" si="408"/>
        <v>0</v>
      </c>
      <c r="BB209" s="110"/>
      <c r="BC209" s="110"/>
      <c r="BD209" s="110"/>
      <c r="BE209" s="110"/>
      <c r="BF209" s="110"/>
      <c r="BG209" s="110"/>
      <c r="BH209" s="110"/>
      <c r="BI209" s="110"/>
      <c r="BJ209" s="110"/>
      <c r="BK209" s="332"/>
      <c r="BL209" s="111" t="s">
        <v>527</v>
      </c>
      <c r="BM209" s="117"/>
      <c r="BN209" s="36"/>
      <c r="BO209" s="36"/>
      <c r="BP209" s="36"/>
      <c r="BQ209" s="36"/>
      <c r="BR209" s="36"/>
      <c r="BS209" s="36"/>
      <c r="BT209" s="36"/>
      <c r="BU209" s="36"/>
    </row>
    <row r="210" spans="1:73" ht="27.75" customHeight="1" x14ac:dyDescent="0.2">
      <c r="A210" s="165">
        <v>90000051612</v>
      </c>
      <c r="B210" s="129"/>
      <c r="C210" s="471" t="s">
        <v>226</v>
      </c>
      <c r="D210" s="472"/>
      <c r="E210" s="108" t="s">
        <v>259</v>
      </c>
      <c r="F210" s="346">
        <f t="shared" ref="F210:F227" si="541">H210+W210+AF210+AQ210+AR210+AY210</f>
        <v>630892</v>
      </c>
      <c r="G210" s="109">
        <f t="shared" ref="G210:G227" si="542">I210+X210+AG210+AQ210+AS210+AZ210</f>
        <v>639298</v>
      </c>
      <c r="H210" s="110">
        <v>299414</v>
      </c>
      <c r="I210" s="110">
        <f t="shared" ref="I210:I223" si="543">J210+H210</f>
        <v>299414</v>
      </c>
      <c r="J210" s="110">
        <f t="shared" ref="J210:J223" si="544">SUM(K210:V210)</f>
        <v>0</v>
      </c>
      <c r="K210" s="110"/>
      <c r="L210" s="110"/>
      <c r="M210" s="110"/>
      <c r="N210" s="110"/>
      <c r="O210" s="110"/>
      <c r="P210" s="110"/>
      <c r="Q210" s="110"/>
      <c r="R210" s="416"/>
      <c r="S210" s="435"/>
      <c r="T210" s="110"/>
      <c r="U210" s="110"/>
      <c r="V210" s="110"/>
      <c r="W210" s="110">
        <v>322382</v>
      </c>
      <c r="X210" s="110">
        <f t="shared" ref="X210:X223" si="545">Y210+W210</f>
        <v>328130</v>
      </c>
      <c r="Y210" s="110">
        <f t="shared" ref="Y210:Y223" si="546">SUM(Z210:AE210)</f>
        <v>5748</v>
      </c>
      <c r="Z210" s="110"/>
      <c r="AA210" s="110">
        <v>5748</v>
      </c>
      <c r="AB210" s="110"/>
      <c r="AC210" s="110"/>
      <c r="AD210" s="110"/>
      <c r="AE210" s="110"/>
      <c r="AF210" s="110">
        <v>9096</v>
      </c>
      <c r="AG210" s="135">
        <f t="shared" ref="AG210:AG223" si="547">AH210+AF210</f>
        <v>11754</v>
      </c>
      <c r="AH210" s="135">
        <f t="shared" ref="AH210:AH223" si="548">SUM(AI210:AP210)</f>
        <v>2658</v>
      </c>
      <c r="AI210" s="135">
        <v>2658</v>
      </c>
      <c r="AJ210" s="135"/>
      <c r="AK210" s="135"/>
      <c r="AL210" s="454"/>
      <c r="AM210" s="135"/>
      <c r="AN210" s="135"/>
      <c r="AO210" s="135"/>
      <c r="AP210" s="135"/>
      <c r="AQ210" s="135"/>
      <c r="AR210" s="110">
        <v>0</v>
      </c>
      <c r="AS210" s="135">
        <f t="shared" ref="AS210:AS223" si="549">AT210+AR210</f>
        <v>0</v>
      </c>
      <c r="AT210" s="135">
        <f t="shared" ref="AT210:AT223" si="550">SUM(AU210:AX210)</f>
        <v>0</v>
      </c>
      <c r="AU210" s="135"/>
      <c r="AV210" s="135"/>
      <c r="AW210" s="454"/>
      <c r="AX210" s="135"/>
      <c r="AY210" s="135"/>
      <c r="AZ210" s="110">
        <f t="shared" ref="AZ210:AZ223" si="551">BA210+AY210</f>
        <v>0</v>
      </c>
      <c r="BA210" s="110">
        <f t="shared" ref="BA210:BA223" si="552">SUM(BB210:BK210)</f>
        <v>0</v>
      </c>
      <c r="BB210" s="110"/>
      <c r="BC210" s="110"/>
      <c r="BD210" s="110"/>
      <c r="BE210" s="110"/>
      <c r="BF210" s="110"/>
      <c r="BG210" s="110"/>
      <c r="BH210" s="110"/>
      <c r="BI210" s="110"/>
      <c r="BJ210" s="110"/>
      <c r="BK210" s="332"/>
      <c r="BL210" s="111" t="s">
        <v>528</v>
      </c>
      <c r="BM210" s="117"/>
      <c r="BN210" s="36"/>
      <c r="BO210" s="36"/>
      <c r="BP210" s="36"/>
      <c r="BQ210" s="36"/>
      <c r="BR210" s="36"/>
      <c r="BS210" s="36"/>
      <c r="BT210" s="36"/>
      <c r="BU210" s="36"/>
    </row>
    <row r="211" spans="1:73" x14ac:dyDescent="0.2">
      <c r="A211" s="165"/>
      <c r="B211" s="129"/>
      <c r="C211" s="108"/>
      <c r="D211" s="307"/>
      <c r="E211" s="108" t="s">
        <v>286</v>
      </c>
      <c r="F211" s="346">
        <f t="shared" si="541"/>
        <v>79785</v>
      </c>
      <c r="G211" s="109">
        <f t="shared" si="542"/>
        <v>84643</v>
      </c>
      <c r="H211" s="110">
        <v>44582</v>
      </c>
      <c r="I211" s="110">
        <f t="shared" si="543"/>
        <v>44582</v>
      </c>
      <c r="J211" s="110">
        <f t="shared" si="544"/>
        <v>0</v>
      </c>
      <c r="K211" s="110"/>
      <c r="L211" s="110"/>
      <c r="M211" s="110"/>
      <c r="N211" s="110"/>
      <c r="O211" s="110"/>
      <c r="P211" s="110"/>
      <c r="Q211" s="110"/>
      <c r="R211" s="416"/>
      <c r="S211" s="435"/>
      <c r="T211" s="110"/>
      <c r="U211" s="110"/>
      <c r="V211" s="110"/>
      <c r="W211" s="110">
        <v>35203</v>
      </c>
      <c r="X211" s="110">
        <f t="shared" si="545"/>
        <v>40061</v>
      </c>
      <c r="Y211" s="110">
        <f t="shared" si="546"/>
        <v>4858</v>
      </c>
      <c r="Z211" s="110"/>
      <c r="AA211" s="110">
        <v>4858</v>
      </c>
      <c r="AB211" s="110"/>
      <c r="AC211" s="110"/>
      <c r="AD211" s="110"/>
      <c r="AE211" s="110"/>
      <c r="AF211" s="110">
        <v>0</v>
      </c>
      <c r="AG211" s="135">
        <f t="shared" si="547"/>
        <v>0</v>
      </c>
      <c r="AH211" s="135">
        <f t="shared" si="548"/>
        <v>0</v>
      </c>
      <c r="AI211" s="135"/>
      <c r="AJ211" s="135"/>
      <c r="AK211" s="135"/>
      <c r="AL211" s="454"/>
      <c r="AM211" s="135"/>
      <c r="AN211" s="135"/>
      <c r="AO211" s="135"/>
      <c r="AP211" s="135"/>
      <c r="AQ211" s="135"/>
      <c r="AR211" s="135">
        <v>0</v>
      </c>
      <c r="AS211" s="135">
        <f t="shared" si="549"/>
        <v>0</v>
      </c>
      <c r="AT211" s="135">
        <f t="shared" si="550"/>
        <v>0</v>
      </c>
      <c r="AU211" s="135"/>
      <c r="AV211" s="135"/>
      <c r="AW211" s="454"/>
      <c r="AX211" s="135"/>
      <c r="AY211" s="135"/>
      <c r="AZ211" s="110">
        <f t="shared" si="551"/>
        <v>0</v>
      </c>
      <c r="BA211" s="110">
        <f t="shared" si="552"/>
        <v>0</v>
      </c>
      <c r="BB211" s="110"/>
      <c r="BC211" s="110"/>
      <c r="BD211" s="110"/>
      <c r="BE211" s="110"/>
      <c r="BF211" s="110"/>
      <c r="BG211" s="110"/>
      <c r="BH211" s="110"/>
      <c r="BI211" s="110"/>
      <c r="BJ211" s="110"/>
      <c r="BK211" s="332"/>
      <c r="BL211" s="111" t="s">
        <v>529</v>
      </c>
      <c r="BM211" s="117"/>
      <c r="BN211" s="36"/>
      <c r="BO211" s="36"/>
      <c r="BP211" s="36"/>
      <c r="BQ211" s="36"/>
      <c r="BR211" s="36"/>
      <c r="BS211" s="36"/>
      <c r="BT211" s="36"/>
      <c r="BU211" s="36"/>
    </row>
    <row r="212" spans="1:73" s="389" customFormat="1" ht="36" x14ac:dyDescent="0.2">
      <c r="A212" s="165"/>
      <c r="B212" s="129"/>
      <c r="C212" s="387"/>
      <c r="D212" s="388"/>
      <c r="E212" s="387" t="s">
        <v>756</v>
      </c>
      <c r="F212" s="346">
        <f t="shared" ref="F212" si="553">H212+W212+AF212+AQ212+AR212+AY212</f>
        <v>0</v>
      </c>
      <c r="G212" s="109">
        <f t="shared" ref="G212" si="554">I212+X212+AG212+AQ212+AS212+AZ212</f>
        <v>1846</v>
      </c>
      <c r="H212" s="110"/>
      <c r="I212" s="110">
        <f t="shared" ref="I212" si="555">J212+H212</f>
        <v>1846</v>
      </c>
      <c r="J212" s="110">
        <f t="shared" ref="J212" si="556">SUM(K212:V212)</f>
        <v>1846</v>
      </c>
      <c r="K212" s="110"/>
      <c r="L212" s="110"/>
      <c r="M212" s="110"/>
      <c r="N212" s="110">
        <v>1846</v>
      </c>
      <c r="O212" s="110"/>
      <c r="P212" s="110"/>
      <c r="Q212" s="110"/>
      <c r="R212" s="416"/>
      <c r="S212" s="435"/>
      <c r="T212" s="110"/>
      <c r="U212" s="110"/>
      <c r="V212" s="110"/>
      <c r="W212" s="110"/>
      <c r="X212" s="110">
        <f t="shared" ref="X212" si="557">Y212+W212</f>
        <v>0</v>
      </c>
      <c r="Y212" s="110">
        <f t="shared" ref="Y212" si="558">SUM(Z212:AE212)</f>
        <v>0</v>
      </c>
      <c r="Z212" s="110"/>
      <c r="AA212" s="110"/>
      <c r="AB212" s="110"/>
      <c r="AC212" s="110"/>
      <c r="AD212" s="110"/>
      <c r="AE212" s="110"/>
      <c r="AF212" s="110"/>
      <c r="AG212" s="135">
        <f t="shared" ref="AG212" si="559">AH212+AF212</f>
        <v>0</v>
      </c>
      <c r="AH212" s="135">
        <f t="shared" ref="AH212" si="560">SUM(AI212:AP212)</f>
        <v>0</v>
      </c>
      <c r="AI212" s="135"/>
      <c r="AJ212" s="135"/>
      <c r="AK212" s="135"/>
      <c r="AL212" s="454"/>
      <c r="AM212" s="135"/>
      <c r="AN212" s="135"/>
      <c r="AO212" s="135"/>
      <c r="AP212" s="135"/>
      <c r="AQ212" s="135"/>
      <c r="AR212" s="135"/>
      <c r="AS212" s="135">
        <f t="shared" ref="AS212" si="561">AT212+AR212</f>
        <v>0</v>
      </c>
      <c r="AT212" s="135">
        <f t="shared" ref="AT212" si="562">SUM(AU212:AX212)</f>
        <v>0</v>
      </c>
      <c r="AU212" s="135"/>
      <c r="AV212" s="135"/>
      <c r="AW212" s="454"/>
      <c r="AX212" s="135"/>
      <c r="AY212" s="135"/>
      <c r="AZ212" s="110">
        <f t="shared" ref="AZ212" si="563">BA212+AY212</f>
        <v>0</v>
      </c>
      <c r="BA212" s="110">
        <f t="shared" ref="BA212" si="564">SUM(BB212:BK212)</f>
        <v>0</v>
      </c>
      <c r="BB212" s="110"/>
      <c r="BC212" s="110"/>
      <c r="BD212" s="110"/>
      <c r="BE212" s="110"/>
      <c r="BF212" s="110"/>
      <c r="BG212" s="110"/>
      <c r="BH212" s="110"/>
      <c r="BI212" s="110"/>
      <c r="BJ212" s="110"/>
      <c r="BK212" s="332"/>
      <c r="BL212" s="111" t="s">
        <v>760</v>
      </c>
      <c r="BM212" s="117"/>
      <c r="BN212" s="36"/>
      <c r="BO212" s="36"/>
      <c r="BP212" s="36"/>
      <c r="BQ212" s="36"/>
      <c r="BR212" s="36"/>
      <c r="BS212" s="36"/>
      <c r="BT212" s="36"/>
      <c r="BU212" s="36"/>
    </row>
    <row r="213" spans="1:73" ht="24" x14ac:dyDescent="0.2">
      <c r="A213" s="165">
        <v>90009251342</v>
      </c>
      <c r="B213" s="129"/>
      <c r="C213" s="471" t="s">
        <v>287</v>
      </c>
      <c r="D213" s="472"/>
      <c r="E213" s="108" t="s">
        <v>259</v>
      </c>
      <c r="F213" s="346">
        <f t="shared" si="541"/>
        <v>849898</v>
      </c>
      <c r="G213" s="109">
        <f t="shared" si="542"/>
        <v>852379</v>
      </c>
      <c r="H213" s="110">
        <v>52163</v>
      </c>
      <c r="I213" s="110">
        <f t="shared" si="543"/>
        <v>52163</v>
      </c>
      <c r="J213" s="110">
        <f t="shared" si="544"/>
        <v>0</v>
      </c>
      <c r="K213" s="110"/>
      <c r="L213" s="110"/>
      <c r="M213" s="110"/>
      <c r="N213" s="110"/>
      <c r="O213" s="110"/>
      <c r="P213" s="110"/>
      <c r="Q213" s="110"/>
      <c r="R213" s="416"/>
      <c r="S213" s="435"/>
      <c r="T213" s="110"/>
      <c r="U213" s="110"/>
      <c r="V213" s="110"/>
      <c r="W213" s="110">
        <v>785360</v>
      </c>
      <c r="X213" s="110">
        <f t="shared" si="545"/>
        <v>788511</v>
      </c>
      <c r="Y213" s="110">
        <f t="shared" si="546"/>
        <v>3151</v>
      </c>
      <c r="Z213" s="110">
        <f>3239-88</f>
        <v>3151</v>
      </c>
      <c r="AA213" s="110"/>
      <c r="AB213" s="110"/>
      <c r="AC213" s="110"/>
      <c r="AD213" s="110"/>
      <c r="AE213" s="110"/>
      <c r="AF213" s="110">
        <v>12375</v>
      </c>
      <c r="AG213" s="135">
        <f t="shared" si="547"/>
        <v>11705</v>
      </c>
      <c r="AH213" s="135">
        <f t="shared" si="548"/>
        <v>-670</v>
      </c>
      <c r="AI213" s="135">
        <v>-670</v>
      </c>
      <c r="AJ213" s="135"/>
      <c r="AK213" s="135"/>
      <c r="AL213" s="454"/>
      <c r="AM213" s="135"/>
      <c r="AN213" s="135"/>
      <c r="AO213" s="135"/>
      <c r="AP213" s="135"/>
      <c r="AQ213" s="135"/>
      <c r="AR213" s="110">
        <v>0</v>
      </c>
      <c r="AS213" s="135">
        <f t="shared" si="549"/>
        <v>0</v>
      </c>
      <c r="AT213" s="135">
        <f t="shared" si="550"/>
        <v>0</v>
      </c>
      <c r="AU213" s="135"/>
      <c r="AV213" s="135"/>
      <c r="AW213" s="454"/>
      <c r="AX213" s="135"/>
      <c r="AY213" s="135"/>
      <c r="AZ213" s="110">
        <f t="shared" si="551"/>
        <v>0</v>
      </c>
      <c r="BA213" s="110">
        <f t="shared" si="552"/>
        <v>0</v>
      </c>
      <c r="BB213" s="110"/>
      <c r="BC213" s="110"/>
      <c r="BD213" s="110"/>
      <c r="BE213" s="110"/>
      <c r="BF213" s="110"/>
      <c r="BG213" s="110"/>
      <c r="BH213" s="110"/>
      <c r="BI213" s="110"/>
      <c r="BJ213" s="110"/>
      <c r="BK213" s="332"/>
      <c r="BL213" s="111" t="s">
        <v>530</v>
      </c>
      <c r="BM213" s="117"/>
      <c r="BN213" s="36"/>
      <c r="BO213" s="36"/>
      <c r="BP213" s="36"/>
      <c r="BQ213" s="36"/>
      <c r="BR213" s="36"/>
      <c r="BS213" s="36"/>
      <c r="BT213" s="36"/>
      <c r="BU213" s="36"/>
    </row>
    <row r="214" spans="1:73" ht="36" x14ac:dyDescent="0.2">
      <c r="A214" s="165">
        <v>90009249367</v>
      </c>
      <c r="B214" s="129"/>
      <c r="C214" s="471" t="s">
        <v>369</v>
      </c>
      <c r="D214" s="472"/>
      <c r="E214" s="108" t="s">
        <v>288</v>
      </c>
      <c r="F214" s="346">
        <f t="shared" si="541"/>
        <v>1234088</v>
      </c>
      <c r="G214" s="109">
        <f t="shared" si="542"/>
        <v>1473050</v>
      </c>
      <c r="H214" s="110">
        <v>921207</v>
      </c>
      <c r="I214" s="110">
        <f t="shared" si="543"/>
        <v>900824</v>
      </c>
      <c r="J214" s="110">
        <f t="shared" si="544"/>
        <v>-20383</v>
      </c>
      <c r="K214" s="110"/>
      <c r="L214" s="110"/>
      <c r="M214" s="110"/>
      <c r="N214" s="110">
        <v>-15854</v>
      </c>
      <c r="O214" s="110">
        <v>-4529</v>
      </c>
      <c r="P214" s="110"/>
      <c r="Q214" s="110"/>
      <c r="R214" s="416"/>
      <c r="S214" s="435"/>
      <c r="T214" s="110"/>
      <c r="U214" s="110"/>
      <c r="V214" s="110"/>
      <c r="W214" s="110">
        <v>282187</v>
      </c>
      <c r="X214" s="110">
        <f t="shared" si="545"/>
        <v>534243</v>
      </c>
      <c r="Y214" s="110">
        <f t="shared" si="546"/>
        <v>252056</v>
      </c>
      <c r="Z214" s="110">
        <v>11445</v>
      </c>
      <c r="AA214" s="110">
        <v>240611</v>
      </c>
      <c r="AB214" s="110"/>
      <c r="AC214" s="110"/>
      <c r="AD214" s="110"/>
      <c r="AE214" s="110"/>
      <c r="AF214" s="110">
        <v>30694</v>
      </c>
      <c r="AG214" s="135">
        <f t="shared" si="547"/>
        <v>37019</v>
      </c>
      <c r="AH214" s="135">
        <f t="shared" si="548"/>
        <v>6325</v>
      </c>
      <c r="AI214" s="135">
        <v>2631</v>
      </c>
      <c r="AJ214" s="135">
        <v>3373</v>
      </c>
      <c r="AK214" s="135">
        <v>321</v>
      </c>
      <c r="AL214" s="454"/>
      <c r="AM214" s="135"/>
      <c r="AN214" s="135"/>
      <c r="AO214" s="135"/>
      <c r="AP214" s="135"/>
      <c r="AQ214" s="135"/>
      <c r="AR214" s="110">
        <v>0</v>
      </c>
      <c r="AS214" s="135">
        <f t="shared" si="549"/>
        <v>1660</v>
      </c>
      <c r="AT214" s="135">
        <f t="shared" si="550"/>
        <v>1660</v>
      </c>
      <c r="AU214" s="135">
        <v>1660</v>
      </c>
      <c r="AV214" s="135"/>
      <c r="AW214" s="454"/>
      <c r="AX214" s="135"/>
      <c r="AY214" s="135"/>
      <c r="AZ214" s="110">
        <f t="shared" si="551"/>
        <v>-696</v>
      </c>
      <c r="BA214" s="110">
        <f t="shared" si="552"/>
        <v>-696</v>
      </c>
      <c r="BB214" s="110"/>
      <c r="BC214" s="110">
        <v>-375</v>
      </c>
      <c r="BD214" s="110"/>
      <c r="BE214" s="110">
        <v>-321</v>
      </c>
      <c r="BF214" s="110"/>
      <c r="BG214" s="110"/>
      <c r="BH214" s="110"/>
      <c r="BI214" s="110"/>
      <c r="BJ214" s="110"/>
      <c r="BK214" s="332"/>
      <c r="BL214" s="111" t="s">
        <v>531</v>
      </c>
      <c r="BM214" s="117"/>
      <c r="BN214" s="36"/>
      <c r="BO214" s="36"/>
      <c r="BP214" s="36"/>
      <c r="BQ214" s="36"/>
      <c r="BR214" s="36"/>
      <c r="BS214" s="36"/>
      <c r="BT214" s="36"/>
      <c r="BU214" s="36"/>
    </row>
    <row r="215" spans="1:73" s="154" customFormat="1" x14ac:dyDescent="0.2">
      <c r="A215" s="165"/>
      <c r="B215" s="129"/>
      <c r="C215" s="108"/>
      <c r="D215" s="307"/>
      <c r="E215" s="108" t="s">
        <v>310</v>
      </c>
      <c r="F215" s="346">
        <f t="shared" si="541"/>
        <v>165247</v>
      </c>
      <c r="G215" s="109">
        <f t="shared" si="542"/>
        <v>173521</v>
      </c>
      <c r="H215" s="110">
        <v>158537</v>
      </c>
      <c r="I215" s="110">
        <f t="shared" si="543"/>
        <v>161800</v>
      </c>
      <c r="J215" s="110">
        <f t="shared" si="544"/>
        <v>3263</v>
      </c>
      <c r="K215" s="110"/>
      <c r="L215" s="110"/>
      <c r="M215" s="110">
        <v>516</v>
      </c>
      <c r="N215" s="110">
        <v>-1782</v>
      </c>
      <c r="O215" s="110">
        <v>4529</v>
      </c>
      <c r="P215" s="110"/>
      <c r="Q215" s="110"/>
      <c r="R215" s="416"/>
      <c r="S215" s="435"/>
      <c r="T215" s="110"/>
      <c r="U215" s="110"/>
      <c r="V215" s="110"/>
      <c r="W215" s="110">
        <v>0</v>
      </c>
      <c r="X215" s="110">
        <f t="shared" si="545"/>
        <v>0</v>
      </c>
      <c r="Y215" s="110">
        <f t="shared" si="546"/>
        <v>0</v>
      </c>
      <c r="Z215" s="110"/>
      <c r="AA215" s="110"/>
      <c r="AB215" s="110"/>
      <c r="AC215" s="110"/>
      <c r="AD215" s="110"/>
      <c r="AE215" s="110"/>
      <c r="AF215" s="110">
        <v>6710</v>
      </c>
      <c r="AG215" s="135">
        <f t="shared" si="547"/>
        <v>11542</v>
      </c>
      <c r="AH215" s="135">
        <f t="shared" si="548"/>
        <v>4832</v>
      </c>
      <c r="AI215" s="135">
        <v>4832</v>
      </c>
      <c r="AJ215" s="135"/>
      <c r="AK215" s="135"/>
      <c r="AL215" s="454"/>
      <c r="AM215" s="135"/>
      <c r="AN215" s="135"/>
      <c r="AO215" s="135"/>
      <c r="AP215" s="135"/>
      <c r="AQ215" s="135"/>
      <c r="AR215" s="110">
        <v>0</v>
      </c>
      <c r="AS215" s="135">
        <f t="shared" si="549"/>
        <v>179</v>
      </c>
      <c r="AT215" s="135">
        <f t="shared" si="550"/>
        <v>179</v>
      </c>
      <c r="AU215" s="135">
        <v>179</v>
      </c>
      <c r="AV215" s="135"/>
      <c r="AW215" s="454"/>
      <c r="AX215" s="135"/>
      <c r="AY215" s="135"/>
      <c r="AZ215" s="110">
        <f t="shared" si="551"/>
        <v>0</v>
      </c>
      <c r="BA215" s="110">
        <f t="shared" si="552"/>
        <v>0</v>
      </c>
      <c r="BB215" s="110"/>
      <c r="BC215" s="110"/>
      <c r="BD215" s="110"/>
      <c r="BE215" s="110"/>
      <c r="BF215" s="110"/>
      <c r="BG215" s="110"/>
      <c r="BH215" s="110"/>
      <c r="BI215" s="110"/>
      <c r="BJ215" s="110"/>
      <c r="BK215" s="332"/>
      <c r="BL215" s="111" t="s">
        <v>532</v>
      </c>
      <c r="BM215" s="117" t="s">
        <v>690</v>
      </c>
      <c r="BN215" s="36"/>
      <c r="BO215" s="36"/>
      <c r="BP215" s="36"/>
      <c r="BQ215" s="36"/>
      <c r="BR215" s="36"/>
      <c r="BS215" s="36"/>
      <c r="BT215" s="36"/>
      <c r="BU215" s="36"/>
    </row>
    <row r="216" spans="1:73" s="222" customFormat="1" x14ac:dyDescent="0.2">
      <c r="A216" s="165">
        <v>90010478153</v>
      </c>
      <c r="B216" s="129"/>
      <c r="C216" s="471" t="s">
        <v>571</v>
      </c>
      <c r="D216" s="472"/>
      <c r="E216" s="108" t="s">
        <v>398</v>
      </c>
      <c r="F216" s="346">
        <f t="shared" si="541"/>
        <v>107950</v>
      </c>
      <c r="G216" s="109">
        <f t="shared" si="542"/>
        <v>107950</v>
      </c>
      <c r="H216" s="110">
        <v>107950</v>
      </c>
      <c r="I216" s="110">
        <f t="shared" si="543"/>
        <v>107950</v>
      </c>
      <c r="J216" s="110">
        <f t="shared" si="544"/>
        <v>0</v>
      </c>
      <c r="K216" s="110"/>
      <c r="L216" s="110"/>
      <c r="M216" s="110"/>
      <c r="N216" s="110"/>
      <c r="O216" s="110"/>
      <c r="P216" s="110"/>
      <c r="Q216" s="110"/>
      <c r="R216" s="416"/>
      <c r="S216" s="435"/>
      <c r="T216" s="110"/>
      <c r="U216" s="110"/>
      <c r="V216" s="110"/>
      <c r="W216" s="110">
        <v>0</v>
      </c>
      <c r="X216" s="110">
        <f t="shared" si="545"/>
        <v>0</v>
      </c>
      <c r="Y216" s="110">
        <f t="shared" si="546"/>
        <v>0</v>
      </c>
      <c r="Z216" s="110"/>
      <c r="AA216" s="110"/>
      <c r="AB216" s="110"/>
      <c r="AC216" s="110"/>
      <c r="AD216" s="110"/>
      <c r="AE216" s="110"/>
      <c r="AF216" s="110">
        <v>0</v>
      </c>
      <c r="AG216" s="135">
        <f t="shared" si="547"/>
        <v>0</v>
      </c>
      <c r="AH216" s="135">
        <f t="shared" si="548"/>
        <v>0</v>
      </c>
      <c r="AI216" s="135"/>
      <c r="AJ216" s="135"/>
      <c r="AK216" s="135"/>
      <c r="AL216" s="454"/>
      <c r="AM216" s="135"/>
      <c r="AN216" s="135"/>
      <c r="AO216" s="135"/>
      <c r="AP216" s="135"/>
      <c r="AQ216" s="135"/>
      <c r="AR216" s="110">
        <v>0</v>
      </c>
      <c r="AS216" s="135">
        <f t="shared" si="549"/>
        <v>0</v>
      </c>
      <c r="AT216" s="135">
        <f t="shared" si="550"/>
        <v>0</v>
      </c>
      <c r="AU216" s="135"/>
      <c r="AV216" s="135"/>
      <c r="AW216" s="454"/>
      <c r="AX216" s="135"/>
      <c r="AY216" s="135"/>
      <c r="AZ216" s="110">
        <f t="shared" si="551"/>
        <v>0</v>
      </c>
      <c r="BA216" s="110">
        <f t="shared" si="552"/>
        <v>0</v>
      </c>
      <c r="BB216" s="110"/>
      <c r="BC216" s="110"/>
      <c r="BD216" s="110"/>
      <c r="BE216" s="110"/>
      <c r="BF216" s="110"/>
      <c r="BG216" s="110"/>
      <c r="BH216" s="110"/>
      <c r="BI216" s="110"/>
      <c r="BJ216" s="110"/>
      <c r="BK216" s="332"/>
      <c r="BL216" s="111" t="s">
        <v>533</v>
      </c>
      <c r="BM216" s="117"/>
      <c r="BN216" s="36"/>
      <c r="BO216" s="36"/>
      <c r="BP216" s="36"/>
      <c r="BQ216" s="36"/>
      <c r="BR216" s="36"/>
      <c r="BS216" s="36"/>
      <c r="BT216" s="36"/>
      <c r="BU216" s="36"/>
    </row>
    <row r="217" spans="1:73" ht="24" x14ac:dyDescent="0.2">
      <c r="A217" s="165">
        <v>90000783949</v>
      </c>
      <c r="B217" s="129"/>
      <c r="C217" s="471" t="s">
        <v>19</v>
      </c>
      <c r="D217" s="472"/>
      <c r="E217" s="108" t="s">
        <v>259</v>
      </c>
      <c r="F217" s="346">
        <f t="shared" si="541"/>
        <v>617489</v>
      </c>
      <c r="G217" s="109">
        <f t="shared" si="542"/>
        <v>630686</v>
      </c>
      <c r="H217" s="110">
        <v>304037</v>
      </c>
      <c r="I217" s="110">
        <f t="shared" si="543"/>
        <v>308331</v>
      </c>
      <c r="J217" s="110">
        <f t="shared" si="544"/>
        <v>4294</v>
      </c>
      <c r="K217" s="110">
        <v>1294</v>
      </c>
      <c r="L217" s="110"/>
      <c r="M217" s="110"/>
      <c r="N217" s="110">
        <v>3000</v>
      </c>
      <c r="O217" s="110"/>
      <c r="P217" s="110"/>
      <c r="Q217" s="110"/>
      <c r="R217" s="416"/>
      <c r="S217" s="435"/>
      <c r="T217" s="110"/>
      <c r="U217" s="110"/>
      <c r="V217" s="110"/>
      <c r="W217" s="110">
        <v>312502</v>
      </c>
      <c r="X217" s="110">
        <f t="shared" si="545"/>
        <v>317479</v>
      </c>
      <c r="Y217" s="110">
        <f t="shared" si="546"/>
        <v>4977</v>
      </c>
      <c r="Z217" s="110">
        <v>2376</v>
      </c>
      <c r="AA217" s="110">
        <f>3120-420-99</f>
        <v>2601</v>
      </c>
      <c r="AB217" s="110"/>
      <c r="AC217" s="110"/>
      <c r="AD217" s="110"/>
      <c r="AE217" s="110"/>
      <c r="AF217" s="110">
        <v>950</v>
      </c>
      <c r="AG217" s="135">
        <f t="shared" si="547"/>
        <v>4376</v>
      </c>
      <c r="AH217" s="135">
        <f t="shared" si="548"/>
        <v>3426</v>
      </c>
      <c r="AI217" s="135">
        <v>76</v>
      </c>
      <c r="AJ217" s="135">
        <v>3350</v>
      </c>
      <c r="AK217" s="135"/>
      <c r="AL217" s="454"/>
      <c r="AM217" s="135"/>
      <c r="AN217" s="135"/>
      <c r="AO217" s="135"/>
      <c r="AP217" s="135"/>
      <c r="AQ217" s="135"/>
      <c r="AR217" s="110">
        <v>0</v>
      </c>
      <c r="AS217" s="135">
        <f t="shared" si="549"/>
        <v>500</v>
      </c>
      <c r="AT217" s="135">
        <f t="shared" si="550"/>
        <v>500</v>
      </c>
      <c r="AU217" s="135">
        <v>500</v>
      </c>
      <c r="AV217" s="135"/>
      <c r="AW217" s="454"/>
      <c r="AX217" s="135"/>
      <c r="AY217" s="135"/>
      <c r="AZ217" s="110">
        <f t="shared" si="551"/>
        <v>0</v>
      </c>
      <c r="BA217" s="110">
        <f t="shared" si="552"/>
        <v>0</v>
      </c>
      <c r="BB217" s="110"/>
      <c r="BC217" s="110"/>
      <c r="BD217" s="110"/>
      <c r="BE217" s="110"/>
      <c r="BF217" s="110"/>
      <c r="BG217" s="110"/>
      <c r="BH217" s="110"/>
      <c r="BI217" s="110"/>
      <c r="BJ217" s="110"/>
      <c r="BK217" s="332"/>
      <c r="BL217" s="111" t="s">
        <v>534</v>
      </c>
      <c r="BM217" s="117"/>
      <c r="BN217" s="36"/>
      <c r="BO217" s="36"/>
      <c r="BP217" s="36"/>
      <c r="BQ217" s="36"/>
      <c r="BR217" s="36"/>
      <c r="BS217" s="36"/>
      <c r="BT217" s="36"/>
      <c r="BU217" s="36"/>
    </row>
    <row r="218" spans="1:73" x14ac:dyDescent="0.2">
      <c r="A218" s="165"/>
      <c r="B218" s="129"/>
      <c r="C218" s="108"/>
      <c r="D218" s="307"/>
      <c r="E218" s="108" t="s">
        <v>286</v>
      </c>
      <c r="F218" s="346">
        <f t="shared" si="541"/>
        <v>54789</v>
      </c>
      <c r="G218" s="109">
        <f t="shared" si="542"/>
        <v>55045</v>
      </c>
      <c r="H218" s="110">
        <v>37804</v>
      </c>
      <c r="I218" s="110">
        <f t="shared" si="543"/>
        <v>37804</v>
      </c>
      <c r="J218" s="110">
        <f t="shared" si="544"/>
        <v>0</v>
      </c>
      <c r="K218" s="110"/>
      <c r="L218" s="110"/>
      <c r="M218" s="110"/>
      <c r="N218" s="110"/>
      <c r="O218" s="110"/>
      <c r="P218" s="110"/>
      <c r="Q218" s="110"/>
      <c r="R218" s="416"/>
      <c r="S218" s="435"/>
      <c r="T218" s="110"/>
      <c r="U218" s="110"/>
      <c r="V218" s="110"/>
      <c r="W218" s="110">
        <v>16985</v>
      </c>
      <c r="X218" s="110">
        <f t="shared" si="545"/>
        <v>17241</v>
      </c>
      <c r="Y218" s="110">
        <f t="shared" si="546"/>
        <v>256</v>
      </c>
      <c r="Z218" s="110"/>
      <c r="AA218" s="110">
        <v>256</v>
      </c>
      <c r="AB218" s="110"/>
      <c r="AC218" s="110"/>
      <c r="AD218" s="110"/>
      <c r="AE218" s="110"/>
      <c r="AF218" s="110">
        <v>0</v>
      </c>
      <c r="AG218" s="135">
        <f t="shared" si="547"/>
        <v>0</v>
      </c>
      <c r="AH218" s="135">
        <f t="shared" si="548"/>
        <v>0</v>
      </c>
      <c r="AI218" s="135"/>
      <c r="AJ218" s="135"/>
      <c r="AK218" s="135"/>
      <c r="AL218" s="454"/>
      <c r="AM218" s="135"/>
      <c r="AN218" s="135"/>
      <c r="AO218" s="135"/>
      <c r="AP218" s="135"/>
      <c r="AQ218" s="135"/>
      <c r="AR218" s="135">
        <v>0</v>
      </c>
      <c r="AS218" s="135">
        <f t="shared" si="549"/>
        <v>0</v>
      </c>
      <c r="AT218" s="135">
        <f t="shared" si="550"/>
        <v>0</v>
      </c>
      <c r="AU218" s="135"/>
      <c r="AV218" s="135"/>
      <c r="AW218" s="454"/>
      <c r="AX218" s="135"/>
      <c r="AY218" s="135"/>
      <c r="AZ218" s="110">
        <f t="shared" si="551"/>
        <v>0</v>
      </c>
      <c r="BA218" s="110">
        <f t="shared" si="552"/>
        <v>0</v>
      </c>
      <c r="BB218" s="110"/>
      <c r="BC218" s="110"/>
      <c r="BD218" s="110"/>
      <c r="BE218" s="110"/>
      <c r="BF218" s="110"/>
      <c r="BG218" s="110"/>
      <c r="BH218" s="110"/>
      <c r="BI218" s="110"/>
      <c r="BJ218" s="110"/>
      <c r="BK218" s="332"/>
      <c r="BL218" s="111" t="s">
        <v>535</v>
      </c>
      <c r="BM218" s="117"/>
      <c r="BN218" s="36"/>
      <c r="BO218" s="36"/>
      <c r="BP218" s="36"/>
      <c r="BQ218" s="36"/>
      <c r="BR218" s="36"/>
      <c r="BS218" s="36"/>
      <c r="BT218" s="36"/>
      <c r="BU218" s="36"/>
    </row>
    <row r="219" spans="1:73" s="356" customFormat="1" ht="60" x14ac:dyDescent="0.2">
      <c r="A219" s="165"/>
      <c r="B219" s="129"/>
      <c r="C219" s="357"/>
      <c r="D219" s="358"/>
      <c r="E219" s="357" t="s">
        <v>730</v>
      </c>
      <c r="F219" s="346">
        <f t="shared" ref="F219" si="565">H219+W219+AF219+AQ219+AR219+AY219</f>
        <v>0</v>
      </c>
      <c r="G219" s="109">
        <f t="shared" ref="G219" si="566">I219+X219+AG219+AQ219+AS219+AZ219</f>
        <v>17</v>
      </c>
      <c r="H219" s="110"/>
      <c r="I219" s="110">
        <f t="shared" ref="I219" si="567">J219+H219</f>
        <v>17</v>
      </c>
      <c r="J219" s="110">
        <f t="shared" ref="J219" si="568">SUM(K219:V219)</f>
        <v>17</v>
      </c>
      <c r="K219" s="110"/>
      <c r="L219" s="110">
        <v>17</v>
      </c>
      <c r="M219" s="110"/>
      <c r="N219" s="110"/>
      <c r="O219" s="110"/>
      <c r="P219" s="110"/>
      <c r="Q219" s="110"/>
      <c r="R219" s="416"/>
      <c r="S219" s="435"/>
      <c r="T219" s="110"/>
      <c r="U219" s="110"/>
      <c r="V219" s="110"/>
      <c r="W219" s="110"/>
      <c r="X219" s="110">
        <f t="shared" ref="X219" si="569">Y219+W219</f>
        <v>0</v>
      </c>
      <c r="Y219" s="110">
        <f t="shared" ref="Y219" si="570">SUM(Z219:AE219)</f>
        <v>0</v>
      </c>
      <c r="Z219" s="110"/>
      <c r="AA219" s="110"/>
      <c r="AB219" s="110"/>
      <c r="AC219" s="110"/>
      <c r="AD219" s="110"/>
      <c r="AE219" s="110"/>
      <c r="AF219" s="110"/>
      <c r="AG219" s="135">
        <f t="shared" ref="AG219" si="571">AH219+AF219</f>
        <v>0</v>
      </c>
      <c r="AH219" s="135">
        <f t="shared" ref="AH219" si="572">SUM(AI219:AP219)</f>
        <v>0</v>
      </c>
      <c r="AI219" s="135"/>
      <c r="AJ219" s="135"/>
      <c r="AK219" s="135"/>
      <c r="AL219" s="454"/>
      <c r="AM219" s="135"/>
      <c r="AN219" s="135"/>
      <c r="AO219" s="135"/>
      <c r="AP219" s="135"/>
      <c r="AQ219" s="135"/>
      <c r="AR219" s="135"/>
      <c r="AS219" s="135">
        <f t="shared" ref="AS219" si="573">AT219+AR219</f>
        <v>0</v>
      </c>
      <c r="AT219" s="135">
        <f t="shared" ref="AT219" si="574">SUM(AU219:AX219)</f>
        <v>0</v>
      </c>
      <c r="AU219" s="135"/>
      <c r="AV219" s="135"/>
      <c r="AW219" s="454"/>
      <c r="AX219" s="135"/>
      <c r="AY219" s="135"/>
      <c r="AZ219" s="110">
        <f t="shared" ref="AZ219" si="575">BA219+AY219</f>
        <v>0</v>
      </c>
      <c r="BA219" s="110">
        <f t="shared" ref="BA219" si="576">SUM(BB219:BK219)</f>
        <v>0</v>
      </c>
      <c r="BB219" s="110"/>
      <c r="BC219" s="110"/>
      <c r="BD219" s="110"/>
      <c r="BE219" s="110"/>
      <c r="BF219" s="110"/>
      <c r="BG219" s="110"/>
      <c r="BH219" s="110"/>
      <c r="BI219" s="110"/>
      <c r="BJ219" s="110"/>
      <c r="BK219" s="332"/>
      <c r="BL219" s="111" t="s">
        <v>731</v>
      </c>
      <c r="BM219" s="117"/>
      <c r="BN219" s="36"/>
      <c r="BO219" s="36"/>
      <c r="BP219" s="36"/>
      <c r="BQ219" s="36"/>
      <c r="BR219" s="36"/>
      <c r="BS219" s="36"/>
      <c r="BT219" s="36"/>
      <c r="BU219" s="36"/>
    </row>
    <row r="220" spans="1:73" ht="24" x14ac:dyDescent="0.2">
      <c r="A220" s="165">
        <v>90000051646</v>
      </c>
      <c r="B220" s="129"/>
      <c r="C220" s="471" t="s">
        <v>175</v>
      </c>
      <c r="D220" s="472"/>
      <c r="E220" s="108" t="s">
        <v>259</v>
      </c>
      <c r="F220" s="346">
        <f t="shared" si="541"/>
        <v>254279</v>
      </c>
      <c r="G220" s="109">
        <f t="shared" si="542"/>
        <v>258649</v>
      </c>
      <c r="H220" s="110">
        <v>87002</v>
      </c>
      <c r="I220" s="110">
        <f t="shared" si="543"/>
        <v>87002</v>
      </c>
      <c r="J220" s="110">
        <f t="shared" si="544"/>
        <v>0</v>
      </c>
      <c r="K220" s="110"/>
      <c r="L220" s="110"/>
      <c r="M220" s="110"/>
      <c r="N220" s="110"/>
      <c r="O220" s="110"/>
      <c r="P220" s="110"/>
      <c r="Q220" s="110"/>
      <c r="R220" s="416"/>
      <c r="S220" s="435"/>
      <c r="T220" s="110"/>
      <c r="U220" s="110"/>
      <c r="V220" s="110"/>
      <c r="W220" s="110">
        <v>167277</v>
      </c>
      <c r="X220" s="110">
        <f t="shared" si="545"/>
        <v>171607</v>
      </c>
      <c r="Y220" s="110">
        <f t="shared" si="546"/>
        <v>4330</v>
      </c>
      <c r="Z220" s="110"/>
      <c r="AA220" s="110">
        <v>4330</v>
      </c>
      <c r="AB220" s="110"/>
      <c r="AC220" s="110"/>
      <c r="AD220" s="110"/>
      <c r="AE220" s="110"/>
      <c r="AF220" s="110">
        <v>0</v>
      </c>
      <c r="AG220" s="135">
        <f t="shared" si="547"/>
        <v>50</v>
      </c>
      <c r="AH220" s="135">
        <f t="shared" si="548"/>
        <v>50</v>
      </c>
      <c r="AI220" s="135">
        <v>50</v>
      </c>
      <c r="AJ220" s="135"/>
      <c r="AK220" s="135"/>
      <c r="AL220" s="454"/>
      <c r="AM220" s="135"/>
      <c r="AN220" s="135"/>
      <c r="AO220" s="135"/>
      <c r="AP220" s="135"/>
      <c r="AQ220" s="135"/>
      <c r="AR220" s="110">
        <v>0</v>
      </c>
      <c r="AS220" s="135">
        <f t="shared" si="549"/>
        <v>0</v>
      </c>
      <c r="AT220" s="135">
        <f t="shared" si="550"/>
        <v>0</v>
      </c>
      <c r="AU220" s="135"/>
      <c r="AV220" s="135"/>
      <c r="AW220" s="454"/>
      <c r="AX220" s="135"/>
      <c r="AY220" s="135"/>
      <c r="AZ220" s="110">
        <f t="shared" si="551"/>
        <v>-10</v>
      </c>
      <c r="BA220" s="110">
        <f t="shared" si="552"/>
        <v>-10</v>
      </c>
      <c r="BB220" s="110"/>
      <c r="BC220" s="110">
        <v>-10</v>
      </c>
      <c r="BD220" s="110"/>
      <c r="BE220" s="110"/>
      <c r="BF220" s="110"/>
      <c r="BG220" s="110"/>
      <c r="BH220" s="110"/>
      <c r="BI220" s="110"/>
      <c r="BJ220" s="110"/>
      <c r="BK220" s="332"/>
      <c r="BL220" s="111" t="s">
        <v>536</v>
      </c>
      <c r="BM220" s="117"/>
      <c r="BN220" s="36"/>
      <c r="BO220" s="36"/>
      <c r="BP220" s="36"/>
      <c r="BQ220" s="36"/>
      <c r="BR220" s="36"/>
      <c r="BS220" s="36"/>
      <c r="BT220" s="36"/>
      <c r="BU220" s="36"/>
    </row>
    <row r="221" spans="1:73" s="153" customFormat="1" x14ac:dyDescent="0.2">
      <c r="A221" s="165"/>
      <c r="B221" s="129"/>
      <c r="C221" s="108"/>
      <c r="D221" s="307"/>
      <c r="E221" s="108" t="s">
        <v>286</v>
      </c>
      <c r="F221" s="346">
        <f t="shared" si="541"/>
        <v>60264</v>
      </c>
      <c r="G221" s="109">
        <f t="shared" si="542"/>
        <v>60264</v>
      </c>
      <c r="H221" s="110">
        <v>60264</v>
      </c>
      <c r="I221" s="110">
        <f t="shared" si="543"/>
        <v>60264</v>
      </c>
      <c r="J221" s="110">
        <f t="shared" si="544"/>
        <v>0</v>
      </c>
      <c r="K221" s="110"/>
      <c r="L221" s="110"/>
      <c r="M221" s="110"/>
      <c r="N221" s="110"/>
      <c r="O221" s="110"/>
      <c r="P221" s="110"/>
      <c r="Q221" s="110"/>
      <c r="R221" s="416"/>
      <c r="S221" s="435"/>
      <c r="T221" s="110"/>
      <c r="U221" s="110"/>
      <c r="V221" s="110"/>
      <c r="W221" s="110">
        <v>0</v>
      </c>
      <c r="X221" s="110">
        <f t="shared" si="545"/>
        <v>0</v>
      </c>
      <c r="Y221" s="110">
        <f t="shared" si="546"/>
        <v>0</v>
      </c>
      <c r="Z221" s="110"/>
      <c r="AA221" s="110"/>
      <c r="AB221" s="110"/>
      <c r="AC221" s="110"/>
      <c r="AD221" s="110"/>
      <c r="AE221" s="110"/>
      <c r="AF221" s="110">
        <v>0</v>
      </c>
      <c r="AG221" s="135">
        <f t="shared" si="547"/>
        <v>0</v>
      </c>
      <c r="AH221" s="135">
        <f t="shared" si="548"/>
        <v>0</v>
      </c>
      <c r="AI221" s="135"/>
      <c r="AJ221" s="135"/>
      <c r="AK221" s="135"/>
      <c r="AL221" s="454"/>
      <c r="AM221" s="135"/>
      <c r="AN221" s="135"/>
      <c r="AO221" s="135"/>
      <c r="AP221" s="135"/>
      <c r="AQ221" s="135"/>
      <c r="AR221" s="110">
        <v>0</v>
      </c>
      <c r="AS221" s="135">
        <f t="shared" si="549"/>
        <v>0</v>
      </c>
      <c r="AT221" s="135">
        <f t="shared" si="550"/>
        <v>0</v>
      </c>
      <c r="AU221" s="135"/>
      <c r="AV221" s="135"/>
      <c r="AW221" s="454"/>
      <c r="AX221" s="135"/>
      <c r="AY221" s="135"/>
      <c r="AZ221" s="110">
        <f t="shared" si="551"/>
        <v>0</v>
      </c>
      <c r="BA221" s="110">
        <f t="shared" si="552"/>
        <v>0</v>
      </c>
      <c r="BB221" s="110"/>
      <c r="BC221" s="110"/>
      <c r="BD221" s="110"/>
      <c r="BE221" s="110"/>
      <c r="BF221" s="110"/>
      <c r="BG221" s="110"/>
      <c r="BH221" s="110"/>
      <c r="BI221" s="110"/>
      <c r="BJ221" s="110"/>
      <c r="BK221" s="332"/>
      <c r="BL221" s="111" t="s">
        <v>537</v>
      </c>
      <c r="BM221" s="117"/>
      <c r="BN221" s="36"/>
      <c r="BO221" s="36"/>
      <c r="BP221" s="36"/>
      <c r="BQ221" s="36"/>
      <c r="BR221" s="36"/>
      <c r="BS221" s="36"/>
      <c r="BT221" s="36"/>
      <c r="BU221" s="36"/>
    </row>
    <row r="222" spans="1:73" s="361" customFormat="1" ht="26.25" customHeight="1" x14ac:dyDescent="0.2">
      <c r="A222" s="165"/>
      <c r="B222" s="129"/>
      <c r="C222" s="359"/>
      <c r="D222" s="360"/>
      <c r="E222" s="359" t="s">
        <v>733</v>
      </c>
      <c r="F222" s="346">
        <f t="shared" ref="F222" si="577">H222+W222+AF222+AQ222+AR222+AY222</f>
        <v>0</v>
      </c>
      <c r="G222" s="109">
        <f t="shared" ref="G222" si="578">I222+X222+AG222+AQ222+AS222+AZ222</f>
        <v>0</v>
      </c>
      <c r="H222" s="110"/>
      <c r="I222" s="110">
        <f t="shared" ref="I222" si="579">J222+H222</f>
        <v>1</v>
      </c>
      <c r="J222" s="110">
        <f t="shared" ref="J222" si="580">SUM(K222:V222)</f>
        <v>1</v>
      </c>
      <c r="K222" s="110"/>
      <c r="L222" s="110">
        <v>1</v>
      </c>
      <c r="M222" s="110"/>
      <c r="N222" s="110"/>
      <c r="O222" s="110"/>
      <c r="P222" s="110"/>
      <c r="Q222" s="110"/>
      <c r="R222" s="416"/>
      <c r="S222" s="435"/>
      <c r="T222" s="110"/>
      <c r="U222" s="110"/>
      <c r="V222" s="110"/>
      <c r="W222" s="110"/>
      <c r="X222" s="110">
        <f t="shared" ref="X222" si="581">Y222+W222</f>
        <v>0</v>
      </c>
      <c r="Y222" s="110">
        <f t="shared" ref="Y222" si="582">SUM(Z222:AE222)</f>
        <v>0</v>
      </c>
      <c r="Z222" s="110"/>
      <c r="AA222" s="110"/>
      <c r="AB222" s="110"/>
      <c r="AC222" s="110"/>
      <c r="AD222" s="110"/>
      <c r="AE222" s="110"/>
      <c r="AF222" s="110"/>
      <c r="AG222" s="135">
        <f t="shared" ref="AG222" si="583">AH222+AF222</f>
        <v>0</v>
      </c>
      <c r="AH222" s="135">
        <f t="shared" ref="AH222" si="584">SUM(AI222:AP222)</f>
        <v>0</v>
      </c>
      <c r="AI222" s="135"/>
      <c r="AJ222" s="135"/>
      <c r="AK222" s="135"/>
      <c r="AL222" s="454"/>
      <c r="AM222" s="135"/>
      <c r="AN222" s="135"/>
      <c r="AO222" s="135"/>
      <c r="AP222" s="135"/>
      <c r="AQ222" s="135"/>
      <c r="AR222" s="135"/>
      <c r="AS222" s="135">
        <f t="shared" ref="AS222" si="585">AT222+AR222</f>
        <v>0</v>
      </c>
      <c r="AT222" s="135">
        <f t="shared" ref="AT222" si="586">SUM(AU222:AX222)</f>
        <v>0</v>
      </c>
      <c r="AU222" s="135"/>
      <c r="AV222" s="135"/>
      <c r="AW222" s="454"/>
      <c r="AX222" s="135"/>
      <c r="AY222" s="135"/>
      <c r="AZ222" s="110">
        <f t="shared" ref="AZ222" si="587">BA222+AY222</f>
        <v>-1</v>
      </c>
      <c r="BA222" s="110">
        <f t="shared" ref="BA222" si="588">SUM(BB222:BK222)</f>
        <v>-1</v>
      </c>
      <c r="BB222" s="110">
        <v>-1</v>
      </c>
      <c r="BC222" s="110"/>
      <c r="BD222" s="110"/>
      <c r="BE222" s="110"/>
      <c r="BF222" s="110"/>
      <c r="BG222" s="110"/>
      <c r="BH222" s="110"/>
      <c r="BI222" s="110"/>
      <c r="BJ222" s="110"/>
      <c r="BK222" s="332"/>
      <c r="BL222" s="111" t="s">
        <v>734</v>
      </c>
      <c r="BM222" s="117"/>
      <c r="BN222" s="36"/>
      <c r="BO222" s="36"/>
      <c r="BP222" s="36"/>
      <c r="BQ222" s="36"/>
      <c r="BR222" s="36"/>
      <c r="BS222" s="36"/>
      <c r="BT222" s="36"/>
      <c r="BU222" s="36"/>
    </row>
    <row r="223" spans="1:73" s="157" customFormat="1" ht="26.25" customHeight="1" x14ac:dyDescent="0.2">
      <c r="A223" s="165">
        <v>40008006745</v>
      </c>
      <c r="B223" s="129"/>
      <c r="C223" s="471" t="s">
        <v>395</v>
      </c>
      <c r="D223" s="472"/>
      <c r="E223" s="108" t="s">
        <v>286</v>
      </c>
      <c r="F223" s="346">
        <f t="shared" si="541"/>
        <v>25197</v>
      </c>
      <c r="G223" s="109">
        <f t="shared" si="542"/>
        <v>33631</v>
      </c>
      <c r="H223" s="110">
        <v>0</v>
      </c>
      <c r="I223" s="110">
        <f t="shared" si="543"/>
        <v>0</v>
      </c>
      <c r="J223" s="110">
        <f t="shared" si="544"/>
        <v>0</v>
      </c>
      <c r="K223" s="110"/>
      <c r="L223" s="110"/>
      <c r="M223" s="110"/>
      <c r="N223" s="110"/>
      <c r="O223" s="110"/>
      <c r="P223" s="110"/>
      <c r="Q223" s="110"/>
      <c r="R223" s="416"/>
      <c r="S223" s="435"/>
      <c r="T223" s="110"/>
      <c r="U223" s="110"/>
      <c r="V223" s="110"/>
      <c r="W223" s="110">
        <v>25197</v>
      </c>
      <c r="X223" s="110">
        <f t="shared" si="545"/>
        <v>33631</v>
      </c>
      <c r="Y223" s="110">
        <f t="shared" si="546"/>
        <v>8434</v>
      </c>
      <c r="Z223" s="110"/>
      <c r="AA223" s="110">
        <v>8434</v>
      </c>
      <c r="AB223" s="110"/>
      <c r="AC223" s="110"/>
      <c r="AD223" s="110"/>
      <c r="AE223" s="110"/>
      <c r="AF223" s="110">
        <v>0</v>
      </c>
      <c r="AG223" s="135">
        <f t="shared" si="547"/>
        <v>0</v>
      </c>
      <c r="AH223" s="135">
        <f t="shared" si="548"/>
        <v>0</v>
      </c>
      <c r="AI223" s="135"/>
      <c r="AJ223" s="135"/>
      <c r="AK223" s="135"/>
      <c r="AL223" s="454"/>
      <c r="AM223" s="135"/>
      <c r="AN223" s="135"/>
      <c r="AO223" s="135"/>
      <c r="AP223" s="135"/>
      <c r="AQ223" s="135"/>
      <c r="AR223" s="135">
        <v>0</v>
      </c>
      <c r="AS223" s="135">
        <f t="shared" si="549"/>
        <v>0</v>
      </c>
      <c r="AT223" s="135">
        <f t="shared" si="550"/>
        <v>0</v>
      </c>
      <c r="AU223" s="135"/>
      <c r="AV223" s="135"/>
      <c r="AW223" s="454"/>
      <c r="AX223" s="135"/>
      <c r="AY223" s="135"/>
      <c r="AZ223" s="110">
        <f t="shared" si="551"/>
        <v>0</v>
      </c>
      <c r="BA223" s="110">
        <f t="shared" si="552"/>
        <v>0</v>
      </c>
      <c r="BB223" s="110"/>
      <c r="BC223" s="110"/>
      <c r="BD223" s="110"/>
      <c r="BE223" s="110"/>
      <c r="BF223" s="110"/>
      <c r="BG223" s="110"/>
      <c r="BH223" s="110"/>
      <c r="BI223" s="110"/>
      <c r="BJ223" s="110"/>
      <c r="BK223" s="332"/>
      <c r="BL223" s="111" t="s">
        <v>538</v>
      </c>
      <c r="BM223" s="117"/>
      <c r="BN223" s="36"/>
      <c r="BO223" s="36"/>
      <c r="BP223" s="36"/>
      <c r="BQ223" s="36"/>
      <c r="BR223" s="36"/>
      <c r="BS223" s="36"/>
      <c r="BT223" s="36"/>
      <c r="BU223" s="36"/>
    </row>
    <row r="224" spans="1:73" ht="60" x14ac:dyDescent="0.2">
      <c r="A224" s="165"/>
      <c r="B224" s="129"/>
      <c r="C224" s="471" t="s">
        <v>189</v>
      </c>
      <c r="D224" s="472"/>
      <c r="E224" s="283" t="s">
        <v>308</v>
      </c>
      <c r="F224" s="346">
        <f t="shared" si="541"/>
        <v>450500</v>
      </c>
      <c r="G224" s="109">
        <f t="shared" si="542"/>
        <v>450500</v>
      </c>
      <c r="H224" s="210"/>
      <c r="I224" s="210"/>
      <c r="J224" s="210"/>
      <c r="K224" s="210"/>
      <c r="L224" s="210"/>
      <c r="M224" s="210"/>
      <c r="N224" s="210"/>
      <c r="O224" s="210"/>
      <c r="P224" s="210"/>
      <c r="Q224" s="210"/>
      <c r="R224" s="422"/>
      <c r="S224" s="441"/>
      <c r="T224" s="210"/>
      <c r="U224" s="210"/>
      <c r="V224" s="210"/>
      <c r="W224" s="110"/>
      <c r="X224" s="110"/>
      <c r="Y224" s="110"/>
      <c r="Z224" s="110"/>
      <c r="AA224" s="110"/>
      <c r="AB224" s="110"/>
      <c r="AC224" s="110"/>
      <c r="AD224" s="110"/>
      <c r="AE224" s="110"/>
      <c r="AF224" s="110"/>
      <c r="AG224" s="110"/>
      <c r="AH224" s="110"/>
      <c r="AI224" s="110"/>
      <c r="AJ224" s="110"/>
      <c r="AK224" s="110"/>
      <c r="AL224" s="435"/>
      <c r="AM224" s="110"/>
      <c r="AN224" s="110"/>
      <c r="AO224" s="110"/>
      <c r="AP224" s="110"/>
      <c r="AQ224" s="110">
        <v>450500</v>
      </c>
      <c r="AR224" s="135"/>
      <c r="AS224" s="135"/>
      <c r="AT224" s="135"/>
      <c r="AU224" s="135"/>
      <c r="AV224" s="135"/>
      <c r="AW224" s="454"/>
      <c r="AX224" s="135"/>
      <c r="AY224" s="135"/>
      <c r="AZ224" s="110"/>
      <c r="BA224" s="110"/>
      <c r="BB224" s="110"/>
      <c r="BC224" s="110"/>
      <c r="BD224" s="110"/>
      <c r="BE224" s="110"/>
      <c r="BF224" s="110"/>
      <c r="BG224" s="110"/>
      <c r="BH224" s="110"/>
      <c r="BI224" s="110"/>
      <c r="BJ224" s="110"/>
      <c r="BK224" s="332"/>
      <c r="BL224" s="111"/>
      <c r="BM224" s="117"/>
      <c r="BN224" s="36"/>
      <c r="BO224" s="36"/>
      <c r="BP224" s="36"/>
      <c r="BQ224" s="36"/>
      <c r="BR224" s="36"/>
      <c r="BS224" s="36"/>
      <c r="BT224" s="36"/>
      <c r="BU224" s="36"/>
    </row>
    <row r="225" spans="1:73" ht="24" x14ac:dyDescent="0.2">
      <c r="A225" s="165"/>
      <c r="B225" s="129"/>
      <c r="C225" s="191"/>
      <c r="D225" s="163"/>
      <c r="E225" s="283" t="s">
        <v>154</v>
      </c>
      <c r="F225" s="346">
        <f t="shared" si="541"/>
        <v>556986</v>
      </c>
      <c r="G225" s="109">
        <f t="shared" si="542"/>
        <v>556986</v>
      </c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416"/>
      <c r="S225" s="435"/>
      <c r="T225" s="110"/>
      <c r="U225" s="110"/>
      <c r="V225" s="110"/>
      <c r="W225" s="110"/>
      <c r="X225" s="110"/>
      <c r="Y225" s="110"/>
      <c r="Z225" s="110"/>
      <c r="AA225" s="110"/>
      <c r="AB225" s="110"/>
      <c r="AC225" s="110"/>
      <c r="AD225" s="110"/>
      <c r="AE225" s="110"/>
      <c r="AF225" s="110"/>
      <c r="AG225" s="110"/>
      <c r="AH225" s="110"/>
      <c r="AI225" s="110"/>
      <c r="AJ225" s="110"/>
      <c r="AK225" s="110"/>
      <c r="AL225" s="435"/>
      <c r="AM225" s="110"/>
      <c r="AN225" s="110"/>
      <c r="AO225" s="110"/>
      <c r="AP225" s="110"/>
      <c r="AQ225" s="110">
        <v>556986</v>
      </c>
      <c r="AR225" s="135"/>
      <c r="AS225" s="135"/>
      <c r="AT225" s="135"/>
      <c r="AU225" s="135"/>
      <c r="AV225" s="135"/>
      <c r="AW225" s="454"/>
      <c r="AX225" s="135"/>
      <c r="AY225" s="135"/>
      <c r="AZ225" s="110"/>
      <c r="BA225" s="110"/>
      <c r="BB225" s="110"/>
      <c r="BC225" s="110"/>
      <c r="BD225" s="110"/>
      <c r="BE225" s="110"/>
      <c r="BF225" s="110"/>
      <c r="BG225" s="110"/>
      <c r="BH225" s="110"/>
      <c r="BI225" s="110"/>
      <c r="BJ225" s="110"/>
      <c r="BK225" s="332"/>
      <c r="BL225" s="111"/>
      <c r="BM225" s="117"/>
      <c r="BN225" s="36"/>
      <c r="BO225" s="36"/>
      <c r="BP225" s="36"/>
      <c r="BQ225" s="36"/>
      <c r="BR225" s="36"/>
      <c r="BS225" s="36"/>
      <c r="BT225" s="36"/>
      <c r="BU225" s="36"/>
    </row>
    <row r="226" spans="1:73" s="158" customFormat="1" ht="24" x14ac:dyDescent="0.2">
      <c r="A226" s="165"/>
      <c r="B226" s="129"/>
      <c r="C226" s="191"/>
      <c r="D226" s="163"/>
      <c r="E226" s="283" t="s">
        <v>305</v>
      </c>
      <c r="F226" s="346">
        <f t="shared" si="541"/>
        <v>284577</v>
      </c>
      <c r="G226" s="109">
        <f t="shared" si="542"/>
        <v>284577</v>
      </c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416"/>
      <c r="S226" s="435"/>
      <c r="T226" s="110"/>
      <c r="U226" s="110"/>
      <c r="V226" s="110"/>
      <c r="W226" s="110"/>
      <c r="X226" s="110"/>
      <c r="Y226" s="110"/>
      <c r="Z226" s="110"/>
      <c r="AA226" s="110"/>
      <c r="AB226" s="110"/>
      <c r="AC226" s="110"/>
      <c r="AD226" s="110"/>
      <c r="AE226" s="110"/>
      <c r="AF226" s="110"/>
      <c r="AG226" s="110"/>
      <c r="AH226" s="110"/>
      <c r="AI226" s="110"/>
      <c r="AJ226" s="110"/>
      <c r="AK226" s="110"/>
      <c r="AL226" s="435"/>
      <c r="AM226" s="110"/>
      <c r="AN226" s="110"/>
      <c r="AO226" s="110"/>
      <c r="AP226" s="110"/>
      <c r="AQ226" s="110">
        <v>284577</v>
      </c>
      <c r="AR226" s="135"/>
      <c r="AS226" s="135"/>
      <c r="AT226" s="135"/>
      <c r="AU226" s="135"/>
      <c r="AV226" s="135"/>
      <c r="AW226" s="454"/>
      <c r="AX226" s="135"/>
      <c r="AY226" s="135"/>
      <c r="AZ226" s="110"/>
      <c r="BA226" s="110"/>
      <c r="BB226" s="110"/>
      <c r="BC226" s="110"/>
      <c r="BD226" s="110"/>
      <c r="BE226" s="110"/>
      <c r="BF226" s="110"/>
      <c r="BG226" s="110"/>
      <c r="BH226" s="110"/>
      <c r="BI226" s="110"/>
      <c r="BJ226" s="110"/>
      <c r="BK226" s="332"/>
      <c r="BL226" s="111"/>
      <c r="BM226" s="117"/>
      <c r="BN226" s="36"/>
      <c r="BO226" s="36"/>
      <c r="BP226" s="36"/>
      <c r="BQ226" s="36"/>
      <c r="BR226" s="36"/>
      <c r="BS226" s="36"/>
      <c r="BT226" s="36"/>
      <c r="BU226" s="36"/>
    </row>
    <row r="227" spans="1:73" s="183" customFormat="1" ht="48" x14ac:dyDescent="0.2">
      <c r="A227" s="165"/>
      <c r="B227" s="186"/>
      <c r="C227" s="191"/>
      <c r="D227" s="163"/>
      <c r="E227" s="283" t="s">
        <v>313</v>
      </c>
      <c r="F227" s="346">
        <f t="shared" si="541"/>
        <v>122000</v>
      </c>
      <c r="G227" s="109">
        <f t="shared" si="542"/>
        <v>122000</v>
      </c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416"/>
      <c r="S227" s="435"/>
      <c r="T227" s="110"/>
      <c r="U227" s="110"/>
      <c r="V227" s="110"/>
      <c r="W227" s="110"/>
      <c r="X227" s="110"/>
      <c r="Y227" s="110"/>
      <c r="Z227" s="110"/>
      <c r="AA227" s="110"/>
      <c r="AB227" s="110"/>
      <c r="AC227" s="110"/>
      <c r="AD227" s="110"/>
      <c r="AE227" s="110"/>
      <c r="AF227" s="110"/>
      <c r="AG227" s="135"/>
      <c r="AH227" s="135"/>
      <c r="AI227" s="135"/>
      <c r="AJ227" s="135"/>
      <c r="AK227" s="135"/>
      <c r="AL227" s="454"/>
      <c r="AM227" s="135"/>
      <c r="AN227" s="135"/>
      <c r="AO227" s="135"/>
      <c r="AP227" s="135"/>
      <c r="AQ227" s="135">
        <v>122000</v>
      </c>
      <c r="AR227" s="135"/>
      <c r="AS227" s="135"/>
      <c r="AT227" s="135"/>
      <c r="AU227" s="135"/>
      <c r="AV227" s="135"/>
      <c r="AW227" s="454"/>
      <c r="AX227" s="135"/>
      <c r="AY227" s="135"/>
      <c r="AZ227" s="110"/>
      <c r="BA227" s="110"/>
      <c r="BB227" s="110"/>
      <c r="BC227" s="110"/>
      <c r="BD227" s="110"/>
      <c r="BE227" s="110"/>
      <c r="BF227" s="110"/>
      <c r="BG227" s="110"/>
      <c r="BH227" s="110"/>
      <c r="BI227" s="110"/>
      <c r="BJ227" s="110"/>
      <c r="BK227" s="332"/>
      <c r="BL227" s="111"/>
      <c r="BM227" s="117"/>
      <c r="BN227" s="36"/>
      <c r="BO227" s="36"/>
      <c r="BP227" s="36"/>
      <c r="BQ227" s="36"/>
      <c r="BR227" s="36"/>
      <c r="BS227" s="36"/>
      <c r="BT227" s="36"/>
      <c r="BU227" s="36"/>
    </row>
    <row r="228" spans="1:73" ht="13.5" thickBot="1" x14ac:dyDescent="0.25">
      <c r="A228" s="165"/>
      <c r="B228" s="148"/>
      <c r="C228" s="514"/>
      <c r="D228" s="515"/>
      <c r="E228" s="161"/>
      <c r="F228" s="347"/>
      <c r="G228" s="95"/>
      <c r="H228" s="96"/>
      <c r="I228" s="96"/>
      <c r="J228" s="96"/>
      <c r="K228" s="96"/>
      <c r="L228" s="96"/>
      <c r="M228" s="96"/>
      <c r="N228" s="96"/>
      <c r="O228" s="96"/>
      <c r="P228" s="96"/>
      <c r="Q228" s="96"/>
      <c r="R228" s="417"/>
      <c r="S228" s="43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134"/>
      <c r="AH228" s="134"/>
      <c r="AI228" s="134"/>
      <c r="AJ228" s="134"/>
      <c r="AK228" s="134"/>
      <c r="AL228" s="455"/>
      <c r="AM228" s="134"/>
      <c r="AN228" s="134"/>
      <c r="AO228" s="134"/>
      <c r="AP228" s="134"/>
      <c r="AQ228" s="134"/>
      <c r="AR228" s="134"/>
      <c r="AS228" s="134"/>
      <c r="AT228" s="134"/>
      <c r="AU228" s="134"/>
      <c r="AV228" s="134"/>
      <c r="AW228" s="455"/>
      <c r="AX228" s="134"/>
      <c r="AY228" s="134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333"/>
      <c r="BL228" s="97"/>
      <c r="BM228" s="118"/>
      <c r="BN228" s="36"/>
      <c r="BO228" s="36"/>
      <c r="BP228" s="36"/>
      <c r="BQ228" s="36"/>
      <c r="BR228" s="36"/>
      <c r="BS228" s="36"/>
      <c r="BT228" s="36"/>
      <c r="BU228" s="36"/>
    </row>
    <row r="229" spans="1:73" ht="12.75" thickBot="1" x14ac:dyDescent="0.25">
      <c r="A229" s="201"/>
      <c r="B229" s="501" t="s">
        <v>21</v>
      </c>
      <c r="C229" s="501"/>
      <c r="D229" s="198" t="s">
        <v>22</v>
      </c>
      <c r="E229" s="16"/>
      <c r="F229" s="348">
        <f t="shared" ref="F229:AK229" si="589">SUM(F230:F254)</f>
        <v>6627161</v>
      </c>
      <c r="G229" s="17">
        <f t="shared" si="589"/>
        <v>6819932</v>
      </c>
      <c r="H229" s="10">
        <f t="shared" si="589"/>
        <v>5431855</v>
      </c>
      <c r="I229" s="10">
        <f t="shared" si="589"/>
        <v>5623222</v>
      </c>
      <c r="J229" s="10">
        <f t="shared" si="589"/>
        <v>191367</v>
      </c>
      <c r="K229" s="10">
        <f t="shared" si="589"/>
        <v>271</v>
      </c>
      <c r="L229" s="10">
        <f t="shared" si="589"/>
        <v>168821</v>
      </c>
      <c r="M229" s="10">
        <f t="shared" si="589"/>
        <v>792</v>
      </c>
      <c r="N229" s="10">
        <f t="shared" si="589"/>
        <v>-43734</v>
      </c>
      <c r="O229" s="10">
        <f t="shared" si="589"/>
        <v>0</v>
      </c>
      <c r="P229" s="10">
        <f t="shared" si="589"/>
        <v>16098</v>
      </c>
      <c r="Q229" s="10">
        <f t="shared" si="589"/>
        <v>43519</v>
      </c>
      <c r="R229" s="415">
        <f t="shared" si="589"/>
        <v>6371</v>
      </c>
      <c r="S229" s="434">
        <f t="shared" si="589"/>
        <v>-771</v>
      </c>
      <c r="T229" s="10">
        <f t="shared" si="589"/>
        <v>0</v>
      </c>
      <c r="U229" s="10">
        <f t="shared" si="589"/>
        <v>0</v>
      </c>
      <c r="V229" s="10">
        <f t="shared" si="589"/>
        <v>0</v>
      </c>
      <c r="W229" s="10">
        <f t="shared" si="589"/>
        <v>199450</v>
      </c>
      <c r="X229" s="10">
        <f t="shared" si="589"/>
        <v>208652</v>
      </c>
      <c r="Y229" s="10">
        <f t="shared" si="589"/>
        <v>9202</v>
      </c>
      <c r="Z229" s="10">
        <f t="shared" si="589"/>
        <v>0</v>
      </c>
      <c r="AA229" s="10">
        <f t="shared" si="589"/>
        <v>0</v>
      </c>
      <c r="AB229" s="10">
        <f t="shared" si="589"/>
        <v>9202</v>
      </c>
      <c r="AC229" s="10">
        <f t="shared" si="589"/>
        <v>0</v>
      </c>
      <c r="AD229" s="10">
        <f t="shared" si="589"/>
        <v>0</v>
      </c>
      <c r="AE229" s="10">
        <f t="shared" si="589"/>
        <v>0</v>
      </c>
      <c r="AF229" s="10">
        <f t="shared" si="589"/>
        <v>644407</v>
      </c>
      <c r="AG229" s="10">
        <f t="shared" si="589"/>
        <v>636793</v>
      </c>
      <c r="AH229" s="10">
        <f t="shared" si="589"/>
        <v>-7614</v>
      </c>
      <c r="AI229" s="10">
        <f t="shared" si="589"/>
        <v>1588</v>
      </c>
      <c r="AJ229" s="10">
        <f t="shared" si="589"/>
        <v>-9202</v>
      </c>
      <c r="AK229" s="10">
        <f t="shared" si="589"/>
        <v>0</v>
      </c>
      <c r="AL229" s="434">
        <f t="shared" ref="AL229:BK229" si="590">SUM(AL230:AL254)</f>
        <v>0</v>
      </c>
      <c r="AM229" s="10">
        <f t="shared" si="590"/>
        <v>0</v>
      </c>
      <c r="AN229" s="10">
        <f t="shared" si="590"/>
        <v>0</v>
      </c>
      <c r="AO229" s="10">
        <f t="shared" si="590"/>
        <v>0</v>
      </c>
      <c r="AP229" s="10">
        <f t="shared" si="590"/>
        <v>0</v>
      </c>
      <c r="AQ229" s="10">
        <f t="shared" si="590"/>
        <v>348605</v>
      </c>
      <c r="AR229" s="133">
        <f t="shared" si="590"/>
        <v>2844</v>
      </c>
      <c r="AS229" s="133">
        <f t="shared" si="590"/>
        <v>2741</v>
      </c>
      <c r="AT229" s="133">
        <f t="shared" si="590"/>
        <v>-103</v>
      </c>
      <c r="AU229" s="133">
        <f t="shared" si="590"/>
        <v>-103</v>
      </c>
      <c r="AV229" s="133">
        <f t="shared" si="590"/>
        <v>0</v>
      </c>
      <c r="AW229" s="440">
        <f t="shared" si="590"/>
        <v>0</v>
      </c>
      <c r="AX229" s="133">
        <f t="shared" si="590"/>
        <v>0</v>
      </c>
      <c r="AY229" s="133">
        <f t="shared" si="590"/>
        <v>0</v>
      </c>
      <c r="AZ229" s="10">
        <f t="shared" si="590"/>
        <v>-81</v>
      </c>
      <c r="BA229" s="10">
        <f t="shared" si="590"/>
        <v>-81</v>
      </c>
      <c r="BB229" s="10">
        <f t="shared" si="590"/>
        <v>0</v>
      </c>
      <c r="BC229" s="10">
        <f t="shared" si="590"/>
        <v>-81</v>
      </c>
      <c r="BD229" s="10">
        <f t="shared" si="590"/>
        <v>0</v>
      </c>
      <c r="BE229" s="10">
        <f t="shared" si="590"/>
        <v>0</v>
      </c>
      <c r="BF229" s="10">
        <f t="shared" si="590"/>
        <v>0</v>
      </c>
      <c r="BG229" s="10">
        <f t="shared" si="590"/>
        <v>0</v>
      </c>
      <c r="BH229" s="10">
        <f t="shared" si="590"/>
        <v>0</v>
      </c>
      <c r="BI229" s="10">
        <f t="shared" si="590"/>
        <v>0</v>
      </c>
      <c r="BJ229" s="10">
        <f t="shared" si="590"/>
        <v>0</v>
      </c>
      <c r="BK229" s="334">
        <f t="shared" si="590"/>
        <v>0</v>
      </c>
      <c r="BL229" s="18"/>
      <c r="BM229" s="119"/>
      <c r="BN229" s="36"/>
      <c r="BO229" s="36"/>
      <c r="BP229" s="36"/>
      <c r="BQ229" s="36"/>
      <c r="BR229" s="36"/>
      <c r="BS229" s="36"/>
      <c r="BT229" s="36"/>
      <c r="BU229" s="36"/>
    </row>
    <row r="230" spans="1:73" s="193" customFormat="1" ht="24.75" thickTop="1" x14ac:dyDescent="0.2">
      <c r="A230" s="165">
        <v>90000056357</v>
      </c>
      <c r="B230" s="200"/>
      <c r="C230" s="499" t="s">
        <v>5</v>
      </c>
      <c r="D230" s="500"/>
      <c r="E230" s="267" t="s">
        <v>584</v>
      </c>
      <c r="F230" s="352">
        <f t="shared" ref="F230:F253" si="591">H230+W230+AF230+AQ230+AR230+AY230</f>
        <v>160421</v>
      </c>
      <c r="G230" s="227">
        <f t="shared" ref="G230:G253" si="592">I230+X230+AG230+AQ230+AS230+AZ230</f>
        <v>181152</v>
      </c>
      <c r="H230" s="289">
        <v>160421</v>
      </c>
      <c r="I230" s="289">
        <f t="shared" ref="I230:I251" si="593">J230+H230</f>
        <v>181152</v>
      </c>
      <c r="J230" s="289">
        <f t="shared" ref="J230:J251" si="594">SUM(K230:V230)</f>
        <v>20731</v>
      </c>
      <c r="K230" s="289"/>
      <c r="L230" s="289"/>
      <c r="M230" s="289"/>
      <c r="N230" s="289"/>
      <c r="O230" s="289"/>
      <c r="P230" s="289">
        <v>16098</v>
      </c>
      <c r="Q230" s="289">
        <f>-1525-213</f>
        <v>-1738</v>
      </c>
      <c r="R230" s="423">
        <v>6371</v>
      </c>
      <c r="S230" s="442"/>
      <c r="T230" s="289"/>
      <c r="U230" s="289"/>
      <c r="V230" s="289"/>
      <c r="W230" s="289">
        <v>0</v>
      </c>
      <c r="X230" s="289">
        <f t="shared" ref="X230:X251" si="595">Y230+W230</f>
        <v>0</v>
      </c>
      <c r="Y230" s="289">
        <f t="shared" ref="Y230:Y251" si="596">SUM(Z230:AE230)</f>
        <v>0</v>
      </c>
      <c r="Z230" s="289"/>
      <c r="AA230" s="289"/>
      <c r="AB230" s="289"/>
      <c r="AC230" s="289"/>
      <c r="AD230" s="289"/>
      <c r="AE230" s="289"/>
      <c r="AF230" s="289">
        <v>0</v>
      </c>
      <c r="AG230" s="228">
        <f t="shared" ref="AG230:AG251" si="597">AH230+AF230</f>
        <v>0</v>
      </c>
      <c r="AH230" s="228">
        <f t="shared" ref="AH230:AH251" si="598">SUM(AI230:AP230)</f>
        <v>0</v>
      </c>
      <c r="AI230" s="228"/>
      <c r="AJ230" s="228"/>
      <c r="AK230" s="228"/>
      <c r="AL230" s="459"/>
      <c r="AM230" s="228"/>
      <c r="AN230" s="228"/>
      <c r="AO230" s="228"/>
      <c r="AP230" s="228"/>
      <c r="AQ230" s="228"/>
      <c r="AR230" s="228">
        <v>0</v>
      </c>
      <c r="AS230" s="228">
        <f t="shared" ref="AS230:AS251" si="599">AT230+AR230</f>
        <v>0</v>
      </c>
      <c r="AT230" s="228">
        <f t="shared" ref="AT230:AT251" si="600">SUM(AU230:AX230)</f>
        <v>0</v>
      </c>
      <c r="AU230" s="228"/>
      <c r="AV230" s="228"/>
      <c r="AW230" s="459"/>
      <c r="AX230" s="228"/>
      <c r="AY230" s="228"/>
      <c r="AZ230" s="289">
        <f t="shared" ref="AZ230:AZ251" si="601">BA230+AY230</f>
        <v>0</v>
      </c>
      <c r="BA230" s="289">
        <f t="shared" ref="BA230:BA251" si="602">SUM(BB230:BK230)</f>
        <v>0</v>
      </c>
      <c r="BB230" s="289"/>
      <c r="BC230" s="289"/>
      <c r="BD230" s="289"/>
      <c r="BE230" s="289"/>
      <c r="BF230" s="289"/>
      <c r="BG230" s="289"/>
      <c r="BH230" s="289"/>
      <c r="BI230" s="289"/>
      <c r="BJ230" s="289"/>
      <c r="BK230" s="338"/>
      <c r="BL230" s="290" t="s">
        <v>446</v>
      </c>
      <c r="BM230" s="118" t="s">
        <v>565</v>
      </c>
      <c r="BN230" s="36"/>
      <c r="BO230" s="36"/>
      <c r="BP230" s="36"/>
      <c r="BQ230" s="36"/>
      <c r="BR230" s="36"/>
      <c r="BS230" s="36"/>
      <c r="BT230" s="36"/>
      <c r="BU230" s="36"/>
    </row>
    <row r="231" spans="1:73" ht="25.5" customHeight="1" x14ac:dyDescent="0.2">
      <c r="A231" s="165">
        <v>90000594245</v>
      </c>
      <c r="B231" s="129"/>
      <c r="C231" s="471" t="s">
        <v>702</v>
      </c>
      <c r="D231" s="472"/>
      <c r="E231" s="108" t="s">
        <v>205</v>
      </c>
      <c r="F231" s="346">
        <f t="shared" si="591"/>
        <v>724026</v>
      </c>
      <c r="G231" s="109">
        <f t="shared" si="592"/>
        <v>811536</v>
      </c>
      <c r="H231" s="110">
        <v>723966</v>
      </c>
      <c r="I231" s="110">
        <f t="shared" si="593"/>
        <v>811476</v>
      </c>
      <c r="J231" s="110">
        <f t="shared" si="594"/>
        <v>87510</v>
      </c>
      <c r="K231" s="110"/>
      <c r="L231" s="110">
        <v>42585</v>
      </c>
      <c r="M231" s="110">
        <v>792</v>
      </c>
      <c r="N231" s="110"/>
      <c r="O231" s="110"/>
      <c r="P231" s="110"/>
      <c r="Q231" s="110">
        <v>40904</v>
      </c>
      <c r="R231" s="416"/>
      <c r="S231" s="435">
        <v>3229</v>
      </c>
      <c r="T231" s="110"/>
      <c r="U231" s="110"/>
      <c r="V231" s="110"/>
      <c r="W231" s="110">
        <v>0</v>
      </c>
      <c r="X231" s="110">
        <f t="shared" si="595"/>
        <v>0</v>
      </c>
      <c r="Y231" s="110">
        <f t="shared" si="596"/>
        <v>0</v>
      </c>
      <c r="Z231" s="110"/>
      <c r="AA231" s="110"/>
      <c r="AB231" s="110"/>
      <c r="AC231" s="110"/>
      <c r="AD231" s="110"/>
      <c r="AE231" s="110"/>
      <c r="AF231" s="110">
        <v>60</v>
      </c>
      <c r="AG231" s="135">
        <f t="shared" si="597"/>
        <v>141</v>
      </c>
      <c r="AH231" s="135">
        <f t="shared" si="598"/>
        <v>81</v>
      </c>
      <c r="AI231" s="135">
        <v>81</v>
      </c>
      <c r="AJ231" s="135"/>
      <c r="AK231" s="135"/>
      <c r="AL231" s="454"/>
      <c r="AM231" s="135"/>
      <c r="AN231" s="135"/>
      <c r="AO231" s="135"/>
      <c r="AP231" s="135"/>
      <c r="AQ231" s="135"/>
      <c r="AR231" s="135">
        <v>0</v>
      </c>
      <c r="AS231" s="135">
        <f t="shared" si="599"/>
        <v>0</v>
      </c>
      <c r="AT231" s="135">
        <f t="shared" si="600"/>
        <v>0</v>
      </c>
      <c r="AU231" s="135"/>
      <c r="AV231" s="135"/>
      <c r="AW231" s="454"/>
      <c r="AX231" s="135"/>
      <c r="AY231" s="135"/>
      <c r="AZ231" s="110">
        <f t="shared" si="601"/>
        <v>-81</v>
      </c>
      <c r="BA231" s="110">
        <f t="shared" si="602"/>
        <v>-81</v>
      </c>
      <c r="BB231" s="110"/>
      <c r="BC231" s="110">
        <v>-81</v>
      </c>
      <c r="BD231" s="110"/>
      <c r="BE231" s="110"/>
      <c r="BF231" s="110"/>
      <c r="BG231" s="110"/>
      <c r="BH231" s="110"/>
      <c r="BI231" s="110"/>
      <c r="BJ231" s="110"/>
      <c r="BK231" s="332"/>
      <c r="BL231" s="111" t="s">
        <v>539</v>
      </c>
      <c r="BM231" s="117"/>
      <c r="BN231" s="36"/>
      <c r="BO231" s="36"/>
      <c r="BP231" s="36"/>
      <c r="BQ231" s="36"/>
      <c r="BR231" s="36"/>
      <c r="BS231" s="36"/>
      <c r="BT231" s="36"/>
      <c r="BU231" s="36"/>
    </row>
    <row r="232" spans="1:73" s="193" customFormat="1" ht="27" customHeight="1" x14ac:dyDescent="0.2">
      <c r="A232" s="165"/>
      <c r="B232" s="129"/>
      <c r="C232" s="191"/>
      <c r="D232" s="192"/>
      <c r="E232" s="108" t="s">
        <v>233</v>
      </c>
      <c r="F232" s="346">
        <f t="shared" si="591"/>
        <v>188014</v>
      </c>
      <c r="G232" s="109">
        <f t="shared" si="592"/>
        <v>188014</v>
      </c>
      <c r="H232" s="110">
        <v>18454</v>
      </c>
      <c r="I232" s="110">
        <f t="shared" si="593"/>
        <v>18454</v>
      </c>
      <c r="J232" s="110">
        <f t="shared" si="594"/>
        <v>0</v>
      </c>
      <c r="K232" s="110"/>
      <c r="L232" s="110"/>
      <c r="M232" s="110"/>
      <c r="N232" s="110"/>
      <c r="O232" s="110"/>
      <c r="P232" s="110"/>
      <c r="Q232" s="110"/>
      <c r="R232" s="416"/>
      <c r="S232" s="435"/>
      <c r="T232" s="110"/>
      <c r="U232" s="110"/>
      <c r="V232" s="110"/>
      <c r="W232" s="110">
        <v>169560</v>
      </c>
      <c r="X232" s="110">
        <f t="shared" si="595"/>
        <v>169560</v>
      </c>
      <c r="Y232" s="110">
        <f t="shared" si="596"/>
        <v>0</v>
      </c>
      <c r="Z232" s="110"/>
      <c r="AA232" s="110"/>
      <c r="AB232" s="110"/>
      <c r="AC232" s="110"/>
      <c r="AD232" s="110"/>
      <c r="AE232" s="110"/>
      <c r="AF232" s="110">
        <v>0</v>
      </c>
      <c r="AG232" s="135">
        <f t="shared" si="597"/>
        <v>0</v>
      </c>
      <c r="AH232" s="135">
        <f t="shared" si="598"/>
        <v>0</v>
      </c>
      <c r="AI232" s="135"/>
      <c r="AJ232" s="135"/>
      <c r="AK232" s="135"/>
      <c r="AL232" s="454"/>
      <c r="AM232" s="135"/>
      <c r="AN232" s="135"/>
      <c r="AO232" s="135"/>
      <c r="AP232" s="135"/>
      <c r="AQ232" s="135"/>
      <c r="AR232" s="135">
        <v>0</v>
      </c>
      <c r="AS232" s="135">
        <f t="shared" si="599"/>
        <v>0</v>
      </c>
      <c r="AT232" s="135">
        <f t="shared" si="600"/>
        <v>0</v>
      </c>
      <c r="AU232" s="135"/>
      <c r="AV232" s="135"/>
      <c r="AW232" s="454"/>
      <c r="AX232" s="135"/>
      <c r="AY232" s="135"/>
      <c r="AZ232" s="110">
        <f t="shared" si="601"/>
        <v>0</v>
      </c>
      <c r="BA232" s="110">
        <f t="shared" si="602"/>
        <v>0</v>
      </c>
      <c r="BB232" s="110"/>
      <c r="BC232" s="110"/>
      <c r="BD232" s="110"/>
      <c r="BE232" s="110"/>
      <c r="BF232" s="110"/>
      <c r="BG232" s="110"/>
      <c r="BH232" s="110"/>
      <c r="BI232" s="110"/>
      <c r="BJ232" s="110"/>
      <c r="BK232" s="332"/>
      <c r="BL232" s="111" t="s">
        <v>540</v>
      </c>
      <c r="BM232" s="117" t="s">
        <v>671</v>
      </c>
      <c r="BN232" s="36"/>
      <c r="BO232" s="36"/>
      <c r="BP232" s="36"/>
      <c r="BQ232" s="36"/>
      <c r="BR232" s="36"/>
      <c r="BS232" s="36"/>
      <c r="BT232" s="36"/>
      <c r="BU232" s="36"/>
    </row>
    <row r="233" spans="1:73" ht="24" x14ac:dyDescent="0.2">
      <c r="A233" s="165"/>
      <c r="B233" s="129"/>
      <c r="C233" s="191"/>
      <c r="D233" s="192"/>
      <c r="E233" s="108" t="s">
        <v>234</v>
      </c>
      <c r="F233" s="346">
        <f t="shared" si="591"/>
        <v>798326</v>
      </c>
      <c r="G233" s="109">
        <f t="shared" si="592"/>
        <v>798326</v>
      </c>
      <c r="H233" s="110">
        <v>794056</v>
      </c>
      <c r="I233" s="110">
        <f t="shared" si="593"/>
        <v>794056</v>
      </c>
      <c r="J233" s="110">
        <f t="shared" si="594"/>
        <v>0</v>
      </c>
      <c r="K233" s="110"/>
      <c r="L233" s="110"/>
      <c r="M233" s="110"/>
      <c r="N233" s="110"/>
      <c r="O233" s="110"/>
      <c r="P233" s="110"/>
      <c r="Q233" s="110"/>
      <c r="R233" s="416"/>
      <c r="S233" s="435"/>
      <c r="T233" s="110"/>
      <c r="U233" s="110"/>
      <c r="V233" s="110"/>
      <c r="W233" s="110">
        <v>4270</v>
      </c>
      <c r="X233" s="110">
        <f t="shared" si="595"/>
        <v>4270</v>
      </c>
      <c r="Y233" s="110">
        <f t="shared" si="596"/>
        <v>0</v>
      </c>
      <c r="Z233" s="110"/>
      <c r="AA233" s="110"/>
      <c r="AB233" s="110"/>
      <c r="AC233" s="110"/>
      <c r="AD233" s="110"/>
      <c r="AE233" s="110"/>
      <c r="AF233" s="110">
        <v>0</v>
      </c>
      <c r="AG233" s="135">
        <f t="shared" si="597"/>
        <v>0</v>
      </c>
      <c r="AH233" s="135">
        <f t="shared" si="598"/>
        <v>0</v>
      </c>
      <c r="AI233" s="135"/>
      <c r="AJ233" s="135"/>
      <c r="AK233" s="135"/>
      <c r="AL233" s="454"/>
      <c r="AM233" s="135"/>
      <c r="AN233" s="135"/>
      <c r="AO233" s="135"/>
      <c r="AP233" s="135"/>
      <c r="AQ233" s="135"/>
      <c r="AR233" s="135">
        <v>0</v>
      </c>
      <c r="AS233" s="135">
        <f t="shared" si="599"/>
        <v>0</v>
      </c>
      <c r="AT233" s="135">
        <f t="shared" si="600"/>
        <v>0</v>
      </c>
      <c r="AU233" s="135"/>
      <c r="AV233" s="135"/>
      <c r="AW233" s="454"/>
      <c r="AX233" s="135"/>
      <c r="AY233" s="135"/>
      <c r="AZ233" s="110">
        <f t="shared" si="601"/>
        <v>0</v>
      </c>
      <c r="BA233" s="110">
        <f t="shared" si="602"/>
        <v>0</v>
      </c>
      <c r="BB233" s="110"/>
      <c r="BC233" s="110"/>
      <c r="BD233" s="110"/>
      <c r="BE233" s="110"/>
      <c r="BF233" s="110"/>
      <c r="BG233" s="110"/>
      <c r="BH233" s="110"/>
      <c r="BI233" s="110"/>
      <c r="BJ233" s="110"/>
      <c r="BK233" s="332"/>
      <c r="BL233" s="111" t="s">
        <v>541</v>
      </c>
      <c r="BM233" s="117" t="s">
        <v>671</v>
      </c>
      <c r="BN233" s="36"/>
      <c r="BO233" s="36"/>
      <c r="BP233" s="36"/>
      <c r="BQ233" s="36"/>
      <c r="BR233" s="36"/>
      <c r="BS233" s="36"/>
      <c r="BT233" s="36"/>
      <c r="BU233" s="36"/>
    </row>
    <row r="234" spans="1:73" ht="24" x14ac:dyDescent="0.2">
      <c r="A234" s="165"/>
      <c r="B234" s="129"/>
      <c r="C234" s="191"/>
      <c r="D234" s="192"/>
      <c r="E234" s="108" t="s">
        <v>235</v>
      </c>
      <c r="F234" s="346">
        <f t="shared" si="591"/>
        <v>315489</v>
      </c>
      <c r="G234" s="109">
        <f t="shared" si="592"/>
        <v>322631</v>
      </c>
      <c r="H234" s="110">
        <v>313353</v>
      </c>
      <c r="I234" s="110">
        <f t="shared" si="593"/>
        <v>320353</v>
      </c>
      <c r="J234" s="110">
        <f t="shared" si="594"/>
        <v>7000</v>
      </c>
      <c r="K234" s="110"/>
      <c r="L234" s="110"/>
      <c r="M234" s="110"/>
      <c r="N234" s="110"/>
      <c r="O234" s="110"/>
      <c r="P234" s="110"/>
      <c r="Q234" s="110"/>
      <c r="R234" s="416"/>
      <c r="S234" s="435">
        <v>7000</v>
      </c>
      <c r="T234" s="110"/>
      <c r="U234" s="110"/>
      <c r="V234" s="110"/>
      <c r="W234" s="110">
        <v>0</v>
      </c>
      <c r="X234" s="110">
        <f t="shared" si="595"/>
        <v>0</v>
      </c>
      <c r="Y234" s="110">
        <f t="shared" si="596"/>
        <v>0</v>
      </c>
      <c r="Z234" s="110"/>
      <c r="AA234" s="110"/>
      <c r="AB234" s="110"/>
      <c r="AC234" s="110"/>
      <c r="AD234" s="110"/>
      <c r="AE234" s="110"/>
      <c r="AF234" s="110">
        <v>2136</v>
      </c>
      <c r="AG234" s="135">
        <f t="shared" si="597"/>
        <v>2278</v>
      </c>
      <c r="AH234" s="135">
        <f t="shared" si="598"/>
        <v>142</v>
      </c>
      <c r="AI234" s="135">
        <v>142</v>
      </c>
      <c r="AJ234" s="135"/>
      <c r="AK234" s="135"/>
      <c r="AL234" s="454"/>
      <c r="AM234" s="135"/>
      <c r="AN234" s="135"/>
      <c r="AO234" s="135"/>
      <c r="AP234" s="135"/>
      <c r="AQ234" s="135"/>
      <c r="AR234" s="135">
        <v>0</v>
      </c>
      <c r="AS234" s="135">
        <f t="shared" si="599"/>
        <v>0</v>
      </c>
      <c r="AT234" s="135">
        <f t="shared" si="600"/>
        <v>0</v>
      </c>
      <c r="AU234" s="135"/>
      <c r="AV234" s="135"/>
      <c r="AW234" s="454"/>
      <c r="AX234" s="135"/>
      <c r="AY234" s="135"/>
      <c r="AZ234" s="110">
        <f t="shared" si="601"/>
        <v>0</v>
      </c>
      <c r="BA234" s="110">
        <f t="shared" si="602"/>
        <v>0</v>
      </c>
      <c r="BB234" s="110"/>
      <c r="BC234" s="110"/>
      <c r="BD234" s="110"/>
      <c r="BE234" s="110"/>
      <c r="BF234" s="110"/>
      <c r="BG234" s="110"/>
      <c r="BH234" s="110"/>
      <c r="BI234" s="110"/>
      <c r="BJ234" s="110"/>
      <c r="BK234" s="332"/>
      <c r="BL234" s="111" t="s">
        <v>542</v>
      </c>
      <c r="BM234" s="117" t="s">
        <v>672</v>
      </c>
      <c r="BN234" s="36"/>
      <c r="BO234" s="36"/>
      <c r="BP234" s="36"/>
      <c r="BQ234" s="36"/>
      <c r="BR234" s="36"/>
      <c r="BS234" s="36"/>
      <c r="BT234" s="36"/>
      <c r="BU234" s="36"/>
    </row>
    <row r="235" spans="1:73" ht="24" x14ac:dyDescent="0.2">
      <c r="A235" s="165"/>
      <c r="B235" s="129"/>
      <c r="C235" s="191"/>
      <c r="D235" s="192"/>
      <c r="E235" s="108" t="s">
        <v>236</v>
      </c>
      <c r="F235" s="346">
        <f t="shared" si="591"/>
        <v>265800</v>
      </c>
      <c r="G235" s="109">
        <f t="shared" si="592"/>
        <v>265800</v>
      </c>
      <c r="H235" s="110">
        <v>265800</v>
      </c>
      <c r="I235" s="110">
        <f t="shared" si="593"/>
        <v>265800</v>
      </c>
      <c r="J235" s="110">
        <f t="shared" si="594"/>
        <v>0</v>
      </c>
      <c r="K235" s="110"/>
      <c r="L235" s="110"/>
      <c r="M235" s="110"/>
      <c r="N235" s="110"/>
      <c r="O235" s="110"/>
      <c r="P235" s="110"/>
      <c r="Q235" s="110"/>
      <c r="R235" s="416"/>
      <c r="S235" s="435"/>
      <c r="T235" s="110"/>
      <c r="U235" s="110"/>
      <c r="V235" s="110"/>
      <c r="W235" s="110">
        <v>0</v>
      </c>
      <c r="X235" s="110">
        <f t="shared" si="595"/>
        <v>0</v>
      </c>
      <c r="Y235" s="110">
        <f t="shared" si="596"/>
        <v>0</v>
      </c>
      <c r="Z235" s="110"/>
      <c r="AA235" s="110"/>
      <c r="AB235" s="110"/>
      <c r="AC235" s="110"/>
      <c r="AD235" s="110"/>
      <c r="AE235" s="110"/>
      <c r="AF235" s="110">
        <v>0</v>
      </c>
      <c r="AG235" s="135">
        <f t="shared" si="597"/>
        <v>0</v>
      </c>
      <c r="AH235" s="135">
        <f t="shared" si="598"/>
        <v>0</v>
      </c>
      <c r="AI235" s="135"/>
      <c r="AJ235" s="135"/>
      <c r="AK235" s="135"/>
      <c r="AL235" s="454"/>
      <c r="AM235" s="135"/>
      <c r="AN235" s="135"/>
      <c r="AO235" s="135"/>
      <c r="AP235" s="135"/>
      <c r="AQ235" s="135"/>
      <c r="AR235" s="135">
        <v>0</v>
      </c>
      <c r="AS235" s="135">
        <f t="shared" si="599"/>
        <v>0</v>
      </c>
      <c r="AT235" s="135">
        <f t="shared" si="600"/>
        <v>0</v>
      </c>
      <c r="AU235" s="135"/>
      <c r="AV235" s="135"/>
      <c r="AW235" s="454"/>
      <c r="AX235" s="135"/>
      <c r="AY235" s="135"/>
      <c r="AZ235" s="110">
        <f t="shared" si="601"/>
        <v>0</v>
      </c>
      <c r="BA235" s="110">
        <f t="shared" si="602"/>
        <v>0</v>
      </c>
      <c r="BB235" s="110"/>
      <c r="BC235" s="110"/>
      <c r="BD235" s="110"/>
      <c r="BE235" s="110"/>
      <c r="BF235" s="110"/>
      <c r="BG235" s="110"/>
      <c r="BH235" s="110"/>
      <c r="BI235" s="110"/>
      <c r="BJ235" s="110"/>
      <c r="BK235" s="332"/>
      <c r="BL235" s="111" t="s">
        <v>543</v>
      </c>
      <c r="BM235" s="117" t="s">
        <v>673</v>
      </c>
      <c r="BN235" s="36"/>
      <c r="BO235" s="36"/>
      <c r="BP235" s="36"/>
      <c r="BQ235" s="36"/>
      <c r="BR235" s="36"/>
      <c r="BS235" s="36"/>
      <c r="BT235" s="36"/>
      <c r="BU235" s="36"/>
    </row>
    <row r="236" spans="1:73" ht="24" x14ac:dyDescent="0.2">
      <c r="A236" s="165"/>
      <c r="B236" s="129"/>
      <c r="C236" s="191"/>
      <c r="D236" s="192"/>
      <c r="E236" s="108" t="s">
        <v>349</v>
      </c>
      <c r="F236" s="346">
        <f t="shared" si="591"/>
        <v>375240</v>
      </c>
      <c r="G236" s="109">
        <f t="shared" si="592"/>
        <v>368240</v>
      </c>
      <c r="H236" s="110">
        <v>375240</v>
      </c>
      <c r="I236" s="110">
        <f t="shared" si="593"/>
        <v>368240</v>
      </c>
      <c r="J236" s="110">
        <f t="shared" si="594"/>
        <v>-7000</v>
      </c>
      <c r="K236" s="110"/>
      <c r="L236" s="110"/>
      <c r="M236" s="110"/>
      <c r="N236" s="110"/>
      <c r="O236" s="110"/>
      <c r="P236" s="110"/>
      <c r="Q236" s="110"/>
      <c r="R236" s="416"/>
      <c r="S236" s="435">
        <v>-7000</v>
      </c>
      <c r="T236" s="110"/>
      <c r="U236" s="110"/>
      <c r="V236" s="110"/>
      <c r="W236" s="110">
        <v>0</v>
      </c>
      <c r="X236" s="110">
        <f t="shared" si="595"/>
        <v>0</v>
      </c>
      <c r="Y236" s="110">
        <f t="shared" si="596"/>
        <v>0</v>
      </c>
      <c r="Z236" s="110"/>
      <c r="AA236" s="110"/>
      <c r="AB236" s="110"/>
      <c r="AC236" s="110"/>
      <c r="AD236" s="110"/>
      <c r="AE236" s="110"/>
      <c r="AF236" s="110">
        <v>0</v>
      </c>
      <c r="AG236" s="135">
        <f t="shared" si="597"/>
        <v>0</v>
      </c>
      <c r="AH236" s="135">
        <f t="shared" si="598"/>
        <v>0</v>
      </c>
      <c r="AI236" s="135"/>
      <c r="AJ236" s="135"/>
      <c r="AK236" s="135"/>
      <c r="AL236" s="454"/>
      <c r="AM236" s="135"/>
      <c r="AN236" s="135"/>
      <c r="AO236" s="135"/>
      <c r="AP236" s="135"/>
      <c r="AQ236" s="135"/>
      <c r="AR236" s="135">
        <v>0</v>
      </c>
      <c r="AS236" s="135">
        <f t="shared" si="599"/>
        <v>0</v>
      </c>
      <c r="AT236" s="135">
        <f t="shared" si="600"/>
        <v>0</v>
      </c>
      <c r="AU236" s="135"/>
      <c r="AV236" s="135"/>
      <c r="AW236" s="454"/>
      <c r="AX236" s="135"/>
      <c r="AY236" s="135"/>
      <c r="AZ236" s="110">
        <f t="shared" si="601"/>
        <v>0</v>
      </c>
      <c r="BA236" s="110">
        <f t="shared" si="602"/>
        <v>0</v>
      </c>
      <c r="BB236" s="110"/>
      <c r="BC236" s="110"/>
      <c r="BD236" s="110"/>
      <c r="BE236" s="110"/>
      <c r="BF236" s="110"/>
      <c r="BG236" s="110"/>
      <c r="BH236" s="110"/>
      <c r="BI236" s="110"/>
      <c r="BJ236" s="110"/>
      <c r="BK236" s="332"/>
      <c r="BL236" s="111" t="s">
        <v>544</v>
      </c>
      <c r="BM236" s="117" t="s">
        <v>569</v>
      </c>
      <c r="BN236" s="36"/>
      <c r="BO236" s="36"/>
      <c r="BP236" s="36"/>
      <c r="BQ236" s="36"/>
      <c r="BR236" s="36"/>
      <c r="BS236" s="36"/>
      <c r="BT236" s="36"/>
      <c r="BU236" s="36"/>
    </row>
    <row r="237" spans="1:73" s="193" customFormat="1" ht="24" x14ac:dyDescent="0.2">
      <c r="A237" s="165"/>
      <c r="B237" s="129"/>
      <c r="C237" s="191"/>
      <c r="D237" s="192"/>
      <c r="E237" s="108" t="s">
        <v>348</v>
      </c>
      <c r="F237" s="346">
        <f t="shared" si="591"/>
        <v>463288</v>
      </c>
      <c r="G237" s="109">
        <f t="shared" si="592"/>
        <v>459288</v>
      </c>
      <c r="H237" s="110">
        <v>461528</v>
      </c>
      <c r="I237" s="110">
        <f t="shared" si="593"/>
        <v>457528</v>
      </c>
      <c r="J237" s="110">
        <f t="shared" si="594"/>
        <v>-4000</v>
      </c>
      <c r="K237" s="110"/>
      <c r="L237" s="110"/>
      <c r="M237" s="110"/>
      <c r="N237" s="110"/>
      <c r="O237" s="110"/>
      <c r="P237" s="110"/>
      <c r="Q237" s="110"/>
      <c r="R237" s="416"/>
      <c r="S237" s="435">
        <v>-4000</v>
      </c>
      <c r="T237" s="110"/>
      <c r="U237" s="110"/>
      <c r="V237" s="110"/>
      <c r="W237" s="110">
        <v>0</v>
      </c>
      <c r="X237" s="110">
        <f t="shared" si="595"/>
        <v>0</v>
      </c>
      <c r="Y237" s="110">
        <f t="shared" si="596"/>
        <v>0</v>
      </c>
      <c r="Z237" s="110"/>
      <c r="AA237" s="110"/>
      <c r="AB237" s="110"/>
      <c r="AC237" s="110"/>
      <c r="AD237" s="110"/>
      <c r="AE237" s="110"/>
      <c r="AF237" s="110">
        <v>1760</v>
      </c>
      <c r="AG237" s="135">
        <f t="shared" si="597"/>
        <v>1760</v>
      </c>
      <c r="AH237" s="135">
        <f t="shared" si="598"/>
        <v>0</v>
      </c>
      <c r="AI237" s="135"/>
      <c r="AJ237" s="135"/>
      <c r="AK237" s="135"/>
      <c r="AL237" s="454"/>
      <c r="AM237" s="135"/>
      <c r="AN237" s="135"/>
      <c r="AO237" s="135"/>
      <c r="AP237" s="135"/>
      <c r="AQ237" s="135"/>
      <c r="AR237" s="135">
        <v>0</v>
      </c>
      <c r="AS237" s="135">
        <f t="shared" si="599"/>
        <v>0</v>
      </c>
      <c r="AT237" s="135">
        <f t="shared" si="600"/>
        <v>0</v>
      </c>
      <c r="AU237" s="135"/>
      <c r="AV237" s="135"/>
      <c r="AW237" s="454"/>
      <c r="AX237" s="135"/>
      <c r="AY237" s="135"/>
      <c r="AZ237" s="110">
        <f t="shared" si="601"/>
        <v>0</v>
      </c>
      <c r="BA237" s="110">
        <f t="shared" si="602"/>
        <v>0</v>
      </c>
      <c r="BB237" s="110"/>
      <c r="BC237" s="110"/>
      <c r="BD237" s="110"/>
      <c r="BE237" s="110"/>
      <c r="BF237" s="110"/>
      <c r="BG237" s="110"/>
      <c r="BH237" s="110"/>
      <c r="BI237" s="110"/>
      <c r="BJ237" s="110"/>
      <c r="BK237" s="332"/>
      <c r="BL237" s="111" t="s">
        <v>545</v>
      </c>
      <c r="BM237" s="117" t="s">
        <v>673</v>
      </c>
      <c r="BN237" s="36"/>
      <c r="BO237" s="36"/>
      <c r="BP237" s="36"/>
      <c r="BQ237" s="36"/>
      <c r="BR237" s="36"/>
      <c r="BS237" s="36"/>
      <c r="BT237" s="36"/>
      <c r="BU237" s="36"/>
    </row>
    <row r="238" spans="1:73" ht="27" customHeight="1" x14ac:dyDescent="0.2">
      <c r="A238" s="165"/>
      <c r="B238" s="129"/>
      <c r="C238" s="159"/>
      <c r="D238" s="160"/>
      <c r="E238" s="108" t="s">
        <v>628</v>
      </c>
      <c r="F238" s="346">
        <f t="shared" si="591"/>
        <v>98894</v>
      </c>
      <c r="G238" s="109">
        <f t="shared" si="592"/>
        <v>98894</v>
      </c>
      <c r="H238" s="110">
        <v>98894</v>
      </c>
      <c r="I238" s="110">
        <f t="shared" si="593"/>
        <v>98894</v>
      </c>
      <c r="J238" s="110">
        <f t="shared" si="594"/>
        <v>0</v>
      </c>
      <c r="K238" s="110"/>
      <c r="L238" s="110"/>
      <c r="M238" s="110"/>
      <c r="N238" s="110"/>
      <c r="O238" s="110"/>
      <c r="P238" s="110"/>
      <c r="Q238" s="110"/>
      <c r="R238" s="416"/>
      <c r="S238" s="435"/>
      <c r="T238" s="110"/>
      <c r="U238" s="110"/>
      <c r="V238" s="110"/>
      <c r="W238" s="110">
        <v>0</v>
      </c>
      <c r="X238" s="110">
        <f t="shared" si="595"/>
        <v>0</v>
      </c>
      <c r="Y238" s="110">
        <f t="shared" si="596"/>
        <v>0</v>
      </c>
      <c r="Z238" s="110"/>
      <c r="AA238" s="110"/>
      <c r="AB238" s="110"/>
      <c r="AC238" s="110"/>
      <c r="AD238" s="110"/>
      <c r="AE238" s="110"/>
      <c r="AF238" s="110">
        <v>0</v>
      </c>
      <c r="AG238" s="135">
        <f t="shared" si="597"/>
        <v>0</v>
      </c>
      <c r="AH238" s="135">
        <f t="shared" si="598"/>
        <v>0</v>
      </c>
      <c r="AI238" s="135"/>
      <c r="AJ238" s="135"/>
      <c r="AK238" s="135"/>
      <c r="AL238" s="454"/>
      <c r="AM238" s="135"/>
      <c r="AN238" s="135"/>
      <c r="AO238" s="135"/>
      <c r="AP238" s="135"/>
      <c r="AQ238" s="135"/>
      <c r="AR238" s="135">
        <v>0</v>
      </c>
      <c r="AS238" s="135">
        <f t="shared" si="599"/>
        <v>0</v>
      </c>
      <c r="AT238" s="135">
        <f t="shared" si="600"/>
        <v>0</v>
      </c>
      <c r="AU238" s="135"/>
      <c r="AV238" s="135"/>
      <c r="AW238" s="454"/>
      <c r="AX238" s="135"/>
      <c r="AY238" s="135"/>
      <c r="AZ238" s="110">
        <f t="shared" si="601"/>
        <v>0</v>
      </c>
      <c r="BA238" s="110">
        <f t="shared" si="602"/>
        <v>0</v>
      </c>
      <c r="BB238" s="110"/>
      <c r="BC238" s="110"/>
      <c r="BD238" s="110"/>
      <c r="BE238" s="110"/>
      <c r="BF238" s="110"/>
      <c r="BG238" s="110"/>
      <c r="BH238" s="110"/>
      <c r="BI238" s="110"/>
      <c r="BJ238" s="110"/>
      <c r="BK238" s="332"/>
      <c r="BL238" s="111" t="s">
        <v>546</v>
      </c>
      <c r="BM238" s="117"/>
      <c r="BN238" s="36"/>
      <c r="BO238" s="36"/>
      <c r="BP238" s="36"/>
      <c r="BQ238" s="36"/>
      <c r="BR238" s="36"/>
      <c r="BS238" s="36"/>
      <c r="BT238" s="36"/>
      <c r="BU238" s="36"/>
    </row>
    <row r="239" spans="1:73" s="259" customFormat="1" ht="24" x14ac:dyDescent="0.2">
      <c r="A239" s="165"/>
      <c r="B239" s="129"/>
      <c r="C239" s="257"/>
      <c r="D239" s="258"/>
      <c r="E239" s="108" t="s">
        <v>612</v>
      </c>
      <c r="F239" s="346">
        <f t="shared" si="591"/>
        <v>41964</v>
      </c>
      <c r="G239" s="109">
        <f t="shared" si="592"/>
        <v>42235</v>
      </c>
      <c r="H239" s="110">
        <v>41964</v>
      </c>
      <c r="I239" s="110">
        <f t="shared" si="593"/>
        <v>42235</v>
      </c>
      <c r="J239" s="110">
        <f t="shared" si="594"/>
        <v>271</v>
      </c>
      <c r="K239" s="110">
        <v>271</v>
      </c>
      <c r="L239" s="110"/>
      <c r="M239" s="110"/>
      <c r="N239" s="110"/>
      <c r="O239" s="110"/>
      <c r="P239" s="110"/>
      <c r="Q239" s="110"/>
      <c r="R239" s="416"/>
      <c r="S239" s="435"/>
      <c r="T239" s="110"/>
      <c r="U239" s="110"/>
      <c r="V239" s="110"/>
      <c r="W239" s="110">
        <v>0</v>
      </c>
      <c r="X239" s="110">
        <f t="shared" si="595"/>
        <v>0</v>
      </c>
      <c r="Y239" s="110">
        <f t="shared" si="596"/>
        <v>0</v>
      </c>
      <c r="Z239" s="110"/>
      <c r="AA239" s="110"/>
      <c r="AB239" s="110"/>
      <c r="AC239" s="110"/>
      <c r="AD239" s="110"/>
      <c r="AE239" s="110"/>
      <c r="AF239" s="110">
        <v>0</v>
      </c>
      <c r="AG239" s="135">
        <f t="shared" si="597"/>
        <v>0</v>
      </c>
      <c r="AH239" s="135">
        <f t="shared" si="598"/>
        <v>0</v>
      </c>
      <c r="AI239" s="135"/>
      <c r="AJ239" s="135"/>
      <c r="AK239" s="135"/>
      <c r="AL239" s="454"/>
      <c r="AM239" s="135"/>
      <c r="AN239" s="135"/>
      <c r="AO239" s="135"/>
      <c r="AP239" s="135"/>
      <c r="AQ239" s="135"/>
      <c r="AR239" s="135">
        <v>0</v>
      </c>
      <c r="AS239" s="135">
        <f t="shared" si="599"/>
        <v>0</v>
      </c>
      <c r="AT239" s="135">
        <f t="shared" si="600"/>
        <v>0</v>
      </c>
      <c r="AU239" s="135"/>
      <c r="AV239" s="135"/>
      <c r="AW239" s="454"/>
      <c r="AX239" s="135"/>
      <c r="AY239" s="135"/>
      <c r="AZ239" s="110">
        <f t="shared" si="601"/>
        <v>0</v>
      </c>
      <c r="BA239" s="110">
        <f t="shared" si="602"/>
        <v>0</v>
      </c>
      <c r="BB239" s="110"/>
      <c r="BC239" s="110"/>
      <c r="BD239" s="110"/>
      <c r="BE239" s="110"/>
      <c r="BF239" s="110"/>
      <c r="BG239" s="110"/>
      <c r="BH239" s="110"/>
      <c r="BI239" s="110"/>
      <c r="BJ239" s="110"/>
      <c r="BK239" s="332"/>
      <c r="BL239" s="111" t="s">
        <v>664</v>
      </c>
      <c r="BM239" s="117"/>
      <c r="BN239" s="36"/>
      <c r="BO239" s="36"/>
      <c r="BP239" s="36"/>
      <c r="BQ239" s="36"/>
      <c r="BR239" s="36"/>
      <c r="BS239" s="36"/>
      <c r="BT239" s="36"/>
      <c r="BU239" s="36"/>
    </row>
    <row r="240" spans="1:73" s="368" customFormat="1" ht="36" x14ac:dyDescent="0.2">
      <c r="A240" s="165"/>
      <c r="B240" s="129"/>
      <c r="C240" s="366"/>
      <c r="D240" s="367"/>
      <c r="E240" s="365" t="s">
        <v>742</v>
      </c>
      <c r="F240" s="346">
        <f t="shared" ref="F240" si="603">H240+W240+AF240+AQ240+AR240+AY240</f>
        <v>0</v>
      </c>
      <c r="G240" s="109">
        <f t="shared" ref="G240" si="604">I240+X240+AG240+AQ240+AS240+AZ240</f>
        <v>86855</v>
      </c>
      <c r="H240" s="110"/>
      <c r="I240" s="110">
        <f t="shared" ref="I240" si="605">J240+H240</f>
        <v>86855</v>
      </c>
      <c r="J240" s="110">
        <f t="shared" ref="J240" si="606">SUM(K240:V240)</f>
        <v>86855</v>
      </c>
      <c r="K240" s="110"/>
      <c r="L240" s="110">
        <v>126236</v>
      </c>
      <c r="M240" s="110"/>
      <c r="N240" s="110">
        <v>-43734</v>
      </c>
      <c r="O240" s="110"/>
      <c r="P240" s="110"/>
      <c r="Q240" s="110">
        <v>4353</v>
      </c>
      <c r="R240" s="416"/>
      <c r="S240" s="435"/>
      <c r="T240" s="110"/>
      <c r="U240" s="110"/>
      <c r="V240" s="110"/>
      <c r="W240" s="110"/>
      <c r="X240" s="110">
        <f t="shared" ref="X240" si="607">Y240+W240</f>
        <v>0</v>
      </c>
      <c r="Y240" s="110">
        <f t="shared" ref="Y240" si="608">SUM(Z240:AE240)</f>
        <v>0</v>
      </c>
      <c r="Z240" s="110"/>
      <c r="AA240" s="110"/>
      <c r="AB240" s="110"/>
      <c r="AC240" s="110"/>
      <c r="AD240" s="110"/>
      <c r="AE240" s="110"/>
      <c r="AF240" s="110"/>
      <c r="AG240" s="135">
        <f t="shared" ref="AG240" si="609">AH240+AF240</f>
        <v>0</v>
      </c>
      <c r="AH240" s="135">
        <f t="shared" ref="AH240" si="610">SUM(AI240:AP240)</f>
        <v>0</v>
      </c>
      <c r="AI240" s="135"/>
      <c r="AJ240" s="135"/>
      <c r="AK240" s="135"/>
      <c r="AL240" s="454"/>
      <c r="AM240" s="135"/>
      <c r="AN240" s="135"/>
      <c r="AO240" s="135"/>
      <c r="AP240" s="135"/>
      <c r="AQ240" s="135"/>
      <c r="AR240" s="135"/>
      <c r="AS240" s="135">
        <f t="shared" ref="AS240" si="611">AT240+AR240</f>
        <v>0</v>
      </c>
      <c r="AT240" s="135">
        <f t="shared" ref="AT240" si="612">SUM(AU240:AX240)</f>
        <v>0</v>
      </c>
      <c r="AU240" s="135"/>
      <c r="AV240" s="135"/>
      <c r="AW240" s="454"/>
      <c r="AX240" s="135"/>
      <c r="AY240" s="135"/>
      <c r="AZ240" s="110">
        <f t="shared" ref="AZ240" si="613">BA240+AY240</f>
        <v>0</v>
      </c>
      <c r="BA240" s="110">
        <f t="shared" ref="BA240" si="614">SUM(BB240:BK240)</f>
        <v>0</v>
      </c>
      <c r="BB240" s="110"/>
      <c r="BC240" s="110"/>
      <c r="BD240" s="110"/>
      <c r="BE240" s="110"/>
      <c r="BF240" s="110"/>
      <c r="BG240" s="110"/>
      <c r="BH240" s="110"/>
      <c r="BI240" s="110"/>
      <c r="BJ240" s="110"/>
      <c r="BK240" s="332"/>
      <c r="BL240" s="111" t="s">
        <v>743</v>
      </c>
      <c r="BM240" s="117"/>
      <c r="BN240" s="36"/>
      <c r="BO240" s="36"/>
      <c r="BP240" s="36"/>
      <c r="BQ240" s="36"/>
      <c r="BR240" s="36"/>
      <c r="BS240" s="36"/>
      <c r="BT240" s="36"/>
      <c r="BU240" s="36"/>
    </row>
    <row r="241" spans="1:73" ht="50.25" customHeight="1" x14ac:dyDescent="0.2">
      <c r="A241" s="165">
        <v>90010991438</v>
      </c>
      <c r="B241" s="129"/>
      <c r="C241" s="471" t="s">
        <v>606</v>
      </c>
      <c r="D241" s="472"/>
      <c r="E241" s="108" t="s">
        <v>238</v>
      </c>
      <c r="F241" s="346">
        <f t="shared" si="591"/>
        <v>1175285</v>
      </c>
      <c r="G241" s="109">
        <f t="shared" si="592"/>
        <v>1176651</v>
      </c>
      <c r="H241" s="110">
        <v>512674</v>
      </c>
      <c r="I241" s="110">
        <f t="shared" si="593"/>
        <v>512674</v>
      </c>
      <c r="J241" s="110">
        <f t="shared" si="594"/>
        <v>0</v>
      </c>
      <c r="K241" s="110"/>
      <c r="L241" s="110"/>
      <c r="M241" s="110"/>
      <c r="N241" s="110"/>
      <c r="O241" s="110"/>
      <c r="P241" s="110"/>
      <c r="Q241" s="110"/>
      <c r="R241" s="416"/>
      <c r="S241" s="435"/>
      <c r="T241" s="110"/>
      <c r="U241" s="110"/>
      <c r="V241" s="110"/>
      <c r="W241" s="110">
        <v>25620</v>
      </c>
      <c r="X241" s="110">
        <f t="shared" si="595"/>
        <v>34822</v>
      </c>
      <c r="Y241" s="110">
        <f t="shared" si="596"/>
        <v>9202</v>
      </c>
      <c r="Z241" s="110"/>
      <c r="AA241" s="110"/>
      <c r="AB241" s="110">
        <v>9202</v>
      </c>
      <c r="AC241" s="110"/>
      <c r="AD241" s="110"/>
      <c r="AE241" s="110"/>
      <c r="AF241" s="110">
        <v>636147</v>
      </c>
      <c r="AG241" s="135">
        <f t="shared" si="597"/>
        <v>628310</v>
      </c>
      <c r="AH241" s="135">
        <f t="shared" si="598"/>
        <v>-7837</v>
      </c>
      <c r="AI241" s="135">
        <v>1365</v>
      </c>
      <c r="AJ241" s="135">
        <v>-9202</v>
      </c>
      <c r="AK241" s="135"/>
      <c r="AL241" s="454"/>
      <c r="AM241" s="135"/>
      <c r="AN241" s="135"/>
      <c r="AO241" s="135"/>
      <c r="AP241" s="135"/>
      <c r="AQ241" s="135"/>
      <c r="AR241" s="110">
        <v>844</v>
      </c>
      <c r="AS241" s="135">
        <f t="shared" si="599"/>
        <v>845</v>
      </c>
      <c r="AT241" s="135">
        <f t="shared" si="600"/>
        <v>1</v>
      </c>
      <c r="AU241" s="135">
        <v>1</v>
      </c>
      <c r="AV241" s="135"/>
      <c r="AW241" s="454"/>
      <c r="AX241" s="135"/>
      <c r="AY241" s="135"/>
      <c r="AZ241" s="110">
        <f t="shared" si="601"/>
        <v>0</v>
      </c>
      <c r="BA241" s="110">
        <f t="shared" si="602"/>
        <v>0</v>
      </c>
      <c r="BB241" s="110"/>
      <c r="BC241" s="110"/>
      <c r="BD241" s="110"/>
      <c r="BE241" s="110"/>
      <c r="BF241" s="110"/>
      <c r="BG241" s="110"/>
      <c r="BH241" s="110"/>
      <c r="BI241" s="110"/>
      <c r="BJ241" s="110"/>
      <c r="BK241" s="332"/>
      <c r="BL241" s="111" t="s">
        <v>781</v>
      </c>
      <c r="BM241" s="117"/>
      <c r="BN241" s="36"/>
      <c r="BO241" s="36"/>
      <c r="BP241" s="36"/>
      <c r="BQ241" s="36"/>
      <c r="BR241" s="36"/>
      <c r="BS241" s="36"/>
      <c r="BT241" s="36"/>
      <c r="BU241" s="36"/>
    </row>
    <row r="242" spans="1:73" ht="24" x14ac:dyDescent="0.2">
      <c r="A242" s="165"/>
      <c r="B242" s="129"/>
      <c r="C242" s="108"/>
      <c r="D242" s="307"/>
      <c r="E242" s="108" t="s">
        <v>629</v>
      </c>
      <c r="F242" s="346">
        <f t="shared" si="591"/>
        <v>40652</v>
      </c>
      <c r="G242" s="109">
        <f t="shared" si="592"/>
        <v>40652</v>
      </c>
      <c r="H242" s="110">
        <v>40652</v>
      </c>
      <c r="I242" s="110">
        <f t="shared" si="593"/>
        <v>40652</v>
      </c>
      <c r="J242" s="110">
        <f t="shared" si="594"/>
        <v>0</v>
      </c>
      <c r="K242" s="110"/>
      <c r="L242" s="110"/>
      <c r="M242" s="110"/>
      <c r="N242" s="110"/>
      <c r="O242" s="110"/>
      <c r="P242" s="110"/>
      <c r="Q242" s="110"/>
      <c r="R242" s="416"/>
      <c r="S242" s="435"/>
      <c r="T242" s="110"/>
      <c r="U242" s="110"/>
      <c r="V242" s="110"/>
      <c r="W242" s="110">
        <v>0</v>
      </c>
      <c r="X242" s="110">
        <f t="shared" si="595"/>
        <v>0</v>
      </c>
      <c r="Y242" s="110">
        <f t="shared" si="596"/>
        <v>0</v>
      </c>
      <c r="Z242" s="110"/>
      <c r="AA242" s="110"/>
      <c r="AB242" s="110"/>
      <c r="AC242" s="110"/>
      <c r="AD242" s="110"/>
      <c r="AE242" s="110"/>
      <c r="AF242" s="110">
        <v>0</v>
      </c>
      <c r="AG242" s="135">
        <f t="shared" si="597"/>
        <v>0</v>
      </c>
      <c r="AH242" s="135">
        <f t="shared" si="598"/>
        <v>0</v>
      </c>
      <c r="AI242" s="135"/>
      <c r="AJ242" s="135"/>
      <c r="AK242" s="135"/>
      <c r="AL242" s="454"/>
      <c r="AM242" s="135"/>
      <c r="AN242" s="135"/>
      <c r="AO242" s="135"/>
      <c r="AP242" s="135"/>
      <c r="AQ242" s="135"/>
      <c r="AR242" s="135">
        <v>0</v>
      </c>
      <c r="AS242" s="135">
        <f t="shared" si="599"/>
        <v>0</v>
      </c>
      <c r="AT242" s="135">
        <f t="shared" si="600"/>
        <v>0</v>
      </c>
      <c r="AU242" s="135"/>
      <c r="AV242" s="135"/>
      <c r="AW242" s="454"/>
      <c r="AX242" s="135"/>
      <c r="AY242" s="135"/>
      <c r="AZ242" s="110">
        <f t="shared" si="601"/>
        <v>0</v>
      </c>
      <c r="BA242" s="110">
        <f t="shared" si="602"/>
        <v>0</v>
      </c>
      <c r="BB242" s="110"/>
      <c r="BC242" s="110"/>
      <c r="BD242" s="110"/>
      <c r="BE242" s="110"/>
      <c r="BF242" s="110"/>
      <c r="BG242" s="110"/>
      <c r="BH242" s="110"/>
      <c r="BI242" s="110"/>
      <c r="BJ242" s="110"/>
      <c r="BK242" s="332"/>
      <c r="BL242" s="111" t="s">
        <v>547</v>
      </c>
      <c r="BM242" s="117"/>
      <c r="BN242" s="36"/>
      <c r="BO242" s="36"/>
      <c r="BP242" s="36"/>
      <c r="BQ242" s="36"/>
      <c r="BR242" s="36"/>
      <c r="BS242" s="36"/>
      <c r="BT242" s="36"/>
      <c r="BU242" s="36"/>
    </row>
    <row r="243" spans="1:73" ht="24" x14ac:dyDescent="0.2">
      <c r="A243" s="165"/>
      <c r="B243" s="129"/>
      <c r="C243" s="108"/>
      <c r="D243" s="307"/>
      <c r="E243" s="108" t="s">
        <v>240</v>
      </c>
      <c r="F243" s="346">
        <f t="shared" si="591"/>
        <v>10626</v>
      </c>
      <c r="G243" s="109">
        <f t="shared" si="592"/>
        <v>10626</v>
      </c>
      <c r="H243" s="110">
        <v>10626</v>
      </c>
      <c r="I243" s="110">
        <f t="shared" si="593"/>
        <v>10626</v>
      </c>
      <c r="J243" s="110">
        <f t="shared" si="594"/>
        <v>0</v>
      </c>
      <c r="K243" s="110"/>
      <c r="L243" s="110"/>
      <c r="M243" s="110"/>
      <c r="N243" s="110"/>
      <c r="O243" s="110"/>
      <c r="P243" s="110"/>
      <c r="Q243" s="110"/>
      <c r="R243" s="416"/>
      <c r="S243" s="435"/>
      <c r="T243" s="110"/>
      <c r="U243" s="110"/>
      <c r="V243" s="110"/>
      <c r="W243" s="110">
        <v>0</v>
      </c>
      <c r="X243" s="110">
        <f t="shared" si="595"/>
        <v>0</v>
      </c>
      <c r="Y243" s="110">
        <f t="shared" si="596"/>
        <v>0</v>
      </c>
      <c r="Z243" s="110"/>
      <c r="AA243" s="110"/>
      <c r="AB243" s="110"/>
      <c r="AC243" s="110"/>
      <c r="AD243" s="110"/>
      <c r="AE243" s="110"/>
      <c r="AF243" s="110">
        <v>0</v>
      </c>
      <c r="AG243" s="135">
        <f t="shared" si="597"/>
        <v>0</v>
      </c>
      <c r="AH243" s="135">
        <f t="shared" si="598"/>
        <v>0</v>
      </c>
      <c r="AI243" s="135"/>
      <c r="AJ243" s="135"/>
      <c r="AK243" s="135"/>
      <c r="AL243" s="454"/>
      <c r="AM243" s="135"/>
      <c r="AN243" s="135"/>
      <c r="AO243" s="135"/>
      <c r="AP243" s="135"/>
      <c r="AQ243" s="135"/>
      <c r="AR243" s="135">
        <v>0</v>
      </c>
      <c r="AS243" s="135">
        <f t="shared" si="599"/>
        <v>0</v>
      </c>
      <c r="AT243" s="135">
        <f t="shared" si="600"/>
        <v>0</v>
      </c>
      <c r="AU243" s="135"/>
      <c r="AV243" s="135"/>
      <c r="AW243" s="454"/>
      <c r="AX243" s="135"/>
      <c r="AY243" s="135"/>
      <c r="AZ243" s="110">
        <f t="shared" si="601"/>
        <v>0</v>
      </c>
      <c r="BA243" s="110">
        <f t="shared" si="602"/>
        <v>0</v>
      </c>
      <c r="BB243" s="110"/>
      <c r="BC243" s="110"/>
      <c r="BD243" s="110"/>
      <c r="BE243" s="110"/>
      <c r="BF243" s="110"/>
      <c r="BG243" s="110"/>
      <c r="BH243" s="110"/>
      <c r="BI243" s="110"/>
      <c r="BJ243" s="110"/>
      <c r="BK243" s="332"/>
      <c r="BL243" s="111" t="s">
        <v>665</v>
      </c>
      <c r="BM243" s="117"/>
      <c r="BN243" s="36"/>
      <c r="BO243" s="36"/>
      <c r="BP243" s="36"/>
      <c r="BQ243" s="36"/>
      <c r="BR243" s="36"/>
      <c r="BS243" s="36"/>
      <c r="BT243" s="36"/>
      <c r="BU243" s="36"/>
    </row>
    <row r="244" spans="1:73" x14ac:dyDescent="0.2">
      <c r="A244" s="165"/>
      <c r="B244" s="129"/>
      <c r="C244" s="108"/>
      <c r="D244" s="307"/>
      <c r="E244" s="108" t="s">
        <v>239</v>
      </c>
      <c r="F244" s="346">
        <f t="shared" si="591"/>
        <v>115662</v>
      </c>
      <c r="G244" s="109">
        <f t="shared" si="592"/>
        <v>115662</v>
      </c>
      <c r="H244" s="110">
        <v>115662</v>
      </c>
      <c r="I244" s="110">
        <f t="shared" si="593"/>
        <v>115662</v>
      </c>
      <c r="J244" s="110">
        <f t="shared" si="594"/>
        <v>0</v>
      </c>
      <c r="K244" s="110"/>
      <c r="L244" s="110"/>
      <c r="M244" s="110"/>
      <c r="N244" s="110"/>
      <c r="O244" s="110"/>
      <c r="P244" s="110"/>
      <c r="Q244" s="110"/>
      <c r="R244" s="416"/>
      <c r="S244" s="435"/>
      <c r="T244" s="110"/>
      <c r="U244" s="110"/>
      <c r="V244" s="110"/>
      <c r="W244" s="110">
        <v>0</v>
      </c>
      <c r="X244" s="110">
        <f t="shared" si="595"/>
        <v>0</v>
      </c>
      <c r="Y244" s="110">
        <f t="shared" si="596"/>
        <v>0</v>
      </c>
      <c r="Z244" s="110"/>
      <c r="AA244" s="110"/>
      <c r="AB244" s="110"/>
      <c r="AC244" s="110"/>
      <c r="AD244" s="110"/>
      <c r="AE244" s="110"/>
      <c r="AF244" s="110">
        <v>0</v>
      </c>
      <c r="AG244" s="135">
        <f t="shared" si="597"/>
        <v>0</v>
      </c>
      <c r="AH244" s="135">
        <f t="shared" si="598"/>
        <v>0</v>
      </c>
      <c r="AI244" s="135"/>
      <c r="AJ244" s="135"/>
      <c r="AK244" s="135"/>
      <c r="AL244" s="454"/>
      <c r="AM244" s="135"/>
      <c r="AN244" s="135"/>
      <c r="AO244" s="135"/>
      <c r="AP244" s="135"/>
      <c r="AQ244" s="135"/>
      <c r="AR244" s="135">
        <v>0</v>
      </c>
      <c r="AS244" s="135">
        <f t="shared" si="599"/>
        <v>0</v>
      </c>
      <c r="AT244" s="135">
        <f t="shared" si="600"/>
        <v>0</v>
      </c>
      <c r="AU244" s="135"/>
      <c r="AV244" s="135"/>
      <c r="AW244" s="454"/>
      <c r="AX244" s="135"/>
      <c r="AY244" s="135"/>
      <c r="AZ244" s="110">
        <f t="shared" si="601"/>
        <v>0</v>
      </c>
      <c r="BA244" s="110">
        <f t="shared" si="602"/>
        <v>0</v>
      </c>
      <c r="BB244" s="110"/>
      <c r="BC244" s="110"/>
      <c r="BD244" s="110"/>
      <c r="BE244" s="110"/>
      <c r="BF244" s="110"/>
      <c r="BG244" s="110"/>
      <c r="BH244" s="110"/>
      <c r="BI244" s="110"/>
      <c r="BJ244" s="110"/>
      <c r="BK244" s="332"/>
      <c r="BL244" s="111" t="s">
        <v>548</v>
      </c>
      <c r="BM244" s="117"/>
      <c r="BN244" s="36"/>
      <c r="BO244" s="36"/>
      <c r="BP244" s="36"/>
      <c r="BQ244" s="36"/>
      <c r="BR244" s="36"/>
      <c r="BS244" s="36"/>
      <c r="BT244" s="36"/>
      <c r="BU244" s="36"/>
    </row>
    <row r="245" spans="1:73" ht="24" x14ac:dyDescent="0.2">
      <c r="A245" s="165"/>
      <c r="B245" s="129"/>
      <c r="C245" s="108"/>
      <c r="D245" s="307"/>
      <c r="E245" s="108" t="s">
        <v>360</v>
      </c>
      <c r="F245" s="346">
        <f t="shared" si="591"/>
        <v>371913</v>
      </c>
      <c r="G245" s="109">
        <f t="shared" si="592"/>
        <v>371913</v>
      </c>
      <c r="H245" s="110">
        <v>371913</v>
      </c>
      <c r="I245" s="110">
        <f t="shared" si="593"/>
        <v>371913</v>
      </c>
      <c r="J245" s="110">
        <f t="shared" si="594"/>
        <v>0</v>
      </c>
      <c r="K245" s="110"/>
      <c r="L245" s="110"/>
      <c r="M245" s="110"/>
      <c r="N245" s="110"/>
      <c r="O245" s="110"/>
      <c r="P245" s="110"/>
      <c r="Q245" s="110"/>
      <c r="R245" s="416"/>
      <c r="S245" s="435"/>
      <c r="T245" s="110"/>
      <c r="U245" s="110"/>
      <c r="V245" s="110"/>
      <c r="W245" s="110">
        <v>0</v>
      </c>
      <c r="X245" s="110">
        <f t="shared" si="595"/>
        <v>0</v>
      </c>
      <c r="Y245" s="110">
        <f t="shared" si="596"/>
        <v>0</v>
      </c>
      <c r="Z245" s="110"/>
      <c r="AA245" s="110"/>
      <c r="AB245" s="110"/>
      <c r="AC245" s="110"/>
      <c r="AD245" s="110"/>
      <c r="AE245" s="110"/>
      <c r="AF245" s="110">
        <v>0</v>
      </c>
      <c r="AG245" s="135">
        <f t="shared" si="597"/>
        <v>0</v>
      </c>
      <c r="AH245" s="135">
        <f t="shared" si="598"/>
        <v>0</v>
      </c>
      <c r="AI245" s="135"/>
      <c r="AJ245" s="135"/>
      <c r="AK245" s="135"/>
      <c r="AL245" s="454"/>
      <c r="AM245" s="135"/>
      <c r="AN245" s="135"/>
      <c r="AO245" s="135"/>
      <c r="AP245" s="135"/>
      <c r="AQ245" s="135"/>
      <c r="AR245" s="135">
        <v>0</v>
      </c>
      <c r="AS245" s="135">
        <f t="shared" si="599"/>
        <v>0</v>
      </c>
      <c r="AT245" s="135">
        <f t="shared" si="600"/>
        <v>0</v>
      </c>
      <c r="AU245" s="135"/>
      <c r="AV245" s="135"/>
      <c r="AW245" s="454"/>
      <c r="AX245" s="135"/>
      <c r="AY245" s="135"/>
      <c r="AZ245" s="110">
        <f t="shared" si="601"/>
        <v>0</v>
      </c>
      <c r="BA245" s="110">
        <f t="shared" si="602"/>
        <v>0</v>
      </c>
      <c r="BB245" s="110"/>
      <c r="BC245" s="110"/>
      <c r="BD245" s="110"/>
      <c r="BE245" s="110"/>
      <c r="BF245" s="110"/>
      <c r="BG245" s="110"/>
      <c r="BH245" s="110"/>
      <c r="BI245" s="110"/>
      <c r="BJ245" s="110"/>
      <c r="BK245" s="332"/>
      <c r="BL245" s="111" t="s">
        <v>549</v>
      </c>
      <c r="BM245" s="117"/>
      <c r="BN245" s="36"/>
      <c r="BO245" s="36"/>
      <c r="BP245" s="36"/>
      <c r="BQ245" s="36"/>
      <c r="BR245" s="36"/>
      <c r="BS245" s="36"/>
      <c r="BT245" s="36"/>
      <c r="BU245" s="36"/>
    </row>
    <row r="246" spans="1:73" ht="24" x14ac:dyDescent="0.2">
      <c r="A246" s="165"/>
      <c r="B246" s="129"/>
      <c r="C246" s="108"/>
      <c r="D246" s="307"/>
      <c r="E246" s="108" t="s">
        <v>630</v>
      </c>
      <c r="F246" s="346">
        <f t="shared" si="591"/>
        <v>68403</v>
      </c>
      <c r="G246" s="109">
        <f t="shared" si="592"/>
        <v>68403</v>
      </c>
      <c r="H246" s="110">
        <v>68403</v>
      </c>
      <c r="I246" s="110">
        <f t="shared" si="593"/>
        <v>68403</v>
      </c>
      <c r="J246" s="110">
        <f t="shared" si="594"/>
        <v>0</v>
      </c>
      <c r="K246" s="110"/>
      <c r="L246" s="110"/>
      <c r="M246" s="110"/>
      <c r="N246" s="110"/>
      <c r="O246" s="110"/>
      <c r="P246" s="110"/>
      <c r="Q246" s="110"/>
      <c r="R246" s="416"/>
      <c r="S246" s="435"/>
      <c r="T246" s="110"/>
      <c r="U246" s="110"/>
      <c r="V246" s="110"/>
      <c r="W246" s="110">
        <v>0</v>
      </c>
      <c r="X246" s="110">
        <f t="shared" si="595"/>
        <v>0</v>
      </c>
      <c r="Y246" s="110">
        <f t="shared" si="596"/>
        <v>0</v>
      </c>
      <c r="Z246" s="110"/>
      <c r="AA246" s="110"/>
      <c r="AB246" s="110"/>
      <c r="AC246" s="110"/>
      <c r="AD246" s="110"/>
      <c r="AE246" s="110"/>
      <c r="AF246" s="110">
        <v>0</v>
      </c>
      <c r="AG246" s="135">
        <f t="shared" si="597"/>
        <v>0</v>
      </c>
      <c r="AH246" s="135">
        <f t="shared" si="598"/>
        <v>0</v>
      </c>
      <c r="AI246" s="135"/>
      <c r="AJ246" s="135"/>
      <c r="AK246" s="135"/>
      <c r="AL246" s="454"/>
      <c r="AM246" s="135"/>
      <c r="AN246" s="135"/>
      <c r="AO246" s="135"/>
      <c r="AP246" s="135"/>
      <c r="AQ246" s="135"/>
      <c r="AR246" s="135">
        <v>0</v>
      </c>
      <c r="AS246" s="135">
        <f t="shared" si="599"/>
        <v>0</v>
      </c>
      <c r="AT246" s="135">
        <f t="shared" si="600"/>
        <v>0</v>
      </c>
      <c r="AU246" s="135"/>
      <c r="AV246" s="135"/>
      <c r="AW246" s="454"/>
      <c r="AX246" s="135"/>
      <c r="AY246" s="135"/>
      <c r="AZ246" s="110">
        <f t="shared" si="601"/>
        <v>0</v>
      </c>
      <c r="BA246" s="110">
        <f t="shared" si="602"/>
        <v>0</v>
      </c>
      <c r="BB246" s="110"/>
      <c r="BC246" s="110"/>
      <c r="BD246" s="110"/>
      <c r="BE246" s="110"/>
      <c r="BF246" s="110"/>
      <c r="BG246" s="110"/>
      <c r="BH246" s="110"/>
      <c r="BI246" s="110"/>
      <c r="BJ246" s="110"/>
      <c r="BK246" s="332"/>
      <c r="BL246" s="111" t="s">
        <v>550</v>
      </c>
      <c r="BM246" s="117"/>
      <c r="BN246" s="36"/>
      <c r="BO246" s="36"/>
      <c r="BP246" s="36"/>
      <c r="BQ246" s="36"/>
      <c r="BR246" s="36"/>
      <c r="BS246" s="36"/>
      <c r="BT246" s="36"/>
      <c r="BU246" s="36"/>
    </row>
    <row r="247" spans="1:73" s="155" customFormat="1" ht="24" x14ac:dyDescent="0.2">
      <c r="A247" s="165"/>
      <c r="B247" s="129"/>
      <c r="C247" s="108"/>
      <c r="D247" s="307"/>
      <c r="E247" s="108" t="s">
        <v>682</v>
      </c>
      <c r="F247" s="346">
        <f t="shared" si="591"/>
        <v>329850</v>
      </c>
      <c r="G247" s="109">
        <f t="shared" si="592"/>
        <v>329850</v>
      </c>
      <c r="H247" s="110">
        <v>329850</v>
      </c>
      <c r="I247" s="110">
        <f t="shared" si="593"/>
        <v>329850</v>
      </c>
      <c r="J247" s="110">
        <f t="shared" si="594"/>
        <v>0</v>
      </c>
      <c r="K247" s="110"/>
      <c r="L247" s="110"/>
      <c r="M247" s="110"/>
      <c r="N247" s="110"/>
      <c r="O247" s="110"/>
      <c r="P247" s="110"/>
      <c r="Q247" s="110"/>
      <c r="R247" s="416"/>
      <c r="S247" s="435"/>
      <c r="T247" s="110"/>
      <c r="U247" s="110"/>
      <c r="V247" s="110"/>
      <c r="W247" s="110">
        <v>0</v>
      </c>
      <c r="X247" s="110">
        <f t="shared" si="595"/>
        <v>0</v>
      </c>
      <c r="Y247" s="110">
        <f t="shared" si="596"/>
        <v>0</v>
      </c>
      <c r="Z247" s="110"/>
      <c r="AA247" s="110"/>
      <c r="AB247" s="110"/>
      <c r="AC247" s="110"/>
      <c r="AD247" s="110"/>
      <c r="AE247" s="110"/>
      <c r="AF247" s="110">
        <v>0</v>
      </c>
      <c r="AG247" s="135">
        <f t="shared" si="597"/>
        <v>0</v>
      </c>
      <c r="AH247" s="135">
        <f t="shared" si="598"/>
        <v>0</v>
      </c>
      <c r="AI247" s="135"/>
      <c r="AJ247" s="135"/>
      <c r="AK247" s="135"/>
      <c r="AL247" s="454"/>
      <c r="AM247" s="135"/>
      <c r="AN247" s="135"/>
      <c r="AO247" s="135"/>
      <c r="AP247" s="135"/>
      <c r="AQ247" s="135"/>
      <c r="AR247" s="135">
        <v>0</v>
      </c>
      <c r="AS247" s="135">
        <f t="shared" si="599"/>
        <v>0</v>
      </c>
      <c r="AT247" s="135">
        <f t="shared" si="600"/>
        <v>0</v>
      </c>
      <c r="AU247" s="135"/>
      <c r="AV247" s="135"/>
      <c r="AW247" s="454"/>
      <c r="AX247" s="135"/>
      <c r="AY247" s="135"/>
      <c r="AZ247" s="110">
        <f t="shared" si="601"/>
        <v>0</v>
      </c>
      <c r="BA247" s="110">
        <f t="shared" si="602"/>
        <v>0</v>
      </c>
      <c r="BB247" s="110"/>
      <c r="BC247" s="110"/>
      <c r="BD247" s="110"/>
      <c r="BE247" s="110"/>
      <c r="BF247" s="110"/>
      <c r="BG247" s="110"/>
      <c r="BH247" s="110"/>
      <c r="BI247" s="110"/>
      <c r="BJ247" s="110"/>
      <c r="BK247" s="332"/>
      <c r="BL247" s="111" t="s">
        <v>551</v>
      </c>
      <c r="BM247" s="117"/>
      <c r="BN247" s="36"/>
      <c r="BO247" s="36"/>
      <c r="BP247" s="36"/>
      <c r="BQ247" s="36"/>
      <c r="BR247" s="36"/>
      <c r="BS247" s="36"/>
      <c r="BT247" s="36"/>
      <c r="BU247" s="36"/>
    </row>
    <row r="248" spans="1:73" ht="24" x14ac:dyDescent="0.2">
      <c r="A248" s="165">
        <v>90001868844</v>
      </c>
      <c r="B248" s="129"/>
      <c r="C248" s="471" t="s">
        <v>396</v>
      </c>
      <c r="D248" s="472"/>
      <c r="E248" s="108" t="s">
        <v>214</v>
      </c>
      <c r="F248" s="346">
        <f t="shared" si="591"/>
        <v>570163</v>
      </c>
      <c r="G248" s="109">
        <f t="shared" si="592"/>
        <v>570059</v>
      </c>
      <c r="H248" s="110">
        <v>563863</v>
      </c>
      <c r="I248" s="110">
        <f t="shared" si="593"/>
        <v>563863</v>
      </c>
      <c r="J248" s="110">
        <f t="shared" si="594"/>
        <v>0</v>
      </c>
      <c r="K248" s="110"/>
      <c r="L248" s="110"/>
      <c r="M248" s="110"/>
      <c r="N248" s="110"/>
      <c r="O248" s="110"/>
      <c r="P248" s="110"/>
      <c r="Q248" s="110"/>
      <c r="R248" s="416"/>
      <c r="S248" s="435"/>
      <c r="T248" s="110"/>
      <c r="U248" s="110"/>
      <c r="V248" s="110"/>
      <c r="W248" s="110">
        <v>0</v>
      </c>
      <c r="X248" s="110">
        <f t="shared" si="595"/>
        <v>0</v>
      </c>
      <c r="Y248" s="110">
        <f t="shared" si="596"/>
        <v>0</v>
      </c>
      <c r="Z248" s="110"/>
      <c r="AA248" s="110"/>
      <c r="AB248" s="110"/>
      <c r="AC248" s="110"/>
      <c r="AD248" s="110"/>
      <c r="AE248" s="110"/>
      <c r="AF248" s="110">
        <v>4300</v>
      </c>
      <c r="AG248" s="135">
        <f t="shared" si="597"/>
        <v>4300</v>
      </c>
      <c r="AH248" s="135">
        <f t="shared" si="598"/>
        <v>0</v>
      </c>
      <c r="AI248" s="135"/>
      <c r="AJ248" s="135"/>
      <c r="AK248" s="135"/>
      <c r="AL248" s="454"/>
      <c r="AM248" s="135"/>
      <c r="AN248" s="135"/>
      <c r="AO248" s="135"/>
      <c r="AP248" s="135"/>
      <c r="AQ248" s="135"/>
      <c r="AR248" s="110">
        <v>2000</v>
      </c>
      <c r="AS248" s="135">
        <f t="shared" si="599"/>
        <v>1896</v>
      </c>
      <c r="AT248" s="135">
        <f t="shared" si="600"/>
        <v>-104</v>
      </c>
      <c r="AU248" s="135">
        <v>-104</v>
      </c>
      <c r="AV248" s="135"/>
      <c r="AW248" s="454"/>
      <c r="AX248" s="135"/>
      <c r="AY248" s="135"/>
      <c r="AZ248" s="110">
        <f t="shared" si="601"/>
        <v>0</v>
      </c>
      <c r="BA248" s="110">
        <f t="shared" si="602"/>
        <v>0</v>
      </c>
      <c r="BB248" s="110"/>
      <c r="BC248" s="110"/>
      <c r="BD248" s="110"/>
      <c r="BE248" s="110"/>
      <c r="BF248" s="110"/>
      <c r="BG248" s="110"/>
      <c r="BH248" s="110"/>
      <c r="BI248" s="110"/>
      <c r="BJ248" s="110"/>
      <c r="BK248" s="332"/>
      <c r="BL248" s="111" t="s">
        <v>552</v>
      </c>
      <c r="BM248" s="117"/>
      <c r="BN248" s="36"/>
      <c r="BO248" s="36"/>
      <c r="BP248" s="36"/>
      <c r="BQ248" s="36"/>
      <c r="BR248" s="36"/>
      <c r="BS248" s="36"/>
      <c r="BT248" s="36"/>
      <c r="BU248" s="36"/>
    </row>
    <row r="249" spans="1:73" ht="24" x14ac:dyDescent="0.2">
      <c r="A249" s="165"/>
      <c r="B249" s="129"/>
      <c r="C249" s="108"/>
      <c r="D249" s="307"/>
      <c r="E249" s="108" t="s">
        <v>240</v>
      </c>
      <c r="F249" s="346">
        <f t="shared" si="591"/>
        <v>484</v>
      </c>
      <c r="G249" s="109">
        <f t="shared" si="592"/>
        <v>484</v>
      </c>
      <c r="H249" s="110">
        <v>484</v>
      </c>
      <c r="I249" s="110">
        <f t="shared" si="593"/>
        <v>484</v>
      </c>
      <c r="J249" s="110">
        <f t="shared" si="594"/>
        <v>0</v>
      </c>
      <c r="K249" s="110"/>
      <c r="L249" s="110"/>
      <c r="M249" s="110"/>
      <c r="N249" s="110"/>
      <c r="O249" s="110"/>
      <c r="P249" s="110"/>
      <c r="Q249" s="110"/>
      <c r="R249" s="416"/>
      <c r="S249" s="435"/>
      <c r="T249" s="110"/>
      <c r="U249" s="110"/>
      <c r="V249" s="110"/>
      <c r="W249" s="110">
        <v>0</v>
      </c>
      <c r="X249" s="110">
        <f t="shared" si="595"/>
        <v>0</v>
      </c>
      <c r="Y249" s="110">
        <f t="shared" si="596"/>
        <v>0</v>
      </c>
      <c r="Z249" s="110"/>
      <c r="AA249" s="110"/>
      <c r="AB249" s="110"/>
      <c r="AC249" s="110"/>
      <c r="AD249" s="110"/>
      <c r="AE249" s="110"/>
      <c r="AF249" s="110">
        <v>0</v>
      </c>
      <c r="AG249" s="110">
        <f t="shared" si="597"/>
        <v>0</v>
      </c>
      <c r="AH249" s="110">
        <f t="shared" si="598"/>
        <v>0</v>
      </c>
      <c r="AI249" s="110"/>
      <c r="AJ249" s="110"/>
      <c r="AK249" s="110"/>
      <c r="AL249" s="435"/>
      <c r="AM249" s="110"/>
      <c r="AN249" s="110"/>
      <c r="AO249" s="110"/>
      <c r="AP249" s="110"/>
      <c r="AQ249" s="110"/>
      <c r="AR249" s="135">
        <v>0</v>
      </c>
      <c r="AS249" s="135">
        <f t="shared" si="599"/>
        <v>0</v>
      </c>
      <c r="AT249" s="135">
        <f t="shared" si="600"/>
        <v>0</v>
      </c>
      <c r="AU249" s="135"/>
      <c r="AV249" s="135"/>
      <c r="AW249" s="454"/>
      <c r="AX249" s="135"/>
      <c r="AY249" s="135"/>
      <c r="AZ249" s="110">
        <f t="shared" si="601"/>
        <v>0</v>
      </c>
      <c r="BA249" s="110">
        <f t="shared" si="602"/>
        <v>0</v>
      </c>
      <c r="BB249" s="110"/>
      <c r="BC249" s="110"/>
      <c r="BD249" s="110"/>
      <c r="BE249" s="110"/>
      <c r="BF249" s="110"/>
      <c r="BG249" s="110"/>
      <c r="BH249" s="110"/>
      <c r="BI249" s="110"/>
      <c r="BJ249" s="110"/>
      <c r="BK249" s="332"/>
      <c r="BL249" s="111" t="s">
        <v>553</v>
      </c>
      <c r="BM249" s="117"/>
      <c r="BN249" s="36"/>
      <c r="BO249" s="36"/>
      <c r="BP249" s="36"/>
      <c r="BQ249" s="36"/>
      <c r="BR249" s="36"/>
      <c r="BS249" s="36"/>
      <c r="BT249" s="36"/>
      <c r="BU249" s="36"/>
    </row>
    <row r="250" spans="1:73" ht="24" x14ac:dyDescent="0.2">
      <c r="A250" s="165">
        <v>90000091456</v>
      </c>
      <c r="B250" s="129"/>
      <c r="C250" s="471" t="s">
        <v>221</v>
      </c>
      <c r="D250" s="472"/>
      <c r="E250" s="108" t="s">
        <v>215</v>
      </c>
      <c r="F250" s="346">
        <f t="shared" si="591"/>
        <v>148056</v>
      </c>
      <c r="G250" s="109">
        <f t="shared" si="592"/>
        <v>148056</v>
      </c>
      <c r="H250" s="110">
        <v>148052</v>
      </c>
      <c r="I250" s="110">
        <f t="shared" si="593"/>
        <v>148052</v>
      </c>
      <c r="J250" s="110">
        <f t="shared" si="594"/>
        <v>0</v>
      </c>
      <c r="K250" s="110"/>
      <c r="L250" s="110"/>
      <c r="M250" s="110"/>
      <c r="N250" s="110"/>
      <c r="O250" s="110"/>
      <c r="P250" s="110"/>
      <c r="Q250" s="110"/>
      <c r="R250" s="416"/>
      <c r="S250" s="435"/>
      <c r="T250" s="110"/>
      <c r="U250" s="110"/>
      <c r="V250" s="110"/>
      <c r="W250" s="110">
        <v>0</v>
      </c>
      <c r="X250" s="110">
        <f t="shared" si="595"/>
        <v>0</v>
      </c>
      <c r="Y250" s="110">
        <f t="shared" si="596"/>
        <v>0</v>
      </c>
      <c r="Z250" s="110"/>
      <c r="AA250" s="110"/>
      <c r="AB250" s="110"/>
      <c r="AC250" s="110"/>
      <c r="AD250" s="110"/>
      <c r="AE250" s="110"/>
      <c r="AF250" s="110">
        <v>4</v>
      </c>
      <c r="AG250" s="135">
        <f t="shared" si="597"/>
        <v>4</v>
      </c>
      <c r="AH250" s="135">
        <f t="shared" si="598"/>
        <v>0</v>
      </c>
      <c r="AI250" s="135"/>
      <c r="AJ250" s="135"/>
      <c r="AK250" s="135"/>
      <c r="AL250" s="454"/>
      <c r="AM250" s="135"/>
      <c r="AN250" s="135"/>
      <c r="AO250" s="135"/>
      <c r="AP250" s="135"/>
      <c r="AQ250" s="135"/>
      <c r="AR250" s="110">
        <v>0</v>
      </c>
      <c r="AS250" s="135">
        <f t="shared" si="599"/>
        <v>0</v>
      </c>
      <c r="AT250" s="135">
        <f t="shared" si="600"/>
        <v>0</v>
      </c>
      <c r="AU250" s="135"/>
      <c r="AV250" s="135"/>
      <c r="AW250" s="454"/>
      <c r="AX250" s="135"/>
      <c r="AY250" s="135"/>
      <c r="AZ250" s="110">
        <f t="shared" si="601"/>
        <v>0</v>
      </c>
      <c r="BA250" s="110">
        <f t="shared" si="602"/>
        <v>0</v>
      </c>
      <c r="BB250" s="110"/>
      <c r="BC250" s="110"/>
      <c r="BD250" s="110"/>
      <c r="BE250" s="110"/>
      <c r="BF250" s="110"/>
      <c r="BG250" s="110"/>
      <c r="BH250" s="110"/>
      <c r="BI250" s="110"/>
      <c r="BJ250" s="110"/>
      <c r="BK250" s="332"/>
      <c r="BL250" s="111" t="s">
        <v>554</v>
      </c>
      <c r="BM250" s="117"/>
      <c r="BN250" s="36"/>
      <c r="BO250" s="36"/>
      <c r="BP250" s="36"/>
      <c r="BQ250" s="36"/>
      <c r="BR250" s="36"/>
      <c r="BS250" s="36"/>
      <c r="BT250" s="36"/>
      <c r="BU250" s="36"/>
    </row>
    <row r="251" spans="1:73" s="292" customFormat="1" ht="50.25" customHeight="1" x14ac:dyDescent="0.2">
      <c r="A251" s="165">
        <v>50003220021</v>
      </c>
      <c r="B251" s="129"/>
      <c r="C251" s="471" t="s">
        <v>679</v>
      </c>
      <c r="D251" s="472"/>
      <c r="E251" s="108" t="s">
        <v>585</v>
      </c>
      <c r="F251" s="346">
        <f t="shared" si="591"/>
        <v>16000</v>
      </c>
      <c r="G251" s="109">
        <f t="shared" si="592"/>
        <v>16000</v>
      </c>
      <c r="H251" s="110">
        <v>16000</v>
      </c>
      <c r="I251" s="110">
        <f t="shared" si="593"/>
        <v>16000</v>
      </c>
      <c r="J251" s="110">
        <f t="shared" si="594"/>
        <v>0</v>
      </c>
      <c r="K251" s="110"/>
      <c r="L251" s="110"/>
      <c r="M251" s="110"/>
      <c r="N251" s="110"/>
      <c r="O251" s="110"/>
      <c r="P251" s="110"/>
      <c r="Q251" s="110"/>
      <c r="R251" s="416"/>
      <c r="S251" s="435"/>
      <c r="T251" s="110"/>
      <c r="U251" s="110"/>
      <c r="V251" s="110"/>
      <c r="W251" s="110">
        <v>0</v>
      </c>
      <c r="X251" s="110">
        <f t="shared" si="595"/>
        <v>0</v>
      </c>
      <c r="Y251" s="110">
        <f t="shared" si="596"/>
        <v>0</v>
      </c>
      <c r="Z251" s="110"/>
      <c r="AA251" s="110"/>
      <c r="AB251" s="110"/>
      <c r="AC251" s="110"/>
      <c r="AD251" s="110"/>
      <c r="AE251" s="110"/>
      <c r="AF251" s="110">
        <v>0</v>
      </c>
      <c r="AG251" s="135">
        <f t="shared" si="597"/>
        <v>0</v>
      </c>
      <c r="AH251" s="135">
        <f t="shared" si="598"/>
        <v>0</v>
      </c>
      <c r="AI251" s="135"/>
      <c r="AJ251" s="135"/>
      <c r="AK251" s="135"/>
      <c r="AL251" s="454"/>
      <c r="AM251" s="135"/>
      <c r="AN251" s="135"/>
      <c r="AO251" s="135"/>
      <c r="AP251" s="135"/>
      <c r="AQ251" s="135"/>
      <c r="AR251" s="135">
        <v>0</v>
      </c>
      <c r="AS251" s="135">
        <f t="shared" si="599"/>
        <v>0</v>
      </c>
      <c r="AT251" s="135">
        <f t="shared" si="600"/>
        <v>0</v>
      </c>
      <c r="AU251" s="135"/>
      <c r="AV251" s="135"/>
      <c r="AW251" s="454"/>
      <c r="AX251" s="135"/>
      <c r="AY251" s="135"/>
      <c r="AZ251" s="110">
        <f t="shared" si="601"/>
        <v>0</v>
      </c>
      <c r="BA251" s="110">
        <f t="shared" si="602"/>
        <v>0</v>
      </c>
      <c r="BB251" s="110"/>
      <c r="BC251" s="110"/>
      <c r="BD251" s="110"/>
      <c r="BE251" s="110"/>
      <c r="BF251" s="110"/>
      <c r="BG251" s="110"/>
      <c r="BH251" s="110"/>
      <c r="BI251" s="110"/>
      <c r="BJ251" s="110"/>
      <c r="BK251" s="332"/>
      <c r="BL251" s="111" t="s">
        <v>677</v>
      </c>
      <c r="BM251" s="117"/>
      <c r="BN251" s="36"/>
      <c r="BO251" s="36"/>
      <c r="BP251" s="36"/>
      <c r="BQ251" s="36"/>
      <c r="BR251" s="36"/>
      <c r="BS251" s="36"/>
      <c r="BT251" s="36"/>
      <c r="BU251" s="36"/>
    </row>
    <row r="252" spans="1:73" ht="60" x14ac:dyDescent="0.2">
      <c r="A252" s="165"/>
      <c r="B252" s="129"/>
      <c r="C252" s="471" t="s">
        <v>189</v>
      </c>
      <c r="D252" s="472"/>
      <c r="E252" s="283" t="s">
        <v>306</v>
      </c>
      <c r="F252" s="346">
        <f t="shared" si="591"/>
        <v>241889</v>
      </c>
      <c r="G252" s="109">
        <f>I252+X252+AG252+AQ252+AS252+AZ252</f>
        <v>241889</v>
      </c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416"/>
      <c r="S252" s="435"/>
      <c r="T252" s="110"/>
      <c r="U252" s="110"/>
      <c r="V252" s="110"/>
      <c r="W252" s="110"/>
      <c r="X252" s="110"/>
      <c r="Y252" s="110"/>
      <c r="Z252" s="110"/>
      <c r="AA252" s="110"/>
      <c r="AB252" s="110"/>
      <c r="AC252" s="110"/>
      <c r="AD252" s="110"/>
      <c r="AE252" s="110"/>
      <c r="AF252" s="110"/>
      <c r="AG252" s="110"/>
      <c r="AH252" s="110"/>
      <c r="AI252" s="110"/>
      <c r="AJ252" s="110"/>
      <c r="AK252" s="110"/>
      <c r="AL252" s="435"/>
      <c r="AM252" s="110"/>
      <c r="AN252" s="110"/>
      <c r="AO252" s="110"/>
      <c r="AP252" s="110"/>
      <c r="AQ252" s="110">
        <v>241889</v>
      </c>
      <c r="AR252" s="135"/>
      <c r="AS252" s="135"/>
      <c r="AT252" s="135"/>
      <c r="AU252" s="135"/>
      <c r="AV252" s="135"/>
      <c r="AW252" s="454"/>
      <c r="AX252" s="135"/>
      <c r="AY252" s="135"/>
      <c r="AZ252" s="110"/>
      <c r="BA252" s="110"/>
      <c r="BB252" s="110"/>
      <c r="BC252" s="110"/>
      <c r="BD252" s="110"/>
      <c r="BE252" s="110"/>
      <c r="BF252" s="110"/>
      <c r="BG252" s="110"/>
      <c r="BH252" s="110"/>
      <c r="BI252" s="110"/>
      <c r="BJ252" s="110"/>
      <c r="BK252" s="332"/>
      <c r="BL252" s="111"/>
      <c r="BM252" s="117"/>
      <c r="BO252" s="36"/>
      <c r="BP252" s="36"/>
      <c r="BQ252" s="36"/>
      <c r="BR252" s="36"/>
      <c r="BS252" s="36"/>
      <c r="BT252" s="36"/>
      <c r="BU252" s="36"/>
    </row>
    <row r="253" spans="1:73" s="158" customFormat="1" ht="42.75" customHeight="1" x14ac:dyDescent="0.2">
      <c r="A253" s="165"/>
      <c r="B253" s="129"/>
      <c r="C253" s="191"/>
      <c r="D253" s="192"/>
      <c r="E253" s="283" t="s">
        <v>293</v>
      </c>
      <c r="F253" s="346">
        <f t="shared" si="591"/>
        <v>106716</v>
      </c>
      <c r="G253" s="109">
        <f t="shared" si="592"/>
        <v>106716</v>
      </c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416"/>
      <c r="S253" s="435"/>
      <c r="T253" s="110"/>
      <c r="U253" s="110"/>
      <c r="V253" s="110"/>
      <c r="W253" s="110"/>
      <c r="X253" s="110"/>
      <c r="Y253" s="110"/>
      <c r="Z253" s="110"/>
      <c r="AA253" s="110"/>
      <c r="AB253" s="110"/>
      <c r="AC253" s="110"/>
      <c r="AD253" s="110"/>
      <c r="AE253" s="110"/>
      <c r="AF253" s="110"/>
      <c r="AG253" s="110"/>
      <c r="AH253" s="110"/>
      <c r="AI253" s="110"/>
      <c r="AJ253" s="110"/>
      <c r="AK253" s="110"/>
      <c r="AL253" s="435"/>
      <c r="AM253" s="110"/>
      <c r="AN253" s="110"/>
      <c r="AO253" s="110"/>
      <c r="AP253" s="110"/>
      <c r="AQ253" s="110">
        <v>106716</v>
      </c>
      <c r="AR253" s="135"/>
      <c r="AS253" s="135"/>
      <c r="AT253" s="135"/>
      <c r="AU253" s="135"/>
      <c r="AV253" s="135"/>
      <c r="AW253" s="454"/>
      <c r="AX253" s="135"/>
      <c r="AY253" s="135"/>
      <c r="AZ253" s="110"/>
      <c r="BA253" s="110"/>
      <c r="BB253" s="110"/>
      <c r="BC253" s="110"/>
      <c r="BD253" s="110"/>
      <c r="BE253" s="110"/>
      <c r="BF253" s="110"/>
      <c r="BG253" s="110"/>
      <c r="BH253" s="110"/>
      <c r="BI253" s="110"/>
      <c r="BJ253" s="110"/>
      <c r="BK253" s="332"/>
      <c r="BL253" s="111"/>
      <c r="BM253" s="117"/>
      <c r="BO253" s="36"/>
      <c r="BP253" s="36"/>
      <c r="BQ253" s="36"/>
      <c r="BR253" s="36"/>
      <c r="BS253" s="36"/>
      <c r="BT253" s="36"/>
      <c r="BU253" s="36"/>
    </row>
    <row r="254" spans="1:73" ht="12.75" thickBot="1" x14ac:dyDescent="0.25">
      <c r="A254" s="150"/>
      <c r="B254" s="146"/>
      <c r="C254" s="512"/>
      <c r="D254" s="513"/>
      <c r="E254" s="25"/>
      <c r="F254" s="347"/>
      <c r="G254" s="95"/>
      <c r="H254" s="96"/>
      <c r="I254" s="96"/>
      <c r="J254" s="96"/>
      <c r="K254" s="96"/>
      <c r="L254" s="96"/>
      <c r="M254" s="96"/>
      <c r="N254" s="96"/>
      <c r="O254" s="96"/>
      <c r="P254" s="96"/>
      <c r="Q254" s="96"/>
      <c r="R254" s="417"/>
      <c r="S254" s="436"/>
      <c r="T254" s="96"/>
      <c r="U254" s="96"/>
      <c r="V254" s="96"/>
      <c r="W254" s="96"/>
      <c r="X254" s="96"/>
      <c r="Y254" s="96"/>
      <c r="Z254" s="96"/>
      <c r="AA254" s="96"/>
      <c r="AB254" s="96"/>
      <c r="AC254" s="96"/>
      <c r="AD254" s="96"/>
      <c r="AE254" s="96"/>
      <c r="AF254" s="96"/>
      <c r="AG254" s="134"/>
      <c r="AH254" s="134"/>
      <c r="AI254" s="134"/>
      <c r="AJ254" s="134"/>
      <c r="AK254" s="134"/>
      <c r="AL254" s="455"/>
      <c r="AM254" s="134"/>
      <c r="AN254" s="134"/>
      <c r="AO254" s="134"/>
      <c r="AP254" s="134"/>
      <c r="AQ254" s="134"/>
      <c r="AR254" s="134"/>
      <c r="AS254" s="134"/>
      <c r="AT254" s="134"/>
      <c r="AU254" s="134"/>
      <c r="AV254" s="134"/>
      <c r="AW254" s="455"/>
      <c r="AX254" s="134"/>
      <c r="AY254" s="134"/>
      <c r="AZ254" s="96"/>
      <c r="BA254" s="96"/>
      <c r="BB254" s="96"/>
      <c r="BC254" s="96"/>
      <c r="BD254" s="96"/>
      <c r="BE254" s="96"/>
      <c r="BF254" s="96"/>
      <c r="BG254" s="96"/>
      <c r="BH254" s="96"/>
      <c r="BI254" s="96"/>
      <c r="BJ254" s="96"/>
      <c r="BK254" s="333"/>
      <c r="BL254" s="97"/>
      <c r="BM254" s="120"/>
      <c r="BO254" s="36"/>
      <c r="BP254" s="36"/>
      <c r="BQ254" s="36"/>
      <c r="BR254" s="36"/>
      <c r="BS254" s="36"/>
      <c r="BT254" s="36"/>
      <c r="BU254" s="36"/>
    </row>
    <row r="255" spans="1:73" ht="13.5" thickTop="1" thickBot="1" x14ac:dyDescent="0.25">
      <c r="A255" s="151"/>
      <c r="B255" s="508" t="s">
        <v>139</v>
      </c>
      <c r="C255" s="508"/>
      <c r="D255" s="509"/>
      <c r="E255" s="20"/>
      <c r="F255" s="353">
        <f>SUM(F256)</f>
        <v>194328</v>
      </c>
      <c r="G255" s="21">
        <f>SUM(G256)</f>
        <v>1148837</v>
      </c>
      <c r="H255" s="22">
        <f>SUM(H256)</f>
        <v>432614</v>
      </c>
      <c r="I255" s="22">
        <f t="shared" ref="I255:BK255" si="615">SUM(I256)</f>
        <v>1145263</v>
      </c>
      <c r="J255" s="22">
        <f t="shared" si="615"/>
        <v>712649</v>
      </c>
      <c r="K255" s="22">
        <f t="shared" si="615"/>
        <v>633</v>
      </c>
      <c r="L255" s="22">
        <f t="shared" si="615"/>
        <v>1592853</v>
      </c>
      <c r="M255" s="22">
        <f t="shared" si="615"/>
        <v>-85</v>
      </c>
      <c r="N255" s="22">
        <f t="shared" si="615"/>
        <v>-391439</v>
      </c>
      <c r="O255" s="22">
        <f t="shared" si="615"/>
        <v>58023</v>
      </c>
      <c r="P255" s="22">
        <f t="shared" si="615"/>
        <v>0</v>
      </c>
      <c r="Q255" s="22">
        <f t="shared" si="615"/>
        <v>-330513</v>
      </c>
      <c r="R255" s="424">
        <f t="shared" si="615"/>
        <v>0</v>
      </c>
      <c r="S255" s="443">
        <f t="shared" si="615"/>
        <v>-216823</v>
      </c>
      <c r="T255" s="22">
        <f t="shared" si="615"/>
        <v>0</v>
      </c>
      <c r="U255" s="22">
        <f t="shared" si="615"/>
        <v>0</v>
      </c>
      <c r="V255" s="22">
        <f t="shared" si="615"/>
        <v>0</v>
      </c>
      <c r="W255" s="22">
        <f t="shared" si="615"/>
        <v>54916</v>
      </c>
      <c r="X255" s="22">
        <f t="shared" si="615"/>
        <v>188031</v>
      </c>
      <c r="Y255" s="22">
        <f t="shared" si="615"/>
        <v>133115</v>
      </c>
      <c r="Z255" s="22">
        <f t="shared" si="615"/>
        <v>0</v>
      </c>
      <c r="AA255" s="22">
        <f t="shared" si="615"/>
        <v>133115</v>
      </c>
      <c r="AB255" s="22">
        <f t="shared" si="615"/>
        <v>0</v>
      </c>
      <c r="AC255" s="22">
        <f t="shared" si="615"/>
        <v>0</v>
      </c>
      <c r="AD255" s="22">
        <f t="shared" si="615"/>
        <v>0</v>
      </c>
      <c r="AE255" s="22">
        <f t="shared" si="615"/>
        <v>0</v>
      </c>
      <c r="AF255" s="22">
        <f t="shared" si="615"/>
        <v>0</v>
      </c>
      <c r="AG255" s="112">
        <f t="shared" si="615"/>
        <v>454</v>
      </c>
      <c r="AH255" s="112">
        <f t="shared" si="615"/>
        <v>454</v>
      </c>
      <c r="AI255" s="112">
        <f t="shared" si="615"/>
        <v>454</v>
      </c>
      <c r="AJ255" s="112">
        <f t="shared" si="615"/>
        <v>0</v>
      </c>
      <c r="AK255" s="112">
        <f t="shared" si="615"/>
        <v>0</v>
      </c>
      <c r="AL255" s="460">
        <f t="shared" si="615"/>
        <v>0</v>
      </c>
      <c r="AM255" s="112">
        <f t="shared" si="615"/>
        <v>0</v>
      </c>
      <c r="AN255" s="112">
        <f t="shared" si="615"/>
        <v>0</v>
      </c>
      <c r="AO255" s="112">
        <f t="shared" si="615"/>
        <v>0</v>
      </c>
      <c r="AP255" s="112">
        <f t="shared" si="615"/>
        <v>0</v>
      </c>
      <c r="AQ255" s="112">
        <f t="shared" si="615"/>
        <v>0</v>
      </c>
      <c r="AR255" s="112">
        <f t="shared" si="615"/>
        <v>0</v>
      </c>
      <c r="AS255" s="112">
        <f t="shared" si="615"/>
        <v>0</v>
      </c>
      <c r="AT255" s="112">
        <f t="shared" si="615"/>
        <v>0</v>
      </c>
      <c r="AU255" s="112">
        <f t="shared" si="615"/>
        <v>314</v>
      </c>
      <c r="AV255" s="112">
        <f t="shared" si="615"/>
        <v>-314</v>
      </c>
      <c r="AW255" s="460">
        <f t="shared" si="615"/>
        <v>0</v>
      </c>
      <c r="AX255" s="112">
        <f t="shared" si="615"/>
        <v>0</v>
      </c>
      <c r="AY255" s="112">
        <f t="shared" si="615"/>
        <v>-293202</v>
      </c>
      <c r="AZ255" s="22">
        <f t="shared" si="615"/>
        <v>-184911</v>
      </c>
      <c r="BA255" s="22">
        <f t="shared" si="615"/>
        <v>108291</v>
      </c>
      <c r="BB255" s="22">
        <f t="shared" si="615"/>
        <v>-8791</v>
      </c>
      <c r="BC255" s="22">
        <f t="shared" si="615"/>
        <v>312</v>
      </c>
      <c r="BD255" s="22">
        <f t="shared" si="615"/>
        <v>116770</v>
      </c>
      <c r="BE255" s="22">
        <f t="shared" si="615"/>
        <v>0</v>
      </c>
      <c r="BF255" s="22">
        <f t="shared" si="615"/>
        <v>0</v>
      </c>
      <c r="BG255" s="22">
        <f t="shared" si="615"/>
        <v>0</v>
      </c>
      <c r="BH255" s="22">
        <f t="shared" si="615"/>
        <v>0</v>
      </c>
      <c r="BI255" s="22">
        <f t="shared" si="615"/>
        <v>0</v>
      </c>
      <c r="BJ255" s="22">
        <f t="shared" si="615"/>
        <v>0</v>
      </c>
      <c r="BK255" s="339">
        <f t="shared" si="615"/>
        <v>0</v>
      </c>
      <c r="BL255" s="23"/>
      <c r="BM255" s="121"/>
      <c r="BO255" s="36"/>
      <c r="BP255" s="36"/>
      <c r="BQ255" s="36"/>
      <c r="BR255" s="36"/>
      <c r="BS255" s="36"/>
      <c r="BT255" s="36"/>
      <c r="BU255" s="36"/>
    </row>
    <row r="256" spans="1:73" ht="14.25" thickTop="1" thickBot="1" x14ac:dyDescent="0.25">
      <c r="A256" s="152"/>
      <c r="B256" s="149"/>
      <c r="C256" s="510" t="s">
        <v>135</v>
      </c>
      <c r="D256" s="511"/>
      <c r="E256" s="12"/>
      <c r="F256" s="354">
        <f t="shared" ref="F256" si="616">H256+W256+AF256+AQ256+AR256+AY256</f>
        <v>194328</v>
      </c>
      <c r="G256" s="15">
        <f>I256+X256+AG256+AQ256+AS256+AZ256</f>
        <v>1148837</v>
      </c>
      <c r="H256" s="13">
        <f>188000+11412+293202-60000</f>
        <v>432614</v>
      </c>
      <c r="I256" s="13">
        <f>J256+H256</f>
        <v>1145263</v>
      </c>
      <c r="J256" s="13">
        <f t="shared" ref="J256" si="617">SUM(K256:V256)</f>
        <v>712649</v>
      </c>
      <c r="K256" s="13">
        <v>633</v>
      </c>
      <c r="L256" s="13">
        <f>4032+4032+4759+4759+1+1+1978814+1+4543+262+6516+46515-791335+1692-18006+207249+139018</f>
        <v>1592853</v>
      </c>
      <c r="M256" s="13">
        <f>-312-312+539</f>
        <v>-85</v>
      </c>
      <c r="N256" s="13">
        <f>13686+58650-2747+14+904+394+900+387+357+115+636+1226+10+142+377+71+72-3000-400-116000-1888-8000+1782+7140-207249-139018+6709-2215-2648-1846</f>
        <v>-391439</v>
      </c>
      <c r="O256" s="13">
        <f>9278+1+1-45683+101+101+500-11634+348396-9900+331+331+606-117203-117203</f>
        <v>58023</v>
      </c>
      <c r="P256" s="13"/>
      <c r="Q256" s="13">
        <f>-500-278528-16000-40904+5419</f>
        <v>-330513</v>
      </c>
      <c r="R256" s="425"/>
      <c r="S256" s="444">
        <f>-190000-11310-15180-598-1594+16619-3229-11531</f>
        <v>-216823</v>
      </c>
      <c r="T256" s="13"/>
      <c r="U256" s="13"/>
      <c r="V256" s="13"/>
      <c r="W256" s="13">
        <f>53632+1284</f>
        <v>54916</v>
      </c>
      <c r="X256" s="13">
        <f t="shared" ref="X256" si="618">Y256+W256</f>
        <v>188031</v>
      </c>
      <c r="Y256" s="13">
        <f t="shared" ref="Y256" si="619">SUM(Z256:AE256)</f>
        <v>133115</v>
      </c>
      <c r="Z256" s="13"/>
      <c r="AA256" s="13">
        <f>(6431+14639+24232+161947)+2747-26979-49902</f>
        <v>133115</v>
      </c>
      <c r="AB256" s="13"/>
      <c r="AC256" s="13"/>
      <c r="AD256" s="13"/>
      <c r="AE256" s="13"/>
      <c r="AF256" s="13"/>
      <c r="AG256" s="139">
        <f t="shared" ref="AG256" si="620">AH256+AF256</f>
        <v>454</v>
      </c>
      <c r="AH256" s="139">
        <f t="shared" ref="AH256" si="621">SUM(AI256:AP256)</f>
        <v>454</v>
      </c>
      <c r="AI256" s="139">
        <f>139018-2124-1710-14-394-1350-632-454-1462-202-699-199-14411-3119-1323-1723-651-912+3690-3112-10-1147-33-3895-4696-1076-36-1532-649-344-1262-2256-4832-2658-4053-377-71-142-76-1387-1948-36773-38269+454-1365+670</f>
        <v>454</v>
      </c>
      <c r="AJ256" s="139"/>
      <c r="AK256" s="139"/>
      <c r="AL256" s="461"/>
      <c r="AM256" s="139"/>
      <c r="AN256" s="139"/>
      <c r="AO256" s="139"/>
      <c r="AP256" s="139"/>
      <c r="AQ256" s="139"/>
      <c r="AR256" s="139"/>
      <c r="AS256" s="139">
        <f t="shared" ref="AS256" si="622">AT256+AR256</f>
        <v>0</v>
      </c>
      <c r="AT256" s="139">
        <f>SUM(AU256:AX256)</f>
        <v>0</v>
      </c>
      <c r="AU256" s="139">
        <f>314</f>
        <v>314</v>
      </c>
      <c r="AV256" s="139">
        <v>-314</v>
      </c>
      <c r="AW256" s="461"/>
      <c r="AX256" s="139"/>
      <c r="AY256" s="139">
        <f>-199775-66678-684-20758-2921-2386</f>
        <v>-293202</v>
      </c>
      <c r="AZ256" s="13">
        <f>BA256+AY256</f>
        <v>-184911</v>
      </c>
      <c r="BA256" s="13">
        <f>SUM(BB256:BK256)</f>
        <v>108291</v>
      </c>
      <c r="BB256" s="13">
        <f>-4032-4759</f>
        <v>-8791</v>
      </c>
      <c r="BC256" s="13">
        <v>312</v>
      </c>
      <c r="BD256" s="13">
        <f>-1-101-331+117203</f>
        <v>116770</v>
      </c>
      <c r="BE256" s="13"/>
      <c r="BF256" s="13"/>
      <c r="BG256" s="13"/>
      <c r="BH256" s="13"/>
      <c r="BI256" s="13"/>
      <c r="BJ256" s="13"/>
      <c r="BK256" s="340"/>
      <c r="BL256" s="14"/>
      <c r="BM256" s="121"/>
      <c r="BO256" s="36"/>
      <c r="BP256" s="36"/>
      <c r="BQ256" s="36"/>
      <c r="BR256" s="36"/>
      <c r="BS256" s="36"/>
      <c r="BT256" s="36"/>
      <c r="BU256" s="36"/>
    </row>
    <row r="257" spans="1:73" ht="28.5" customHeight="1" thickTop="1" thickBot="1" x14ac:dyDescent="0.25">
      <c r="A257" s="151"/>
      <c r="B257" s="508" t="s">
        <v>136</v>
      </c>
      <c r="C257" s="508"/>
      <c r="D257" s="509"/>
      <c r="E257" s="20"/>
      <c r="F257" s="353">
        <f>F12+F27+F35-SUM(F56:F59)+F61+F72-SUM(F84:F87)+F89+F97-SUM(F131:F132)+F134-SUM(F224:F227)+F229-SUM(F252:F253)-F70</f>
        <v>94684868</v>
      </c>
      <c r="G257" s="21">
        <f>G12+G27+G35-SUM(G56:G59)+G61+G72-SUM(G84:G87)+G89+G97-SUM(G131:G132)+G134-SUM(G224:G227)+G229-SUM(G252:G253)-G70</f>
        <v>94228715</v>
      </c>
      <c r="H257" s="22">
        <f>H12+H27+H35-SUM(H56:H59)+H61+H72-H84+H89+H97-SUM(H131:H131)+H134-SUM(H224:H226)+H229-SUM(H252:H253)-H70</f>
        <v>82114491</v>
      </c>
      <c r="I257" s="22">
        <f t="shared" ref="I257:V257" si="623">I12+I27+I35-SUM(I56:I59)+I61+I72-SUM(I84:I87)+I89+I97-SUM(I131:I132)+I134-SUM(I224:I227)+I229-SUM(I252:I253)-I70</f>
        <v>81117673</v>
      </c>
      <c r="J257" s="22">
        <f t="shared" si="623"/>
        <v>-996818</v>
      </c>
      <c r="K257" s="22">
        <f t="shared" si="623"/>
        <v>940</v>
      </c>
      <c r="L257" s="22">
        <f t="shared" si="623"/>
        <v>909967</v>
      </c>
      <c r="M257" s="22">
        <f t="shared" si="623"/>
        <v>41485</v>
      </c>
      <c r="N257" s="22">
        <f t="shared" si="623"/>
        <v>282292</v>
      </c>
      <c r="O257" s="22">
        <f t="shared" si="623"/>
        <v>-2771532</v>
      </c>
      <c r="P257" s="22">
        <f t="shared" si="623"/>
        <v>0</v>
      </c>
      <c r="Q257" s="22">
        <f t="shared" si="623"/>
        <v>323207</v>
      </c>
      <c r="R257" s="424">
        <f t="shared" si="623"/>
        <v>0</v>
      </c>
      <c r="S257" s="443">
        <f t="shared" si="623"/>
        <v>216823</v>
      </c>
      <c r="T257" s="22">
        <f t="shared" si="623"/>
        <v>0</v>
      </c>
      <c r="U257" s="22">
        <f t="shared" si="623"/>
        <v>0</v>
      </c>
      <c r="V257" s="22">
        <f t="shared" si="623"/>
        <v>0</v>
      </c>
      <c r="W257" s="22">
        <f>W12+W27+W35-SUM(W56:W59)+W61+W72-W84+W89+W97-SUM(W131:W131)+W134-SUM(W224:W226)+W229-SUM(W252:W253)-W70</f>
        <v>10785816</v>
      </c>
      <c r="X257" s="22">
        <f t="shared" ref="X257:AE257" si="624">X12+X27+X35-SUM(X56:X59)+X61+X72-SUM(X84:X87)+X89+X97-SUM(X131:X132)+X134-SUM(X224:X227)+X229-SUM(X252:X253)-X70</f>
        <v>11191243</v>
      </c>
      <c r="Y257" s="22">
        <f t="shared" si="624"/>
        <v>405427</v>
      </c>
      <c r="Z257" s="22">
        <f t="shared" si="624"/>
        <v>32045</v>
      </c>
      <c r="AA257" s="22">
        <f t="shared" si="624"/>
        <v>360139</v>
      </c>
      <c r="AB257" s="22">
        <f t="shared" si="624"/>
        <v>13243</v>
      </c>
      <c r="AC257" s="22">
        <f t="shared" si="624"/>
        <v>0</v>
      </c>
      <c r="AD257" s="22">
        <f t="shared" si="624"/>
        <v>0</v>
      </c>
      <c r="AE257" s="22">
        <f t="shared" si="624"/>
        <v>0</v>
      </c>
      <c r="AF257" s="22">
        <f>AF12+AF27+AF35-SUM(AF56:AF59)+AF61+AF72-AF84+AF89+AF97-SUM(AF131:AF131)+AF134-SUM(AF224:AF226)+AF229-SUM(AF252:AF253)-AF70</f>
        <v>1785677</v>
      </c>
      <c r="AG257" s="22">
        <f t="shared" ref="AG257:AQ257" si="625">AG12+AG27+AG35-SUM(AG56:AG59)+AG61+AG72-SUM(AG84:AG87)+AG89+AG97-SUM(AG131:AG132)+AG134-SUM(AG224:AG227)+AG229-SUM(AG252:AG253)-AG70</f>
        <v>1932486</v>
      </c>
      <c r="AH257" s="22">
        <f t="shared" si="625"/>
        <v>146809</v>
      </c>
      <c r="AI257" s="22">
        <f t="shared" si="625"/>
        <v>142813</v>
      </c>
      <c r="AJ257" s="22">
        <f t="shared" si="625"/>
        <v>-2099</v>
      </c>
      <c r="AK257" s="22">
        <f t="shared" si="625"/>
        <v>8899</v>
      </c>
      <c r="AL257" s="443">
        <f t="shared" si="625"/>
        <v>-2804</v>
      </c>
      <c r="AM257" s="22">
        <f t="shared" si="625"/>
        <v>0</v>
      </c>
      <c r="AN257" s="22">
        <f t="shared" si="625"/>
        <v>0</v>
      </c>
      <c r="AO257" s="22">
        <f t="shared" si="625"/>
        <v>0</v>
      </c>
      <c r="AP257" s="22">
        <f t="shared" si="625"/>
        <v>0</v>
      </c>
      <c r="AQ257" s="22">
        <f t="shared" si="625"/>
        <v>0</v>
      </c>
      <c r="AR257" s="112">
        <f>AR12+AR27+AR35-SUM(AR56:AR59)+AR61+AR72-AR84+AR89+AR97-SUM(AR131:AR131)+AR134-SUM(AR224:AR226)+AR229-SUM(AR252:AR253)-AR70</f>
        <v>3460</v>
      </c>
      <c r="AS257" s="112">
        <f t="shared" ref="AS257:AX257" si="626">AS12+AS27+AS35-SUM(AS56:AS59)+AS61+AS72-SUM(AS84:AS87)+AS89+AS97-SUM(AS131:AS132)+AS134-SUM(AS224:AS227)+AS229-SUM(AS252:AS253)-AS70</f>
        <v>6046</v>
      </c>
      <c r="AT257" s="112">
        <f t="shared" si="626"/>
        <v>2586</v>
      </c>
      <c r="AU257" s="112">
        <f t="shared" si="626"/>
        <v>2242</v>
      </c>
      <c r="AV257" s="112">
        <f t="shared" si="626"/>
        <v>314</v>
      </c>
      <c r="AW257" s="460">
        <f t="shared" si="626"/>
        <v>30</v>
      </c>
      <c r="AX257" s="112">
        <f t="shared" si="626"/>
        <v>0</v>
      </c>
      <c r="AY257" s="112">
        <f>AY12+AY27+AY35-SUM(AY56:AY59)+AY61+AY72-AY84+AY89+AY97-SUM(AY131:AY131)+AY134-SUM(AY224:AY226)+AY229-SUM(AY252:AY253)-AY70</f>
        <v>-4576</v>
      </c>
      <c r="AZ257" s="22">
        <f t="shared" ref="AZ257:BK257" si="627">AZ12+AZ27+AZ35-SUM(AZ56:AZ59)+AZ61+AZ72-SUM(AZ84:AZ87)+AZ89+AZ97-SUM(AZ131:AZ132)+AZ134-SUM(AZ224:AZ227)+AZ229-SUM(AZ252:AZ253)-AZ70</f>
        <v>-18733</v>
      </c>
      <c r="BA257" s="22">
        <f t="shared" si="627"/>
        <v>-14157</v>
      </c>
      <c r="BB257" s="22">
        <f t="shared" si="627"/>
        <v>-2</v>
      </c>
      <c r="BC257" s="22">
        <f t="shared" si="627"/>
        <v>-13834</v>
      </c>
      <c r="BD257" s="22">
        <f t="shared" si="627"/>
        <v>0</v>
      </c>
      <c r="BE257" s="22">
        <f t="shared" si="627"/>
        <v>-321</v>
      </c>
      <c r="BF257" s="22">
        <f t="shared" si="627"/>
        <v>0</v>
      </c>
      <c r="BG257" s="22">
        <f t="shared" si="627"/>
        <v>0</v>
      </c>
      <c r="BH257" s="22">
        <f t="shared" si="627"/>
        <v>0</v>
      </c>
      <c r="BI257" s="22">
        <f t="shared" si="627"/>
        <v>0</v>
      </c>
      <c r="BJ257" s="22">
        <f t="shared" si="627"/>
        <v>0</v>
      </c>
      <c r="BK257" s="339">
        <f t="shared" si="627"/>
        <v>0</v>
      </c>
      <c r="BL257" s="23"/>
      <c r="BM257" s="122"/>
      <c r="BO257" s="36"/>
      <c r="BP257" s="36"/>
      <c r="BQ257" s="36"/>
      <c r="BR257" s="36"/>
      <c r="BS257" s="36"/>
      <c r="BT257" s="36"/>
      <c r="BU257" s="36"/>
    </row>
    <row r="258" spans="1:73" ht="13.5" thickTop="1" thickBot="1" x14ac:dyDescent="0.25">
      <c r="A258" s="151"/>
      <c r="B258" s="508" t="s">
        <v>137</v>
      </c>
      <c r="C258" s="508"/>
      <c r="D258" s="509"/>
      <c r="E258" s="8"/>
      <c r="F258" s="348">
        <f>SUM(H258:AY258)</f>
        <v>196671219</v>
      </c>
      <c r="G258" s="17">
        <f t="shared" ref="G258:AL258" si="628">SUM(G12,G27,G35,G61,G72,G89,G97,G134,G229,G255)</f>
        <v>100779935</v>
      </c>
      <c r="H258" s="10">
        <f t="shared" si="628"/>
        <v>82547105</v>
      </c>
      <c r="I258" s="10">
        <f t="shared" si="628"/>
        <v>82262936</v>
      </c>
      <c r="J258" s="10">
        <f t="shared" si="628"/>
        <v>-284169</v>
      </c>
      <c r="K258" s="10">
        <f t="shared" si="628"/>
        <v>1573</v>
      </c>
      <c r="L258" s="10">
        <f t="shared" si="628"/>
        <v>2502820</v>
      </c>
      <c r="M258" s="10">
        <f t="shared" si="628"/>
        <v>41400</v>
      </c>
      <c r="N258" s="10">
        <f t="shared" si="628"/>
        <v>-109147</v>
      </c>
      <c r="O258" s="10">
        <f t="shared" si="628"/>
        <v>-2713509</v>
      </c>
      <c r="P258" s="10">
        <f t="shared" si="628"/>
        <v>0</v>
      </c>
      <c r="Q258" s="10">
        <f t="shared" si="628"/>
        <v>-7306</v>
      </c>
      <c r="R258" s="415">
        <f t="shared" si="628"/>
        <v>0</v>
      </c>
      <c r="S258" s="434">
        <f t="shared" si="628"/>
        <v>0</v>
      </c>
      <c r="T258" s="10">
        <f t="shared" si="628"/>
        <v>0</v>
      </c>
      <c r="U258" s="10">
        <f t="shared" si="628"/>
        <v>0</v>
      </c>
      <c r="V258" s="10">
        <f t="shared" si="628"/>
        <v>0</v>
      </c>
      <c r="W258" s="10">
        <f t="shared" si="628"/>
        <v>10840732</v>
      </c>
      <c r="X258" s="10">
        <f t="shared" si="628"/>
        <v>11379274</v>
      </c>
      <c r="Y258" s="10">
        <f t="shared" si="628"/>
        <v>538542</v>
      </c>
      <c r="Z258" s="10">
        <f t="shared" si="628"/>
        <v>32045</v>
      </c>
      <c r="AA258" s="10">
        <f t="shared" si="628"/>
        <v>493254</v>
      </c>
      <c r="AB258" s="10">
        <f t="shared" si="628"/>
        <v>13243</v>
      </c>
      <c r="AC258" s="10">
        <f t="shared" si="628"/>
        <v>0</v>
      </c>
      <c r="AD258" s="10">
        <f t="shared" si="628"/>
        <v>0</v>
      </c>
      <c r="AE258" s="10">
        <f t="shared" si="628"/>
        <v>0</v>
      </c>
      <c r="AF258" s="10">
        <f t="shared" si="628"/>
        <v>1785677</v>
      </c>
      <c r="AG258" s="133">
        <f t="shared" si="628"/>
        <v>1932940</v>
      </c>
      <c r="AH258" s="133">
        <f t="shared" si="628"/>
        <v>147263</v>
      </c>
      <c r="AI258" s="133">
        <f t="shared" si="628"/>
        <v>143267</v>
      </c>
      <c r="AJ258" s="133">
        <f t="shared" si="628"/>
        <v>-2099</v>
      </c>
      <c r="AK258" s="133">
        <f t="shared" si="628"/>
        <v>8899</v>
      </c>
      <c r="AL258" s="440">
        <f t="shared" si="628"/>
        <v>-2804</v>
      </c>
      <c r="AM258" s="133">
        <f t="shared" ref="AM258:BK258" si="629">SUM(AM12,AM27,AM35,AM61,AM72,AM89,AM97,AM134,AM229,AM255)</f>
        <v>0</v>
      </c>
      <c r="AN258" s="133">
        <f t="shared" si="629"/>
        <v>0</v>
      </c>
      <c r="AO258" s="133">
        <f t="shared" si="629"/>
        <v>0</v>
      </c>
      <c r="AP258" s="133">
        <f t="shared" si="629"/>
        <v>0</v>
      </c>
      <c r="AQ258" s="133">
        <f t="shared" si="629"/>
        <v>5402383</v>
      </c>
      <c r="AR258" s="133">
        <f t="shared" si="629"/>
        <v>3460</v>
      </c>
      <c r="AS258" s="133">
        <f t="shared" si="629"/>
        <v>6046</v>
      </c>
      <c r="AT258" s="133">
        <f t="shared" si="629"/>
        <v>2586</v>
      </c>
      <c r="AU258" s="133">
        <f t="shared" si="629"/>
        <v>2556</v>
      </c>
      <c r="AV258" s="133">
        <f t="shared" si="629"/>
        <v>0</v>
      </c>
      <c r="AW258" s="440">
        <f t="shared" si="629"/>
        <v>30</v>
      </c>
      <c r="AX258" s="133">
        <f t="shared" si="629"/>
        <v>0</v>
      </c>
      <c r="AY258" s="133">
        <f t="shared" si="629"/>
        <v>-297778</v>
      </c>
      <c r="AZ258" s="10">
        <f t="shared" si="629"/>
        <v>-203644</v>
      </c>
      <c r="BA258" s="10">
        <f t="shared" si="629"/>
        <v>94134</v>
      </c>
      <c r="BB258" s="10">
        <f t="shared" si="629"/>
        <v>-8793</v>
      </c>
      <c r="BC258" s="10">
        <f t="shared" si="629"/>
        <v>-13522</v>
      </c>
      <c r="BD258" s="10">
        <f t="shared" si="629"/>
        <v>116770</v>
      </c>
      <c r="BE258" s="10">
        <f t="shared" si="629"/>
        <v>-321</v>
      </c>
      <c r="BF258" s="10">
        <f t="shared" si="629"/>
        <v>0</v>
      </c>
      <c r="BG258" s="10">
        <f t="shared" si="629"/>
        <v>0</v>
      </c>
      <c r="BH258" s="10">
        <f t="shared" si="629"/>
        <v>0</v>
      </c>
      <c r="BI258" s="10">
        <f t="shared" si="629"/>
        <v>0</v>
      </c>
      <c r="BJ258" s="10">
        <f t="shared" si="629"/>
        <v>0</v>
      </c>
      <c r="BK258" s="341">
        <f t="shared" si="629"/>
        <v>0</v>
      </c>
      <c r="BL258" s="24"/>
      <c r="BM258" s="122"/>
      <c r="BO258" s="36"/>
      <c r="BP258" s="36"/>
      <c r="BQ258" s="36"/>
      <c r="BR258" s="36"/>
      <c r="BS258" s="36"/>
      <c r="BT258" s="36"/>
      <c r="BU258" s="36"/>
    </row>
    <row r="259" spans="1:73" ht="12.75" hidden="1" outlineLevel="1" thickTop="1" x14ac:dyDescent="0.2">
      <c r="C259" s="25"/>
      <c r="D259" s="26" t="s">
        <v>23</v>
      </c>
      <c r="E259" s="26"/>
      <c r="F259" s="27">
        <f t="shared" ref="F259:AK259" si="630">SUM(F13:F26,F28:F34,F36:F59,F62:F69,F70,F73:F83,F90:F96,F98:F133,F135:F223,F230:F254,F255,F84:F88,F224:F228)</f>
        <v>100281579</v>
      </c>
      <c r="G259" s="27">
        <f t="shared" si="630"/>
        <v>100779935</v>
      </c>
      <c r="H259" s="27">
        <f t="shared" si="630"/>
        <v>82547105</v>
      </c>
      <c r="I259" s="27">
        <f t="shared" si="630"/>
        <v>82262936</v>
      </c>
      <c r="J259" s="27">
        <f t="shared" si="630"/>
        <v>-284169</v>
      </c>
      <c r="K259" s="27">
        <f t="shared" si="630"/>
        <v>1573</v>
      </c>
      <c r="L259" s="27">
        <f t="shared" si="630"/>
        <v>2502820</v>
      </c>
      <c r="M259" s="27">
        <f t="shared" si="630"/>
        <v>41400</v>
      </c>
      <c r="N259" s="27">
        <f t="shared" si="630"/>
        <v>-109147</v>
      </c>
      <c r="O259" s="27">
        <f t="shared" si="630"/>
        <v>-2713509</v>
      </c>
      <c r="P259" s="27">
        <f t="shared" si="630"/>
        <v>0</v>
      </c>
      <c r="Q259" s="27">
        <f t="shared" si="630"/>
        <v>-7306</v>
      </c>
      <c r="R259" s="426">
        <f t="shared" si="630"/>
        <v>0</v>
      </c>
      <c r="S259" s="445">
        <f t="shared" si="630"/>
        <v>0</v>
      </c>
      <c r="T259" s="27">
        <f t="shared" si="630"/>
        <v>0</v>
      </c>
      <c r="U259" s="27">
        <f t="shared" si="630"/>
        <v>0</v>
      </c>
      <c r="V259" s="27">
        <f t="shared" si="630"/>
        <v>0</v>
      </c>
      <c r="W259" s="27">
        <f t="shared" si="630"/>
        <v>10840732</v>
      </c>
      <c r="X259" s="27">
        <f t="shared" si="630"/>
        <v>11379274</v>
      </c>
      <c r="Y259" s="27">
        <f t="shared" si="630"/>
        <v>538542</v>
      </c>
      <c r="Z259" s="27">
        <f t="shared" si="630"/>
        <v>32045</v>
      </c>
      <c r="AA259" s="27">
        <f t="shared" si="630"/>
        <v>493254</v>
      </c>
      <c r="AB259" s="27">
        <f t="shared" si="630"/>
        <v>13243</v>
      </c>
      <c r="AC259" s="27">
        <f t="shared" si="630"/>
        <v>0</v>
      </c>
      <c r="AD259" s="27">
        <f t="shared" si="630"/>
        <v>0</v>
      </c>
      <c r="AE259" s="27">
        <f t="shared" si="630"/>
        <v>0</v>
      </c>
      <c r="AF259" s="27">
        <f t="shared" si="630"/>
        <v>1785677</v>
      </c>
      <c r="AG259" s="27">
        <f t="shared" si="630"/>
        <v>1932940</v>
      </c>
      <c r="AH259" s="27">
        <f t="shared" si="630"/>
        <v>147263</v>
      </c>
      <c r="AI259" s="27">
        <f t="shared" si="630"/>
        <v>143267</v>
      </c>
      <c r="AJ259" s="27">
        <f t="shared" si="630"/>
        <v>-2099</v>
      </c>
      <c r="AK259" s="27">
        <f t="shared" si="630"/>
        <v>8899</v>
      </c>
      <c r="AL259" s="445">
        <f t="shared" ref="AL259:BK259" si="631">SUM(AL13:AL26,AL28:AL34,AL36:AL59,AL62:AL69,AL70,AL73:AL83,AL90:AL96,AL98:AL133,AL135:AL223,AL230:AL254,AL255,AL84:AL88,AL224:AL228)</f>
        <v>-2804</v>
      </c>
      <c r="AM259" s="27">
        <f t="shared" si="631"/>
        <v>0</v>
      </c>
      <c r="AN259" s="27">
        <f t="shared" si="631"/>
        <v>0</v>
      </c>
      <c r="AO259" s="27">
        <f t="shared" si="631"/>
        <v>0</v>
      </c>
      <c r="AP259" s="27">
        <f t="shared" si="631"/>
        <v>0</v>
      </c>
      <c r="AQ259" s="27">
        <f t="shared" si="631"/>
        <v>5402383</v>
      </c>
      <c r="AR259" s="27">
        <f t="shared" si="631"/>
        <v>3460</v>
      </c>
      <c r="AS259" s="27">
        <f t="shared" si="631"/>
        <v>6046</v>
      </c>
      <c r="AT259" s="27">
        <f t="shared" si="631"/>
        <v>2586</v>
      </c>
      <c r="AU259" s="27">
        <f t="shared" si="631"/>
        <v>2556</v>
      </c>
      <c r="AV259" s="27">
        <f t="shared" si="631"/>
        <v>0</v>
      </c>
      <c r="AW259" s="445">
        <f t="shared" si="631"/>
        <v>30</v>
      </c>
      <c r="AX259" s="27">
        <f t="shared" si="631"/>
        <v>0</v>
      </c>
      <c r="AY259" s="27">
        <f t="shared" si="631"/>
        <v>-297778</v>
      </c>
      <c r="AZ259" s="27">
        <f t="shared" si="631"/>
        <v>-203644</v>
      </c>
      <c r="BA259" s="27">
        <f t="shared" si="631"/>
        <v>94134</v>
      </c>
      <c r="BB259" s="27">
        <f t="shared" si="631"/>
        <v>-8793</v>
      </c>
      <c r="BC259" s="27">
        <f t="shared" si="631"/>
        <v>-13522</v>
      </c>
      <c r="BD259" s="27">
        <f t="shared" si="631"/>
        <v>116770</v>
      </c>
      <c r="BE259" s="27">
        <f t="shared" si="631"/>
        <v>-321</v>
      </c>
      <c r="BF259" s="27">
        <f t="shared" si="631"/>
        <v>0</v>
      </c>
      <c r="BG259" s="27">
        <f t="shared" si="631"/>
        <v>0</v>
      </c>
      <c r="BH259" s="27">
        <f t="shared" si="631"/>
        <v>0</v>
      </c>
      <c r="BI259" s="27">
        <f t="shared" si="631"/>
        <v>0</v>
      </c>
      <c r="BJ259" s="27">
        <f t="shared" si="631"/>
        <v>0</v>
      </c>
      <c r="BK259" s="27">
        <f t="shared" si="631"/>
        <v>0</v>
      </c>
      <c r="BL259" s="28">
        <f>SUM(BL15:BL17,BL29:BL33,BL37:BL59,BL62:BL62,BL73:BL84,BL90:BL95,BL98:BL131,BL137:BL226,BL232:BL253,BL255)</f>
        <v>0</v>
      </c>
    </row>
    <row r="260" spans="1:73" hidden="1" outlineLevel="1" x14ac:dyDescent="0.2">
      <c r="C260" s="25"/>
      <c r="D260" s="26" t="s">
        <v>24</v>
      </c>
      <c r="E260" s="26"/>
      <c r="F260" s="27">
        <f t="shared" ref="F260:AK260" si="632">SUM(F12,F27,F35,F61,F72,F89,F97,F134,F229,F255)</f>
        <v>100281579</v>
      </c>
      <c r="G260" s="27">
        <f t="shared" si="632"/>
        <v>100779935</v>
      </c>
      <c r="H260" s="27">
        <f t="shared" si="632"/>
        <v>82547105</v>
      </c>
      <c r="I260" s="27">
        <f t="shared" si="632"/>
        <v>82262936</v>
      </c>
      <c r="J260" s="27">
        <f t="shared" si="632"/>
        <v>-284169</v>
      </c>
      <c r="K260" s="27">
        <f t="shared" si="632"/>
        <v>1573</v>
      </c>
      <c r="L260" s="27">
        <f t="shared" si="632"/>
        <v>2502820</v>
      </c>
      <c r="M260" s="27">
        <f t="shared" si="632"/>
        <v>41400</v>
      </c>
      <c r="N260" s="27">
        <f t="shared" si="632"/>
        <v>-109147</v>
      </c>
      <c r="O260" s="27">
        <f t="shared" si="632"/>
        <v>-2713509</v>
      </c>
      <c r="P260" s="27">
        <f t="shared" si="632"/>
        <v>0</v>
      </c>
      <c r="Q260" s="27">
        <f t="shared" si="632"/>
        <v>-7306</v>
      </c>
      <c r="R260" s="426">
        <f t="shared" si="632"/>
        <v>0</v>
      </c>
      <c r="S260" s="445">
        <f t="shared" si="632"/>
        <v>0</v>
      </c>
      <c r="T260" s="27">
        <f t="shared" si="632"/>
        <v>0</v>
      </c>
      <c r="U260" s="27">
        <f t="shared" si="632"/>
        <v>0</v>
      </c>
      <c r="V260" s="27">
        <f t="shared" si="632"/>
        <v>0</v>
      </c>
      <c r="W260" s="27">
        <f t="shared" si="632"/>
        <v>10840732</v>
      </c>
      <c r="X260" s="27">
        <f t="shared" si="632"/>
        <v>11379274</v>
      </c>
      <c r="Y260" s="27">
        <f t="shared" si="632"/>
        <v>538542</v>
      </c>
      <c r="Z260" s="27">
        <f t="shared" si="632"/>
        <v>32045</v>
      </c>
      <c r="AA260" s="27">
        <f t="shared" si="632"/>
        <v>493254</v>
      </c>
      <c r="AB260" s="27">
        <f t="shared" si="632"/>
        <v>13243</v>
      </c>
      <c r="AC260" s="27">
        <f t="shared" si="632"/>
        <v>0</v>
      </c>
      <c r="AD260" s="27">
        <f t="shared" si="632"/>
        <v>0</v>
      </c>
      <c r="AE260" s="27">
        <f t="shared" si="632"/>
        <v>0</v>
      </c>
      <c r="AF260" s="27">
        <f t="shared" si="632"/>
        <v>1785677</v>
      </c>
      <c r="AG260" s="27">
        <f t="shared" si="632"/>
        <v>1932940</v>
      </c>
      <c r="AH260" s="27">
        <f t="shared" si="632"/>
        <v>147263</v>
      </c>
      <c r="AI260" s="27">
        <f t="shared" si="632"/>
        <v>143267</v>
      </c>
      <c r="AJ260" s="27">
        <f t="shared" si="632"/>
        <v>-2099</v>
      </c>
      <c r="AK260" s="27">
        <f t="shared" si="632"/>
        <v>8899</v>
      </c>
      <c r="AL260" s="445">
        <f t="shared" ref="AL260:BL260" si="633">SUM(AL12,AL27,AL35,AL61,AL72,AL89,AL97,AL134,AL229,AL255)</f>
        <v>-2804</v>
      </c>
      <c r="AM260" s="27">
        <f t="shared" si="633"/>
        <v>0</v>
      </c>
      <c r="AN260" s="27">
        <f t="shared" si="633"/>
        <v>0</v>
      </c>
      <c r="AO260" s="27">
        <f t="shared" si="633"/>
        <v>0</v>
      </c>
      <c r="AP260" s="27">
        <f t="shared" si="633"/>
        <v>0</v>
      </c>
      <c r="AQ260" s="27">
        <f t="shared" si="633"/>
        <v>5402383</v>
      </c>
      <c r="AR260" s="27">
        <f t="shared" si="633"/>
        <v>3460</v>
      </c>
      <c r="AS260" s="27">
        <f t="shared" si="633"/>
        <v>6046</v>
      </c>
      <c r="AT260" s="27">
        <f t="shared" si="633"/>
        <v>2586</v>
      </c>
      <c r="AU260" s="27">
        <f t="shared" si="633"/>
        <v>2556</v>
      </c>
      <c r="AV260" s="27">
        <f t="shared" si="633"/>
        <v>0</v>
      </c>
      <c r="AW260" s="445">
        <f t="shared" si="633"/>
        <v>30</v>
      </c>
      <c r="AX260" s="27">
        <f t="shared" si="633"/>
        <v>0</v>
      </c>
      <c r="AY260" s="27">
        <f t="shared" si="633"/>
        <v>-297778</v>
      </c>
      <c r="AZ260" s="27">
        <f t="shared" si="633"/>
        <v>-203644</v>
      </c>
      <c r="BA260" s="27">
        <f t="shared" si="633"/>
        <v>94134</v>
      </c>
      <c r="BB260" s="27">
        <f t="shared" si="633"/>
        <v>-8793</v>
      </c>
      <c r="BC260" s="27">
        <f t="shared" si="633"/>
        <v>-13522</v>
      </c>
      <c r="BD260" s="27">
        <f t="shared" si="633"/>
        <v>116770</v>
      </c>
      <c r="BE260" s="27">
        <f t="shared" si="633"/>
        <v>-321</v>
      </c>
      <c r="BF260" s="27">
        <f t="shared" si="633"/>
        <v>0</v>
      </c>
      <c r="BG260" s="27">
        <f t="shared" si="633"/>
        <v>0</v>
      </c>
      <c r="BH260" s="27">
        <f t="shared" si="633"/>
        <v>0</v>
      </c>
      <c r="BI260" s="27">
        <f t="shared" si="633"/>
        <v>0</v>
      </c>
      <c r="BJ260" s="27">
        <f t="shared" si="633"/>
        <v>0</v>
      </c>
      <c r="BK260" s="27">
        <f t="shared" si="633"/>
        <v>0</v>
      </c>
      <c r="BL260" s="28">
        <f t="shared" si="633"/>
        <v>0</v>
      </c>
    </row>
    <row r="261" spans="1:73" hidden="1" outlineLevel="1" x14ac:dyDescent="0.2">
      <c r="C261" s="25"/>
      <c r="D261" s="26" t="s">
        <v>25</v>
      </c>
      <c r="E261" s="26"/>
      <c r="F261" s="29" t="str">
        <f t="shared" ref="F261:BL261" si="634">IF(F258=F259=F260,"PROBLEM","")</f>
        <v/>
      </c>
      <c r="G261" s="29"/>
      <c r="H261" s="29" t="str">
        <f t="shared" si="634"/>
        <v/>
      </c>
      <c r="I261" s="29"/>
      <c r="J261" s="29"/>
      <c r="K261" s="29"/>
      <c r="L261" s="29"/>
      <c r="M261" s="29"/>
      <c r="N261" s="29"/>
      <c r="O261" s="29"/>
      <c r="P261" s="29"/>
      <c r="Q261" s="29"/>
      <c r="R261" s="427"/>
      <c r="S261" s="446"/>
      <c r="T261" s="29"/>
      <c r="U261" s="29"/>
      <c r="V261" s="29"/>
      <c r="W261" s="29" t="str">
        <f t="shared" si="634"/>
        <v/>
      </c>
      <c r="X261" s="29"/>
      <c r="Y261" s="29"/>
      <c r="Z261" s="29"/>
      <c r="AA261" s="29"/>
      <c r="AB261" s="29"/>
      <c r="AC261" s="29"/>
      <c r="AD261" s="29"/>
      <c r="AE261" s="29"/>
      <c r="AF261" s="29" t="str">
        <f t="shared" si="634"/>
        <v/>
      </c>
      <c r="AG261" s="29"/>
      <c r="AH261" s="29"/>
      <c r="AI261" s="29"/>
      <c r="AJ261" s="29"/>
      <c r="AK261" s="29"/>
      <c r="AL261" s="446"/>
      <c r="AM261" s="29"/>
      <c r="AN261" s="29"/>
      <c r="AO261" s="29"/>
      <c r="AP261" s="29"/>
      <c r="AQ261" s="29" t="str">
        <f t="shared" si="634"/>
        <v/>
      </c>
      <c r="AR261" s="29" t="str">
        <f t="shared" si="634"/>
        <v/>
      </c>
      <c r="AS261" s="29"/>
      <c r="AT261" s="29"/>
      <c r="AU261" s="29"/>
      <c r="AV261" s="29"/>
      <c r="AW261" s="446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30" t="str">
        <f t="shared" si="634"/>
        <v/>
      </c>
    </row>
    <row r="262" spans="1:73" hidden="1" outlineLevel="1" x14ac:dyDescent="0.2">
      <c r="C262" s="25"/>
      <c r="D262" s="19"/>
      <c r="E262" s="19"/>
    </row>
    <row r="263" spans="1:73" s="33" customFormat="1" hidden="1" outlineLevel="1" x14ac:dyDescent="0.2">
      <c r="C263" s="31"/>
      <c r="D263" s="32"/>
      <c r="E263" s="32" t="s">
        <v>350</v>
      </c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428"/>
      <c r="S263" s="447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447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447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5"/>
    </row>
    <row r="264" spans="1:73" hidden="1" outlineLevel="1" x14ac:dyDescent="0.2">
      <c r="C264" s="25"/>
      <c r="D264" s="19"/>
      <c r="E264" s="19"/>
      <c r="F264" s="343">
        <f>Ienemumi!AI178-G258</f>
        <v>0</v>
      </c>
      <c r="G264" s="449"/>
      <c r="H264" s="405"/>
      <c r="AR264" s="36"/>
      <c r="AS264" s="36"/>
      <c r="AT264" s="36"/>
      <c r="AU264" s="36"/>
      <c r="AV264" s="36"/>
      <c r="AW264" s="463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  <c r="BI264" s="36"/>
      <c r="BJ264" s="36"/>
      <c r="BK264" s="36"/>
    </row>
    <row r="265" spans="1:73" ht="12.75" collapsed="1" thickTop="1" x14ac:dyDescent="0.2">
      <c r="C265" s="25"/>
      <c r="D265" s="19"/>
      <c r="E265" s="19"/>
      <c r="F265" s="205"/>
      <c r="G265" s="205"/>
      <c r="H265" s="405"/>
      <c r="I265" s="239"/>
      <c r="J265" s="239"/>
      <c r="K265" s="239"/>
      <c r="L265" s="239"/>
      <c r="M265" s="239"/>
      <c r="N265" s="239"/>
      <c r="O265" s="239"/>
      <c r="P265" s="239"/>
      <c r="Q265" s="239"/>
      <c r="R265" s="429"/>
      <c r="S265" s="448"/>
      <c r="T265" s="239"/>
      <c r="U265" s="239"/>
      <c r="V265" s="239"/>
      <c r="AR265" s="36"/>
      <c r="AS265" s="36"/>
      <c r="AT265" s="36"/>
      <c r="AU265" s="36"/>
      <c r="AV265" s="36"/>
      <c r="AW265" s="463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  <c r="BI265" s="36"/>
      <c r="BJ265" s="36"/>
      <c r="BK265" s="36"/>
    </row>
    <row r="266" spans="1:73" x14ac:dyDescent="0.2">
      <c r="C266" s="25"/>
      <c r="D266" s="19"/>
      <c r="E266" s="19"/>
    </row>
    <row r="267" spans="1:73" x14ac:dyDescent="0.2">
      <c r="C267" s="25"/>
      <c r="D267" s="19"/>
      <c r="E267" s="19"/>
      <c r="F267" s="205"/>
      <c r="G267" s="205"/>
    </row>
    <row r="268" spans="1:73" x14ac:dyDescent="0.2">
      <c r="C268" s="25"/>
      <c r="D268" s="19"/>
      <c r="E268" s="19"/>
    </row>
    <row r="269" spans="1:73" x14ac:dyDescent="0.2">
      <c r="C269" s="25"/>
      <c r="D269" s="19"/>
      <c r="E269" s="19"/>
    </row>
    <row r="270" spans="1:73" x14ac:dyDescent="0.2">
      <c r="C270" s="25"/>
      <c r="D270" s="19"/>
      <c r="E270" s="19"/>
    </row>
    <row r="271" spans="1:73" x14ac:dyDescent="0.2">
      <c r="C271" s="25"/>
      <c r="D271" s="19"/>
      <c r="E271" s="19"/>
    </row>
    <row r="272" spans="1:73" x14ac:dyDescent="0.2">
      <c r="C272" s="25"/>
      <c r="D272" s="19"/>
      <c r="E272" s="19"/>
    </row>
    <row r="273" spans="3:5" x14ac:dyDescent="0.2">
      <c r="C273" s="25"/>
      <c r="D273" s="19"/>
      <c r="E273" s="19"/>
    </row>
    <row r="274" spans="3:5" x14ac:dyDescent="0.2">
      <c r="C274" s="25"/>
      <c r="D274" s="19"/>
      <c r="E274" s="19"/>
    </row>
    <row r="275" spans="3:5" x14ac:dyDescent="0.2">
      <c r="C275" s="25"/>
      <c r="D275" s="19"/>
      <c r="E275" s="19"/>
    </row>
    <row r="276" spans="3:5" x14ac:dyDescent="0.2">
      <c r="C276" s="25"/>
      <c r="D276" s="19"/>
      <c r="E276" s="19"/>
    </row>
    <row r="277" spans="3:5" x14ac:dyDescent="0.2">
      <c r="C277" s="25"/>
      <c r="D277" s="19"/>
      <c r="E277" s="19"/>
    </row>
    <row r="278" spans="3:5" x14ac:dyDescent="0.2">
      <c r="C278" s="25"/>
      <c r="D278" s="19"/>
      <c r="E278" s="19"/>
    </row>
    <row r="279" spans="3:5" x14ac:dyDescent="0.2">
      <c r="C279" s="25"/>
      <c r="D279" s="19"/>
      <c r="E279" s="19"/>
    </row>
    <row r="280" spans="3:5" x14ac:dyDescent="0.2">
      <c r="C280" s="25"/>
      <c r="D280" s="19"/>
      <c r="E280" s="19"/>
    </row>
    <row r="281" spans="3:5" x14ac:dyDescent="0.2">
      <c r="C281" s="25"/>
      <c r="D281" s="19"/>
      <c r="E281" s="19"/>
    </row>
    <row r="282" spans="3:5" x14ac:dyDescent="0.2">
      <c r="C282" s="25"/>
      <c r="D282" s="19"/>
      <c r="E282" s="19"/>
    </row>
    <row r="283" spans="3:5" x14ac:dyDescent="0.2">
      <c r="C283" s="25"/>
      <c r="D283" s="19"/>
      <c r="E283" s="19"/>
    </row>
    <row r="284" spans="3:5" x14ac:dyDescent="0.2">
      <c r="C284" s="25"/>
      <c r="D284" s="19"/>
      <c r="E284" s="19"/>
    </row>
    <row r="285" spans="3:5" x14ac:dyDescent="0.2">
      <c r="C285" s="25"/>
      <c r="D285" s="19"/>
      <c r="E285" s="19"/>
    </row>
    <row r="286" spans="3:5" x14ac:dyDescent="0.2">
      <c r="C286" s="25"/>
      <c r="D286" s="19"/>
      <c r="E286" s="19"/>
    </row>
    <row r="287" spans="3:5" x14ac:dyDescent="0.2">
      <c r="C287" s="25"/>
      <c r="D287" s="19"/>
      <c r="E287" s="19"/>
    </row>
    <row r="288" spans="3:5" x14ac:dyDescent="0.2">
      <c r="C288" s="25"/>
      <c r="D288" s="19"/>
      <c r="E288" s="19"/>
    </row>
    <row r="289" spans="3:5" x14ac:dyDescent="0.2">
      <c r="C289" s="25"/>
      <c r="D289" s="19"/>
      <c r="E289" s="19"/>
    </row>
    <row r="290" spans="3:5" x14ac:dyDescent="0.2">
      <c r="C290" s="25"/>
      <c r="D290" s="19"/>
      <c r="E290" s="19"/>
    </row>
    <row r="291" spans="3:5" x14ac:dyDescent="0.2">
      <c r="C291" s="25"/>
      <c r="D291" s="19"/>
      <c r="E291" s="19"/>
    </row>
    <row r="292" spans="3:5" x14ac:dyDescent="0.2">
      <c r="C292" s="25"/>
      <c r="D292" s="19"/>
      <c r="E292" s="19"/>
    </row>
    <row r="293" spans="3:5" x14ac:dyDescent="0.2">
      <c r="C293" s="25"/>
      <c r="D293" s="19"/>
      <c r="E293" s="19"/>
    </row>
    <row r="294" spans="3:5" x14ac:dyDescent="0.2">
      <c r="C294" s="25"/>
      <c r="D294" s="19"/>
      <c r="E294" s="19"/>
    </row>
    <row r="295" spans="3:5" x14ac:dyDescent="0.2">
      <c r="C295" s="25"/>
      <c r="D295" s="19"/>
      <c r="E295" s="19"/>
    </row>
    <row r="296" spans="3:5" x14ac:dyDescent="0.2">
      <c r="C296" s="25"/>
      <c r="D296" s="19"/>
      <c r="E296" s="19"/>
    </row>
    <row r="297" spans="3:5" x14ac:dyDescent="0.2">
      <c r="C297" s="25"/>
      <c r="D297" s="19"/>
      <c r="E297" s="19"/>
    </row>
    <row r="298" spans="3:5" x14ac:dyDescent="0.2">
      <c r="C298" s="25"/>
      <c r="D298" s="19"/>
      <c r="E298" s="19"/>
    </row>
    <row r="299" spans="3:5" x14ac:dyDescent="0.2">
      <c r="C299" s="25"/>
      <c r="D299" s="19"/>
      <c r="E299" s="19"/>
    </row>
    <row r="300" spans="3:5" x14ac:dyDescent="0.2">
      <c r="C300" s="25"/>
      <c r="D300" s="19"/>
      <c r="E300" s="19"/>
    </row>
    <row r="301" spans="3:5" x14ac:dyDescent="0.2">
      <c r="C301" s="25"/>
      <c r="D301" s="19"/>
      <c r="E301" s="19"/>
    </row>
    <row r="302" spans="3:5" x14ac:dyDescent="0.2">
      <c r="C302" s="25"/>
      <c r="D302" s="19"/>
      <c r="E302" s="19"/>
    </row>
    <row r="303" spans="3:5" x14ac:dyDescent="0.2">
      <c r="C303" s="25"/>
      <c r="D303" s="19"/>
      <c r="E303" s="19"/>
    </row>
    <row r="304" spans="3:5" x14ac:dyDescent="0.2">
      <c r="C304" s="25"/>
      <c r="D304" s="19"/>
      <c r="E304" s="19"/>
    </row>
    <row r="305" spans="3:5" x14ac:dyDescent="0.2">
      <c r="C305" s="25"/>
      <c r="D305" s="19"/>
      <c r="E305" s="19"/>
    </row>
    <row r="306" spans="3:5" x14ac:dyDescent="0.2">
      <c r="C306" s="25"/>
      <c r="D306" s="19"/>
      <c r="E306" s="19"/>
    </row>
    <row r="307" spans="3:5" x14ac:dyDescent="0.2">
      <c r="C307" s="25"/>
      <c r="D307" s="19"/>
      <c r="E307" s="19"/>
    </row>
    <row r="308" spans="3:5" x14ac:dyDescent="0.2">
      <c r="C308" s="25"/>
      <c r="D308" s="19"/>
      <c r="E308" s="19"/>
    </row>
    <row r="309" spans="3:5" x14ac:dyDescent="0.2">
      <c r="C309" s="25"/>
      <c r="D309" s="19"/>
      <c r="E309" s="19"/>
    </row>
    <row r="310" spans="3:5" x14ac:dyDescent="0.2">
      <c r="C310" s="25"/>
      <c r="D310" s="19"/>
      <c r="E310" s="19"/>
    </row>
    <row r="311" spans="3:5" x14ac:dyDescent="0.2">
      <c r="C311" s="25"/>
      <c r="D311" s="19"/>
      <c r="E311" s="19"/>
    </row>
    <row r="312" spans="3:5" x14ac:dyDescent="0.2">
      <c r="C312" s="25"/>
      <c r="D312" s="19"/>
      <c r="E312" s="19"/>
    </row>
    <row r="313" spans="3:5" x14ac:dyDescent="0.2">
      <c r="C313" s="25"/>
      <c r="D313" s="19"/>
      <c r="E313" s="19"/>
    </row>
    <row r="314" spans="3:5" x14ac:dyDescent="0.2">
      <c r="C314" s="25"/>
      <c r="D314" s="19"/>
      <c r="E314" s="19"/>
    </row>
    <row r="315" spans="3:5" x14ac:dyDescent="0.2">
      <c r="C315" s="25"/>
      <c r="D315" s="19"/>
      <c r="E315" s="19"/>
    </row>
    <row r="316" spans="3:5" x14ac:dyDescent="0.2">
      <c r="C316" s="25"/>
      <c r="D316" s="19"/>
      <c r="E316" s="19"/>
    </row>
    <row r="317" spans="3:5" x14ac:dyDescent="0.2">
      <c r="C317" s="25"/>
      <c r="D317" s="19"/>
      <c r="E317" s="19"/>
    </row>
    <row r="318" spans="3:5" x14ac:dyDescent="0.2">
      <c r="C318" s="25"/>
      <c r="D318" s="19"/>
      <c r="E318" s="19"/>
    </row>
    <row r="319" spans="3:5" x14ac:dyDescent="0.2">
      <c r="C319" s="25"/>
      <c r="D319" s="19"/>
      <c r="E319" s="19"/>
    </row>
    <row r="320" spans="3:5" x14ac:dyDescent="0.2">
      <c r="C320" s="25"/>
      <c r="D320" s="19"/>
      <c r="E320" s="19"/>
    </row>
    <row r="321" spans="3:5" x14ac:dyDescent="0.2">
      <c r="C321" s="25"/>
      <c r="D321" s="19"/>
      <c r="E321" s="19"/>
    </row>
    <row r="322" spans="3:5" x14ac:dyDescent="0.2">
      <c r="C322" s="25"/>
      <c r="D322" s="19"/>
      <c r="E322" s="19"/>
    </row>
    <row r="323" spans="3:5" x14ac:dyDescent="0.2">
      <c r="C323" s="25"/>
      <c r="D323" s="19"/>
      <c r="E323" s="19"/>
    </row>
    <row r="324" spans="3:5" x14ac:dyDescent="0.2">
      <c r="C324" s="25"/>
      <c r="D324" s="19"/>
      <c r="E324" s="19"/>
    </row>
    <row r="325" spans="3:5" x14ac:dyDescent="0.2">
      <c r="C325" s="25"/>
      <c r="D325" s="19"/>
      <c r="E325" s="19"/>
    </row>
    <row r="326" spans="3:5" x14ac:dyDescent="0.2">
      <c r="C326" s="25"/>
      <c r="D326" s="19"/>
      <c r="E326" s="19"/>
    </row>
    <row r="327" spans="3:5" x14ac:dyDescent="0.2">
      <c r="C327" s="25"/>
      <c r="D327" s="19"/>
      <c r="E327" s="19"/>
    </row>
    <row r="328" spans="3:5" x14ac:dyDescent="0.2">
      <c r="C328" s="25"/>
      <c r="D328" s="19"/>
      <c r="E328" s="19"/>
    </row>
    <row r="329" spans="3:5" x14ac:dyDescent="0.2">
      <c r="C329" s="25"/>
      <c r="D329" s="19"/>
      <c r="E329" s="19"/>
    </row>
    <row r="330" spans="3:5" x14ac:dyDescent="0.2">
      <c r="C330" s="25"/>
      <c r="D330" s="19"/>
      <c r="E330" s="19"/>
    </row>
    <row r="331" spans="3:5" x14ac:dyDescent="0.2">
      <c r="C331" s="25"/>
      <c r="D331" s="19"/>
      <c r="E331" s="19"/>
    </row>
    <row r="332" spans="3:5" x14ac:dyDescent="0.2">
      <c r="C332" s="25"/>
      <c r="D332" s="19"/>
      <c r="E332" s="19"/>
    </row>
    <row r="333" spans="3:5" x14ac:dyDescent="0.2">
      <c r="C333" s="25"/>
      <c r="D333" s="19"/>
      <c r="E333" s="19"/>
    </row>
    <row r="334" spans="3:5" x14ac:dyDescent="0.2">
      <c r="C334" s="25"/>
      <c r="D334" s="19"/>
      <c r="E334" s="19"/>
    </row>
    <row r="335" spans="3:5" x14ac:dyDescent="0.2">
      <c r="C335" s="25"/>
      <c r="D335" s="19"/>
      <c r="E335" s="19"/>
    </row>
    <row r="336" spans="3:5" x14ac:dyDescent="0.2">
      <c r="C336" s="25"/>
      <c r="D336" s="19"/>
      <c r="E336" s="19"/>
    </row>
    <row r="337" spans="3:5" x14ac:dyDescent="0.2">
      <c r="C337" s="25"/>
      <c r="D337" s="19"/>
      <c r="E337" s="19"/>
    </row>
    <row r="338" spans="3:5" x14ac:dyDescent="0.2">
      <c r="C338" s="25"/>
      <c r="D338" s="19"/>
      <c r="E338" s="19"/>
    </row>
    <row r="339" spans="3:5" x14ac:dyDescent="0.2">
      <c r="C339" s="25"/>
      <c r="D339" s="19"/>
      <c r="E339" s="19"/>
    </row>
    <row r="340" spans="3:5" x14ac:dyDescent="0.2">
      <c r="C340" s="25"/>
      <c r="D340" s="19"/>
      <c r="E340" s="19"/>
    </row>
    <row r="341" spans="3:5" x14ac:dyDescent="0.2">
      <c r="C341" s="25"/>
      <c r="D341" s="19"/>
      <c r="E341" s="19"/>
    </row>
    <row r="342" spans="3:5" x14ac:dyDescent="0.2">
      <c r="C342" s="25"/>
      <c r="D342" s="19"/>
      <c r="E342" s="19"/>
    </row>
    <row r="343" spans="3:5" x14ac:dyDescent="0.2">
      <c r="C343" s="25"/>
      <c r="D343" s="19"/>
      <c r="E343" s="19"/>
    </row>
    <row r="344" spans="3:5" x14ac:dyDescent="0.2">
      <c r="C344" s="25"/>
      <c r="D344" s="19"/>
      <c r="E344" s="19"/>
    </row>
    <row r="345" spans="3:5" x14ac:dyDescent="0.2">
      <c r="C345" s="25"/>
      <c r="D345" s="19"/>
      <c r="E345" s="19"/>
    </row>
    <row r="346" spans="3:5" x14ac:dyDescent="0.2">
      <c r="C346" s="25"/>
      <c r="D346" s="19"/>
      <c r="E346" s="19"/>
    </row>
    <row r="347" spans="3:5" x14ac:dyDescent="0.2">
      <c r="C347" s="25"/>
      <c r="D347" s="19"/>
      <c r="E347" s="19"/>
    </row>
    <row r="348" spans="3:5" x14ac:dyDescent="0.2">
      <c r="C348" s="25"/>
      <c r="D348" s="19"/>
      <c r="E348" s="19"/>
    </row>
    <row r="349" spans="3:5" x14ac:dyDescent="0.2">
      <c r="C349" s="25"/>
      <c r="D349" s="19"/>
      <c r="E349" s="19"/>
    </row>
    <row r="350" spans="3:5" x14ac:dyDescent="0.2">
      <c r="C350" s="25"/>
      <c r="D350" s="19"/>
      <c r="E350" s="19"/>
    </row>
    <row r="351" spans="3:5" x14ac:dyDescent="0.2">
      <c r="C351" s="25"/>
      <c r="D351" s="19"/>
      <c r="E351" s="19"/>
    </row>
    <row r="352" spans="3:5" x14ac:dyDescent="0.2">
      <c r="C352" s="25"/>
      <c r="D352" s="19"/>
      <c r="E352" s="19"/>
    </row>
    <row r="353" spans="3:5" x14ac:dyDescent="0.2">
      <c r="C353" s="25"/>
      <c r="D353" s="19"/>
      <c r="E353" s="19"/>
    </row>
    <row r="354" spans="3:5" x14ac:dyDescent="0.2">
      <c r="C354" s="25"/>
      <c r="D354" s="19"/>
      <c r="E354" s="19"/>
    </row>
    <row r="355" spans="3:5" x14ac:dyDescent="0.2">
      <c r="C355" s="25"/>
      <c r="D355" s="19"/>
      <c r="E355" s="19"/>
    </row>
    <row r="356" spans="3:5" x14ac:dyDescent="0.2">
      <c r="C356" s="25"/>
      <c r="D356" s="19"/>
      <c r="E356" s="19"/>
    </row>
    <row r="357" spans="3:5" x14ac:dyDescent="0.2">
      <c r="C357" s="25"/>
      <c r="D357" s="19"/>
      <c r="E357" s="19"/>
    </row>
    <row r="358" spans="3:5" x14ac:dyDescent="0.2">
      <c r="C358" s="25"/>
      <c r="D358" s="19"/>
      <c r="E358" s="19"/>
    </row>
    <row r="359" spans="3:5" x14ac:dyDescent="0.2">
      <c r="C359" s="25"/>
      <c r="D359" s="19"/>
      <c r="E359" s="19"/>
    </row>
    <row r="360" spans="3:5" x14ac:dyDescent="0.2">
      <c r="C360" s="25"/>
      <c r="D360" s="19"/>
      <c r="E360" s="19"/>
    </row>
    <row r="361" spans="3:5" x14ac:dyDescent="0.2">
      <c r="C361" s="25"/>
      <c r="D361" s="19"/>
      <c r="E361" s="19"/>
    </row>
    <row r="362" spans="3:5" x14ac:dyDescent="0.2">
      <c r="C362" s="25"/>
      <c r="D362" s="19"/>
      <c r="E362" s="19"/>
    </row>
    <row r="363" spans="3:5" x14ac:dyDescent="0.2">
      <c r="C363" s="25"/>
      <c r="D363" s="19"/>
      <c r="E363" s="19"/>
    </row>
    <row r="364" spans="3:5" x14ac:dyDescent="0.2">
      <c r="C364" s="25"/>
      <c r="D364" s="19"/>
      <c r="E364" s="19"/>
    </row>
    <row r="365" spans="3:5" x14ac:dyDescent="0.2">
      <c r="C365" s="25"/>
      <c r="D365" s="19"/>
      <c r="E365" s="19"/>
    </row>
    <row r="366" spans="3:5" x14ac:dyDescent="0.2">
      <c r="C366" s="25"/>
      <c r="D366" s="19"/>
      <c r="E366" s="19"/>
    </row>
    <row r="367" spans="3:5" x14ac:dyDescent="0.2">
      <c r="C367" s="25"/>
      <c r="D367" s="19"/>
      <c r="E367" s="19"/>
    </row>
    <row r="368" spans="3:5" x14ac:dyDescent="0.2">
      <c r="C368" s="25"/>
      <c r="D368" s="19"/>
      <c r="E368" s="19"/>
    </row>
    <row r="369" spans="3:5" x14ac:dyDescent="0.2">
      <c r="C369" s="25"/>
      <c r="D369" s="19"/>
      <c r="E369" s="19"/>
    </row>
    <row r="370" spans="3:5" x14ac:dyDescent="0.2">
      <c r="C370" s="25"/>
      <c r="D370" s="19"/>
      <c r="E370" s="19"/>
    </row>
    <row r="371" spans="3:5" x14ac:dyDescent="0.2">
      <c r="C371" s="25"/>
      <c r="D371" s="19"/>
      <c r="E371" s="19"/>
    </row>
    <row r="372" spans="3:5" x14ac:dyDescent="0.2">
      <c r="C372" s="25"/>
      <c r="D372" s="19"/>
      <c r="E372" s="19"/>
    </row>
    <row r="373" spans="3:5" x14ac:dyDescent="0.2">
      <c r="C373" s="25"/>
      <c r="D373" s="19"/>
      <c r="E373" s="19"/>
    </row>
    <row r="374" spans="3:5" x14ac:dyDescent="0.2">
      <c r="C374" s="25"/>
      <c r="D374" s="19"/>
      <c r="E374" s="19"/>
    </row>
    <row r="375" spans="3:5" x14ac:dyDescent="0.2">
      <c r="C375" s="25"/>
      <c r="D375" s="19"/>
      <c r="E375" s="19"/>
    </row>
    <row r="376" spans="3:5" x14ac:dyDescent="0.2">
      <c r="C376" s="25"/>
      <c r="D376" s="19"/>
      <c r="E376" s="19"/>
    </row>
    <row r="377" spans="3:5" x14ac:dyDescent="0.2">
      <c r="C377" s="25"/>
      <c r="D377" s="19"/>
      <c r="E377" s="19"/>
    </row>
    <row r="378" spans="3:5" x14ac:dyDescent="0.2">
      <c r="C378" s="25"/>
      <c r="D378" s="19"/>
      <c r="E378" s="19"/>
    </row>
    <row r="379" spans="3:5" x14ac:dyDescent="0.2">
      <c r="C379" s="25"/>
      <c r="D379" s="19"/>
      <c r="E379" s="19"/>
    </row>
    <row r="380" spans="3:5" x14ac:dyDescent="0.2">
      <c r="C380" s="25"/>
      <c r="D380" s="19"/>
      <c r="E380" s="19"/>
    </row>
    <row r="381" spans="3:5" x14ac:dyDescent="0.2">
      <c r="C381" s="25"/>
      <c r="D381" s="19"/>
      <c r="E381" s="19"/>
    </row>
    <row r="382" spans="3:5" x14ac:dyDescent="0.2">
      <c r="C382" s="25"/>
      <c r="D382" s="19"/>
      <c r="E382" s="19"/>
    </row>
    <row r="383" spans="3:5" x14ac:dyDescent="0.2">
      <c r="C383" s="25"/>
      <c r="D383" s="19"/>
      <c r="E383" s="19"/>
    </row>
    <row r="384" spans="3:5" x14ac:dyDescent="0.2">
      <c r="C384" s="25"/>
      <c r="D384" s="19"/>
      <c r="E384" s="19"/>
    </row>
    <row r="385" spans="3:5" x14ac:dyDescent="0.2">
      <c r="C385" s="25"/>
      <c r="D385" s="19"/>
      <c r="E385" s="19"/>
    </row>
    <row r="386" spans="3:5" x14ac:dyDescent="0.2">
      <c r="C386" s="25"/>
      <c r="D386" s="19"/>
      <c r="E386" s="19"/>
    </row>
    <row r="387" spans="3:5" x14ac:dyDescent="0.2">
      <c r="C387" s="25"/>
      <c r="D387" s="19"/>
      <c r="E387" s="19"/>
    </row>
    <row r="388" spans="3:5" x14ac:dyDescent="0.2">
      <c r="C388" s="25"/>
      <c r="D388" s="19"/>
      <c r="E388" s="19"/>
    </row>
    <row r="389" spans="3:5" x14ac:dyDescent="0.2">
      <c r="C389" s="25"/>
      <c r="D389" s="19"/>
      <c r="E389" s="19"/>
    </row>
    <row r="390" spans="3:5" x14ac:dyDescent="0.2">
      <c r="C390" s="25"/>
      <c r="D390" s="19"/>
      <c r="E390" s="19"/>
    </row>
    <row r="391" spans="3:5" x14ac:dyDescent="0.2">
      <c r="C391" s="25"/>
      <c r="D391" s="19"/>
      <c r="E391" s="19"/>
    </row>
    <row r="392" spans="3:5" x14ac:dyDescent="0.2">
      <c r="C392" s="25"/>
      <c r="D392" s="19"/>
      <c r="E392" s="19"/>
    </row>
    <row r="393" spans="3:5" x14ac:dyDescent="0.2">
      <c r="C393" s="25"/>
      <c r="D393" s="19"/>
      <c r="E393" s="19"/>
    </row>
    <row r="394" spans="3:5" x14ac:dyDescent="0.2">
      <c r="C394" s="25"/>
      <c r="D394" s="19"/>
      <c r="E394" s="19"/>
    </row>
    <row r="395" spans="3:5" x14ac:dyDescent="0.2">
      <c r="C395" s="25"/>
      <c r="D395" s="19"/>
      <c r="E395" s="19"/>
    </row>
    <row r="396" spans="3:5" x14ac:dyDescent="0.2">
      <c r="C396" s="25"/>
      <c r="D396" s="19"/>
      <c r="E396" s="19"/>
    </row>
    <row r="397" spans="3:5" x14ac:dyDescent="0.2">
      <c r="C397" s="25"/>
      <c r="D397" s="19"/>
      <c r="E397" s="19"/>
    </row>
    <row r="398" spans="3:5" x14ac:dyDescent="0.2">
      <c r="C398" s="25"/>
      <c r="D398" s="19"/>
      <c r="E398" s="19"/>
    </row>
    <row r="399" spans="3:5" x14ac:dyDescent="0.2">
      <c r="C399" s="25"/>
      <c r="D399" s="19"/>
      <c r="E399" s="19"/>
    </row>
    <row r="400" spans="3:5" x14ac:dyDescent="0.2">
      <c r="C400" s="25"/>
      <c r="D400" s="19"/>
      <c r="E400" s="19"/>
    </row>
    <row r="401" spans="3:5" x14ac:dyDescent="0.2">
      <c r="C401" s="25"/>
      <c r="D401" s="19"/>
      <c r="E401" s="19"/>
    </row>
    <row r="402" spans="3:5" x14ac:dyDescent="0.2">
      <c r="C402" s="25"/>
      <c r="D402" s="19"/>
      <c r="E402" s="19"/>
    </row>
    <row r="403" spans="3:5" x14ac:dyDescent="0.2">
      <c r="C403" s="25"/>
      <c r="D403" s="19"/>
      <c r="E403" s="19"/>
    </row>
    <row r="404" spans="3:5" x14ac:dyDescent="0.2">
      <c r="C404" s="25"/>
      <c r="D404" s="19"/>
      <c r="E404" s="19"/>
    </row>
    <row r="405" spans="3:5" x14ac:dyDescent="0.2">
      <c r="C405" s="25"/>
      <c r="D405" s="19"/>
      <c r="E405" s="19"/>
    </row>
    <row r="406" spans="3:5" x14ac:dyDescent="0.2">
      <c r="C406" s="25"/>
      <c r="D406" s="19"/>
      <c r="E406" s="19"/>
    </row>
    <row r="407" spans="3:5" x14ac:dyDescent="0.2">
      <c r="C407" s="25"/>
      <c r="D407" s="19"/>
      <c r="E407" s="19"/>
    </row>
    <row r="408" spans="3:5" x14ac:dyDescent="0.2">
      <c r="C408" s="25"/>
      <c r="D408" s="19"/>
      <c r="E408" s="19"/>
    </row>
    <row r="409" spans="3:5" x14ac:dyDescent="0.2">
      <c r="C409" s="25"/>
      <c r="D409" s="19"/>
      <c r="E409" s="19"/>
    </row>
    <row r="410" spans="3:5" x14ac:dyDescent="0.2">
      <c r="C410" s="25"/>
      <c r="D410" s="19"/>
      <c r="E410" s="19"/>
    </row>
    <row r="411" spans="3:5" x14ac:dyDescent="0.2">
      <c r="C411" s="25"/>
      <c r="D411" s="19"/>
      <c r="E411" s="19"/>
    </row>
    <row r="412" spans="3:5" x14ac:dyDescent="0.2">
      <c r="C412" s="25"/>
      <c r="D412" s="19"/>
      <c r="E412" s="19"/>
    </row>
    <row r="413" spans="3:5" x14ac:dyDescent="0.2">
      <c r="C413" s="25"/>
      <c r="D413" s="19"/>
      <c r="E413" s="19"/>
    </row>
    <row r="414" spans="3:5" x14ac:dyDescent="0.2">
      <c r="C414" s="25"/>
      <c r="D414" s="19"/>
      <c r="E414" s="19"/>
    </row>
    <row r="415" spans="3:5" x14ac:dyDescent="0.2">
      <c r="C415" s="25"/>
      <c r="D415" s="19"/>
      <c r="E415" s="19"/>
    </row>
    <row r="416" spans="3:5" x14ac:dyDescent="0.2">
      <c r="C416" s="25"/>
      <c r="D416" s="19"/>
      <c r="E416" s="19"/>
    </row>
    <row r="417" spans="3:5" x14ac:dyDescent="0.2">
      <c r="C417" s="25"/>
      <c r="D417" s="19"/>
      <c r="E417" s="19"/>
    </row>
    <row r="418" spans="3:5" x14ac:dyDescent="0.2">
      <c r="C418" s="25"/>
      <c r="D418" s="19"/>
      <c r="E418" s="19"/>
    </row>
    <row r="419" spans="3:5" x14ac:dyDescent="0.2">
      <c r="C419" s="25"/>
      <c r="D419" s="19"/>
      <c r="E419" s="19"/>
    </row>
    <row r="420" spans="3:5" x14ac:dyDescent="0.2">
      <c r="C420" s="25"/>
      <c r="D420" s="19"/>
      <c r="E420" s="19"/>
    </row>
    <row r="421" spans="3:5" x14ac:dyDescent="0.2">
      <c r="C421" s="25"/>
      <c r="D421" s="19"/>
      <c r="E421" s="19"/>
    </row>
    <row r="422" spans="3:5" x14ac:dyDescent="0.2">
      <c r="C422" s="25"/>
      <c r="D422" s="19"/>
      <c r="E422" s="19"/>
    </row>
    <row r="423" spans="3:5" x14ac:dyDescent="0.2">
      <c r="C423" s="25"/>
      <c r="D423" s="19"/>
      <c r="E423" s="19"/>
    </row>
    <row r="424" spans="3:5" x14ac:dyDescent="0.2">
      <c r="C424" s="25"/>
      <c r="D424" s="19"/>
      <c r="E424" s="19"/>
    </row>
    <row r="425" spans="3:5" x14ac:dyDescent="0.2">
      <c r="C425" s="25"/>
      <c r="D425" s="19"/>
      <c r="E425" s="19"/>
    </row>
    <row r="426" spans="3:5" x14ac:dyDescent="0.2">
      <c r="C426" s="25"/>
      <c r="D426" s="19"/>
      <c r="E426" s="19"/>
    </row>
    <row r="427" spans="3:5" x14ac:dyDescent="0.2">
      <c r="C427" s="25"/>
      <c r="D427" s="19"/>
      <c r="E427" s="19"/>
    </row>
    <row r="428" spans="3:5" x14ac:dyDescent="0.2">
      <c r="C428" s="25"/>
      <c r="D428" s="19"/>
      <c r="E428" s="19"/>
    </row>
    <row r="429" spans="3:5" x14ac:dyDescent="0.2">
      <c r="C429" s="25"/>
      <c r="D429" s="19"/>
      <c r="E429" s="19"/>
    </row>
    <row r="430" spans="3:5" x14ac:dyDescent="0.2">
      <c r="C430" s="25"/>
      <c r="D430" s="19"/>
      <c r="E430" s="19"/>
    </row>
    <row r="431" spans="3:5" x14ac:dyDescent="0.2">
      <c r="C431" s="25"/>
      <c r="D431" s="19"/>
      <c r="E431" s="19"/>
    </row>
    <row r="432" spans="3:5" x14ac:dyDescent="0.2">
      <c r="C432" s="25"/>
      <c r="D432" s="19"/>
      <c r="E432" s="19"/>
    </row>
    <row r="433" spans="3:5" x14ac:dyDescent="0.2">
      <c r="C433" s="25"/>
      <c r="D433" s="19"/>
      <c r="E433" s="19"/>
    </row>
    <row r="434" spans="3:5" x14ac:dyDescent="0.2">
      <c r="C434" s="25"/>
      <c r="D434" s="19"/>
      <c r="E434" s="19"/>
    </row>
    <row r="435" spans="3:5" x14ac:dyDescent="0.2">
      <c r="C435" s="25"/>
      <c r="D435" s="19"/>
      <c r="E435" s="19"/>
    </row>
    <row r="436" spans="3:5" x14ac:dyDescent="0.2">
      <c r="C436" s="25"/>
      <c r="D436" s="19"/>
      <c r="E436" s="19"/>
    </row>
    <row r="437" spans="3:5" x14ac:dyDescent="0.2">
      <c r="C437" s="25"/>
      <c r="D437" s="19"/>
      <c r="E437" s="19"/>
    </row>
    <row r="438" spans="3:5" x14ac:dyDescent="0.2">
      <c r="C438" s="25"/>
      <c r="D438" s="19"/>
      <c r="E438" s="19"/>
    </row>
    <row r="439" spans="3:5" x14ac:dyDescent="0.2">
      <c r="C439" s="25"/>
      <c r="D439" s="19"/>
      <c r="E439" s="19"/>
    </row>
    <row r="440" spans="3:5" x14ac:dyDescent="0.2">
      <c r="C440" s="25"/>
      <c r="D440" s="19"/>
      <c r="E440" s="19"/>
    </row>
    <row r="441" spans="3:5" x14ac:dyDescent="0.2">
      <c r="C441" s="25"/>
      <c r="D441" s="19"/>
      <c r="E441" s="19"/>
    </row>
    <row r="442" spans="3:5" x14ac:dyDescent="0.2">
      <c r="C442" s="25"/>
      <c r="D442" s="19"/>
      <c r="E442" s="19"/>
    </row>
    <row r="443" spans="3:5" x14ac:dyDescent="0.2">
      <c r="C443" s="25"/>
      <c r="D443" s="19"/>
      <c r="E443" s="19"/>
    </row>
    <row r="444" spans="3:5" x14ac:dyDescent="0.2">
      <c r="C444" s="25"/>
      <c r="D444" s="19"/>
      <c r="E444" s="19"/>
    </row>
    <row r="445" spans="3:5" x14ac:dyDescent="0.2">
      <c r="C445" s="25"/>
      <c r="D445" s="19"/>
      <c r="E445" s="19"/>
    </row>
    <row r="446" spans="3:5" x14ac:dyDescent="0.2">
      <c r="C446" s="25"/>
      <c r="D446" s="19"/>
      <c r="E446" s="19"/>
    </row>
    <row r="447" spans="3:5" x14ac:dyDescent="0.2">
      <c r="C447" s="25"/>
      <c r="D447" s="19"/>
      <c r="E447" s="19"/>
    </row>
    <row r="448" spans="3:5" x14ac:dyDescent="0.2">
      <c r="C448" s="25"/>
      <c r="D448" s="19"/>
      <c r="E448" s="19"/>
    </row>
    <row r="449" spans="3:5" x14ac:dyDescent="0.2">
      <c r="C449" s="25"/>
      <c r="D449" s="19"/>
      <c r="E449" s="19"/>
    </row>
    <row r="450" spans="3:5" x14ac:dyDescent="0.2">
      <c r="C450" s="25"/>
      <c r="D450" s="19"/>
      <c r="E450" s="19"/>
    </row>
    <row r="451" spans="3:5" x14ac:dyDescent="0.2">
      <c r="C451" s="25"/>
      <c r="D451" s="19"/>
      <c r="E451" s="19"/>
    </row>
    <row r="452" spans="3:5" x14ac:dyDescent="0.2">
      <c r="C452" s="25"/>
      <c r="D452" s="19"/>
      <c r="E452" s="19"/>
    </row>
    <row r="453" spans="3:5" x14ac:dyDescent="0.2">
      <c r="C453" s="25"/>
      <c r="D453" s="19"/>
      <c r="E453" s="19"/>
    </row>
    <row r="454" spans="3:5" x14ac:dyDescent="0.2">
      <c r="C454" s="25"/>
      <c r="D454" s="19"/>
      <c r="E454" s="19"/>
    </row>
    <row r="455" spans="3:5" x14ac:dyDescent="0.2">
      <c r="C455" s="25"/>
      <c r="D455" s="19"/>
      <c r="E455" s="19"/>
    </row>
    <row r="456" spans="3:5" x14ac:dyDescent="0.2">
      <c r="C456" s="25"/>
      <c r="D456" s="19"/>
      <c r="E456" s="19"/>
    </row>
    <row r="457" spans="3:5" x14ac:dyDescent="0.2">
      <c r="C457" s="25"/>
      <c r="D457" s="19"/>
      <c r="E457" s="19"/>
    </row>
    <row r="458" spans="3:5" x14ac:dyDescent="0.2">
      <c r="C458" s="25"/>
      <c r="D458" s="19"/>
      <c r="E458" s="19"/>
    </row>
    <row r="459" spans="3:5" x14ac:dyDescent="0.2">
      <c r="C459" s="25"/>
      <c r="D459" s="19"/>
      <c r="E459" s="19"/>
    </row>
    <row r="460" spans="3:5" x14ac:dyDescent="0.2">
      <c r="C460" s="25"/>
      <c r="D460" s="19"/>
      <c r="E460" s="19"/>
    </row>
    <row r="461" spans="3:5" x14ac:dyDescent="0.2">
      <c r="C461" s="25"/>
      <c r="D461" s="19"/>
      <c r="E461" s="19"/>
    </row>
    <row r="462" spans="3:5" x14ac:dyDescent="0.2">
      <c r="C462" s="25"/>
      <c r="D462" s="19"/>
      <c r="E462" s="19"/>
    </row>
    <row r="463" spans="3:5" x14ac:dyDescent="0.2">
      <c r="C463" s="25"/>
      <c r="D463" s="19"/>
      <c r="E463" s="19"/>
    </row>
    <row r="464" spans="3:5" x14ac:dyDescent="0.2">
      <c r="C464" s="25"/>
      <c r="D464" s="19"/>
      <c r="E464" s="19"/>
    </row>
    <row r="465" spans="3:5" x14ac:dyDescent="0.2">
      <c r="C465" s="25"/>
      <c r="D465" s="19"/>
      <c r="E465" s="19"/>
    </row>
    <row r="466" spans="3:5" x14ac:dyDescent="0.2">
      <c r="C466" s="25"/>
      <c r="D466" s="19"/>
      <c r="E466" s="19"/>
    </row>
    <row r="467" spans="3:5" x14ac:dyDescent="0.2">
      <c r="C467" s="25"/>
      <c r="D467" s="19"/>
      <c r="E467" s="19"/>
    </row>
    <row r="468" spans="3:5" x14ac:dyDescent="0.2">
      <c r="C468" s="25"/>
      <c r="D468" s="19"/>
      <c r="E468" s="19"/>
    </row>
    <row r="469" spans="3:5" x14ac:dyDescent="0.2">
      <c r="C469" s="25"/>
      <c r="D469" s="19"/>
      <c r="E469" s="19"/>
    </row>
    <row r="470" spans="3:5" x14ac:dyDescent="0.2">
      <c r="C470" s="25"/>
      <c r="D470" s="19"/>
      <c r="E470" s="19"/>
    </row>
    <row r="471" spans="3:5" x14ac:dyDescent="0.2">
      <c r="C471" s="25"/>
      <c r="D471" s="19"/>
      <c r="E471" s="19"/>
    </row>
    <row r="472" spans="3:5" x14ac:dyDescent="0.2">
      <c r="C472" s="25"/>
      <c r="D472" s="19"/>
      <c r="E472" s="19"/>
    </row>
    <row r="473" spans="3:5" x14ac:dyDescent="0.2">
      <c r="C473" s="25"/>
      <c r="D473" s="19"/>
      <c r="E473" s="19"/>
    </row>
    <row r="474" spans="3:5" x14ac:dyDescent="0.2">
      <c r="C474" s="25"/>
      <c r="D474" s="19"/>
      <c r="E474" s="19"/>
    </row>
    <row r="475" spans="3:5" x14ac:dyDescent="0.2">
      <c r="C475" s="25"/>
      <c r="D475" s="19"/>
      <c r="E475" s="19"/>
    </row>
    <row r="476" spans="3:5" x14ac:dyDescent="0.2">
      <c r="C476" s="25"/>
      <c r="D476" s="19"/>
      <c r="E476" s="19"/>
    </row>
    <row r="477" spans="3:5" x14ac:dyDescent="0.2">
      <c r="C477" s="25"/>
      <c r="D477" s="19"/>
      <c r="E477" s="19"/>
    </row>
    <row r="478" spans="3:5" x14ac:dyDescent="0.2">
      <c r="C478" s="25"/>
      <c r="D478" s="19"/>
      <c r="E478" s="19"/>
    </row>
    <row r="479" spans="3:5" x14ac:dyDescent="0.2">
      <c r="C479" s="25"/>
      <c r="D479" s="19"/>
      <c r="E479" s="19"/>
    </row>
    <row r="480" spans="3:5" x14ac:dyDescent="0.2">
      <c r="C480" s="25"/>
      <c r="D480" s="19"/>
      <c r="E480" s="19"/>
    </row>
    <row r="481" spans="3:5" x14ac:dyDescent="0.2">
      <c r="C481" s="25"/>
      <c r="D481" s="19"/>
      <c r="E481" s="19"/>
    </row>
    <row r="482" spans="3:5" x14ac:dyDescent="0.2">
      <c r="C482" s="25"/>
      <c r="D482" s="19"/>
      <c r="E482" s="19"/>
    </row>
    <row r="483" spans="3:5" x14ac:dyDescent="0.2">
      <c r="C483" s="25"/>
      <c r="D483" s="19"/>
      <c r="E483" s="19"/>
    </row>
    <row r="484" spans="3:5" x14ac:dyDescent="0.2">
      <c r="C484" s="25"/>
      <c r="D484" s="19"/>
      <c r="E484" s="19"/>
    </row>
    <row r="485" spans="3:5" x14ac:dyDescent="0.2">
      <c r="C485" s="25"/>
      <c r="D485" s="19"/>
      <c r="E485" s="19"/>
    </row>
    <row r="486" spans="3:5" x14ac:dyDescent="0.2">
      <c r="C486" s="25"/>
      <c r="D486" s="19"/>
      <c r="E486" s="19"/>
    </row>
    <row r="487" spans="3:5" x14ac:dyDescent="0.2">
      <c r="C487" s="25"/>
      <c r="D487" s="19"/>
      <c r="E487" s="19"/>
    </row>
    <row r="488" spans="3:5" x14ac:dyDescent="0.2">
      <c r="C488" s="25"/>
      <c r="D488" s="19"/>
      <c r="E488" s="19"/>
    </row>
    <row r="489" spans="3:5" x14ac:dyDescent="0.2">
      <c r="C489" s="25"/>
      <c r="D489" s="19"/>
      <c r="E489" s="19"/>
    </row>
    <row r="490" spans="3:5" x14ac:dyDescent="0.2">
      <c r="C490" s="25"/>
      <c r="D490" s="19"/>
      <c r="E490" s="19"/>
    </row>
    <row r="491" spans="3:5" x14ac:dyDescent="0.2">
      <c r="C491" s="25"/>
      <c r="D491" s="19"/>
      <c r="E491" s="19"/>
    </row>
    <row r="492" spans="3:5" x14ac:dyDescent="0.2">
      <c r="C492" s="25"/>
      <c r="D492" s="19"/>
      <c r="E492" s="19"/>
    </row>
    <row r="493" spans="3:5" x14ac:dyDescent="0.2">
      <c r="C493" s="25"/>
      <c r="D493" s="19"/>
      <c r="E493" s="19"/>
    </row>
    <row r="494" spans="3:5" x14ac:dyDescent="0.2">
      <c r="C494" s="25"/>
      <c r="D494" s="19"/>
      <c r="E494" s="19"/>
    </row>
    <row r="495" spans="3:5" x14ac:dyDescent="0.2">
      <c r="C495" s="25"/>
      <c r="D495" s="19"/>
      <c r="E495" s="19"/>
    </row>
    <row r="496" spans="3:5" x14ac:dyDescent="0.2">
      <c r="C496" s="25"/>
      <c r="D496" s="19"/>
      <c r="E496" s="19"/>
    </row>
    <row r="497" spans="3:5" x14ac:dyDescent="0.2">
      <c r="C497" s="25"/>
      <c r="D497" s="19"/>
      <c r="E497" s="19"/>
    </row>
    <row r="498" spans="3:5" x14ac:dyDescent="0.2">
      <c r="C498" s="25"/>
      <c r="D498" s="19"/>
      <c r="E498" s="19"/>
    </row>
    <row r="499" spans="3:5" x14ac:dyDescent="0.2">
      <c r="C499" s="25"/>
      <c r="D499" s="19"/>
      <c r="E499" s="19"/>
    </row>
    <row r="500" spans="3:5" x14ac:dyDescent="0.2">
      <c r="C500" s="25"/>
      <c r="D500" s="19"/>
      <c r="E500" s="19"/>
    </row>
    <row r="501" spans="3:5" x14ac:dyDescent="0.2">
      <c r="C501" s="25"/>
      <c r="D501" s="19"/>
      <c r="E501" s="19"/>
    </row>
    <row r="502" spans="3:5" x14ac:dyDescent="0.2">
      <c r="C502" s="25"/>
      <c r="D502" s="19"/>
      <c r="E502" s="19"/>
    </row>
    <row r="503" spans="3:5" x14ac:dyDescent="0.2">
      <c r="C503" s="25"/>
      <c r="D503" s="19"/>
      <c r="E503" s="19"/>
    </row>
    <row r="504" spans="3:5" x14ac:dyDescent="0.2">
      <c r="C504" s="25"/>
      <c r="D504" s="19"/>
      <c r="E504" s="19"/>
    </row>
    <row r="505" spans="3:5" x14ac:dyDescent="0.2">
      <c r="C505" s="25"/>
      <c r="D505" s="19"/>
      <c r="E505" s="19"/>
    </row>
    <row r="506" spans="3:5" x14ac:dyDescent="0.2">
      <c r="C506" s="25"/>
      <c r="D506" s="19"/>
      <c r="E506" s="19"/>
    </row>
    <row r="507" spans="3:5" x14ac:dyDescent="0.2">
      <c r="C507" s="25"/>
      <c r="D507" s="19"/>
      <c r="E507" s="19"/>
    </row>
    <row r="508" spans="3:5" x14ac:dyDescent="0.2">
      <c r="C508" s="25"/>
      <c r="D508" s="19"/>
      <c r="E508" s="19"/>
    </row>
    <row r="509" spans="3:5" x14ac:dyDescent="0.2">
      <c r="C509" s="25"/>
      <c r="D509" s="19"/>
      <c r="E509" s="19"/>
    </row>
    <row r="510" spans="3:5" x14ac:dyDescent="0.2">
      <c r="C510" s="25"/>
      <c r="D510" s="19"/>
      <c r="E510" s="19"/>
    </row>
    <row r="511" spans="3:5" x14ac:dyDescent="0.2">
      <c r="C511" s="25"/>
      <c r="D511" s="19"/>
      <c r="E511" s="19"/>
    </row>
    <row r="512" spans="3:5" x14ac:dyDescent="0.2">
      <c r="C512" s="25"/>
      <c r="D512" s="19"/>
      <c r="E512" s="19"/>
    </row>
    <row r="513" spans="3:5" x14ac:dyDescent="0.2">
      <c r="C513" s="25"/>
      <c r="D513" s="19"/>
      <c r="E513" s="19"/>
    </row>
    <row r="514" spans="3:5" x14ac:dyDescent="0.2">
      <c r="C514" s="25"/>
      <c r="D514" s="19"/>
      <c r="E514" s="19"/>
    </row>
    <row r="515" spans="3:5" x14ac:dyDescent="0.2">
      <c r="C515" s="25"/>
      <c r="D515" s="19"/>
      <c r="E515" s="19"/>
    </row>
    <row r="516" spans="3:5" x14ac:dyDescent="0.2">
      <c r="C516" s="25"/>
      <c r="D516" s="19"/>
      <c r="E516" s="19"/>
    </row>
    <row r="517" spans="3:5" x14ac:dyDescent="0.2">
      <c r="C517" s="25"/>
      <c r="D517" s="19"/>
      <c r="E517" s="19"/>
    </row>
    <row r="518" spans="3:5" x14ac:dyDescent="0.2">
      <c r="C518" s="25"/>
      <c r="D518" s="19"/>
      <c r="E518" s="19"/>
    </row>
    <row r="519" spans="3:5" x14ac:dyDescent="0.2">
      <c r="C519" s="25"/>
      <c r="D519" s="19"/>
      <c r="E519" s="19"/>
    </row>
    <row r="520" spans="3:5" x14ac:dyDescent="0.2">
      <c r="C520" s="25"/>
      <c r="D520" s="19"/>
      <c r="E520" s="19"/>
    </row>
    <row r="521" spans="3:5" x14ac:dyDescent="0.2">
      <c r="C521" s="25"/>
      <c r="D521" s="19"/>
      <c r="E521" s="19"/>
    </row>
    <row r="522" spans="3:5" x14ac:dyDescent="0.2">
      <c r="C522" s="25"/>
      <c r="D522" s="19"/>
      <c r="E522" s="19"/>
    </row>
    <row r="523" spans="3:5" x14ac:dyDescent="0.2">
      <c r="C523" s="25"/>
      <c r="D523" s="19"/>
      <c r="E523" s="19"/>
    </row>
    <row r="524" spans="3:5" x14ac:dyDescent="0.2">
      <c r="C524" s="25"/>
      <c r="D524" s="19"/>
      <c r="E524" s="19"/>
    </row>
    <row r="525" spans="3:5" x14ac:dyDescent="0.2">
      <c r="C525" s="25"/>
      <c r="D525" s="19"/>
      <c r="E525" s="19"/>
    </row>
    <row r="526" spans="3:5" x14ac:dyDescent="0.2">
      <c r="C526" s="25"/>
      <c r="D526" s="19"/>
      <c r="E526" s="19"/>
    </row>
    <row r="527" spans="3:5" x14ac:dyDescent="0.2">
      <c r="C527" s="25"/>
      <c r="D527" s="19"/>
      <c r="E527" s="19"/>
    </row>
    <row r="528" spans="3:5" x14ac:dyDescent="0.2">
      <c r="C528" s="25"/>
      <c r="D528" s="19"/>
      <c r="E528" s="19"/>
    </row>
    <row r="529" spans="3:5" x14ac:dyDescent="0.2">
      <c r="C529" s="25"/>
      <c r="D529" s="19"/>
      <c r="E529" s="19"/>
    </row>
    <row r="530" spans="3:5" x14ac:dyDescent="0.2">
      <c r="C530" s="25"/>
      <c r="D530" s="19"/>
      <c r="E530" s="19"/>
    </row>
    <row r="531" spans="3:5" x14ac:dyDescent="0.2">
      <c r="C531" s="25"/>
      <c r="D531" s="19"/>
      <c r="E531" s="19"/>
    </row>
    <row r="532" spans="3:5" x14ac:dyDescent="0.2">
      <c r="C532" s="25"/>
      <c r="D532" s="19"/>
      <c r="E532" s="19"/>
    </row>
    <row r="533" spans="3:5" x14ac:dyDescent="0.2">
      <c r="C533" s="25"/>
      <c r="D533" s="19"/>
      <c r="E533" s="19"/>
    </row>
    <row r="534" spans="3:5" x14ac:dyDescent="0.2">
      <c r="C534" s="25"/>
      <c r="D534" s="19"/>
      <c r="E534" s="19"/>
    </row>
    <row r="535" spans="3:5" x14ac:dyDescent="0.2">
      <c r="C535" s="25"/>
      <c r="D535" s="19"/>
      <c r="E535" s="19"/>
    </row>
    <row r="536" spans="3:5" x14ac:dyDescent="0.2">
      <c r="C536" s="25"/>
      <c r="D536" s="19"/>
      <c r="E536" s="19"/>
    </row>
    <row r="537" spans="3:5" x14ac:dyDescent="0.2">
      <c r="C537" s="25"/>
      <c r="D537" s="19"/>
      <c r="E537" s="19"/>
    </row>
    <row r="538" spans="3:5" x14ac:dyDescent="0.2">
      <c r="C538" s="25"/>
      <c r="D538" s="19"/>
      <c r="E538" s="19"/>
    </row>
    <row r="539" spans="3:5" x14ac:dyDescent="0.2">
      <c r="C539" s="25"/>
      <c r="D539" s="19"/>
      <c r="E539" s="19"/>
    </row>
    <row r="540" spans="3:5" x14ac:dyDescent="0.2">
      <c r="C540" s="25"/>
      <c r="D540" s="19"/>
      <c r="E540" s="19"/>
    </row>
    <row r="541" spans="3:5" x14ac:dyDescent="0.2">
      <c r="C541" s="25"/>
      <c r="D541" s="19"/>
      <c r="E541" s="19"/>
    </row>
    <row r="542" spans="3:5" x14ac:dyDescent="0.2">
      <c r="C542" s="25"/>
      <c r="D542" s="19"/>
      <c r="E542" s="19"/>
    </row>
    <row r="543" spans="3:5" x14ac:dyDescent="0.2">
      <c r="C543" s="25"/>
      <c r="D543" s="19"/>
      <c r="E543" s="19"/>
    </row>
    <row r="544" spans="3:5" x14ac:dyDescent="0.2">
      <c r="C544" s="25"/>
      <c r="D544" s="19"/>
      <c r="E544" s="19"/>
    </row>
    <row r="545" spans="3:5" x14ac:dyDescent="0.2">
      <c r="C545" s="25"/>
      <c r="D545" s="19"/>
      <c r="E545" s="19"/>
    </row>
    <row r="546" spans="3:5" x14ac:dyDescent="0.2">
      <c r="C546" s="25"/>
      <c r="D546" s="19"/>
      <c r="E546" s="19"/>
    </row>
    <row r="547" spans="3:5" x14ac:dyDescent="0.2">
      <c r="C547" s="25"/>
      <c r="D547" s="19"/>
      <c r="E547" s="19"/>
    </row>
    <row r="548" spans="3:5" x14ac:dyDescent="0.2">
      <c r="C548" s="25"/>
      <c r="D548" s="19"/>
      <c r="E548" s="19"/>
    </row>
    <row r="549" spans="3:5" x14ac:dyDescent="0.2">
      <c r="C549" s="25"/>
      <c r="D549" s="19"/>
      <c r="E549" s="19"/>
    </row>
    <row r="550" spans="3:5" x14ac:dyDescent="0.2">
      <c r="C550" s="25"/>
      <c r="D550" s="19"/>
      <c r="E550" s="19"/>
    </row>
    <row r="551" spans="3:5" x14ac:dyDescent="0.2">
      <c r="C551" s="25"/>
      <c r="D551" s="19"/>
      <c r="E551" s="19"/>
    </row>
    <row r="552" spans="3:5" x14ac:dyDescent="0.2">
      <c r="C552" s="25"/>
      <c r="D552" s="19"/>
      <c r="E552" s="19"/>
    </row>
    <row r="553" spans="3:5" x14ac:dyDescent="0.2">
      <c r="C553" s="25"/>
      <c r="D553" s="19"/>
      <c r="E553" s="19"/>
    </row>
    <row r="554" spans="3:5" x14ac:dyDescent="0.2">
      <c r="C554" s="25"/>
      <c r="D554" s="19"/>
      <c r="E554" s="19"/>
    </row>
    <row r="555" spans="3:5" x14ac:dyDescent="0.2">
      <c r="C555" s="25"/>
      <c r="D555" s="19"/>
      <c r="E555" s="19"/>
    </row>
    <row r="556" spans="3:5" x14ac:dyDescent="0.2">
      <c r="C556" s="25"/>
      <c r="D556" s="19"/>
      <c r="E556" s="19"/>
    </row>
    <row r="557" spans="3:5" x14ac:dyDescent="0.2">
      <c r="C557" s="25"/>
      <c r="D557" s="19"/>
      <c r="E557" s="19"/>
    </row>
    <row r="558" spans="3:5" x14ac:dyDescent="0.2">
      <c r="C558" s="25"/>
      <c r="D558" s="19"/>
      <c r="E558" s="19"/>
    </row>
    <row r="559" spans="3:5" x14ac:dyDescent="0.2">
      <c r="C559" s="25"/>
      <c r="D559" s="19"/>
      <c r="E559" s="19"/>
    </row>
    <row r="560" spans="3:5" x14ac:dyDescent="0.2">
      <c r="C560" s="25"/>
      <c r="D560" s="19"/>
      <c r="E560" s="19"/>
    </row>
    <row r="561" spans="3:5" x14ac:dyDescent="0.2">
      <c r="C561" s="25"/>
      <c r="D561" s="19"/>
      <c r="E561" s="19"/>
    </row>
    <row r="562" spans="3:5" x14ac:dyDescent="0.2">
      <c r="C562" s="25"/>
      <c r="D562" s="19"/>
      <c r="E562" s="19"/>
    </row>
    <row r="563" spans="3:5" x14ac:dyDescent="0.2">
      <c r="C563" s="25"/>
      <c r="D563" s="19"/>
      <c r="E563" s="19"/>
    </row>
    <row r="564" spans="3:5" x14ac:dyDescent="0.2">
      <c r="C564" s="25"/>
      <c r="D564" s="19"/>
      <c r="E564" s="19"/>
    </row>
    <row r="565" spans="3:5" x14ac:dyDescent="0.2">
      <c r="C565" s="25"/>
      <c r="D565" s="19"/>
      <c r="E565" s="19"/>
    </row>
    <row r="566" spans="3:5" x14ac:dyDescent="0.2">
      <c r="C566" s="25"/>
      <c r="D566" s="19"/>
      <c r="E566" s="19"/>
    </row>
    <row r="567" spans="3:5" x14ac:dyDescent="0.2">
      <c r="C567" s="25"/>
      <c r="D567" s="19"/>
      <c r="E567" s="19"/>
    </row>
    <row r="568" spans="3:5" x14ac:dyDescent="0.2">
      <c r="C568" s="25"/>
      <c r="D568" s="19"/>
      <c r="E568" s="19"/>
    </row>
    <row r="569" spans="3:5" x14ac:dyDescent="0.2">
      <c r="C569" s="25"/>
      <c r="D569" s="19"/>
      <c r="E569" s="19"/>
    </row>
    <row r="570" spans="3:5" x14ac:dyDescent="0.2">
      <c r="C570" s="25"/>
      <c r="D570" s="19"/>
      <c r="E570" s="19"/>
    </row>
    <row r="571" spans="3:5" x14ac:dyDescent="0.2">
      <c r="C571" s="25"/>
      <c r="D571" s="19"/>
      <c r="E571" s="19"/>
    </row>
    <row r="572" spans="3:5" x14ac:dyDescent="0.2">
      <c r="C572" s="25"/>
      <c r="D572" s="19"/>
      <c r="E572" s="19"/>
    </row>
    <row r="573" spans="3:5" x14ac:dyDescent="0.2">
      <c r="C573" s="25"/>
      <c r="D573" s="19"/>
      <c r="E573" s="19"/>
    </row>
    <row r="574" spans="3:5" x14ac:dyDescent="0.2">
      <c r="C574" s="25"/>
      <c r="D574" s="19"/>
      <c r="E574" s="19"/>
    </row>
    <row r="575" spans="3:5" x14ac:dyDescent="0.2">
      <c r="C575" s="25"/>
      <c r="D575" s="19"/>
      <c r="E575" s="19"/>
    </row>
    <row r="576" spans="3:5" x14ac:dyDescent="0.2">
      <c r="C576" s="25"/>
      <c r="D576" s="19"/>
      <c r="E576" s="19"/>
    </row>
    <row r="577" spans="3:5" x14ac:dyDescent="0.2">
      <c r="C577" s="25"/>
      <c r="D577" s="19"/>
      <c r="E577" s="19"/>
    </row>
    <row r="578" spans="3:5" x14ac:dyDescent="0.2">
      <c r="C578" s="25"/>
      <c r="D578" s="19"/>
      <c r="E578" s="19"/>
    </row>
    <row r="579" spans="3:5" x14ac:dyDescent="0.2">
      <c r="C579" s="25"/>
      <c r="D579" s="19"/>
      <c r="E579" s="19"/>
    </row>
    <row r="580" spans="3:5" x14ac:dyDescent="0.2">
      <c r="C580" s="25"/>
      <c r="D580" s="19"/>
      <c r="E580" s="19"/>
    </row>
    <row r="581" spans="3:5" x14ac:dyDescent="0.2">
      <c r="C581" s="25"/>
      <c r="D581" s="19"/>
      <c r="E581" s="19"/>
    </row>
    <row r="582" spans="3:5" x14ac:dyDescent="0.2">
      <c r="C582" s="25"/>
      <c r="D582" s="19"/>
      <c r="E582" s="19"/>
    </row>
    <row r="583" spans="3:5" x14ac:dyDescent="0.2">
      <c r="C583" s="25"/>
      <c r="D583" s="19"/>
      <c r="E583" s="19"/>
    </row>
    <row r="584" spans="3:5" x14ac:dyDescent="0.2">
      <c r="C584" s="25"/>
      <c r="D584" s="19"/>
      <c r="E584" s="19"/>
    </row>
    <row r="585" spans="3:5" x14ac:dyDescent="0.2">
      <c r="C585" s="25"/>
      <c r="D585" s="19"/>
      <c r="E585" s="19"/>
    </row>
    <row r="586" spans="3:5" x14ac:dyDescent="0.2">
      <c r="C586" s="25"/>
      <c r="D586" s="19"/>
      <c r="E586" s="19"/>
    </row>
    <row r="587" spans="3:5" x14ac:dyDescent="0.2">
      <c r="C587" s="25"/>
      <c r="D587" s="19"/>
      <c r="E587" s="19"/>
    </row>
    <row r="588" spans="3:5" x14ac:dyDescent="0.2">
      <c r="C588" s="25"/>
      <c r="D588" s="19"/>
      <c r="E588" s="19"/>
    </row>
    <row r="589" spans="3:5" x14ac:dyDescent="0.2">
      <c r="C589" s="25"/>
      <c r="D589" s="19"/>
      <c r="E589" s="19"/>
    </row>
    <row r="590" spans="3:5" x14ac:dyDescent="0.2">
      <c r="C590" s="25"/>
      <c r="D590" s="19"/>
      <c r="E590" s="19"/>
    </row>
    <row r="591" spans="3:5" x14ac:dyDescent="0.2">
      <c r="C591" s="25"/>
      <c r="D591" s="19"/>
      <c r="E591" s="19"/>
    </row>
    <row r="592" spans="3:5" x14ac:dyDescent="0.2">
      <c r="C592" s="25"/>
      <c r="D592" s="19"/>
      <c r="E592" s="19"/>
    </row>
    <row r="593" spans="3:5" x14ac:dyDescent="0.2">
      <c r="C593" s="25"/>
      <c r="D593" s="19"/>
      <c r="E593" s="19"/>
    </row>
    <row r="594" spans="3:5" x14ac:dyDescent="0.2">
      <c r="C594" s="25"/>
      <c r="D594" s="19"/>
      <c r="E594" s="19"/>
    </row>
    <row r="595" spans="3:5" x14ac:dyDescent="0.2">
      <c r="C595" s="25"/>
      <c r="D595" s="19"/>
      <c r="E595" s="19"/>
    </row>
    <row r="596" spans="3:5" x14ac:dyDescent="0.2">
      <c r="C596" s="25"/>
      <c r="D596" s="19"/>
      <c r="E596" s="19"/>
    </row>
    <row r="597" spans="3:5" x14ac:dyDescent="0.2">
      <c r="C597" s="25"/>
      <c r="D597" s="19"/>
      <c r="E597" s="19"/>
    </row>
    <row r="598" spans="3:5" x14ac:dyDescent="0.2">
      <c r="C598" s="25"/>
      <c r="D598" s="19"/>
      <c r="E598" s="19"/>
    </row>
    <row r="599" spans="3:5" x14ac:dyDescent="0.2">
      <c r="C599" s="25"/>
      <c r="D599" s="19"/>
      <c r="E599" s="19"/>
    </row>
    <row r="600" spans="3:5" x14ac:dyDescent="0.2">
      <c r="C600" s="25"/>
      <c r="D600" s="19"/>
      <c r="E600" s="19"/>
    </row>
    <row r="601" spans="3:5" x14ac:dyDescent="0.2">
      <c r="C601" s="25"/>
      <c r="D601" s="19"/>
      <c r="E601" s="19"/>
    </row>
    <row r="602" spans="3:5" x14ac:dyDescent="0.2">
      <c r="C602" s="25"/>
      <c r="D602" s="19"/>
      <c r="E602" s="19"/>
    </row>
    <row r="603" spans="3:5" x14ac:dyDescent="0.2">
      <c r="C603" s="25"/>
      <c r="D603" s="19"/>
      <c r="E603" s="19"/>
    </row>
    <row r="604" spans="3:5" x14ac:dyDescent="0.2">
      <c r="C604" s="25"/>
      <c r="D604" s="19"/>
      <c r="E604" s="19"/>
    </row>
    <row r="605" spans="3:5" x14ac:dyDescent="0.2">
      <c r="C605" s="25"/>
      <c r="D605" s="19"/>
      <c r="E605" s="19"/>
    </row>
    <row r="606" spans="3:5" x14ac:dyDescent="0.2">
      <c r="C606" s="25"/>
      <c r="D606" s="19"/>
      <c r="E606" s="19"/>
    </row>
    <row r="607" spans="3:5" x14ac:dyDescent="0.2">
      <c r="C607" s="25"/>
      <c r="D607" s="19"/>
      <c r="E607" s="19"/>
    </row>
    <row r="608" spans="3:5" x14ac:dyDescent="0.2">
      <c r="C608" s="25"/>
      <c r="D608" s="19"/>
      <c r="E608" s="19"/>
    </row>
    <row r="609" spans="3:5" x14ac:dyDescent="0.2">
      <c r="C609" s="25"/>
      <c r="D609" s="19"/>
      <c r="E609" s="19"/>
    </row>
    <row r="610" spans="3:5" x14ac:dyDescent="0.2">
      <c r="C610" s="25"/>
      <c r="D610" s="19"/>
      <c r="E610" s="19"/>
    </row>
    <row r="611" spans="3:5" x14ac:dyDescent="0.2">
      <c r="C611" s="25"/>
      <c r="D611" s="19"/>
      <c r="E611" s="19"/>
    </row>
    <row r="612" spans="3:5" x14ac:dyDescent="0.2">
      <c r="C612" s="25"/>
      <c r="D612" s="19"/>
      <c r="E612" s="19"/>
    </row>
    <row r="613" spans="3:5" x14ac:dyDescent="0.2">
      <c r="C613" s="25"/>
      <c r="D613" s="19"/>
      <c r="E613" s="19"/>
    </row>
    <row r="614" spans="3:5" x14ac:dyDescent="0.2">
      <c r="C614" s="25"/>
      <c r="D614" s="19"/>
      <c r="E614" s="19"/>
    </row>
    <row r="615" spans="3:5" x14ac:dyDescent="0.2">
      <c r="C615" s="25"/>
      <c r="D615" s="19"/>
      <c r="E615" s="19"/>
    </row>
    <row r="616" spans="3:5" x14ac:dyDescent="0.2">
      <c r="C616" s="25"/>
      <c r="D616" s="19"/>
      <c r="E616" s="19"/>
    </row>
    <row r="617" spans="3:5" x14ac:dyDescent="0.2">
      <c r="C617" s="25"/>
      <c r="D617" s="19"/>
      <c r="E617" s="19"/>
    </row>
    <row r="618" spans="3:5" x14ac:dyDescent="0.2">
      <c r="C618" s="25"/>
      <c r="D618" s="19"/>
      <c r="E618" s="19"/>
    </row>
    <row r="619" spans="3:5" x14ac:dyDescent="0.2">
      <c r="C619" s="25"/>
      <c r="D619" s="19"/>
      <c r="E619" s="19"/>
    </row>
    <row r="620" spans="3:5" x14ac:dyDescent="0.2">
      <c r="C620" s="25"/>
      <c r="D620" s="19"/>
      <c r="E620" s="19"/>
    </row>
    <row r="621" spans="3:5" x14ac:dyDescent="0.2">
      <c r="C621" s="25"/>
      <c r="D621" s="19"/>
      <c r="E621" s="19"/>
    </row>
    <row r="622" spans="3:5" x14ac:dyDescent="0.2">
      <c r="C622" s="25"/>
      <c r="D622" s="19"/>
      <c r="E622" s="19"/>
    </row>
    <row r="623" spans="3:5" x14ac:dyDescent="0.2">
      <c r="C623" s="25"/>
      <c r="D623" s="19"/>
      <c r="E623" s="19"/>
    </row>
    <row r="624" spans="3:5" x14ac:dyDescent="0.2">
      <c r="C624" s="25"/>
      <c r="D624" s="19"/>
      <c r="E624" s="19"/>
    </row>
    <row r="625" spans="3:5" x14ac:dyDescent="0.2">
      <c r="C625" s="25"/>
      <c r="D625" s="19"/>
      <c r="E625" s="19"/>
    </row>
    <row r="626" spans="3:5" x14ac:dyDescent="0.2">
      <c r="C626" s="25"/>
      <c r="D626" s="19"/>
      <c r="E626" s="19"/>
    </row>
    <row r="627" spans="3:5" x14ac:dyDescent="0.2">
      <c r="C627" s="25"/>
      <c r="D627" s="19"/>
      <c r="E627" s="19"/>
    </row>
    <row r="628" spans="3:5" x14ac:dyDescent="0.2">
      <c r="C628" s="25"/>
      <c r="D628" s="19"/>
      <c r="E628" s="19"/>
    </row>
    <row r="629" spans="3:5" x14ac:dyDescent="0.2">
      <c r="C629" s="25"/>
      <c r="D629" s="19"/>
      <c r="E629" s="19"/>
    </row>
    <row r="630" spans="3:5" x14ac:dyDescent="0.2">
      <c r="C630" s="25"/>
      <c r="D630" s="19"/>
      <c r="E630" s="19"/>
    </row>
    <row r="631" spans="3:5" x14ac:dyDescent="0.2">
      <c r="C631" s="25"/>
      <c r="D631" s="19"/>
      <c r="E631" s="19"/>
    </row>
    <row r="632" spans="3:5" x14ac:dyDescent="0.2">
      <c r="C632" s="25"/>
      <c r="D632" s="19"/>
      <c r="E632" s="19"/>
    </row>
    <row r="633" spans="3:5" x14ac:dyDescent="0.2">
      <c r="C633" s="25"/>
      <c r="D633" s="19"/>
      <c r="E633" s="19"/>
    </row>
    <row r="634" spans="3:5" x14ac:dyDescent="0.2">
      <c r="C634" s="25"/>
      <c r="D634" s="19"/>
      <c r="E634" s="19"/>
    </row>
    <row r="635" spans="3:5" x14ac:dyDescent="0.2">
      <c r="C635" s="25"/>
      <c r="D635" s="19"/>
      <c r="E635" s="19"/>
    </row>
    <row r="636" spans="3:5" x14ac:dyDescent="0.2">
      <c r="C636" s="25"/>
      <c r="D636" s="19"/>
      <c r="E636" s="19"/>
    </row>
    <row r="637" spans="3:5" x14ac:dyDescent="0.2">
      <c r="C637" s="25"/>
      <c r="D637" s="19"/>
      <c r="E637" s="19"/>
    </row>
    <row r="638" spans="3:5" x14ac:dyDescent="0.2">
      <c r="C638" s="25"/>
      <c r="D638" s="19"/>
      <c r="E638" s="19"/>
    </row>
    <row r="639" spans="3:5" x14ac:dyDescent="0.2">
      <c r="C639" s="25"/>
      <c r="D639" s="19"/>
      <c r="E639" s="19"/>
    </row>
    <row r="640" spans="3:5" x14ac:dyDescent="0.2">
      <c r="C640" s="25"/>
      <c r="D640" s="19"/>
      <c r="E640" s="19"/>
    </row>
    <row r="641" spans="3:5" x14ac:dyDescent="0.2">
      <c r="C641" s="25"/>
      <c r="D641" s="19"/>
      <c r="E641" s="19"/>
    </row>
    <row r="642" spans="3:5" x14ac:dyDescent="0.2">
      <c r="C642" s="25"/>
      <c r="D642" s="19"/>
      <c r="E642" s="19"/>
    </row>
    <row r="643" spans="3:5" x14ac:dyDescent="0.2">
      <c r="C643" s="25"/>
      <c r="D643" s="19"/>
      <c r="E643" s="19"/>
    </row>
    <row r="644" spans="3:5" x14ac:dyDescent="0.2">
      <c r="C644" s="25"/>
      <c r="D644" s="19"/>
      <c r="E644" s="19"/>
    </row>
    <row r="645" spans="3:5" x14ac:dyDescent="0.2">
      <c r="C645" s="25"/>
      <c r="D645" s="19"/>
      <c r="E645" s="19"/>
    </row>
    <row r="646" spans="3:5" x14ac:dyDescent="0.2">
      <c r="C646" s="25"/>
      <c r="D646" s="19"/>
      <c r="E646" s="19"/>
    </row>
    <row r="647" spans="3:5" x14ac:dyDescent="0.2">
      <c r="C647" s="25"/>
      <c r="D647" s="19"/>
      <c r="E647" s="19"/>
    </row>
    <row r="648" spans="3:5" x14ac:dyDescent="0.2">
      <c r="C648" s="25"/>
      <c r="D648" s="19"/>
      <c r="E648" s="19"/>
    </row>
    <row r="649" spans="3:5" x14ac:dyDescent="0.2">
      <c r="C649" s="25"/>
      <c r="D649" s="19"/>
      <c r="E649" s="19"/>
    </row>
    <row r="650" spans="3:5" x14ac:dyDescent="0.2">
      <c r="C650" s="25"/>
      <c r="D650" s="19"/>
      <c r="E650" s="19"/>
    </row>
    <row r="651" spans="3:5" x14ac:dyDescent="0.2">
      <c r="C651" s="25"/>
      <c r="D651" s="19"/>
      <c r="E651" s="19"/>
    </row>
    <row r="652" spans="3:5" x14ac:dyDescent="0.2">
      <c r="C652" s="25"/>
      <c r="D652" s="19"/>
      <c r="E652" s="19"/>
    </row>
    <row r="653" spans="3:5" x14ac:dyDescent="0.2">
      <c r="C653" s="25"/>
      <c r="D653" s="19"/>
      <c r="E653" s="19"/>
    </row>
    <row r="654" spans="3:5" x14ac:dyDescent="0.2">
      <c r="C654" s="25"/>
      <c r="D654" s="19"/>
      <c r="E654" s="19"/>
    </row>
    <row r="655" spans="3:5" x14ac:dyDescent="0.2">
      <c r="C655" s="25"/>
      <c r="D655" s="19"/>
      <c r="E655" s="19"/>
    </row>
    <row r="656" spans="3:5" x14ac:dyDescent="0.2">
      <c r="C656" s="25"/>
      <c r="D656" s="19"/>
      <c r="E656" s="19"/>
    </row>
    <row r="657" spans="3:5" x14ac:dyDescent="0.2">
      <c r="C657" s="25"/>
      <c r="D657" s="19"/>
      <c r="E657" s="19"/>
    </row>
    <row r="658" spans="3:5" x14ac:dyDescent="0.2">
      <c r="C658" s="25"/>
      <c r="D658" s="19"/>
      <c r="E658" s="19"/>
    </row>
    <row r="659" spans="3:5" x14ac:dyDescent="0.2">
      <c r="C659" s="25"/>
      <c r="D659" s="19"/>
      <c r="E659" s="19"/>
    </row>
    <row r="660" spans="3:5" x14ac:dyDescent="0.2">
      <c r="C660" s="25"/>
      <c r="D660" s="19"/>
      <c r="E660" s="19"/>
    </row>
    <row r="661" spans="3:5" x14ac:dyDescent="0.2">
      <c r="C661" s="25"/>
      <c r="D661" s="19"/>
      <c r="E661" s="19"/>
    </row>
    <row r="662" spans="3:5" x14ac:dyDescent="0.2">
      <c r="C662" s="25"/>
      <c r="D662" s="19"/>
      <c r="E662" s="19"/>
    </row>
    <row r="663" spans="3:5" x14ac:dyDescent="0.2">
      <c r="C663" s="25"/>
      <c r="D663" s="19"/>
      <c r="E663" s="19"/>
    </row>
    <row r="664" spans="3:5" x14ac:dyDescent="0.2">
      <c r="C664" s="25"/>
      <c r="D664" s="19"/>
      <c r="E664" s="19"/>
    </row>
    <row r="665" spans="3:5" x14ac:dyDescent="0.2">
      <c r="C665" s="25"/>
      <c r="D665" s="19"/>
      <c r="E665" s="19"/>
    </row>
    <row r="666" spans="3:5" x14ac:dyDescent="0.2">
      <c r="C666" s="25"/>
      <c r="D666" s="19"/>
      <c r="E666" s="19"/>
    </row>
    <row r="667" spans="3:5" x14ac:dyDescent="0.2">
      <c r="C667" s="25"/>
      <c r="D667" s="19"/>
      <c r="E667" s="19"/>
    </row>
    <row r="668" spans="3:5" x14ac:dyDescent="0.2">
      <c r="C668" s="25"/>
      <c r="D668" s="19"/>
      <c r="E668" s="19"/>
    </row>
    <row r="669" spans="3:5" x14ac:dyDescent="0.2">
      <c r="C669" s="25"/>
      <c r="D669" s="19"/>
      <c r="E669" s="19"/>
    </row>
    <row r="670" spans="3:5" x14ac:dyDescent="0.2">
      <c r="C670" s="25"/>
      <c r="D670" s="19"/>
      <c r="E670" s="19"/>
    </row>
    <row r="671" spans="3:5" x14ac:dyDescent="0.2">
      <c r="C671" s="25"/>
      <c r="D671" s="19"/>
      <c r="E671" s="19"/>
    </row>
    <row r="672" spans="3:5" x14ac:dyDescent="0.2">
      <c r="C672" s="25"/>
      <c r="D672" s="19"/>
      <c r="E672" s="19"/>
    </row>
    <row r="673" spans="3:5" x14ac:dyDescent="0.2">
      <c r="C673" s="25"/>
      <c r="D673" s="19"/>
      <c r="E673" s="19"/>
    </row>
    <row r="674" spans="3:5" x14ac:dyDescent="0.2">
      <c r="C674" s="25"/>
      <c r="D674" s="19"/>
      <c r="E674" s="19"/>
    </row>
    <row r="675" spans="3:5" x14ac:dyDescent="0.2">
      <c r="C675" s="25"/>
      <c r="D675" s="19"/>
      <c r="E675" s="19"/>
    </row>
    <row r="676" spans="3:5" x14ac:dyDescent="0.2">
      <c r="C676" s="25"/>
      <c r="D676" s="19"/>
      <c r="E676" s="19"/>
    </row>
    <row r="677" spans="3:5" x14ac:dyDescent="0.2">
      <c r="C677" s="25"/>
      <c r="D677" s="19"/>
      <c r="E677" s="19"/>
    </row>
    <row r="678" spans="3:5" x14ac:dyDescent="0.2">
      <c r="C678" s="25"/>
      <c r="D678" s="19"/>
      <c r="E678" s="19"/>
    </row>
    <row r="679" spans="3:5" x14ac:dyDescent="0.2">
      <c r="C679" s="25"/>
      <c r="D679" s="19"/>
      <c r="E679" s="19"/>
    </row>
    <row r="680" spans="3:5" x14ac:dyDescent="0.2">
      <c r="C680" s="25"/>
      <c r="D680" s="19"/>
      <c r="E680" s="19"/>
    </row>
    <row r="681" spans="3:5" x14ac:dyDescent="0.2">
      <c r="C681" s="25"/>
      <c r="D681" s="19"/>
      <c r="E681" s="19"/>
    </row>
    <row r="682" spans="3:5" x14ac:dyDescent="0.2">
      <c r="C682" s="25"/>
      <c r="D682" s="19"/>
      <c r="E682" s="19"/>
    </row>
    <row r="683" spans="3:5" x14ac:dyDescent="0.2">
      <c r="C683" s="25"/>
      <c r="D683" s="19"/>
      <c r="E683" s="19"/>
    </row>
    <row r="684" spans="3:5" x14ac:dyDescent="0.2">
      <c r="C684" s="25"/>
      <c r="D684" s="19"/>
      <c r="E684" s="19"/>
    </row>
    <row r="685" spans="3:5" x14ac:dyDescent="0.2">
      <c r="C685" s="25"/>
      <c r="D685" s="19"/>
      <c r="E685" s="19"/>
    </row>
    <row r="686" spans="3:5" x14ac:dyDescent="0.2">
      <c r="C686" s="25"/>
      <c r="D686" s="19"/>
      <c r="E686" s="19"/>
    </row>
    <row r="687" spans="3:5" x14ac:dyDescent="0.2">
      <c r="C687" s="25"/>
      <c r="D687" s="19"/>
      <c r="E687" s="19"/>
    </row>
    <row r="688" spans="3:5" x14ac:dyDescent="0.2">
      <c r="C688" s="25"/>
      <c r="D688" s="19"/>
      <c r="E688" s="19"/>
    </row>
    <row r="689" spans="3:5" x14ac:dyDescent="0.2">
      <c r="C689" s="25"/>
      <c r="D689" s="19"/>
      <c r="E689" s="19"/>
    </row>
    <row r="690" spans="3:5" x14ac:dyDescent="0.2">
      <c r="C690" s="25"/>
      <c r="D690" s="19"/>
      <c r="E690" s="19"/>
    </row>
    <row r="691" spans="3:5" x14ac:dyDescent="0.2">
      <c r="C691" s="25"/>
      <c r="D691" s="19"/>
      <c r="E691" s="19"/>
    </row>
    <row r="692" spans="3:5" x14ac:dyDescent="0.2">
      <c r="C692" s="25"/>
      <c r="D692" s="19"/>
      <c r="E692" s="19"/>
    </row>
    <row r="693" spans="3:5" x14ac:dyDescent="0.2">
      <c r="C693" s="25"/>
      <c r="D693" s="19"/>
      <c r="E693" s="19"/>
    </row>
    <row r="694" spans="3:5" x14ac:dyDescent="0.2">
      <c r="C694" s="25"/>
      <c r="D694" s="19"/>
      <c r="E694" s="19"/>
    </row>
    <row r="695" spans="3:5" x14ac:dyDescent="0.2">
      <c r="C695" s="25"/>
      <c r="D695" s="19"/>
      <c r="E695" s="19"/>
    </row>
    <row r="696" spans="3:5" x14ac:dyDescent="0.2">
      <c r="C696" s="25"/>
      <c r="D696" s="19"/>
      <c r="E696" s="19"/>
    </row>
    <row r="697" spans="3:5" x14ac:dyDescent="0.2">
      <c r="C697" s="25"/>
      <c r="D697" s="19"/>
      <c r="E697" s="19"/>
    </row>
    <row r="698" spans="3:5" x14ac:dyDescent="0.2">
      <c r="C698" s="25"/>
      <c r="D698" s="19"/>
      <c r="E698" s="19"/>
    </row>
    <row r="699" spans="3:5" x14ac:dyDescent="0.2">
      <c r="C699" s="25"/>
      <c r="D699" s="19"/>
      <c r="E699" s="19"/>
    </row>
    <row r="700" spans="3:5" x14ac:dyDescent="0.2">
      <c r="C700" s="25"/>
      <c r="D700" s="19"/>
      <c r="E700" s="19"/>
    </row>
    <row r="701" spans="3:5" x14ac:dyDescent="0.2">
      <c r="C701" s="25"/>
      <c r="D701" s="19"/>
      <c r="E701" s="19"/>
    </row>
    <row r="702" spans="3:5" x14ac:dyDescent="0.2">
      <c r="C702" s="25"/>
      <c r="D702" s="19"/>
      <c r="E702" s="19"/>
    </row>
    <row r="703" spans="3:5" x14ac:dyDescent="0.2">
      <c r="C703" s="25"/>
      <c r="D703" s="19"/>
      <c r="E703" s="19"/>
    </row>
    <row r="704" spans="3:5" x14ac:dyDescent="0.2">
      <c r="C704" s="25"/>
      <c r="D704" s="19"/>
      <c r="E704" s="19"/>
    </row>
    <row r="705" spans="3:5" x14ac:dyDescent="0.2">
      <c r="C705" s="25"/>
      <c r="D705" s="19"/>
      <c r="E705" s="19"/>
    </row>
    <row r="706" spans="3:5" x14ac:dyDescent="0.2">
      <c r="C706" s="25"/>
      <c r="D706" s="19"/>
      <c r="E706" s="19"/>
    </row>
    <row r="707" spans="3:5" x14ac:dyDescent="0.2">
      <c r="C707" s="25"/>
      <c r="D707" s="19"/>
      <c r="E707" s="19"/>
    </row>
    <row r="708" spans="3:5" x14ac:dyDescent="0.2">
      <c r="C708" s="25"/>
      <c r="D708" s="19"/>
      <c r="E708" s="19"/>
    </row>
    <row r="709" spans="3:5" x14ac:dyDescent="0.2">
      <c r="C709" s="25"/>
      <c r="D709" s="19"/>
      <c r="E709" s="19"/>
    </row>
    <row r="710" spans="3:5" x14ac:dyDescent="0.2">
      <c r="C710" s="25"/>
      <c r="D710" s="19"/>
      <c r="E710" s="19"/>
    </row>
    <row r="711" spans="3:5" x14ac:dyDescent="0.2">
      <c r="C711" s="25"/>
      <c r="D711" s="19"/>
      <c r="E711" s="19"/>
    </row>
    <row r="712" spans="3:5" x14ac:dyDescent="0.2">
      <c r="C712" s="25"/>
      <c r="D712" s="19"/>
      <c r="E712" s="19"/>
    </row>
    <row r="713" spans="3:5" x14ac:dyDescent="0.2">
      <c r="C713" s="25"/>
      <c r="D713" s="19"/>
      <c r="E713" s="19"/>
    </row>
    <row r="714" spans="3:5" x14ac:dyDescent="0.2">
      <c r="C714" s="25"/>
      <c r="D714" s="19"/>
      <c r="E714" s="19"/>
    </row>
    <row r="715" spans="3:5" x14ac:dyDescent="0.2">
      <c r="C715" s="25"/>
      <c r="D715" s="19"/>
      <c r="E715" s="19"/>
    </row>
    <row r="716" spans="3:5" x14ac:dyDescent="0.2">
      <c r="C716" s="25"/>
      <c r="D716" s="19"/>
      <c r="E716" s="19"/>
    </row>
    <row r="717" spans="3:5" x14ac:dyDescent="0.2">
      <c r="C717" s="25"/>
      <c r="D717" s="19"/>
      <c r="E717" s="19"/>
    </row>
    <row r="718" spans="3:5" x14ac:dyDescent="0.2">
      <c r="C718" s="25"/>
      <c r="D718" s="19"/>
      <c r="E718" s="19"/>
    </row>
    <row r="719" spans="3:5" x14ac:dyDescent="0.2">
      <c r="C719" s="25"/>
      <c r="D719" s="19"/>
      <c r="E719" s="19"/>
    </row>
    <row r="720" spans="3:5" x14ac:dyDescent="0.2">
      <c r="C720" s="25"/>
      <c r="D720" s="19"/>
      <c r="E720" s="19"/>
    </row>
    <row r="721" spans="3:5" x14ac:dyDescent="0.2">
      <c r="C721" s="25"/>
      <c r="D721" s="19"/>
      <c r="E721" s="19"/>
    </row>
    <row r="722" spans="3:5" x14ac:dyDescent="0.2">
      <c r="C722" s="25"/>
      <c r="D722" s="19"/>
      <c r="E722" s="19"/>
    </row>
    <row r="723" spans="3:5" x14ac:dyDescent="0.2">
      <c r="C723" s="25"/>
      <c r="D723" s="19"/>
      <c r="E723" s="19"/>
    </row>
    <row r="724" spans="3:5" x14ac:dyDescent="0.2">
      <c r="C724" s="25"/>
      <c r="D724" s="19"/>
      <c r="E724" s="19"/>
    </row>
    <row r="725" spans="3:5" x14ac:dyDescent="0.2">
      <c r="C725" s="25"/>
      <c r="D725" s="19"/>
      <c r="E725" s="19"/>
    </row>
    <row r="726" spans="3:5" x14ac:dyDescent="0.2">
      <c r="C726" s="25"/>
      <c r="D726" s="19"/>
      <c r="E726" s="19"/>
    </row>
    <row r="727" spans="3:5" x14ac:dyDescent="0.2">
      <c r="C727" s="25"/>
      <c r="D727" s="19"/>
      <c r="E727" s="19"/>
    </row>
    <row r="728" spans="3:5" x14ac:dyDescent="0.2">
      <c r="C728" s="25"/>
      <c r="D728" s="19"/>
      <c r="E728" s="19"/>
    </row>
    <row r="729" spans="3:5" x14ac:dyDescent="0.2">
      <c r="C729" s="25"/>
      <c r="D729" s="19"/>
      <c r="E729" s="19"/>
    </row>
    <row r="730" spans="3:5" x14ac:dyDescent="0.2">
      <c r="C730" s="25"/>
      <c r="D730" s="19"/>
      <c r="E730" s="19"/>
    </row>
    <row r="731" spans="3:5" x14ac:dyDescent="0.2">
      <c r="C731" s="25"/>
      <c r="D731" s="19"/>
      <c r="E731" s="19"/>
    </row>
    <row r="732" spans="3:5" x14ac:dyDescent="0.2">
      <c r="C732" s="25"/>
      <c r="D732" s="19"/>
      <c r="E732" s="19"/>
    </row>
    <row r="733" spans="3:5" x14ac:dyDescent="0.2">
      <c r="C733" s="25"/>
      <c r="D733" s="19"/>
      <c r="E733" s="19"/>
    </row>
    <row r="734" spans="3:5" x14ac:dyDescent="0.2">
      <c r="C734" s="25"/>
      <c r="D734" s="19"/>
      <c r="E734" s="19"/>
    </row>
    <row r="735" spans="3:5" x14ac:dyDescent="0.2">
      <c r="C735" s="25"/>
      <c r="D735" s="19"/>
      <c r="E735" s="19"/>
    </row>
    <row r="736" spans="3:5" x14ac:dyDescent="0.2">
      <c r="C736" s="25"/>
      <c r="D736" s="19"/>
      <c r="E736" s="19"/>
    </row>
    <row r="737" spans="3:5" x14ac:dyDescent="0.2">
      <c r="C737" s="25"/>
      <c r="D737" s="19"/>
      <c r="E737" s="19"/>
    </row>
    <row r="738" spans="3:5" x14ac:dyDescent="0.2">
      <c r="C738" s="25"/>
      <c r="D738" s="19"/>
      <c r="E738" s="19"/>
    </row>
    <row r="739" spans="3:5" x14ac:dyDescent="0.2">
      <c r="C739" s="25"/>
      <c r="D739" s="19"/>
      <c r="E739" s="19"/>
    </row>
    <row r="740" spans="3:5" x14ac:dyDescent="0.2">
      <c r="C740" s="25"/>
      <c r="D740" s="19"/>
      <c r="E740" s="19"/>
    </row>
    <row r="741" spans="3:5" x14ac:dyDescent="0.2">
      <c r="C741" s="25"/>
      <c r="D741" s="19"/>
      <c r="E741" s="19"/>
    </row>
    <row r="742" spans="3:5" x14ac:dyDescent="0.2">
      <c r="C742" s="25"/>
      <c r="D742" s="19"/>
      <c r="E742" s="19"/>
    </row>
    <row r="743" spans="3:5" x14ac:dyDescent="0.2">
      <c r="C743" s="25"/>
      <c r="D743" s="19"/>
      <c r="E743" s="19"/>
    </row>
    <row r="744" spans="3:5" x14ac:dyDescent="0.2">
      <c r="C744" s="25"/>
      <c r="D744" s="19"/>
      <c r="E744" s="19"/>
    </row>
    <row r="745" spans="3:5" x14ac:dyDescent="0.2">
      <c r="C745" s="25"/>
      <c r="D745" s="19"/>
      <c r="E745" s="19"/>
    </row>
    <row r="746" spans="3:5" x14ac:dyDescent="0.2">
      <c r="C746" s="25"/>
      <c r="D746" s="19"/>
      <c r="E746" s="19"/>
    </row>
    <row r="747" spans="3:5" x14ac:dyDescent="0.2">
      <c r="C747" s="25"/>
      <c r="D747" s="19"/>
      <c r="E747" s="19"/>
    </row>
    <row r="748" spans="3:5" x14ac:dyDescent="0.2">
      <c r="C748" s="25"/>
      <c r="D748" s="19"/>
      <c r="E748" s="19"/>
    </row>
    <row r="749" spans="3:5" x14ac:dyDescent="0.2">
      <c r="C749" s="25"/>
      <c r="D749" s="19"/>
      <c r="E749" s="19"/>
    </row>
    <row r="750" spans="3:5" x14ac:dyDescent="0.2">
      <c r="C750" s="25"/>
      <c r="D750" s="19"/>
      <c r="E750" s="19"/>
    </row>
    <row r="751" spans="3:5" x14ac:dyDescent="0.2">
      <c r="C751" s="25"/>
      <c r="D751" s="19"/>
      <c r="E751" s="19"/>
    </row>
    <row r="752" spans="3:5" x14ac:dyDescent="0.2">
      <c r="C752" s="25"/>
      <c r="D752" s="19"/>
      <c r="E752" s="19"/>
    </row>
    <row r="753" spans="3:5" x14ac:dyDescent="0.2">
      <c r="C753" s="25"/>
      <c r="D753" s="19"/>
      <c r="E753" s="19"/>
    </row>
    <row r="754" spans="3:5" x14ac:dyDescent="0.2">
      <c r="C754" s="25"/>
      <c r="D754" s="19"/>
      <c r="E754" s="19"/>
    </row>
    <row r="755" spans="3:5" x14ac:dyDescent="0.2">
      <c r="C755" s="25"/>
      <c r="D755" s="19"/>
      <c r="E755" s="19"/>
    </row>
    <row r="756" spans="3:5" x14ac:dyDescent="0.2">
      <c r="C756" s="25"/>
      <c r="D756" s="19"/>
      <c r="E756" s="19"/>
    </row>
    <row r="757" spans="3:5" x14ac:dyDescent="0.2">
      <c r="C757" s="25"/>
      <c r="D757" s="19"/>
      <c r="E757" s="19"/>
    </row>
    <row r="758" spans="3:5" x14ac:dyDescent="0.2">
      <c r="C758" s="25"/>
      <c r="D758" s="19"/>
      <c r="E758" s="19"/>
    </row>
    <row r="759" spans="3:5" x14ac:dyDescent="0.2">
      <c r="C759" s="25"/>
      <c r="D759" s="19"/>
      <c r="E759" s="19"/>
    </row>
    <row r="760" spans="3:5" x14ac:dyDescent="0.2">
      <c r="C760" s="25"/>
      <c r="D760" s="19"/>
      <c r="E760" s="19"/>
    </row>
    <row r="761" spans="3:5" x14ac:dyDescent="0.2">
      <c r="C761" s="25"/>
      <c r="D761" s="19"/>
      <c r="E761" s="19"/>
    </row>
    <row r="762" spans="3:5" x14ac:dyDescent="0.2">
      <c r="C762" s="25"/>
      <c r="D762" s="19"/>
      <c r="E762" s="19"/>
    </row>
    <row r="763" spans="3:5" x14ac:dyDescent="0.2">
      <c r="C763" s="25"/>
      <c r="D763" s="19"/>
      <c r="E763" s="19"/>
    </row>
    <row r="764" spans="3:5" x14ac:dyDescent="0.2">
      <c r="C764" s="25"/>
      <c r="D764" s="19"/>
      <c r="E764" s="19"/>
    </row>
    <row r="765" spans="3:5" x14ac:dyDescent="0.2">
      <c r="C765" s="25"/>
      <c r="D765" s="19"/>
      <c r="E765" s="19"/>
    </row>
    <row r="766" spans="3:5" x14ac:dyDescent="0.2">
      <c r="C766" s="25"/>
      <c r="D766" s="19"/>
      <c r="E766" s="19"/>
    </row>
    <row r="767" spans="3:5" x14ac:dyDescent="0.2">
      <c r="C767" s="25"/>
      <c r="D767" s="19"/>
      <c r="E767" s="19"/>
    </row>
    <row r="768" spans="3:5" x14ac:dyDescent="0.2">
      <c r="C768" s="25"/>
      <c r="D768" s="19"/>
      <c r="E768" s="19"/>
    </row>
    <row r="769" spans="3:5" x14ac:dyDescent="0.2">
      <c r="C769" s="25"/>
      <c r="D769" s="19"/>
      <c r="E769" s="19"/>
    </row>
    <row r="770" spans="3:5" x14ac:dyDescent="0.2">
      <c r="C770" s="25"/>
      <c r="D770" s="19"/>
      <c r="E770" s="19"/>
    </row>
    <row r="771" spans="3:5" x14ac:dyDescent="0.2">
      <c r="C771" s="25"/>
      <c r="D771" s="19"/>
      <c r="E771" s="19"/>
    </row>
    <row r="772" spans="3:5" x14ac:dyDescent="0.2">
      <c r="C772" s="25"/>
      <c r="D772" s="19"/>
      <c r="E772" s="19"/>
    </row>
    <row r="773" spans="3:5" x14ac:dyDescent="0.2">
      <c r="C773" s="25"/>
      <c r="D773" s="19"/>
      <c r="E773" s="19"/>
    </row>
    <row r="774" spans="3:5" x14ac:dyDescent="0.2">
      <c r="C774" s="25"/>
      <c r="D774" s="19"/>
      <c r="E774" s="19"/>
    </row>
    <row r="775" spans="3:5" x14ac:dyDescent="0.2">
      <c r="C775" s="25"/>
      <c r="D775" s="19"/>
      <c r="E775" s="19"/>
    </row>
    <row r="776" spans="3:5" x14ac:dyDescent="0.2">
      <c r="C776" s="25"/>
      <c r="D776" s="19"/>
      <c r="E776" s="19"/>
    </row>
    <row r="777" spans="3:5" x14ac:dyDescent="0.2">
      <c r="C777" s="25"/>
      <c r="D777" s="19"/>
      <c r="E777" s="19"/>
    </row>
    <row r="778" spans="3:5" x14ac:dyDescent="0.2">
      <c r="C778" s="25"/>
      <c r="D778" s="19"/>
      <c r="E778" s="19"/>
    </row>
    <row r="779" spans="3:5" x14ac:dyDescent="0.2">
      <c r="C779" s="25"/>
      <c r="D779" s="19"/>
      <c r="E779" s="19"/>
    </row>
    <row r="780" spans="3:5" x14ac:dyDescent="0.2">
      <c r="C780" s="25"/>
      <c r="D780" s="19"/>
      <c r="E780" s="19"/>
    </row>
    <row r="781" spans="3:5" x14ac:dyDescent="0.2">
      <c r="C781" s="25"/>
      <c r="D781" s="19"/>
      <c r="E781" s="19"/>
    </row>
    <row r="782" spans="3:5" x14ac:dyDescent="0.2">
      <c r="C782" s="25"/>
      <c r="D782" s="19"/>
      <c r="E782" s="19"/>
    </row>
    <row r="783" spans="3:5" x14ac:dyDescent="0.2">
      <c r="C783" s="25"/>
      <c r="D783" s="19"/>
      <c r="E783" s="19"/>
    </row>
    <row r="784" spans="3:5" x14ac:dyDescent="0.2">
      <c r="C784" s="25"/>
      <c r="D784" s="19"/>
      <c r="E784" s="19"/>
    </row>
    <row r="785" spans="3:5" x14ac:dyDescent="0.2">
      <c r="C785" s="25"/>
      <c r="D785" s="19"/>
      <c r="E785" s="19"/>
    </row>
    <row r="786" spans="3:5" x14ac:dyDescent="0.2">
      <c r="C786" s="25"/>
      <c r="D786" s="19"/>
      <c r="E786" s="19"/>
    </row>
    <row r="787" spans="3:5" x14ac:dyDescent="0.2">
      <c r="C787" s="25"/>
      <c r="D787" s="19"/>
      <c r="E787" s="19"/>
    </row>
    <row r="788" spans="3:5" x14ac:dyDescent="0.2">
      <c r="C788" s="25"/>
      <c r="D788" s="19"/>
      <c r="E788" s="19"/>
    </row>
    <row r="789" spans="3:5" x14ac:dyDescent="0.2">
      <c r="C789" s="25"/>
      <c r="D789" s="19"/>
      <c r="E789" s="19"/>
    </row>
    <row r="790" spans="3:5" x14ac:dyDescent="0.2">
      <c r="C790" s="25"/>
      <c r="D790" s="19"/>
      <c r="E790" s="19"/>
    </row>
    <row r="791" spans="3:5" x14ac:dyDescent="0.2">
      <c r="C791" s="25"/>
      <c r="D791" s="19"/>
      <c r="E791" s="19"/>
    </row>
    <row r="792" spans="3:5" x14ac:dyDescent="0.2">
      <c r="C792" s="25"/>
      <c r="D792" s="19"/>
      <c r="E792" s="19"/>
    </row>
    <row r="793" spans="3:5" x14ac:dyDescent="0.2">
      <c r="C793" s="25"/>
      <c r="D793" s="19"/>
      <c r="E793" s="19"/>
    </row>
    <row r="794" spans="3:5" x14ac:dyDescent="0.2">
      <c r="C794" s="25"/>
      <c r="D794" s="19"/>
      <c r="E794" s="19"/>
    </row>
    <row r="795" spans="3:5" x14ac:dyDescent="0.2">
      <c r="C795" s="25"/>
      <c r="D795" s="19"/>
      <c r="E795" s="19"/>
    </row>
    <row r="796" spans="3:5" x14ac:dyDescent="0.2">
      <c r="C796" s="25"/>
      <c r="D796" s="19"/>
      <c r="E796" s="19"/>
    </row>
    <row r="797" spans="3:5" x14ac:dyDescent="0.2">
      <c r="C797" s="25"/>
      <c r="D797" s="19"/>
      <c r="E797" s="19"/>
    </row>
    <row r="798" spans="3:5" x14ac:dyDescent="0.2">
      <c r="C798" s="25"/>
      <c r="D798" s="19"/>
      <c r="E798" s="19"/>
    </row>
    <row r="799" spans="3:5" x14ac:dyDescent="0.2">
      <c r="C799" s="25"/>
      <c r="D799" s="19"/>
      <c r="E799" s="19"/>
    </row>
    <row r="800" spans="3:5" x14ac:dyDescent="0.2">
      <c r="C800" s="25"/>
      <c r="D800" s="19"/>
      <c r="E800" s="19"/>
    </row>
    <row r="801" spans="3:5" x14ac:dyDescent="0.2">
      <c r="C801" s="25"/>
      <c r="D801" s="19"/>
      <c r="E801" s="19"/>
    </row>
    <row r="802" spans="3:5" x14ac:dyDescent="0.2">
      <c r="C802" s="25"/>
      <c r="D802" s="19"/>
      <c r="E802" s="19"/>
    </row>
    <row r="803" spans="3:5" x14ac:dyDescent="0.2">
      <c r="C803" s="25"/>
      <c r="D803" s="19"/>
      <c r="E803" s="19"/>
    </row>
    <row r="804" spans="3:5" x14ac:dyDescent="0.2">
      <c r="C804" s="25"/>
      <c r="D804" s="19"/>
      <c r="E804" s="19"/>
    </row>
    <row r="805" spans="3:5" x14ac:dyDescent="0.2">
      <c r="C805" s="25"/>
      <c r="D805" s="19"/>
      <c r="E805" s="19"/>
    </row>
    <row r="806" spans="3:5" x14ac:dyDescent="0.2">
      <c r="C806" s="25"/>
      <c r="D806" s="19"/>
      <c r="E806" s="19"/>
    </row>
    <row r="807" spans="3:5" x14ac:dyDescent="0.2">
      <c r="C807" s="25"/>
      <c r="D807" s="19"/>
      <c r="E807" s="19"/>
    </row>
    <row r="808" spans="3:5" x14ac:dyDescent="0.2">
      <c r="C808" s="25"/>
      <c r="D808" s="19"/>
      <c r="E808" s="19"/>
    </row>
    <row r="809" spans="3:5" x14ac:dyDescent="0.2">
      <c r="C809" s="25"/>
      <c r="D809" s="19"/>
      <c r="E809" s="19"/>
    </row>
    <row r="810" spans="3:5" x14ac:dyDescent="0.2">
      <c r="C810" s="25"/>
      <c r="D810" s="19"/>
      <c r="E810" s="19"/>
    </row>
    <row r="811" spans="3:5" x14ac:dyDescent="0.2">
      <c r="C811" s="25"/>
      <c r="D811" s="19"/>
      <c r="E811" s="19"/>
    </row>
    <row r="812" spans="3:5" x14ac:dyDescent="0.2">
      <c r="C812" s="25"/>
      <c r="D812" s="19"/>
      <c r="E812" s="19"/>
    </row>
    <row r="813" spans="3:5" x14ac:dyDescent="0.2">
      <c r="C813" s="25"/>
      <c r="D813" s="19"/>
      <c r="E813" s="19"/>
    </row>
    <row r="814" spans="3:5" x14ac:dyDescent="0.2">
      <c r="C814" s="25"/>
      <c r="D814" s="19"/>
      <c r="E814" s="19"/>
    </row>
    <row r="815" spans="3:5" x14ac:dyDescent="0.2">
      <c r="C815" s="25"/>
      <c r="D815" s="19"/>
      <c r="E815" s="19"/>
    </row>
    <row r="816" spans="3:5" x14ac:dyDescent="0.2">
      <c r="C816" s="25"/>
      <c r="D816" s="19"/>
      <c r="E816" s="19"/>
    </row>
    <row r="817" spans="3:5" x14ac:dyDescent="0.2">
      <c r="C817" s="25"/>
      <c r="D817" s="19"/>
      <c r="E817" s="19"/>
    </row>
    <row r="818" spans="3:5" x14ac:dyDescent="0.2">
      <c r="C818" s="25"/>
      <c r="D818" s="19"/>
      <c r="E818" s="19"/>
    </row>
    <row r="819" spans="3:5" x14ac:dyDescent="0.2">
      <c r="C819" s="25"/>
      <c r="D819" s="19"/>
      <c r="E819" s="19"/>
    </row>
    <row r="820" spans="3:5" x14ac:dyDescent="0.2">
      <c r="C820" s="25"/>
      <c r="D820" s="19"/>
      <c r="E820" s="19"/>
    </row>
    <row r="821" spans="3:5" x14ac:dyDescent="0.2">
      <c r="C821" s="25"/>
      <c r="D821" s="19"/>
      <c r="E821" s="19"/>
    </row>
    <row r="822" spans="3:5" x14ac:dyDescent="0.2">
      <c r="C822" s="25"/>
      <c r="D822" s="19"/>
      <c r="E822" s="19"/>
    </row>
    <row r="823" spans="3:5" x14ac:dyDescent="0.2">
      <c r="C823" s="25"/>
      <c r="D823" s="19"/>
      <c r="E823" s="19"/>
    </row>
    <row r="824" spans="3:5" x14ac:dyDescent="0.2">
      <c r="C824" s="25"/>
      <c r="D824" s="19"/>
      <c r="E824" s="19"/>
    </row>
    <row r="825" spans="3:5" x14ac:dyDescent="0.2">
      <c r="C825" s="25"/>
      <c r="D825" s="19"/>
      <c r="E825" s="19"/>
    </row>
    <row r="826" spans="3:5" x14ac:dyDescent="0.2">
      <c r="C826" s="25"/>
      <c r="D826" s="19"/>
      <c r="E826" s="19"/>
    </row>
    <row r="827" spans="3:5" x14ac:dyDescent="0.2">
      <c r="C827" s="25"/>
      <c r="D827" s="19"/>
      <c r="E827" s="19"/>
    </row>
    <row r="828" spans="3:5" x14ac:dyDescent="0.2">
      <c r="C828" s="25"/>
      <c r="D828" s="19"/>
      <c r="E828" s="19"/>
    </row>
    <row r="829" spans="3:5" x14ac:dyDescent="0.2">
      <c r="C829" s="25"/>
      <c r="D829" s="19"/>
      <c r="E829" s="19"/>
    </row>
    <row r="830" spans="3:5" x14ac:dyDescent="0.2">
      <c r="C830" s="25"/>
      <c r="D830" s="19"/>
      <c r="E830" s="19"/>
    </row>
    <row r="831" spans="3:5" x14ac:dyDescent="0.2">
      <c r="C831" s="25"/>
      <c r="D831" s="19"/>
      <c r="E831" s="19"/>
    </row>
    <row r="832" spans="3:5" x14ac:dyDescent="0.2">
      <c r="C832" s="25"/>
      <c r="D832" s="19"/>
      <c r="E832" s="19"/>
    </row>
    <row r="833" spans="3:5" x14ac:dyDescent="0.2">
      <c r="C833" s="25"/>
      <c r="D833" s="19"/>
      <c r="E833" s="19"/>
    </row>
    <row r="834" spans="3:5" x14ac:dyDescent="0.2">
      <c r="C834" s="25"/>
      <c r="D834" s="19"/>
      <c r="E834" s="19"/>
    </row>
    <row r="835" spans="3:5" x14ac:dyDescent="0.2">
      <c r="C835" s="25"/>
      <c r="D835" s="19"/>
      <c r="E835" s="19"/>
    </row>
    <row r="836" spans="3:5" x14ac:dyDescent="0.2">
      <c r="C836" s="25"/>
      <c r="D836" s="19"/>
      <c r="E836" s="19"/>
    </row>
    <row r="837" spans="3:5" x14ac:dyDescent="0.2">
      <c r="C837" s="25"/>
      <c r="D837" s="19"/>
      <c r="E837" s="19"/>
    </row>
    <row r="838" spans="3:5" x14ac:dyDescent="0.2">
      <c r="C838" s="25"/>
      <c r="D838" s="19"/>
      <c r="E838" s="19"/>
    </row>
    <row r="839" spans="3:5" x14ac:dyDescent="0.2">
      <c r="C839" s="25"/>
      <c r="D839" s="19"/>
      <c r="E839" s="19"/>
    </row>
    <row r="840" spans="3:5" x14ac:dyDescent="0.2">
      <c r="C840" s="25"/>
      <c r="D840" s="19"/>
      <c r="E840" s="19"/>
    </row>
    <row r="841" spans="3:5" x14ac:dyDescent="0.2">
      <c r="C841" s="25"/>
      <c r="D841" s="19"/>
      <c r="E841" s="19"/>
    </row>
    <row r="842" spans="3:5" x14ac:dyDescent="0.2">
      <c r="C842" s="25"/>
      <c r="D842" s="19"/>
      <c r="E842" s="19"/>
    </row>
    <row r="843" spans="3:5" x14ac:dyDescent="0.2">
      <c r="C843" s="25"/>
      <c r="D843" s="19"/>
      <c r="E843" s="19"/>
    </row>
    <row r="844" spans="3:5" x14ac:dyDescent="0.2">
      <c r="C844" s="25"/>
      <c r="D844" s="19"/>
      <c r="E844" s="19"/>
    </row>
    <row r="845" spans="3:5" x14ac:dyDescent="0.2">
      <c r="C845" s="25"/>
      <c r="D845" s="19"/>
      <c r="E845" s="19"/>
    </row>
    <row r="846" spans="3:5" x14ac:dyDescent="0.2">
      <c r="C846" s="25"/>
      <c r="D846" s="19"/>
      <c r="E846" s="19"/>
    </row>
    <row r="847" spans="3:5" x14ac:dyDescent="0.2">
      <c r="C847" s="25"/>
      <c r="D847" s="19"/>
      <c r="E847" s="19"/>
    </row>
    <row r="848" spans="3:5" x14ac:dyDescent="0.2">
      <c r="C848" s="25"/>
      <c r="D848" s="19"/>
      <c r="E848" s="19"/>
    </row>
    <row r="849" spans="3:5" x14ac:dyDescent="0.2">
      <c r="C849" s="25"/>
      <c r="D849" s="19"/>
      <c r="E849" s="19"/>
    </row>
    <row r="850" spans="3:5" x14ac:dyDescent="0.2">
      <c r="C850" s="25"/>
      <c r="D850" s="19"/>
      <c r="E850" s="19"/>
    </row>
    <row r="851" spans="3:5" x14ac:dyDescent="0.2">
      <c r="C851" s="25"/>
      <c r="D851" s="19"/>
      <c r="E851" s="19"/>
    </row>
    <row r="852" spans="3:5" x14ac:dyDescent="0.2">
      <c r="C852" s="25"/>
      <c r="D852" s="19"/>
      <c r="E852" s="19"/>
    </row>
    <row r="853" spans="3:5" x14ac:dyDescent="0.2">
      <c r="C853" s="25"/>
      <c r="D853" s="19"/>
      <c r="E853" s="19"/>
    </row>
    <row r="854" spans="3:5" x14ac:dyDescent="0.2">
      <c r="C854" s="25"/>
      <c r="D854" s="19"/>
      <c r="E854" s="19"/>
    </row>
    <row r="855" spans="3:5" x14ac:dyDescent="0.2">
      <c r="C855" s="25"/>
      <c r="D855" s="19"/>
      <c r="E855" s="19"/>
    </row>
    <row r="856" spans="3:5" x14ac:dyDescent="0.2">
      <c r="C856" s="25"/>
      <c r="D856" s="19"/>
      <c r="E856" s="19"/>
    </row>
    <row r="857" spans="3:5" x14ac:dyDescent="0.2">
      <c r="C857" s="25"/>
      <c r="D857" s="19"/>
      <c r="E857" s="19"/>
    </row>
    <row r="858" spans="3:5" x14ac:dyDescent="0.2">
      <c r="C858" s="25"/>
      <c r="D858" s="19"/>
      <c r="E858" s="19"/>
    </row>
    <row r="859" spans="3:5" x14ac:dyDescent="0.2">
      <c r="C859" s="25"/>
      <c r="D859" s="19"/>
      <c r="E859" s="19"/>
    </row>
    <row r="860" spans="3:5" x14ac:dyDescent="0.2">
      <c r="C860" s="25"/>
      <c r="D860" s="19"/>
      <c r="E860" s="19"/>
    </row>
    <row r="861" spans="3:5" x14ac:dyDescent="0.2">
      <c r="C861" s="25"/>
      <c r="D861" s="19"/>
      <c r="E861" s="19"/>
    </row>
    <row r="862" spans="3:5" x14ac:dyDescent="0.2">
      <c r="C862" s="25"/>
      <c r="D862" s="19"/>
      <c r="E862" s="19"/>
    </row>
    <row r="863" spans="3:5" x14ac:dyDescent="0.2">
      <c r="C863" s="25"/>
      <c r="D863" s="19"/>
      <c r="E863" s="19"/>
    </row>
    <row r="864" spans="3:5" x14ac:dyDescent="0.2">
      <c r="C864" s="25"/>
      <c r="D864" s="19"/>
      <c r="E864" s="19"/>
    </row>
    <row r="865" spans="3:5" x14ac:dyDescent="0.2">
      <c r="C865" s="25"/>
      <c r="D865" s="19"/>
      <c r="E865" s="19"/>
    </row>
    <row r="866" spans="3:5" x14ac:dyDescent="0.2">
      <c r="C866" s="25"/>
      <c r="D866" s="19"/>
      <c r="E866" s="19"/>
    </row>
    <row r="867" spans="3:5" x14ac:dyDescent="0.2">
      <c r="C867" s="25"/>
      <c r="D867" s="19"/>
      <c r="E867" s="19"/>
    </row>
    <row r="868" spans="3:5" x14ac:dyDescent="0.2">
      <c r="C868" s="25"/>
      <c r="D868" s="19"/>
      <c r="E868" s="19"/>
    </row>
    <row r="869" spans="3:5" x14ac:dyDescent="0.2">
      <c r="C869" s="25"/>
      <c r="D869" s="19"/>
      <c r="E869" s="19"/>
    </row>
    <row r="870" spans="3:5" x14ac:dyDescent="0.2">
      <c r="C870" s="25"/>
      <c r="D870" s="19"/>
      <c r="E870" s="19"/>
    </row>
    <row r="871" spans="3:5" x14ac:dyDescent="0.2">
      <c r="C871" s="25"/>
      <c r="D871" s="19"/>
      <c r="E871" s="19"/>
    </row>
    <row r="872" spans="3:5" x14ac:dyDescent="0.2">
      <c r="C872" s="25"/>
      <c r="D872" s="19"/>
      <c r="E872" s="19"/>
    </row>
    <row r="873" spans="3:5" x14ac:dyDescent="0.2">
      <c r="C873" s="25"/>
      <c r="D873" s="19"/>
      <c r="E873" s="19"/>
    </row>
    <row r="874" spans="3:5" x14ac:dyDescent="0.2">
      <c r="C874" s="25"/>
      <c r="D874" s="19"/>
      <c r="E874" s="19"/>
    </row>
    <row r="875" spans="3:5" x14ac:dyDescent="0.2">
      <c r="C875" s="25"/>
      <c r="D875" s="19"/>
      <c r="E875" s="19"/>
    </row>
    <row r="876" spans="3:5" x14ac:dyDescent="0.2">
      <c r="C876" s="25"/>
      <c r="D876" s="19"/>
      <c r="E876" s="19"/>
    </row>
    <row r="877" spans="3:5" x14ac:dyDescent="0.2">
      <c r="C877" s="25"/>
      <c r="D877" s="19"/>
      <c r="E877" s="19"/>
    </row>
    <row r="878" spans="3:5" x14ac:dyDescent="0.2">
      <c r="C878" s="25"/>
      <c r="D878" s="19"/>
      <c r="E878" s="19"/>
    </row>
    <row r="879" spans="3:5" x14ac:dyDescent="0.2">
      <c r="C879" s="25"/>
      <c r="D879" s="19"/>
      <c r="E879" s="19"/>
    </row>
    <row r="880" spans="3:5" x14ac:dyDescent="0.2">
      <c r="C880" s="25"/>
      <c r="D880" s="19"/>
      <c r="E880" s="19"/>
    </row>
    <row r="881" spans="3:5" x14ac:dyDescent="0.2">
      <c r="C881" s="25"/>
      <c r="D881" s="19"/>
      <c r="E881" s="19"/>
    </row>
    <row r="882" spans="3:5" x14ac:dyDescent="0.2">
      <c r="C882" s="25"/>
      <c r="D882" s="19"/>
      <c r="E882" s="19"/>
    </row>
    <row r="883" spans="3:5" x14ac:dyDescent="0.2">
      <c r="C883" s="25"/>
      <c r="D883" s="19"/>
      <c r="E883" s="19"/>
    </row>
    <row r="884" spans="3:5" x14ac:dyDescent="0.2">
      <c r="C884" s="25"/>
      <c r="D884" s="19"/>
      <c r="E884" s="19"/>
    </row>
    <row r="885" spans="3:5" x14ac:dyDescent="0.2">
      <c r="C885" s="25"/>
      <c r="D885" s="19"/>
      <c r="E885" s="19"/>
    </row>
    <row r="886" spans="3:5" x14ac:dyDescent="0.2">
      <c r="C886" s="25"/>
      <c r="D886" s="19"/>
      <c r="E886" s="19"/>
    </row>
    <row r="887" spans="3:5" x14ac:dyDescent="0.2">
      <c r="C887" s="25"/>
      <c r="D887" s="19"/>
      <c r="E887" s="19"/>
    </row>
    <row r="888" spans="3:5" x14ac:dyDescent="0.2">
      <c r="C888" s="25"/>
      <c r="D888" s="19"/>
      <c r="E888" s="19"/>
    </row>
    <row r="889" spans="3:5" x14ac:dyDescent="0.2">
      <c r="C889" s="25"/>
      <c r="D889" s="19"/>
      <c r="E889" s="19"/>
    </row>
    <row r="890" spans="3:5" x14ac:dyDescent="0.2">
      <c r="C890" s="25"/>
      <c r="D890" s="19"/>
      <c r="E890" s="19"/>
    </row>
    <row r="891" spans="3:5" x14ac:dyDescent="0.2">
      <c r="C891" s="25"/>
      <c r="D891" s="19"/>
      <c r="E891" s="19"/>
    </row>
    <row r="892" spans="3:5" x14ac:dyDescent="0.2">
      <c r="C892" s="25"/>
      <c r="D892" s="19"/>
      <c r="E892" s="19"/>
    </row>
    <row r="893" spans="3:5" x14ac:dyDescent="0.2">
      <c r="C893" s="25"/>
      <c r="D893" s="19"/>
      <c r="E893" s="19"/>
    </row>
    <row r="894" spans="3:5" x14ac:dyDescent="0.2">
      <c r="C894" s="25"/>
      <c r="D894" s="19"/>
      <c r="E894" s="19"/>
    </row>
    <row r="895" spans="3:5" x14ac:dyDescent="0.2">
      <c r="C895" s="25"/>
      <c r="D895" s="19"/>
      <c r="E895" s="19"/>
    </row>
    <row r="896" spans="3:5" x14ac:dyDescent="0.2">
      <c r="C896" s="25"/>
      <c r="D896" s="19"/>
      <c r="E896" s="19"/>
    </row>
    <row r="897" spans="3:5" x14ac:dyDescent="0.2">
      <c r="C897" s="25"/>
      <c r="D897" s="19"/>
      <c r="E897" s="19"/>
    </row>
    <row r="898" spans="3:5" x14ac:dyDescent="0.2">
      <c r="C898" s="25"/>
      <c r="D898" s="19"/>
      <c r="E898" s="19"/>
    </row>
    <row r="899" spans="3:5" x14ac:dyDescent="0.2">
      <c r="C899" s="25"/>
      <c r="D899" s="19"/>
      <c r="E899" s="19"/>
    </row>
    <row r="900" spans="3:5" x14ac:dyDescent="0.2">
      <c r="C900" s="25"/>
      <c r="D900" s="19"/>
      <c r="E900" s="19"/>
    </row>
    <row r="901" spans="3:5" x14ac:dyDescent="0.2">
      <c r="C901" s="25"/>
      <c r="D901" s="19"/>
      <c r="E901" s="19"/>
    </row>
    <row r="902" spans="3:5" x14ac:dyDescent="0.2">
      <c r="C902" s="25"/>
      <c r="D902" s="19"/>
      <c r="E902" s="19"/>
    </row>
    <row r="903" spans="3:5" x14ac:dyDescent="0.2">
      <c r="C903" s="25"/>
      <c r="D903" s="19"/>
      <c r="E903" s="19"/>
    </row>
    <row r="904" spans="3:5" x14ac:dyDescent="0.2">
      <c r="C904" s="25"/>
      <c r="D904" s="19"/>
      <c r="E904" s="19"/>
    </row>
    <row r="905" spans="3:5" x14ac:dyDescent="0.2">
      <c r="C905" s="25"/>
      <c r="D905" s="19"/>
      <c r="E905" s="19"/>
    </row>
    <row r="906" spans="3:5" x14ac:dyDescent="0.2">
      <c r="C906" s="25"/>
      <c r="D906" s="19"/>
      <c r="E906" s="19"/>
    </row>
    <row r="907" spans="3:5" x14ac:dyDescent="0.2">
      <c r="C907" s="25"/>
      <c r="D907" s="19"/>
      <c r="E907" s="19"/>
    </row>
    <row r="908" spans="3:5" x14ac:dyDescent="0.2">
      <c r="C908" s="25"/>
      <c r="D908" s="19"/>
      <c r="E908" s="19"/>
    </row>
    <row r="909" spans="3:5" x14ac:dyDescent="0.2">
      <c r="C909" s="25"/>
      <c r="D909" s="19"/>
      <c r="E909" s="19"/>
    </row>
    <row r="910" spans="3:5" x14ac:dyDescent="0.2">
      <c r="C910" s="25"/>
      <c r="D910" s="19"/>
      <c r="E910" s="19"/>
    </row>
    <row r="911" spans="3:5" x14ac:dyDescent="0.2">
      <c r="C911" s="25"/>
      <c r="D911" s="19"/>
      <c r="E911" s="19"/>
    </row>
    <row r="912" spans="3:5" x14ac:dyDescent="0.2">
      <c r="C912" s="25"/>
      <c r="D912" s="19"/>
      <c r="E912" s="19"/>
    </row>
    <row r="913" spans="3:5" x14ac:dyDescent="0.2">
      <c r="C913" s="25"/>
      <c r="D913" s="19"/>
      <c r="E913" s="19"/>
    </row>
    <row r="914" spans="3:5" x14ac:dyDescent="0.2">
      <c r="C914" s="25"/>
      <c r="D914" s="19"/>
      <c r="E914" s="19"/>
    </row>
    <row r="915" spans="3:5" x14ac:dyDescent="0.2">
      <c r="C915" s="25"/>
      <c r="D915" s="19"/>
      <c r="E915" s="19"/>
    </row>
    <row r="916" spans="3:5" x14ac:dyDescent="0.2">
      <c r="C916" s="25"/>
      <c r="D916" s="19"/>
      <c r="E916" s="19"/>
    </row>
    <row r="917" spans="3:5" x14ac:dyDescent="0.2">
      <c r="C917" s="25"/>
      <c r="D917" s="19"/>
      <c r="E917" s="19"/>
    </row>
    <row r="918" spans="3:5" x14ac:dyDescent="0.2">
      <c r="C918" s="25"/>
      <c r="D918" s="19"/>
      <c r="E918" s="19"/>
    </row>
    <row r="919" spans="3:5" x14ac:dyDescent="0.2">
      <c r="C919" s="25"/>
      <c r="D919" s="19"/>
      <c r="E919" s="19"/>
    </row>
    <row r="920" spans="3:5" x14ac:dyDescent="0.2">
      <c r="C920" s="25"/>
      <c r="D920" s="19"/>
      <c r="E920" s="19"/>
    </row>
    <row r="921" spans="3:5" x14ac:dyDescent="0.2">
      <c r="C921" s="25"/>
      <c r="D921" s="19"/>
      <c r="E921" s="19"/>
    </row>
    <row r="922" spans="3:5" x14ac:dyDescent="0.2">
      <c r="C922" s="25"/>
      <c r="D922" s="19"/>
      <c r="E922" s="19"/>
    </row>
    <row r="923" spans="3:5" x14ac:dyDescent="0.2">
      <c r="C923" s="25"/>
      <c r="D923" s="19"/>
      <c r="E923" s="19"/>
    </row>
    <row r="924" spans="3:5" x14ac:dyDescent="0.2">
      <c r="C924" s="25"/>
      <c r="D924" s="19"/>
      <c r="E924" s="19"/>
    </row>
    <row r="925" spans="3:5" x14ac:dyDescent="0.2">
      <c r="C925" s="25"/>
      <c r="D925" s="19"/>
      <c r="E925" s="19"/>
    </row>
    <row r="926" spans="3:5" x14ac:dyDescent="0.2">
      <c r="C926" s="25"/>
      <c r="D926" s="19"/>
      <c r="E926" s="19"/>
    </row>
    <row r="927" spans="3:5" x14ac:dyDescent="0.2">
      <c r="C927" s="25"/>
      <c r="D927" s="19"/>
      <c r="E927" s="19"/>
    </row>
    <row r="928" spans="3:5" x14ac:dyDescent="0.2">
      <c r="C928" s="25"/>
      <c r="D928" s="19"/>
      <c r="E928" s="19"/>
    </row>
    <row r="929" spans="3:5" x14ac:dyDescent="0.2">
      <c r="C929" s="25"/>
      <c r="D929" s="19"/>
      <c r="E929" s="19"/>
    </row>
    <row r="930" spans="3:5" x14ac:dyDescent="0.2">
      <c r="C930" s="25"/>
      <c r="D930" s="19"/>
      <c r="E930" s="19"/>
    </row>
    <row r="931" spans="3:5" x14ac:dyDescent="0.2">
      <c r="C931" s="25"/>
      <c r="D931" s="19"/>
      <c r="E931" s="19"/>
    </row>
    <row r="932" spans="3:5" x14ac:dyDescent="0.2">
      <c r="C932" s="25"/>
      <c r="D932" s="19"/>
      <c r="E932" s="19"/>
    </row>
    <row r="933" spans="3:5" x14ac:dyDescent="0.2">
      <c r="C933" s="25"/>
      <c r="D933" s="19"/>
      <c r="E933" s="19"/>
    </row>
    <row r="934" spans="3:5" x14ac:dyDescent="0.2">
      <c r="C934" s="25"/>
      <c r="D934" s="19"/>
      <c r="E934" s="19"/>
    </row>
    <row r="935" spans="3:5" x14ac:dyDescent="0.2">
      <c r="C935" s="25"/>
      <c r="D935" s="19"/>
      <c r="E935" s="19"/>
    </row>
    <row r="936" spans="3:5" x14ac:dyDescent="0.2">
      <c r="C936" s="25"/>
      <c r="D936" s="19"/>
      <c r="E936" s="19"/>
    </row>
    <row r="937" spans="3:5" x14ac:dyDescent="0.2">
      <c r="C937" s="25"/>
      <c r="D937" s="19"/>
      <c r="E937" s="19"/>
    </row>
    <row r="938" spans="3:5" x14ac:dyDescent="0.2">
      <c r="C938" s="25"/>
      <c r="D938" s="19"/>
      <c r="E938" s="19"/>
    </row>
    <row r="939" spans="3:5" x14ac:dyDescent="0.2">
      <c r="C939" s="25"/>
      <c r="D939" s="19"/>
      <c r="E939" s="19"/>
    </row>
    <row r="940" spans="3:5" x14ac:dyDescent="0.2">
      <c r="C940" s="25"/>
      <c r="D940" s="19"/>
      <c r="E940" s="19"/>
    </row>
    <row r="941" spans="3:5" x14ac:dyDescent="0.2">
      <c r="C941" s="25"/>
      <c r="D941" s="19"/>
      <c r="E941" s="19"/>
    </row>
    <row r="942" spans="3:5" x14ac:dyDescent="0.2">
      <c r="C942" s="25"/>
      <c r="D942" s="19"/>
      <c r="E942" s="19"/>
    </row>
    <row r="943" spans="3:5" x14ac:dyDescent="0.2">
      <c r="C943" s="25"/>
      <c r="D943" s="19"/>
      <c r="E943" s="19"/>
    </row>
    <row r="944" spans="3:5" x14ac:dyDescent="0.2">
      <c r="C944" s="25"/>
      <c r="D944" s="19"/>
      <c r="E944" s="19"/>
    </row>
    <row r="945" spans="3:5" x14ac:dyDescent="0.2">
      <c r="C945" s="25"/>
      <c r="D945" s="19"/>
      <c r="E945" s="19"/>
    </row>
    <row r="946" spans="3:5" x14ac:dyDescent="0.2">
      <c r="C946" s="25"/>
      <c r="D946" s="19"/>
      <c r="E946" s="19"/>
    </row>
    <row r="947" spans="3:5" x14ac:dyDescent="0.2">
      <c r="C947" s="25"/>
      <c r="D947" s="19"/>
      <c r="E947" s="19"/>
    </row>
    <row r="948" spans="3:5" x14ac:dyDescent="0.2">
      <c r="C948" s="25"/>
      <c r="D948" s="19"/>
      <c r="E948" s="19"/>
    </row>
    <row r="949" spans="3:5" x14ac:dyDescent="0.2">
      <c r="C949" s="25"/>
      <c r="D949" s="19"/>
      <c r="E949" s="19"/>
    </row>
    <row r="950" spans="3:5" x14ac:dyDescent="0.2">
      <c r="C950" s="25"/>
      <c r="D950" s="19"/>
      <c r="E950" s="19"/>
    </row>
    <row r="951" spans="3:5" x14ac:dyDescent="0.2">
      <c r="C951" s="25"/>
      <c r="D951" s="19"/>
      <c r="E951" s="19"/>
    </row>
    <row r="952" spans="3:5" x14ac:dyDescent="0.2">
      <c r="C952" s="25"/>
      <c r="D952" s="19"/>
      <c r="E952" s="19"/>
    </row>
    <row r="953" spans="3:5" x14ac:dyDescent="0.2">
      <c r="C953" s="25"/>
      <c r="D953" s="19"/>
      <c r="E953" s="19"/>
    </row>
    <row r="954" spans="3:5" x14ac:dyDescent="0.2">
      <c r="C954" s="25"/>
      <c r="D954" s="19"/>
      <c r="E954" s="19"/>
    </row>
    <row r="955" spans="3:5" x14ac:dyDescent="0.2">
      <c r="C955" s="25"/>
      <c r="D955" s="19"/>
      <c r="E955" s="19"/>
    </row>
    <row r="956" spans="3:5" x14ac:dyDescent="0.2">
      <c r="C956" s="25"/>
      <c r="D956" s="19"/>
      <c r="E956" s="19"/>
    </row>
    <row r="957" spans="3:5" x14ac:dyDescent="0.2">
      <c r="C957" s="25"/>
      <c r="D957" s="19"/>
      <c r="E957" s="19"/>
    </row>
    <row r="958" spans="3:5" x14ac:dyDescent="0.2">
      <c r="C958" s="25"/>
      <c r="D958" s="19"/>
      <c r="E958" s="19"/>
    </row>
    <row r="959" spans="3:5" x14ac:dyDescent="0.2">
      <c r="C959" s="25"/>
      <c r="D959" s="19"/>
      <c r="E959" s="19"/>
    </row>
    <row r="960" spans="3:5" x14ac:dyDescent="0.2">
      <c r="C960" s="25"/>
      <c r="D960" s="19"/>
      <c r="E960" s="19"/>
    </row>
    <row r="961" spans="3:5" x14ac:dyDescent="0.2">
      <c r="C961" s="25"/>
      <c r="D961" s="19"/>
      <c r="E961" s="19"/>
    </row>
    <row r="962" spans="3:5" x14ac:dyDescent="0.2">
      <c r="C962" s="25"/>
      <c r="D962" s="19"/>
      <c r="E962" s="19"/>
    </row>
    <row r="963" spans="3:5" x14ac:dyDescent="0.2">
      <c r="C963" s="25"/>
      <c r="D963" s="19"/>
      <c r="E963" s="19"/>
    </row>
    <row r="964" spans="3:5" x14ac:dyDescent="0.2">
      <c r="C964" s="25"/>
      <c r="D964" s="19"/>
      <c r="E964" s="19"/>
    </row>
    <row r="965" spans="3:5" x14ac:dyDescent="0.2">
      <c r="C965" s="25"/>
      <c r="D965" s="19"/>
      <c r="E965" s="19"/>
    </row>
    <row r="966" spans="3:5" x14ac:dyDescent="0.2">
      <c r="C966" s="25"/>
      <c r="D966" s="19"/>
      <c r="E966" s="19"/>
    </row>
    <row r="967" spans="3:5" x14ac:dyDescent="0.2">
      <c r="C967" s="25"/>
      <c r="D967" s="19"/>
      <c r="E967" s="19"/>
    </row>
    <row r="968" spans="3:5" x14ac:dyDescent="0.2">
      <c r="C968" s="25"/>
      <c r="D968" s="19"/>
      <c r="E968" s="19"/>
    </row>
    <row r="969" spans="3:5" x14ac:dyDescent="0.2">
      <c r="C969" s="25"/>
      <c r="D969" s="19"/>
      <c r="E969" s="19"/>
    </row>
    <row r="970" spans="3:5" x14ac:dyDescent="0.2">
      <c r="C970" s="25"/>
      <c r="D970" s="19"/>
      <c r="E970" s="19"/>
    </row>
    <row r="971" spans="3:5" x14ac:dyDescent="0.2">
      <c r="C971" s="25"/>
      <c r="D971" s="19"/>
      <c r="E971" s="19"/>
    </row>
    <row r="972" spans="3:5" x14ac:dyDescent="0.2">
      <c r="C972" s="25"/>
      <c r="D972" s="19"/>
      <c r="E972" s="19"/>
    </row>
    <row r="973" spans="3:5" x14ac:dyDescent="0.2">
      <c r="C973" s="25"/>
      <c r="D973" s="19"/>
      <c r="E973" s="19"/>
    </row>
    <row r="974" spans="3:5" x14ac:dyDescent="0.2">
      <c r="C974" s="25"/>
      <c r="D974" s="19"/>
      <c r="E974" s="19"/>
    </row>
    <row r="975" spans="3:5" x14ac:dyDescent="0.2">
      <c r="C975" s="25"/>
      <c r="D975" s="19"/>
      <c r="E975" s="19"/>
    </row>
    <row r="976" spans="3:5" x14ac:dyDescent="0.2">
      <c r="C976" s="25"/>
      <c r="D976" s="19"/>
      <c r="E976" s="19"/>
    </row>
    <row r="977" spans="3:5" x14ac:dyDescent="0.2">
      <c r="C977" s="25"/>
      <c r="D977" s="19"/>
      <c r="E977" s="19"/>
    </row>
    <row r="978" spans="3:5" x14ac:dyDescent="0.2">
      <c r="C978" s="25"/>
      <c r="D978" s="19"/>
      <c r="E978" s="19"/>
    </row>
    <row r="979" spans="3:5" x14ac:dyDescent="0.2">
      <c r="C979" s="25"/>
      <c r="D979" s="19"/>
      <c r="E979" s="19"/>
    </row>
    <row r="980" spans="3:5" x14ac:dyDescent="0.2">
      <c r="C980" s="25"/>
      <c r="D980" s="19"/>
      <c r="E980" s="19"/>
    </row>
    <row r="981" spans="3:5" x14ac:dyDescent="0.2">
      <c r="C981" s="25"/>
      <c r="D981" s="19"/>
      <c r="E981" s="19"/>
    </row>
    <row r="982" spans="3:5" x14ac:dyDescent="0.2">
      <c r="C982" s="25"/>
      <c r="D982" s="19"/>
      <c r="E982" s="19"/>
    </row>
    <row r="983" spans="3:5" x14ac:dyDescent="0.2">
      <c r="C983" s="25"/>
      <c r="D983" s="19"/>
      <c r="E983" s="19"/>
    </row>
    <row r="984" spans="3:5" x14ac:dyDescent="0.2">
      <c r="C984" s="25"/>
      <c r="D984" s="19"/>
      <c r="E984" s="19"/>
    </row>
    <row r="985" spans="3:5" x14ac:dyDescent="0.2">
      <c r="C985" s="25"/>
      <c r="D985" s="19"/>
      <c r="E985" s="19"/>
    </row>
    <row r="986" spans="3:5" x14ac:dyDescent="0.2">
      <c r="C986" s="25"/>
      <c r="D986" s="19"/>
      <c r="E986" s="19"/>
    </row>
    <row r="987" spans="3:5" x14ac:dyDescent="0.2">
      <c r="C987" s="25"/>
      <c r="D987" s="19"/>
      <c r="E987" s="19"/>
    </row>
    <row r="988" spans="3:5" x14ac:dyDescent="0.2">
      <c r="C988" s="25"/>
      <c r="D988" s="19"/>
      <c r="E988" s="19"/>
    </row>
    <row r="989" spans="3:5" x14ac:dyDescent="0.2">
      <c r="C989" s="25"/>
      <c r="D989" s="19"/>
      <c r="E989" s="19"/>
    </row>
    <row r="990" spans="3:5" x14ac:dyDescent="0.2">
      <c r="C990" s="25"/>
      <c r="D990" s="19"/>
      <c r="E990" s="19"/>
    </row>
    <row r="991" spans="3:5" x14ac:dyDescent="0.2">
      <c r="C991" s="25"/>
      <c r="D991" s="19"/>
      <c r="E991" s="19"/>
    </row>
    <row r="992" spans="3:5" x14ac:dyDescent="0.2">
      <c r="C992" s="25"/>
      <c r="D992" s="19"/>
      <c r="E992" s="19"/>
    </row>
    <row r="993" spans="3:5" x14ac:dyDescent="0.2">
      <c r="C993" s="25"/>
      <c r="D993" s="19"/>
      <c r="E993" s="19"/>
    </row>
    <row r="994" spans="3:5" x14ac:dyDescent="0.2">
      <c r="C994" s="25"/>
      <c r="D994" s="19"/>
      <c r="E994" s="19"/>
    </row>
    <row r="995" spans="3:5" x14ac:dyDescent="0.2">
      <c r="C995" s="25"/>
      <c r="D995" s="19"/>
      <c r="E995" s="19"/>
    </row>
    <row r="996" spans="3:5" x14ac:dyDescent="0.2">
      <c r="C996" s="25"/>
      <c r="D996" s="19"/>
      <c r="E996" s="19"/>
    </row>
    <row r="997" spans="3:5" x14ac:dyDescent="0.2">
      <c r="C997" s="25"/>
      <c r="D997" s="19"/>
      <c r="E997" s="19"/>
    </row>
    <row r="998" spans="3:5" x14ac:dyDescent="0.2">
      <c r="C998" s="25"/>
      <c r="D998" s="19"/>
      <c r="E998" s="19"/>
    </row>
    <row r="999" spans="3:5" x14ac:dyDescent="0.2">
      <c r="C999" s="25"/>
      <c r="D999" s="19"/>
      <c r="E999" s="19"/>
    </row>
    <row r="1000" spans="3:5" x14ac:dyDescent="0.2">
      <c r="C1000" s="25"/>
      <c r="D1000" s="19"/>
      <c r="E1000" s="19"/>
    </row>
    <row r="1001" spans="3:5" x14ac:dyDescent="0.2">
      <c r="C1001" s="25"/>
      <c r="D1001" s="19"/>
      <c r="E1001" s="19"/>
    </row>
    <row r="1002" spans="3:5" x14ac:dyDescent="0.2">
      <c r="C1002" s="25"/>
      <c r="D1002" s="19"/>
      <c r="E1002" s="19"/>
    </row>
    <row r="1003" spans="3:5" x14ac:dyDescent="0.2">
      <c r="C1003" s="25"/>
      <c r="D1003" s="19"/>
      <c r="E1003" s="19"/>
    </row>
    <row r="1004" spans="3:5" x14ac:dyDescent="0.2">
      <c r="C1004" s="25"/>
      <c r="D1004" s="19"/>
      <c r="E1004" s="19"/>
    </row>
    <row r="1005" spans="3:5" x14ac:dyDescent="0.2">
      <c r="C1005" s="25"/>
      <c r="D1005" s="19"/>
      <c r="E1005" s="19"/>
    </row>
    <row r="1006" spans="3:5" x14ac:dyDescent="0.2">
      <c r="C1006" s="25"/>
      <c r="D1006" s="19"/>
      <c r="E1006" s="19"/>
    </row>
    <row r="1007" spans="3:5" x14ac:dyDescent="0.2">
      <c r="C1007" s="25"/>
      <c r="D1007" s="19"/>
      <c r="E1007" s="19"/>
    </row>
    <row r="1008" spans="3:5" x14ac:dyDescent="0.2">
      <c r="C1008" s="25"/>
      <c r="D1008" s="19"/>
      <c r="E1008" s="19"/>
    </row>
    <row r="1009" spans="3:5" x14ac:dyDescent="0.2">
      <c r="C1009" s="25"/>
      <c r="D1009" s="19"/>
      <c r="E1009" s="19"/>
    </row>
    <row r="1010" spans="3:5" x14ac:dyDescent="0.2">
      <c r="C1010" s="25"/>
      <c r="D1010" s="19"/>
      <c r="E1010" s="19"/>
    </row>
    <row r="1011" spans="3:5" x14ac:dyDescent="0.2">
      <c r="C1011" s="25"/>
      <c r="D1011" s="19"/>
      <c r="E1011" s="19"/>
    </row>
    <row r="1012" spans="3:5" x14ac:dyDescent="0.2">
      <c r="C1012" s="25"/>
      <c r="D1012" s="19"/>
      <c r="E1012" s="19"/>
    </row>
    <row r="1013" spans="3:5" x14ac:dyDescent="0.2">
      <c r="C1013" s="25"/>
      <c r="D1013" s="19"/>
      <c r="E1013" s="19"/>
    </row>
    <row r="1014" spans="3:5" x14ac:dyDescent="0.2">
      <c r="C1014" s="25"/>
      <c r="D1014" s="19"/>
      <c r="E1014" s="19"/>
    </row>
    <row r="1015" spans="3:5" x14ac:dyDescent="0.2">
      <c r="C1015" s="25"/>
      <c r="D1015" s="19"/>
      <c r="E1015" s="19"/>
    </row>
    <row r="1016" spans="3:5" x14ac:dyDescent="0.2">
      <c r="C1016" s="25"/>
      <c r="D1016" s="19"/>
      <c r="E1016" s="19"/>
    </row>
    <row r="1017" spans="3:5" x14ac:dyDescent="0.2">
      <c r="C1017" s="25"/>
      <c r="D1017" s="19"/>
      <c r="E1017" s="19"/>
    </row>
    <row r="1018" spans="3:5" x14ac:dyDescent="0.2">
      <c r="C1018" s="25"/>
      <c r="D1018" s="19"/>
      <c r="E1018" s="19"/>
    </row>
    <row r="1019" spans="3:5" x14ac:dyDescent="0.2">
      <c r="C1019" s="25"/>
      <c r="D1019" s="19"/>
      <c r="E1019" s="19"/>
    </row>
    <row r="1020" spans="3:5" x14ac:dyDescent="0.2">
      <c r="C1020" s="25"/>
      <c r="D1020" s="19"/>
      <c r="E1020" s="19"/>
    </row>
    <row r="1021" spans="3:5" x14ac:dyDescent="0.2">
      <c r="C1021" s="25"/>
      <c r="D1021" s="19"/>
      <c r="E1021" s="19"/>
    </row>
    <row r="1022" spans="3:5" x14ac:dyDescent="0.2">
      <c r="C1022" s="25"/>
      <c r="D1022" s="19"/>
      <c r="E1022" s="19"/>
    </row>
    <row r="1023" spans="3:5" x14ac:dyDescent="0.2">
      <c r="C1023" s="25"/>
      <c r="D1023" s="19"/>
      <c r="E1023" s="19"/>
    </row>
    <row r="1024" spans="3:5" x14ac:dyDescent="0.2">
      <c r="C1024" s="25"/>
      <c r="D1024" s="19"/>
      <c r="E1024" s="19"/>
    </row>
    <row r="1025" spans="3:5" x14ac:dyDescent="0.2">
      <c r="C1025" s="25"/>
      <c r="D1025" s="19"/>
      <c r="E1025" s="19"/>
    </row>
    <row r="1026" spans="3:5" x14ac:dyDescent="0.2">
      <c r="C1026" s="25"/>
      <c r="D1026" s="19"/>
      <c r="E1026" s="19"/>
    </row>
    <row r="1027" spans="3:5" x14ac:dyDescent="0.2">
      <c r="C1027" s="25"/>
      <c r="D1027" s="19"/>
      <c r="E1027" s="19"/>
    </row>
    <row r="1028" spans="3:5" x14ac:dyDescent="0.2">
      <c r="C1028" s="25"/>
      <c r="D1028" s="19"/>
      <c r="E1028" s="19"/>
    </row>
    <row r="1029" spans="3:5" x14ac:dyDescent="0.2">
      <c r="C1029" s="25"/>
      <c r="D1029" s="19"/>
      <c r="E1029" s="19"/>
    </row>
    <row r="1030" spans="3:5" x14ac:dyDescent="0.2">
      <c r="C1030" s="25"/>
      <c r="D1030" s="19"/>
      <c r="E1030" s="19"/>
    </row>
    <row r="1031" spans="3:5" x14ac:dyDescent="0.2">
      <c r="C1031" s="25"/>
      <c r="D1031" s="19"/>
      <c r="E1031" s="19"/>
    </row>
    <row r="1032" spans="3:5" x14ac:dyDescent="0.2">
      <c r="C1032" s="25"/>
      <c r="D1032" s="19"/>
      <c r="E1032" s="19"/>
    </row>
    <row r="1033" spans="3:5" x14ac:dyDescent="0.2">
      <c r="C1033" s="25"/>
      <c r="D1033" s="19"/>
      <c r="E1033" s="19"/>
    </row>
    <row r="1034" spans="3:5" x14ac:dyDescent="0.2">
      <c r="C1034" s="25"/>
      <c r="D1034" s="19"/>
      <c r="E1034" s="19"/>
    </row>
    <row r="1035" spans="3:5" x14ac:dyDescent="0.2">
      <c r="C1035" s="25"/>
      <c r="D1035" s="19"/>
      <c r="E1035" s="19"/>
    </row>
    <row r="1036" spans="3:5" x14ac:dyDescent="0.2">
      <c r="C1036" s="25"/>
      <c r="D1036" s="19"/>
      <c r="E1036" s="19"/>
    </row>
    <row r="1037" spans="3:5" x14ac:dyDescent="0.2">
      <c r="C1037" s="25"/>
      <c r="D1037" s="19"/>
      <c r="E1037" s="19"/>
    </row>
    <row r="1038" spans="3:5" x14ac:dyDescent="0.2">
      <c r="C1038" s="25"/>
      <c r="D1038" s="19"/>
      <c r="E1038" s="19"/>
    </row>
    <row r="1039" spans="3:5" x14ac:dyDescent="0.2">
      <c r="C1039" s="25"/>
      <c r="D1039" s="19"/>
      <c r="E1039" s="19"/>
    </row>
    <row r="1040" spans="3:5" x14ac:dyDescent="0.2">
      <c r="C1040" s="25"/>
      <c r="D1040" s="19"/>
      <c r="E1040" s="19"/>
    </row>
    <row r="1041" spans="3:5" x14ac:dyDescent="0.2">
      <c r="C1041" s="25"/>
      <c r="D1041" s="19"/>
      <c r="E1041" s="19"/>
    </row>
    <row r="1042" spans="3:5" x14ac:dyDescent="0.2">
      <c r="C1042" s="25"/>
      <c r="D1042" s="19"/>
      <c r="E1042" s="19"/>
    </row>
    <row r="1043" spans="3:5" x14ac:dyDescent="0.2">
      <c r="C1043" s="25"/>
      <c r="D1043" s="19"/>
      <c r="E1043" s="19"/>
    </row>
    <row r="1044" spans="3:5" x14ac:dyDescent="0.2">
      <c r="C1044" s="25"/>
      <c r="D1044" s="19"/>
      <c r="E1044" s="19"/>
    </row>
    <row r="1045" spans="3:5" x14ac:dyDescent="0.2">
      <c r="C1045" s="25"/>
      <c r="D1045" s="19"/>
      <c r="E1045" s="19"/>
    </row>
    <row r="1046" spans="3:5" x14ac:dyDescent="0.2">
      <c r="C1046" s="25"/>
      <c r="D1046" s="19"/>
      <c r="E1046" s="19"/>
    </row>
    <row r="1047" spans="3:5" x14ac:dyDescent="0.2">
      <c r="C1047" s="25"/>
      <c r="D1047" s="19"/>
      <c r="E1047" s="19"/>
    </row>
    <row r="1048" spans="3:5" x14ac:dyDescent="0.2">
      <c r="C1048" s="25"/>
      <c r="D1048" s="19"/>
      <c r="E1048" s="19"/>
    </row>
    <row r="1049" spans="3:5" x14ac:dyDescent="0.2">
      <c r="C1049" s="25"/>
      <c r="D1049" s="19"/>
      <c r="E1049" s="19"/>
    </row>
    <row r="1050" spans="3:5" x14ac:dyDescent="0.2">
      <c r="C1050" s="25"/>
      <c r="D1050" s="19"/>
      <c r="E1050" s="19"/>
    </row>
    <row r="1051" spans="3:5" x14ac:dyDescent="0.2">
      <c r="C1051" s="25"/>
      <c r="D1051" s="19"/>
      <c r="E1051" s="19"/>
    </row>
    <row r="1052" spans="3:5" x14ac:dyDescent="0.2">
      <c r="C1052" s="25"/>
      <c r="D1052" s="19"/>
      <c r="E1052" s="19"/>
    </row>
    <row r="1053" spans="3:5" x14ac:dyDescent="0.2">
      <c r="C1053" s="25"/>
      <c r="D1053" s="19"/>
      <c r="E1053" s="19"/>
    </row>
    <row r="1054" spans="3:5" x14ac:dyDescent="0.2">
      <c r="C1054" s="25"/>
      <c r="D1054" s="19"/>
      <c r="E1054" s="19"/>
    </row>
    <row r="1055" spans="3:5" x14ac:dyDescent="0.2">
      <c r="C1055" s="25"/>
      <c r="D1055" s="19"/>
      <c r="E1055" s="19"/>
    </row>
    <row r="1056" spans="3:5" x14ac:dyDescent="0.2">
      <c r="C1056" s="25"/>
      <c r="D1056" s="19"/>
      <c r="E1056" s="19"/>
    </row>
    <row r="1057" spans="3:5" x14ac:dyDescent="0.2">
      <c r="C1057" s="25"/>
      <c r="D1057" s="19"/>
      <c r="E1057" s="19"/>
    </row>
    <row r="1058" spans="3:5" x14ac:dyDescent="0.2">
      <c r="C1058" s="25"/>
      <c r="D1058" s="19"/>
      <c r="E1058" s="19"/>
    </row>
    <row r="1059" spans="3:5" x14ac:dyDescent="0.2">
      <c r="C1059" s="25"/>
      <c r="D1059" s="19"/>
      <c r="E1059" s="19"/>
    </row>
    <row r="1060" spans="3:5" x14ac:dyDescent="0.2">
      <c r="C1060" s="25"/>
      <c r="D1060" s="19"/>
      <c r="E1060" s="19"/>
    </row>
    <row r="1061" spans="3:5" x14ac:dyDescent="0.2">
      <c r="C1061" s="25"/>
      <c r="D1061" s="19"/>
      <c r="E1061" s="19"/>
    </row>
    <row r="1062" spans="3:5" x14ac:dyDescent="0.2">
      <c r="C1062" s="25"/>
      <c r="D1062" s="19"/>
      <c r="E1062" s="19"/>
    </row>
    <row r="1063" spans="3:5" x14ac:dyDescent="0.2">
      <c r="C1063" s="25"/>
      <c r="D1063" s="19"/>
      <c r="E1063" s="19"/>
    </row>
    <row r="1064" spans="3:5" x14ac:dyDescent="0.2">
      <c r="C1064" s="25"/>
      <c r="D1064" s="19"/>
      <c r="E1064" s="19"/>
    </row>
    <row r="1065" spans="3:5" x14ac:dyDescent="0.2">
      <c r="C1065" s="25"/>
      <c r="D1065" s="19"/>
      <c r="E1065" s="19"/>
    </row>
    <row r="1066" spans="3:5" x14ac:dyDescent="0.2">
      <c r="C1066" s="25"/>
      <c r="D1066" s="19"/>
      <c r="E1066" s="19"/>
    </row>
    <row r="1067" spans="3:5" x14ac:dyDescent="0.2">
      <c r="C1067" s="25"/>
      <c r="D1067" s="19"/>
      <c r="E1067" s="19"/>
    </row>
    <row r="1068" spans="3:5" x14ac:dyDescent="0.2">
      <c r="C1068" s="25"/>
      <c r="D1068" s="19"/>
      <c r="E1068" s="19"/>
    </row>
    <row r="1069" spans="3:5" x14ac:dyDescent="0.2">
      <c r="C1069" s="25"/>
      <c r="D1069" s="19"/>
      <c r="E1069" s="19"/>
    </row>
    <row r="1070" spans="3:5" x14ac:dyDescent="0.2">
      <c r="C1070" s="25"/>
      <c r="D1070" s="19"/>
      <c r="E1070" s="19"/>
    </row>
    <row r="1071" spans="3:5" x14ac:dyDescent="0.2">
      <c r="C1071" s="25"/>
      <c r="D1071" s="19"/>
      <c r="E1071" s="19"/>
    </row>
    <row r="1072" spans="3:5" x14ac:dyDescent="0.2">
      <c r="C1072" s="25"/>
      <c r="D1072" s="19"/>
      <c r="E1072" s="19"/>
    </row>
    <row r="1073" spans="3:5" x14ac:dyDescent="0.2">
      <c r="C1073" s="25"/>
      <c r="D1073" s="19"/>
      <c r="E1073" s="19"/>
    </row>
    <row r="1074" spans="3:5" x14ac:dyDescent="0.2">
      <c r="C1074" s="25"/>
      <c r="D1074" s="19"/>
      <c r="E1074" s="19"/>
    </row>
    <row r="1075" spans="3:5" x14ac:dyDescent="0.2">
      <c r="C1075" s="25"/>
      <c r="D1075" s="19"/>
      <c r="E1075" s="19"/>
    </row>
    <row r="1076" spans="3:5" x14ac:dyDescent="0.2">
      <c r="C1076" s="25"/>
      <c r="D1076" s="19"/>
      <c r="E1076" s="19"/>
    </row>
    <row r="1077" spans="3:5" x14ac:dyDescent="0.2">
      <c r="C1077" s="25"/>
      <c r="D1077" s="19"/>
      <c r="E1077" s="19"/>
    </row>
    <row r="1078" spans="3:5" x14ac:dyDescent="0.2">
      <c r="C1078" s="25"/>
      <c r="D1078" s="19"/>
      <c r="E1078" s="19"/>
    </row>
    <row r="1079" spans="3:5" x14ac:dyDescent="0.2">
      <c r="C1079" s="25"/>
      <c r="D1079" s="19"/>
      <c r="E1079" s="19"/>
    </row>
    <row r="1080" spans="3:5" x14ac:dyDescent="0.2">
      <c r="C1080" s="25"/>
      <c r="D1080" s="19"/>
      <c r="E1080" s="19"/>
    </row>
    <row r="1081" spans="3:5" x14ac:dyDescent="0.2">
      <c r="C1081" s="25"/>
      <c r="D1081" s="19"/>
      <c r="E1081" s="19"/>
    </row>
    <row r="1082" spans="3:5" x14ac:dyDescent="0.2">
      <c r="C1082" s="25"/>
      <c r="D1082" s="19"/>
      <c r="E1082" s="19"/>
    </row>
    <row r="1083" spans="3:5" x14ac:dyDescent="0.2">
      <c r="C1083" s="25"/>
      <c r="D1083" s="19"/>
      <c r="E1083" s="19"/>
    </row>
    <row r="1084" spans="3:5" x14ac:dyDescent="0.2">
      <c r="C1084" s="25"/>
      <c r="D1084" s="19"/>
      <c r="E1084" s="19"/>
    </row>
    <row r="1085" spans="3:5" x14ac:dyDescent="0.2">
      <c r="C1085" s="25"/>
      <c r="D1085" s="19"/>
      <c r="E1085" s="19"/>
    </row>
    <row r="1086" spans="3:5" x14ac:dyDescent="0.2">
      <c r="C1086" s="25"/>
      <c r="D1086" s="19"/>
      <c r="E1086" s="19"/>
    </row>
    <row r="1087" spans="3:5" x14ac:dyDescent="0.2">
      <c r="C1087" s="25"/>
      <c r="D1087" s="19"/>
      <c r="E1087" s="19"/>
    </row>
    <row r="1088" spans="3:5" x14ac:dyDescent="0.2">
      <c r="C1088" s="25"/>
      <c r="D1088" s="19"/>
      <c r="E1088" s="19"/>
    </row>
    <row r="1089" spans="3:5" x14ac:dyDescent="0.2">
      <c r="C1089" s="25"/>
      <c r="D1089" s="19"/>
      <c r="E1089" s="19"/>
    </row>
    <row r="1090" spans="3:5" x14ac:dyDescent="0.2">
      <c r="C1090" s="25"/>
      <c r="D1090" s="19"/>
      <c r="E1090" s="19"/>
    </row>
    <row r="1091" spans="3:5" x14ac:dyDescent="0.2">
      <c r="C1091" s="25"/>
      <c r="D1091" s="19"/>
      <c r="E1091" s="19"/>
    </row>
    <row r="1092" spans="3:5" x14ac:dyDescent="0.2">
      <c r="C1092" s="25"/>
      <c r="D1092" s="19"/>
      <c r="E1092" s="19"/>
    </row>
    <row r="1093" spans="3:5" x14ac:dyDescent="0.2">
      <c r="C1093" s="25"/>
      <c r="D1093" s="19"/>
      <c r="E1093" s="19"/>
    </row>
    <row r="1094" spans="3:5" x14ac:dyDescent="0.2">
      <c r="C1094" s="25"/>
      <c r="D1094" s="19"/>
      <c r="E1094" s="19"/>
    </row>
    <row r="1095" spans="3:5" x14ac:dyDescent="0.2">
      <c r="C1095" s="25"/>
      <c r="D1095" s="19"/>
      <c r="E1095" s="19"/>
    </row>
    <row r="1096" spans="3:5" x14ac:dyDescent="0.2">
      <c r="C1096" s="25"/>
      <c r="D1096" s="19"/>
      <c r="E1096" s="19"/>
    </row>
    <row r="1097" spans="3:5" x14ac:dyDescent="0.2">
      <c r="C1097" s="25"/>
      <c r="D1097" s="19"/>
      <c r="E1097" s="19"/>
    </row>
    <row r="1098" spans="3:5" x14ac:dyDescent="0.2">
      <c r="C1098" s="25"/>
      <c r="D1098" s="19"/>
      <c r="E1098" s="19"/>
    </row>
    <row r="1099" spans="3:5" x14ac:dyDescent="0.2">
      <c r="C1099" s="25"/>
      <c r="D1099" s="19"/>
      <c r="E1099" s="19"/>
    </row>
    <row r="1100" spans="3:5" x14ac:dyDescent="0.2">
      <c r="C1100" s="25"/>
      <c r="D1100" s="19"/>
      <c r="E1100" s="19"/>
    </row>
    <row r="1101" spans="3:5" x14ac:dyDescent="0.2">
      <c r="C1101" s="25"/>
      <c r="D1101" s="19"/>
      <c r="E1101" s="19"/>
    </row>
    <row r="1102" spans="3:5" x14ac:dyDescent="0.2">
      <c r="C1102" s="25"/>
      <c r="D1102" s="19"/>
      <c r="E1102" s="19"/>
    </row>
    <row r="1103" spans="3:5" x14ac:dyDescent="0.2">
      <c r="C1103" s="25"/>
      <c r="D1103" s="19"/>
      <c r="E1103" s="19"/>
    </row>
    <row r="1104" spans="3:5" x14ac:dyDescent="0.2">
      <c r="C1104" s="25"/>
      <c r="D1104" s="19"/>
      <c r="E1104" s="19"/>
    </row>
    <row r="1105" spans="3:5" x14ac:dyDescent="0.2">
      <c r="C1105" s="25"/>
      <c r="D1105" s="19"/>
      <c r="E1105" s="19"/>
    </row>
    <row r="1106" spans="3:5" x14ac:dyDescent="0.2">
      <c r="C1106" s="25"/>
      <c r="D1106" s="19"/>
      <c r="E1106" s="19"/>
    </row>
    <row r="1107" spans="3:5" x14ac:dyDescent="0.2">
      <c r="C1107" s="25"/>
      <c r="D1107" s="19"/>
      <c r="E1107" s="19"/>
    </row>
    <row r="1108" spans="3:5" x14ac:dyDescent="0.2">
      <c r="C1108" s="25"/>
      <c r="D1108" s="19"/>
      <c r="E1108" s="19"/>
    </row>
    <row r="1109" spans="3:5" x14ac:dyDescent="0.2">
      <c r="C1109" s="25"/>
      <c r="D1109" s="19"/>
      <c r="E1109" s="19"/>
    </row>
    <row r="1110" spans="3:5" x14ac:dyDescent="0.2">
      <c r="C1110" s="25"/>
      <c r="D1110" s="19"/>
      <c r="E1110" s="19"/>
    </row>
    <row r="1111" spans="3:5" x14ac:dyDescent="0.2">
      <c r="C1111" s="25"/>
      <c r="D1111" s="19"/>
      <c r="E1111" s="19"/>
    </row>
    <row r="1112" spans="3:5" x14ac:dyDescent="0.2">
      <c r="C1112" s="25"/>
      <c r="D1112" s="19"/>
      <c r="E1112" s="19"/>
    </row>
    <row r="1113" spans="3:5" x14ac:dyDescent="0.2">
      <c r="C1113" s="25"/>
      <c r="D1113" s="19"/>
      <c r="E1113" s="19"/>
    </row>
    <row r="1114" spans="3:5" x14ac:dyDescent="0.2">
      <c r="C1114" s="25"/>
      <c r="D1114" s="19"/>
      <c r="E1114" s="19"/>
    </row>
    <row r="1115" spans="3:5" x14ac:dyDescent="0.2">
      <c r="C1115" s="25"/>
      <c r="D1115" s="19"/>
      <c r="E1115" s="19"/>
    </row>
    <row r="1116" spans="3:5" x14ac:dyDescent="0.2">
      <c r="C1116" s="25"/>
      <c r="D1116" s="19"/>
      <c r="E1116" s="19"/>
    </row>
    <row r="1117" spans="3:5" x14ac:dyDescent="0.2">
      <c r="C1117" s="25"/>
      <c r="D1117" s="19"/>
      <c r="E1117" s="19"/>
    </row>
    <row r="1118" spans="3:5" x14ac:dyDescent="0.2">
      <c r="C1118" s="25"/>
      <c r="D1118" s="19"/>
      <c r="E1118" s="19"/>
    </row>
    <row r="1119" spans="3:5" x14ac:dyDescent="0.2">
      <c r="C1119" s="25"/>
      <c r="D1119" s="19"/>
      <c r="E1119" s="19"/>
    </row>
    <row r="1120" spans="3:5" x14ac:dyDescent="0.2">
      <c r="C1120" s="25"/>
      <c r="D1120" s="19"/>
      <c r="E1120" s="19"/>
    </row>
    <row r="1121" spans="3:5" x14ac:dyDescent="0.2">
      <c r="C1121" s="25"/>
      <c r="D1121" s="19"/>
      <c r="E1121" s="19"/>
    </row>
    <row r="1122" spans="3:5" x14ac:dyDescent="0.2">
      <c r="C1122" s="25"/>
      <c r="D1122" s="19"/>
      <c r="E1122" s="19"/>
    </row>
    <row r="1123" spans="3:5" x14ac:dyDescent="0.2">
      <c r="C1123" s="25"/>
      <c r="D1123" s="19"/>
      <c r="E1123" s="19"/>
    </row>
    <row r="1124" spans="3:5" x14ac:dyDescent="0.2">
      <c r="C1124" s="25"/>
      <c r="D1124" s="19"/>
      <c r="E1124" s="19"/>
    </row>
    <row r="1125" spans="3:5" x14ac:dyDescent="0.2">
      <c r="C1125" s="25"/>
      <c r="D1125" s="19"/>
      <c r="E1125" s="19"/>
    </row>
    <row r="1126" spans="3:5" x14ac:dyDescent="0.2">
      <c r="C1126" s="25"/>
      <c r="D1126" s="19"/>
      <c r="E1126" s="19"/>
    </row>
    <row r="1127" spans="3:5" x14ac:dyDescent="0.2">
      <c r="C1127" s="25"/>
      <c r="D1127" s="19"/>
      <c r="E1127" s="19"/>
    </row>
    <row r="1128" spans="3:5" x14ac:dyDescent="0.2">
      <c r="C1128" s="25"/>
      <c r="D1128" s="19"/>
      <c r="E1128" s="19"/>
    </row>
    <row r="1129" spans="3:5" x14ac:dyDescent="0.2">
      <c r="C1129" s="25"/>
      <c r="D1129" s="19"/>
      <c r="E1129" s="19"/>
    </row>
    <row r="1130" spans="3:5" x14ac:dyDescent="0.2">
      <c r="C1130" s="25"/>
      <c r="D1130" s="19"/>
      <c r="E1130" s="19"/>
    </row>
    <row r="1131" spans="3:5" x14ac:dyDescent="0.2">
      <c r="C1131" s="25"/>
      <c r="D1131" s="19"/>
      <c r="E1131" s="19"/>
    </row>
    <row r="1132" spans="3:5" x14ac:dyDescent="0.2">
      <c r="C1132" s="25"/>
      <c r="D1132" s="19"/>
      <c r="E1132" s="19"/>
    </row>
    <row r="1133" spans="3:5" x14ac:dyDescent="0.2">
      <c r="C1133" s="25"/>
      <c r="D1133" s="19"/>
      <c r="E1133" s="19"/>
    </row>
    <row r="1134" spans="3:5" x14ac:dyDescent="0.2">
      <c r="C1134" s="25"/>
      <c r="D1134" s="19"/>
      <c r="E1134" s="19"/>
    </row>
    <row r="1135" spans="3:5" x14ac:dyDescent="0.2">
      <c r="C1135" s="25"/>
      <c r="D1135" s="19"/>
      <c r="E1135" s="19"/>
    </row>
    <row r="1136" spans="3:5" x14ac:dyDescent="0.2">
      <c r="C1136" s="25"/>
      <c r="D1136" s="19"/>
      <c r="E1136" s="19"/>
    </row>
    <row r="1137" spans="3:5" x14ac:dyDescent="0.2">
      <c r="C1137" s="25"/>
      <c r="D1137" s="19"/>
      <c r="E1137" s="19"/>
    </row>
    <row r="1138" spans="3:5" x14ac:dyDescent="0.2">
      <c r="C1138" s="25"/>
      <c r="D1138" s="19"/>
      <c r="E1138" s="19"/>
    </row>
    <row r="1139" spans="3:5" x14ac:dyDescent="0.2">
      <c r="C1139" s="25"/>
      <c r="D1139" s="19"/>
      <c r="E1139" s="19"/>
    </row>
    <row r="1140" spans="3:5" x14ac:dyDescent="0.2">
      <c r="C1140" s="25"/>
      <c r="D1140" s="19"/>
      <c r="E1140" s="19"/>
    </row>
    <row r="1141" spans="3:5" x14ac:dyDescent="0.2">
      <c r="C1141" s="25"/>
      <c r="D1141" s="19"/>
      <c r="E1141" s="19"/>
    </row>
    <row r="1142" spans="3:5" x14ac:dyDescent="0.2">
      <c r="C1142" s="25"/>
      <c r="D1142" s="19"/>
      <c r="E1142" s="19"/>
    </row>
    <row r="1143" spans="3:5" x14ac:dyDescent="0.2">
      <c r="C1143" s="25"/>
      <c r="D1143" s="19"/>
      <c r="E1143" s="19"/>
    </row>
    <row r="1144" spans="3:5" x14ac:dyDescent="0.2">
      <c r="C1144" s="25"/>
      <c r="D1144" s="19"/>
      <c r="E1144" s="19"/>
    </row>
    <row r="1145" spans="3:5" x14ac:dyDescent="0.2">
      <c r="C1145" s="25"/>
      <c r="D1145" s="19"/>
      <c r="E1145" s="19"/>
    </row>
    <row r="1146" spans="3:5" x14ac:dyDescent="0.2">
      <c r="C1146" s="25"/>
      <c r="D1146" s="19"/>
      <c r="E1146" s="19"/>
    </row>
    <row r="1147" spans="3:5" x14ac:dyDescent="0.2">
      <c r="C1147" s="25"/>
      <c r="D1147" s="19"/>
      <c r="E1147" s="19"/>
    </row>
    <row r="1148" spans="3:5" x14ac:dyDescent="0.2">
      <c r="C1148" s="25"/>
      <c r="D1148" s="19"/>
      <c r="E1148" s="19"/>
    </row>
    <row r="1149" spans="3:5" x14ac:dyDescent="0.2">
      <c r="C1149" s="25"/>
      <c r="D1149" s="19"/>
      <c r="E1149" s="19"/>
    </row>
    <row r="1150" spans="3:5" x14ac:dyDescent="0.2">
      <c r="C1150" s="25"/>
      <c r="D1150" s="19"/>
      <c r="E1150" s="19"/>
    </row>
    <row r="1151" spans="3:5" x14ac:dyDescent="0.2">
      <c r="C1151" s="25"/>
      <c r="D1151" s="19"/>
      <c r="E1151" s="19"/>
    </row>
    <row r="1152" spans="3:5" x14ac:dyDescent="0.2">
      <c r="C1152" s="25"/>
      <c r="D1152" s="19"/>
      <c r="E1152" s="19"/>
    </row>
    <row r="1153" spans="3:5" x14ac:dyDescent="0.2">
      <c r="C1153" s="25"/>
      <c r="D1153" s="19"/>
      <c r="E1153" s="19"/>
    </row>
    <row r="1154" spans="3:5" x14ac:dyDescent="0.2">
      <c r="C1154" s="25"/>
      <c r="D1154" s="19"/>
      <c r="E1154" s="19"/>
    </row>
    <row r="1155" spans="3:5" x14ac:dyDescent="0.2">
      <c r="C1155" s="25"/>
      <c r="D1155" s="19"/>
      <c r="E1155" s="19"/>
    </row>
    <row r="1156" spans="3:5" x14ac:dyDescent="0.2">
      <c r="C1156" s="25"/>
      <c r="D1156" s="19"/>
      <c r="E1156" s="19"/>
    </row>
    <row r="1157" spans="3:5" x14ac:dyDescent="0.2">
      <c r="C1157" s="25"/>
      <c r="D1157" s="19"/>
      <c r="E1157" s="19"/>
    </row>
    <row r="1158" spans="3:5" x14ac:dyDescent="0.2">
      <c r="C1158" s="25"/>
      <c r="D1158" s="19"/>
      <c r="E1158" s="19"/>
    </row>
    <row r="1159" spans="3:5" x14ac:dyDescent="0.2">
      <c r="C1159" s="25"/>
      <c r="D1159" s="19"/>
      <c r="E1159" s="19"/>
    </row>
    <row r="1160" spans="3:5" x14ac:dyDescent="0.2">
      <c r="C1160" s="25"/>
      <c r="D1160" s="19"/>
      <c r="E1160" s="19"/>
    </row>
    <row r="1161" spans="3:5" x14ac:dyDescent="0.2">
      <c r="C1161" s="25"/>
      <c r="D1161" s="19"/>
      <c r="E1161" s="19"/>
    </row>
    <row r="1162" spans="3:5" x14ac:dyDescent="0.2">
      <c r="C1162" s="25"/>
      <c r="D1162" s="19"/>
      <c r="E1162" s="19"/>
    </row>
    <row r="1163" spans="3:5" x14ac:dyDescent="0.2">
      <c r="C1163" s="25"/>
      <c r="D1163" s="19"/>
      <c r="E1163" s="19"/>
    </row>
    <row r="1164" spans="3:5" x14ac:dyDescent="0.2">
      <c r="C1164" s="25"/>
      <c r="D1164" s="19"/>
      <c r="E1164" s="19"/>
    </row>
    <row r="1165" spans="3:5" x14ac:dyDescent="0.2">
      <c r="C1165" s="25"/>
      <c r="D1165" s="19"/>
      <c r="E1165" s="19"/>
    </row>
    <row r="1166" spans="3:5" x14ac:dyDescent="0.2">
      <c r="C1166" s="25"/>
      <c r="D1166" s="19"/>
      <c r="E1166" s="19"/>
    </row>
    <row r="1167" spans="3:5" x14ac:dyDescent="0.2">
      <c r="C1167" s="25"/>
      <c r="D1167" s="19"/>
      <c r="E1167" s="19"/>
    </row>
    <row r="1168" spans="3:5" x14ac:dyDescent="0.2">
      <c r="C1168" s="25"/>
      <c r="D1168" s="19"/>
      <c r="E1168" s="19"/>
    </row>
    <row r="1169" spans="3:5" x14ac:dyDescent="0.2">
      <c r="C1169" s="25"/>
      <c r="D1169" s="19"/>
      <c r="E1169" s="19"/>
    </row>
    <row r="1170" spans="3:5" x14ac:dyDescent="0.2">
      <c r="C1170" s="25"/>
      <c r="D1170" s="19"/>
      <c r="E1170" s="19"/>
    </row>
    <row r="1171" spans="3:5" x14ac:dyDescent="0.2">
      <c r="C1171" s="25"/>
      <c r="D1171" s="19"/>
      <c r="E1171" s="19"/>
    </row>
    <row r="1172" spans="3:5" x14ac:dyDescent="0.2">
      <c r="C1172" s="25"/>
      <c r="D1172" s="19"/>
      <c r="E1172" s="19"/>
    </row>
    <row r="1173" spans="3:5" x14ac:dyDescent="0.2">
      <c r="C1173" s="25"/>
      <c r="D1173" s="19"/>
      <c r="E1173" s="19"/>
    </row>
    <row r="1174" spans="3:5" x14ac:dyDescent="0.2">
      <c r="C1174" s="25"/>
      <c r="D1174" s="19"/>
      <c r="E1174" s="19"/>
    </row>
    <row r="1175" spans="3:5" x14ac:dyDescent="0.2">
      <c r="C1175" s="25"/>
      <c r="D1175" s="19"/>
      <c r="E1175" s="19"/>
    </row>
    <row r="1176" spans="3:5" x14ac:dyDescent="0.2">
      <c r="C1176" s="25"/>
      <c r="D1176" s="19"/>
      <c r="E1176" s="19"/>
    </row>
    <row r="1177" spans="3:5" x14ac:dyDescent="0.2">
      <c r="C1177" s="25"/>
      <c r="D1177" s="19"/>
      <c r="E1177" s="19"/>
    </row>
    <row r="1178" spans="3:5" x14ac:dyDescent="0.2">
      <c r="C1178" s="25"/>
      <c r="D1178" s="19"/>
      <c r="E1178" s="19"/>
    </row>
    <row r="1179" spans="3:5" x14ac:dyDescent="0.2">
      <c r="C1179" s="25"/>
      <c r="D1179" s="19"/>
      <c r="E1179" s="19"/>
    </row>
    <row r="1180" spans="3:5" x14ac:dyDescent="0.2">
      <c r="C1180" s="25"/>
      <c r="D1180" s="19"/>
      <c r="E1180" s="19"/>
    </row>
    <row r="1181" spans="3:5" x14ac:dyDescent="0.2">
      <c r="C1181" s="25"/>
      <c r="D1181" s="19"/>
      <c r="E1181" s="19"/>
    </row>
    <row r="1182" spans="3:5" x14ac:dyDescent="0.2">
      <c r="C1182" s="25"/>
      <c r="D1182" s="19"/>
      <c r="E1182" s="19"/>
    </row>
    <row r="1183" spans="3:5" x14ac:dyDescent="0.2">
      <c r="C1183" s="25"/>
      <c r="D1183" s="19"/>
      <c r="E1183" s="19"/>
    </row>
    <row r="1184" spans="3:5" x14ac:dyDescent="0.2">
      <c r="C1184" s="25"/>
      <c r="D1184" s="19"/>
      <c r="E1184" s="19"/>
    </row>
    <row r="1185" spans="3:5" x14ac:dyDescent="0.2">
      <c r="C1185" s="25"/>
      <c r="D1185" s="19"/>
      <c r="E1185" s="19"/>
    </row>
    <row r="1186" spans="3:5" x14ac:dyDescent="0.2">
      <c r="C1186" s="25"/>
      <c r="D1186" s="19"/>
      <c r="E1186" s="19"/>
    </row>
    <row r="1187" spans="3:5" x14ac:dyDescent="0.2">
      <c r="C1187" s="25"/>
      <c r="D1187" s="19"/>
      <c r="E1187" s="19"/>
    </row>
    <row r="1188" spans="3:5" x14ac:dyDescent="0.2">
      <c r="C1188" s="25"/>
      <c r="D1188" s="19"/>
      <c r="E1188" s="19"/>
    </row>
    <row r="1189" spans="3:5" x14ac:dyDescent="0.2">
      <c r="C1189" s="25"/>
      <c r="D1189" s="19"/>
      <c r="E1189" s="19"/>
    </row>
    <row r="1190" spans="3:5" x14ac:dyDescent="0.2">
      <c r="C1190" s="25"/>
      <c r="D1190" s="19"/>
      <c r="E1190" s="19"/>
    </row>
    <row r="1191" spans="3:5" x14ac:dyDescent="0.2">
      <c r="C1191" s="25"/>
      <c r="D1191" s="19"/>
      <c r="E1191" s="19"/>
    </row>
    <row r="1192" spans="3:5" x14ac:dyDescent="0.2">
      <c r="C1192" s="25"/>
      <c r="D1192" s="19"/>
      <c r="E1192" s="19"/>
    </row>
    <row r="1193" spans="3:5" x14ac:dyDescent="0.2">
      <c r="C1193" s="25"/>
      <c r="D1193" s="19"/>
      <c r="E1193" s="19"/>
    </row>
    <row r="1194" spans="3:5" x14ac:dyDescent="0.2">
      <c r="C1194" s="25"/>
      <c r="D1194" s="19"/>
      <c r="E1194" s="19"/>
    </row>
    <row r="1195" spans="3:5" x14ac:dyDescent="0.2">
      <c r="C1195" s="25"/>
      <c r="D1195" s="19"/>
      <c r="E1195" s="19"/>
    </row>
    <row r="1196" spans="3:5" x14ac:dyDescent="0.2">
      <c r="C1196" s="25"/>
      <c r="D1196" s="19"/>
      <c r="E1196" s="19"/>
    </row>
    <row r="1197" spans="3:5" x14ac:dyDescent="0.2">
      <c r="C1197" s="25"/>
      <c r="D1197" s="19"/>
      <c r="E1197" s="19"/>
    </row>
    <row r="1198" spans="3:5" x14ac:dyDescent="0.2">
      <c r="C1198" s="25"/>
      <c r="D1198" s="19"/>
      <c r="E1198" s="19"/>
    </row>
    <row r="1199" spans="3:5" x14ac:dyDescent="0.2">
      <c r="C1199" s="25"/>
      <c r="D1199" s="19"/>
      <c r="E1199" s="19"/>
    </row>
    <row r="1200" spans="3:5" x14ac:dyDescent="0.2">
      <c r="C1200" s="25"/>
      <c r="D1200" s="19"/>
      <c r="E1200" s="19"/>
    </row>
    <row r="1201" spans="3:5" x14ac:dyDescent="0.2">
      <c r="C1201" s="25"/>
      <c r="D1201" s="19"/>
      <c r="E1201" s="19"/>
    </row>
    <row r="1202" spans="3:5" x14ac:dyDescent="0.2">
      <c r="C1202" s="25"/>
      <c r="D1202" s="19"/>
      <c r="E1202" s="19"/>
    </row>
    <row r="1203" spans="3:5" x14ac:dyDescent="0.2">
      <c r="C1203" s="25"/>
      <c r="D1203" s="19"/>
      <c r="E1203" s="19"/>
    </row>
    <row r="1204" spans="3:5" x14ac:dyDescent="0.2">
      <c r="C1204" s="25"/>
      <c r="D1204" s="19"/>
      <c r="E1204" s="19"/>
    </row>
    <row r="1205" spans="3:5" x14ac:dyDescent="0.2">
      <c r="C1205" s="25"/>
      <c r="D1205" s="19"/>
      <c r="E1205" s="19"/>
    </row>
    <row r="1206" spans="3:5" x14ac:dyDescent="0.2">
      <c r="C1206" s="25"/>
      <c r="D1206" s="19"/>
      <c r="E1206" s="19"/>
    </row>
    <row r="1207" spans="3:5" x14ac:dyDescent="0.2">
      <c r="C1207" s="25"/>
      <c r="D1207" s="19"/>
      <c r="E1207" s="19"/>
    </row>
    <row r="1208" spans="3:5" x14ac:dyDescent="0.2">
      <c r="C1208" s="25"/>
      <c r="D1208" s="19"/>
      <c r="E1208" s="19"/>
    </row>
    <row r="1209" spans="3:5" x14ac:dyDescent="0.2">
      <c r="C1209" s="25"/>
      <c r="D1209" s="19"/>
      <c r="E1209" s="19"/>
    </row>
    <row r="1210" spans="3:5" x14ac:dyDescent="0.2">
      <c r="C1210" s="25"/>
      <c r="D1210" s="19"/>
      <c r="E1210" s="19"/>
    </row>
    <row r="1211" spans="3:5" x14ac:dyDescent="0.2">
      <c r="C1211" s="25"/>
      <c r="D1211" s="19"/>
      <c r="E1211" s="19"/>
    </row>
    <row r="1212" spans="3:5" x14ac:dyDescent="0.2">
      <c r="C1212" s="25"/>
      <c r="D1212" s="19"/>
      <c r="E1212" s="19"/>
    </row>
    <row r="1213" spans="3:5" x14ac:dyDescent="0.2">
      <c r="C1213" s="25"/>
      <c r="D1213" s="19"/>
      <c r="E1213" s="19"/>
    </row>
    <row r="1214" spans="3:5" x14ac:dyDescent="0.2">
      <c r="C1214" s="25"/>
      <c r="D1214" s="19"/>
      <c r="E1214" s="19"/>
    </row>
    <row r="1215" spans="3:5" x14ac:dyDescent="0.2">
      <c r="C1215" s="25"/>
      <c r="D1215" s="19"/>
      <c r="E1215" s="19"/>
    </row>
    <row r="1216" spans="3:5" x14ac:dyDescent="0.2">
      <c r="C1216" s="25"/>
      <c r="D1216" s="19"/>
      <c r="E1216" s="19"/>
    </row>
    <row r="1217" spans="3:5" x14ac:dyDescent="0.2">
      <c r="C1217" s="25"/>
      <c r="D1217" s="19"/>
      <c r="E1217" s="19"/>
    </row>
    <row r="1218" spans="3:5" x14ac:dyDescent="0.2">
      <c r="C1218" s="25"/>
      <c r="D1218" s="19"/>
      <c r="E1218" s="19"/>
    </row>
    <row r="1219" spans="3:5" x14ac:dyDescent="0.2">
      <c r="C1219" s="25"/>
      <c r="D1219" s="19"/>
      <c r="E1219" s="19"/>
    </row>
    <row r="1220" spans="3:5" x14ac:dyDescent="0.2">
      <c r="C1220" s="25"/>
      <c r="D1220" s="19"/>
      <c r="E1220" s="19"/>
    </row>
    <row r="1221" spans="3:5" x14ac:dyDescent="0.2">
      <c r="C1221" s="25"/>
      <c r="D1221" s="19"/>
      <c r="E1221" s="19"/>
    </row>
    <row r="1222" spans="3:5" x14ac:dyDescent="0.2">
      <c r="C1222" s="25"/>
      <c r="D1222" s="19"/>
      <c r="E1222" s="19"/>
    </row>
    <row r="1223" spans="3:5" x14ac:dyDescent="0.2">
      <c r="C1223" s="25"/>
      <c r="D1223" s="19"/>
      <c r="E1223" s="19"/>
    </row>
    <row r="1224" spans="3:5" x14ac:dyDescent="0.2">
      <c r="C1224" s="25"/>
      <c r="D1224" s="19"/>
      <c r="E1224" s="19"/>
    </row>
    <row r="1225" spans="3:5" x14ac:dyDescent="0.2">
      <c r="C1225" s="25"/>
      <c r="D1225" s="19"/>
      <c r="E1225" s="19"/>
    </row>
    <row r="1226" spans="3:5" x14ac:dyDescent="0.2">
      <c r="C1226" s="25"/>
      <c r="D1226" s="19"/>
      <c r="E1226" s="19"/>
    </row>
    <row r="1227" spans="3:5" x14ac:dyDescent="0.2">
      <c r="C1227" s="25"/>
      <c r="D1227" s="19"/>
      <c r="E1227" s="19"/>
    </row>
    <row r="1228" spans="3:5" x14ac:dyDescent="0.2">
      <c r="C1228" s="25"/>
      <c r="D1228" s="19"/>
      <c r="E1228" s="19"/>
    </row>
    <row r="1229" spans="3:5" x14ac:dyDescent="0.2">
      <c r="C1229" s="25"/>
      <c r="D1229" s="19"/>
      <c r="E1229" s="19"/>
    </row>
    <row r="1230" spans="3:5" x14ac:dyDescent="0.2">
      <c r="C1230" s="25"/>
      <c r="D1230" s="19"/>
      <c r="E1230" s="19"/>
    </row>
    <row r="1231" spans="3:5" x14ac:dyDescent="0.2">
      <c r="C1231" s="25"/>
      <c r="D1231" s="19"/>
      <c r="E1231" s="19"/>
    </row>
    <row r="1232" spans="3:5" x14ac:dyDescent="0.2">
      <c r="C1232" s="25"/>
      <c r="D1232" s="19"/>
      <c r="E1232" s="19"/>
    </row>
    <row r="1233" spans="3:5" x14ac:dyDescent="0.2">
      <c r="C1233" s="25"/>
      <c r="D1233" s="19"/>
      <c r="E1233" s="19"/>
    </row>
    <row r="1234" spans="3:5" x14ac:dyDescent="0.2">
      <c r="C1234" s="25"/>
      <c r="D1234" s="19"/>
      <c r="E1234" s="19"/>
    </row>
    <row r="1235" spans="3:5" x14ac:dyDescent="0.2">
      <c r="C1235" s="25"/>
      <c r="D1235" s="19"/>
      <c r="E1235" s="19"/>
    </row>
    <row r="1236" spans="3:5" x14ac:dyDescent="0.2">
      <c r="C1236" s="25"/>
      <c r="D1236" s="19"/>
      <c r="E1236" s="19"/>
    </row>
    <row r="1237" spans="3:5" x14ac:dyDescent="0.2">
      <c r="C1237" s="25"/>
      <c r="D1237" s="19"/>
      <c r="E1237" s="19"/>
    </row>
    <row r="1238" spans="3:5" x14ac:dyDescent="0.2">
      <c r="C1238" s="25"/>
      <c r="D1238" s="19"/>
      <c r="E1238" s="19"/>
    </row>
    <row r="1239" spans="3:5" x14ac:dyDescent="0.2">
      <c r="C1239" s="25"/>
      <c r="D1239" s="19"/>
      <c r="E1239" s="19"/>
    </row>
    <row r="1240" spans="3:5" x14ac:dyDescent="0.2">
      <c r="C1240" s="25"/>
      <c r="D1240" s="19"/>
      <c r="E1240" s="19"/>
    </row>
    <row r="1241" spans="3:5" x14ac:dyDescent="0.2">
      <c r="C1241" s="25"/>
      <c r="D1241" s="19"/>
      <c r="E1241" s="19"/>
    </row>
    <row r="1242" spans="3:5" x14ac:dyDescent="0.2">
      <c r="C1242" s="25"/>
      <c r="D1242" s="19"/>
      <c r="E1242" s="19"/>
    </row>
    <row r="1243" spans="3:5" x14ac:dyDescent="0.2">
      <c r="C1243" s="25"/>
      <c r="D1243" s="19"/>
      <c r="E1243" s="19"/>
    </row>
    <row r="1244" spans="3:5" x14ac:dyDescent="0.2">
      <c r="C1244" s="25"/>
      <c r="D1244" s="19"/>
      <c r="E1244" s="19"/>
    </row>
    <row r="1245" spans="3:5" x14ac:dyDescent="0.2">
      <c r="C1245" s="25"/>
      <c r="D1245" s="19"/>
      <c r="E1245" s="19"/>
    </row>
    <row r="1246" spans="3:5" x14ac:dyDescent="0.2">
      <c r="C1246" s="25"/>
      <c r="D1246" s="19"/>
      <c r="E1246" s="19"/>
    </row>
    <row r="1247" spans="3:5" x14ac:dyDescent="0.2">
      <c r="C1247" s="25"/>
      <c r="D1247" s="19"/>
      <c r="E1247" s="19"/>
    </row>
    <row r="1248" spans="3:5" x14ac:dyDescent="0.2">
      <c r="C1248" s="25"/>
      <c r="D1248" s="19"/>
      <c r="E1248" s="19"/>
    </row>
    <row r="1249" spans="3:5" x14ac:dyDescent="0.2">
      <c r="C1249" s="25"/>
      <c r="D1249" s="19"/>
      <c r="E1249" s="19"/>
    </row>
    <row r="1250" spans="3:5" x14ac:dyDescent="0.2">
      <c r="C1250" s="25"/>
      <c r="D1250" s="19"/>
      <c r="E1250" s="19"/>
    </row>
    <row r="1251" spans="3:5" x14ac:dyDescent="0.2">
      <c r="C1251" s="25"/>
      <c r="D1251" s="19"/>
      <c r="E1251" s="19"/>
    </row>
    <row r="1252" spans="3:5" x14ac:dyDescent="0.2">
      <c r="C1252" s="25"/>
      <c r="D1252" s="19"/>
      <c r="E1252" s="19"/>
    </row>
    <row r="1253" spans="3:5" x14ac:dyDescent="0.2">
      <c r="C1253" s="25"/>
      <c r="D1253" s="19"/>
      <c r="E1253" s="19"/>
    </row>
    <row r="1254" spans="3:5" x14ac:dyDescent="0.2">
      <c r="C1254" s="25"/>
      <c r="D1254" s="19"/>
      <c r="E1254" s="19"/>
    </row>
    <row r="1255" spans="3:5" x14ac:dyDescent="0.2">
      <c r="C1255" s="25"/>
      <c r="D1255" s="19"/>
      <c r="E1255" s="19"/>
    </row>
    <row r="1256" spans="3:5" x14ac:dyDescent="0.2">
      <c r="C1256" s="25"/>
      <c r="D1256" s="19"/>
      <c r="E1256" s="19"/>
    </row>
    <row r="1257" spans="3:5" x14ac:dyDescent="0.2">
      <c r="C1257" s="25"/>
      <c r="D1257" s="19"/>
      <c r="E1257" s="19"/>
    </row>
    <row r="1258" spans="3:5" x14ac:dyDescent="0.2">
      <c r="C1258" s="25"/>
      <c r="D1258" s="19"/>
      <c r="E1258" s="19"/>
    </row>
    <row r="1259" spans="3:5" x14ac:dyDescent="0.2">
      <c r="C1259" s="25"/>
      <c r="D1259" s="19"/>
      <c r="E1259" s="19"/>
    </row>
    <row r="1260" spans="3:5" x14ac:dyDescent="0.2">
      <c r="C1260" s="25"/>
      <c r="D1260" s="19"/>
      <c r="E1260" s="19"/>
    </row>
    <row r="1261" spans="3:5" x14ac:dyDescent="0.2">
      <c r="C1261" s="25"/>
      <c r="D1261" s="19"/>
      <c r="E1261" s="19"/>
    </row>
    <row r="1262" spans="3:5" x14ac:dyDescent="0.2">
      <c r="C1262" s="25"/>
      <c r="D1262" s="19"/>
      <c r="E1262" s="19"/>
    </row>
    <row r="1263" spans="3:5" x14ac:dyDescent="0.2">
      <c r="C1263" s="25"/>
      <c r="D1263" s="19"/>
      <c r="E1263" s="19"/>
    </row>
    <row r="1264" spans="3:5" x14ac:dyDescent="0.2">
      <c r="C1264" s="25"/>
      <c r="D1264" s="19"/>
      <c r="E1264" s="19"/>
    </row>
    <row r="1265" spans="3:5" x14ac:dyDescent="0.2">
      <c r="C1265" s="25"/>
      <c r="D1265" s="19"/>
      <c r="E1265" s="19"/>
    </row>
    <row r="1266" spans="3:5" x14ac:dyDescent="0.2">
      <c r="C1266" s="25"/>
      <c r="D1266" s="19"/>
      <c r="E1266" s="19"/>
    </row>
    <row r="1267" spans="3:5" x14ac:dyDescent="0.2">
      <c r="C1267" s="25"/>
      <c r="D1267" s="19"/>
      <c r="E1267" s="19"/>
    </row>
    <row r="1268" spans="3:5" x14ac:dyDescent="0.2">
      <c r="C1268" s="25"/>
      <c r="D1268" s="19"/>
      <c r="E1268" s="19"/>
    </row>
    <row r="1269" spans="3:5" x14ac:dyDescent="0.2">
      <c r="C1269" s="25"/>
      <c r="D1269" s="19"/>
      <c r="E1269" s="19"/>
    </row>
    <row r="1270" spans="3:5" x14ac:dyDescent="0.2">
      <c r="C1270" s="25"/>
      <c r="D1270" s="19"/>
      <c r="E1270" s="19"/>
    </row>
    <row r="1271" spans="3:5" x14ac:dyDescent="0.2">
      <c r="C1271" s="25"/>
      <c r="D1271" s="19"/>
      <c r="E1271" s="19"/>
    </row>
    <row r="1272" spans="3:5" x14ac:dyDescent="0.2">
      <c r="C1272" s="25"/>
      <c r="D1272" s="19"/>
      <c r="E1272" s="19"/>
    </row>
    <row r="1273" spans="3:5" x14ac:dyDescent="0.2">
      <c r="C1273" s="25"/>
      <c r="D1273" s="19"/>
      <c r="E1273" s="19"/>
    </row>
    <row r="1274" spans="3:5" x14ac:dyDescent="0.2">
      <c r="C1274" s="25"/>
      <c r="D1274" s="19"/>
      <c r="E1274" s="19"/>
    </row>
    <row r="1275" spans="3:5" x14ac:dyDescent="0.2">
      <c r="C1275" s="25"/>
      <c r="D1275" s="19"/>
      <c r="E1275" s="19"/>
    </row>
    <row r="1276" spans="3:5" x14ac:dyDescent="0.2">
      <c r="C1276" s="25"/>
      <c r="D1276" s="19"/>
      <c r="E1276" s="19"/>
    </row>
    <row r="1277" spans="3:5" x14ac:dyDescent="0.2">
      <c r="C1277" s="25"/>
      <c r="D1277" s="19"/>
      <c r="E1277" s="19"/>
    </row>
    <row r="1278" spans="3:5" x14ac:dyDescent="0.2">
      <c r="C1278" s="25"/>
      <c r="D1278" s="19"/>
      <c r="E1278" s="19"/>
    </row>
    <row r="1279" spans="3:5" x14ac:dyDescent="0.2">
      <c r="C1279" s="25"/>
      <c r="D1279" s="19"/>
      <c r="E1279" s="19"/>
    </row>
    <row r="1280" spans="3:5" x14ac:dyDescent="0.2">
      <c r="C1280" s="25"/>
      <c r="D1280" s="19"/>
      <c r="E1280" s="19"/>
    </row>
    <row r="1281" spans="3:5" x14ac:dyDescent="0.2">
      <c r="C1281" s="25"/>
      <c r="D1281" s="19"/>
      <c r="E1281" s="19"/>
    </row>
    <row r="1282" spans="3:5" x14ac:dyDescent="0.2">
      <c r="C1282" s="25"/>
      <c r="D1282" s="19"/>
      <c r="E1282" s="19"/>
    </row>
    <row r="1283" spans="3:5" x14ac:dyDescent="0.2">
      <c r="C1283" s="25"/>
      <c r="D1283" s="19"/>
      <c r="E1283" s="19"/>
    </row>
    <row r="1284" spans="3:5" x14ac:dyDescent="0.2">
      <c r="C1284" s="25"/>
      <c r="D1284" s="19"/>
      <c r="E1284" s="19"/>
    </row>
    <row r="1285" spans="3:5" x14ac:dyDescent="0.2">
      <c r="C1285" s="25"/>
      <c r="D1285" s="19"/>
      <c r="E1285" s="19"/>
    </row>
    <row r="1286" spans="3:5" x14ac:dyDescent="0.2">
      <c r="C1286" s="25"/>
      <c r="D1286" s="19"/>
      <c r="E1286" s="19"/>
    </row>
    <row r="1287" spans="3:5" x14ac:dyDescent="0.2">
      <c r="C1287" s="25"/>
      <c r="D1287" s="19"/>
      <c r="E1287" s="19"/>
    </row>
    <row r="1288" spans="3:5" x14ac:dyDescent="0.2">
      <c r="C1288" s="25"/>
      <c r="D1288" s="19"/>
      <c r="E1288" s="19"/>
    </row>
    <row r="1289" spans="3:5" x14ac:dyDescent="0.2">
      <c r="C1289" s="25"/>
      <c r="D1289" s="19"/>
      <c r="E1289" s="19"/>
    </row>
    <row r="1290" spans="3:5" x14ac:dyDescent="0.2">
      <c r="C1290" s="25"/>
      <c r="D1290" s="19"/>
      <c r="E1290" s="19"/>
    </row>
    <row r="1291" spans="3:5" x14ac:dyDescent="0.2">
      <c r="C1291" s="25"/>
      <c r="D1291" s="19"/>
      <c r="E1291" s="19"/>
    </row>
    <row r="1292" spans="3:5" x14ac:dyDescent="0.2">
      <c r="C1292" s="25"/>
      <c r="D1292" s="19"/>
      <c r="E1292" s="19"/>
    </row>
    <row r="1293" spans="3:5" x14ac:dyDescent="0.2">
      <c r="C1293" s="25"/>
      <c r="D1293" s="19"/>
      <c r="E1293" s="19"/>
    </row>
    <row r="1294" spans="3:5" x14ac:dyDescent="0.2">
      <c r="C1294" s="25"/>
      <c r="D1294" s="19"/>
      <c r="E1294" s="19"/>
    </row>
    <row r="1295" spans="3:5" x14ac:dyDescent="0.2">
      <c r="C1295" s="25"/>
      <c r="D1295" s="19"/>
      <c r="E1295" s="19"/>
    </row>
    <row r="1296" spans="3:5" x14ac:dyDescent="0.2">
      <c r="C1296" s="25"/>
      <c r="D1296" s="19"/>
      <c r="E1296" s="19"/>
    </row>
    <row r="1297" spans="3:5" x14ac:dyDescent="0.2">
      <c r="C1297" s="25"/>
      <c r="D1297" s="19"/>
      <c r="E1297" s="19"/>
    </row>
    <row r="1298" spans="3:5" x14ac:dyDescent="0.2">
      <c r="C1298" s="25"/>
      <c r="D1298" s="19"/>
      <c r="E1298" s="19"/>
    </row>
    <row r="1299" spans="3:5" x14ac:dyDescent="0.2">
      <c r="C1299" s="25"/>
      <c r="D1299" s="19"/>
      <c r="E1299" s="19"/>
    </row>
    <row r="1300" spans="3:5" x14ac:dyDescent="0.2">
      <c r="C1300" s="25"/>
      <c r="D1300" s="19"/>
      <c r="E1300" s="19"/>
    </row>
    <row r="1301" spans="3:5" x14ac:dyDescent="0.2">
      <c r="C1301" s="25"/>
      <c r="D1301" s="19"/>
      <c r="E1301" s="19"/>
    </row>
    <row r="1302" spans="3:5" x14ac:dyDescent="0.2">
      <c r="C1302" s="25"/>
      <c r="D1302" s="19"/>
      <c r="E1302" s="19"/>
    </row>
    <row r="1303" spans="3:5" x14ac:dyDescent="0.2">
      <c r="C1303" s="25"/>
      <c r="D1303" s="19"/>
      <c r="E1303" s="19"/>
    </row>
    <row r="1304" spans="3:5" x14ac:dyDescent="0.2">
      <c r="C1304" s="25"/>
      <c r="D1304" s="19"/>
      <c r="E1304" s="19"/>
    </row>
    <row r="1305" spans="3:5" x14ac:dyDescent="0.2">
      <c r="C1305" s="25"/>
      <c r="D1305" s="19"/>
      <c r="E1305" s="19"/>
    </row>
    <row r="1306" spans="3:5" x14ac:dyDescent="0.2">
      <c r="C1306" s="25"/>
      <c r="D1306" s="19"/>
      <c r="E1306" s="19"/>
    </row>
    <row r="1307" spans="3:5" x14ac:dyDescent="0.2">
      <c r="C1307" s="25"/>
      <c r="D1307" s="19"/>
      <c r="E1307" s="19"/>
    </row>
    <row r="1308" spans="3:5" x14ac:dyDescent="0.2">
      <c r="C1308" s="25"/>
      <c r="D1308" s="19"/>
      <c r="E1308" s="19"/>
    </row>
    <row r="1309" spans="3:5" x14ac:dyDescent="0.2">
      <c r="C1309" s="25"/>
      <c r="D1309" s="19"/>
      <c r="E1309" s="19"/>
    </row>
    <row r="1310" spans="3:5" x14ac:dyDescent="0.2">
      <c r="C1310" s="25"/>
      <c r="D1310" s="19"/>
      <c r="E1310" s="19"/>
    </row>
    <row r="1311" spans="3:5" x14ac:dyDescent="0.2">
      <c r="C1311" s="25"/>
      <c r="D1311" s="19"/>
      <c r="E1311" s="19"/>
    </row>
    <row r="1312" spans="3:5" x14ac:dyDescent="0.2">
      <c r="C1312" s="25"/>
      <c r="D1312" s="19"/>
      <c r="E1312" s="19"/>
    </row>
    <row r="1313" spans="3:5" x14ac:dyDescent="0.2">
      <c r="C1313" s="25"/>
      <c r="D1313" s="19"/>
      <c r="E1313" s="19"/>
    </row>
    <row r="1314" spans="3:5" x14ac:dyDescent="0.2">
      <c r="C1314" s="25"/>
      <c r="D1314" s="19"/>
      <c r="E1314" s="19"/>
    </row>
    <row r="1315" spans="3:5" x14ac:dyDescent="0.2">
      <c r="C1315" s="25"/>
      <c r="D1315" s="19"/>
      <c r="E1315" s="19"/>
    </row>
    <row r="1316" spans="3:5" x14ac:dyDescent="0.2">
      <c r="C1316" s="25"/>
      <c r="D1316" s="19"/>
      <c r="E1316" s="19"/>
    </row>
    <row r="1317" spans="3:5" x14ac:dyDescent="0.2">
      <c r="C1317" s="25"/>
      <c r="D1317" s="19"/>
      <c r="E1317" s="19"/>
    </row>
    <row r="1318" spans="3:5" x14ac:dyDescent="0.2">
      <c r="C1318" s="25"/>
      <c r="D1318" s="19"/>
      <c r="E1318" s="19"/>
    </row>
    <row r="1319" spans="3:5" x14ac:dyDescent="0.2">
      <c r="C1319" s="25"/>
      <c r="D1319" s="19"/>
      <c r="E1319" s="19"/>
    </row>
    <row r="1320" spans="3:5" x14ac:dyDescent="0.2">
      <c r="C1320" s="25"/>
      <c r="D1320" s="19"/>
      <c r="E1320" s="19"/>
    </row>
    <row r="1321" spans="3:5" x14ac:dyDescent="0.2">
      <c r="C1321" s="25"/>
      <c r="D1321" s="19"/>
      <c r="E1321" s="19"/>
    </row>
    <row r="1322" spans="3:5" x14ac:dyDescent="0.2">
      <c r="C1322" s="25"/>
      <c r="D1322" s="19"/>
      <c r="E1322" s="19"/>
    </row>
    <row r="1323" spans="3:5" x14ac:dyDescent="0.2">
      <c r="C1323" s="25"/>
      <c r="D1323" s="19"/>
      <c r="E1323" s="19"/>
    </row>
    <row r="1324" spans="3:5" x14ac:dyDescent="0.2">
      <c r="C1324" s="25"/>
      <c r="D1324" s="19"/>
      <c r="E1324" s="19"/>
    </row>
    <row r="1325" spans="3:5" x14ac:dyDescent="0.2">
      <c r="C1325" s="25"/>
      <c r="D1325" s="19"/>
      <c r="E1325" s="19"/>
    </row>
    <row r="1326" spans="3:5" x14ac:dyDescent="0.2">
      <c r="C1326" s="25"/>
      <c r="D1326" s="19"/>
      <c r="E1326" s="19"/>
    </row>
    <row r="1327" spans="3:5" x14ac:dyDescent="0.2">
      <c r="C1327" s="25"/>
      <c r="D1327" s="19"/>
      <c r="E1327" s="19"/>
    </row>
    <row r="1328" spans="3:5" x14ac:dyDescent="0.2">
      <c r="C1328" s="25"/>
      <c r="D1328" s="19"/>
      <c r="E1328" s="19"/>
    </row>
    <row r="1329" spans="3:5" x14ac:dyDescent="0.2">
      <c r="C1329" s="25"/>
      <c r="D1329" s="19"/>
      <c r="E1329" s="19"/>
    </row>
    <row r="1330" spans="3:5" x14ac:dyDescent="0.2">
      <c r="C1330" s="25"/>
      <c r="D1330" s="19"/>
      <c r="E1330" s="19"/>
    </row>
    <row r="1331" spans="3:5" x14ac:dyDescent="0.2">
      <c r="C1331" s="25"/>
      <c r="D1331" s="19"/>
      <c r="E1331" s="19"/>
    </row>
    <row r="1332" spans="3:5" x14ac:dyDescent="0.2">
      <c r="C1332" s="25"/>
      <c r="D1332" s="19"/>
      <c r="E1332" s="19"/>
    </row>
    <row r="1333" spans="3:5" x14ac:dyDescent="0.2">
      <c r="C1333" s="25"/>
      <c r="D1333" s="19"/>
      <c r="E1333" s="19"/>
    </row>
    <row r="1334" spans="3:5" x14ac:dyDescent="0.2">
      <c r="C1334" s="25"/>
      <c r="D1334" s="19"/>
      <c r="E1334" s="19"/>
    </row>
    <row r="1335" spans="3:5" x14ac:dyDescent="0.2">
      <c r="C1335" s="25"/>
      <c r="D1335" s="19"/>
      <c r="E1335" s="19"/>
    </row>
    <row r="1336" spans="3:5" x14ac:dyDescent="0.2">
      <c r="C1336" s="25"/>
      <c r="D1336" s="19"/>
      <c r="E1336" s="19"/>
    </row>
    <row r="1337" spans="3:5" x14ac:dyDescent="0.2">
      <c r="C1337" s="25"/>
      <c r="D1337" s="19"/>
      <c r="E1337" s="19"/>
    </row>
    <row r="1338" spans="3:5" x14ac:dyDescent="0.2">
      <c r="C1338" s="25"/>
      <c r="D1338" s="19"/>
      <c r="E1338" s="19"/>
    </row>
    <row r="1339" spans="3:5" x14ac:dyDescent="0.2">
      <c r="C1339" s="25"/>
      <c r="D1339" s="19"/>
      <c r="E1339" s="19"/>
    </row>
    <row r="1340" spans="3:5" x14ac:dyDescent="0.2">
      <c r="C1340" s="25"/>
      <c r="D1340" s="19"/>
      <c r="E1340" s="19"/>
    </row>
    <row r="1341" spans="3:5" x14ac:dyDescent="0.2">
      <c r="C1341" s="25"/>
      <c r="D1341" s="19"/>
      <c r="E1341" s="19"/>
    </row>
    <row r="1342" spans="3:5" x14ac:dyDescent="0.2">
      <c r="C1342" s="25"/>
      <c r="D1342" s="19"/>
      <c r="E1342" s="19"/>
    </row>
    <row r="1343" spans="3:5" x14ac:dyDescent="0.2">
      <c r="C1343" s="25"/>
      <c r="D1343" s="19"/>
      <c r="E1343" s="19"/>
    </row>
    <row r="1344" spans="3:5" x14ac:dyDescent="0.2">
      <c r="C1344" s="25"/>
      <c r="D1344" s="19"/>
      <c r="E1344" s="19"/>
    </row>
    <row r="1345" spans="3:5" x14ac:dyDescent="0.2">
      <c r="C1345" s="25"/>
      <c r="D1345" s="19"/>
      <c r="E1345" s="19"/>
    </row>
    <row r="1346" spans="3:5" x14ac:dyDescent="0.2">
      <c r="C1346" s="25"/>
      <c r="D1346" s="19"/>
      <c r="E1346" s="19"/>
    </row>
    <row r="1347" spans="3:5" x14ac:dyDescent="0.2">
      <c r="C1347" s="25"/>
      <c r="D1347" s="19"/>
      <c r="E1347" s="19"/>
    </row>
    <row r="1348" spans="3:5" x14ac:dyDescent="0.2">
      <c r="C1348" s="25"/>
      <c r="D1348" s="19"/>
      <c r="E1348" s="19"/>
    </row>
    <row r="1349" spans="3:5" x14ac:dyDescent="0.2">
      <c r="C1349" s="25"/>
      <c r="D1349" s="19"/>
      <c r="E1349" s="19"/>
    </row>
    <row r="1350" spans="3:5" x14ac:dyDescent="0.2">
      <c r="C1350" s="25"/>
      <c r="D1350" s="19"/>
      <c r="E1350" s="19"/>
    </row>
    <row r="1351" spans="3:5" x14ac:dyDescent="0.2">
      <c r="C1351" s="25"/>
      <c r="D1351" s="19"/>
      <c r="E1351" s="19"/>
    </row>
    <row r="1352" spans="3:5" x14ac:dyDescent="0.2">
      <c r="C1352" s="25"/>
      <c r="D1352" s="19"/>
      <c r="E1352" s="19"/>
    </row>
    <row r="1353" spans="3:5" x14ac:dyDescent="0.2">
      <c r="C1353" s="25"/>
      <c r="D1353" s="19"/>
      <c r="E1353" s="19"/>
    </row>
    <row r="1354" spans="3:5" x14ac:dyDescent="0.2">
      <c r="C1354" s="25"/>
      <c r="D1354" s="19"/>
      <c r="E1354" s="19"/>
    </row>
    <row r="1355" spans="3:5" x14ac:dyDescent="0.2">
      <c r="C1355" s="25"/>
      <c r="D1355" s="19"/>
      <c r="E1355" s="19"/>
    </row>
    <row r="1356" spans="3:5" x14ac:dyDescent="0.2">
      <c r="C1356" s="25"/>
      <c r="D1356" s="19"/>
      <c r="E1356" s="19"/>
    </row>
    <row r="1357" spans="3:5" x14ac:dyDescent="0.2">
      <c r="C1357" s="25"/>
      <c r="D1357" s="19"/>
      <c r="E1357" s="19"/>
    </row>
    <row r="1358" spans="3:5" x14ac:dyDescent="0.2">
      <c r="C1358" s="25"/>
      <c r="D1358" s="19"/>
      <c r="E1358" s="19"/>
    </row>
    <row r="1359" spans="3:5" x14ac:dyDescent="0.2">
      <c r="C1359" s="25"/>
      <c r="D1359" s="19"/>
      <c r="E1359" s="19"/>
    </row>
    <row r="1360" spans="3:5" x14ac:dyDescent="0.2">
      <c r="C1360" s="25"/>
      <c r="D1360" s="19"/>
      <c r="E1360" s="19"/>
    </row>
    <row r="1361" spans="3:5" x14ac:dyDescent="0.2">
      <c r="C1361" s="25"/>
      <c r="D1361" s="19"/>
      <c r="E1361" s="19"/>
    </row>
    <row r="1362" spans="3:5" x14ac:dyDescent="0.2">
      <c r="C1362" s="25"/>
      <c r="D1362" s="19"/>
      <c r="E1362" s="19"/>
    </row>
    <row r="1363" spans="3:5" x14ac:dyDescent="0.2">
      <c r="C1363" s="25"/>
      <c r="D1363" s="19"/>
      <c r="E1363" s="19"/>
    </row>
    <row r="1364" spans="3:5" x14ac:dyDescent="0.2">
      <c r="C1364" s="25"/>
      <c r="D1364" s="19"/>
      <c r="E1364" s="19"/>
    </row>
    <row r="1365" spans="3:5" x14ac:dyDescent="0.2">
      <c r="C1365" s="25"/>
      <c r="D1365" s="19"/>
      <c r="E1365" s="19"/>
    </row>
    <row r="1366" spans="3:5" x14ac:dyDescent="0.2">
      <c r="C1366" s="25"/>
      <c r="D1366" s="19"/>
      <c r="E1366" s="19"/>
    </row>
    <row r="1367" spans="3:5" x14ac:dyDescent="0.2">
      <c r="C1367" s="25"/>
      <c r="D1367" s="19"/>
      <c r="E1367" s="19"/>
    </row>
    <row r="1368" spans="3:5" x14ac:dyDescent="0.2">
      <c r="C1368" s="25"/>
      <c r="D1368" s="19"/>
      <c r="E1368" s="19"/>
    </row>
    <row r="1369" spans="3:5" x14ac:dyDescent="0.2">
      <c r="C1369" s="25"/>
      <c r="D1369" s="19"/>
      <c r="E1369" s="19"/>
    </row>
    <row r="1370" spans="3:5" x14ac:dyDescent="0.2">
      <c r="C1370" s="25"/>
      <c r="D1370" s="19"/>
      <c r="E1370" s="19"/>
    </row>
    <row r="1371" spans="3:5" x14ac:dyDescent="0.2">
      <c r="C1371" s="25"/>
      <c r="D1371" s="19"/>
      <c r="E1371" s="19"/>
    </row>
    <row r="1372" spans="3:5" x14ac:dyDescent="0.2">
      <c r="C1372" s="25"/>
      <c r="D1372" s="19"/>
      <c r="E1372" s="19"/>
    </row>
    <row r="1373" spans="3:5" x14ac:dyDescent="0.2">
      <c r="C1373" s="25"/>
      <c r="D1373" s="19"/>
      <c r="E1373" s="19"/>
    </row>
    <row r="1374" spans="3:5" x14ac:dyDescent="0.2">
      <c r="C1374" s="25"/>
      <c r="D1374" s="19"/>
      <c r="E1374" s="19"/>
    </row>
    <row r="1375" spans="3:5" x14ac:dyDescent="0.2">
      <c r="C1375" s="25"/>
      <c r="D1375" s="19"/>
      <c r="E1375" s="19"/>
    </row>
    <row r="1376" spans="3:5" x14ac:dyDescent="0.2">
      <c r="C1376" s="25"/>
      <c r="D1376" s="19"/>
      <c r="E1376" s="19"/>
    </row>
    <row r="1377" spans="3:5" x14ac:dyDescent="0.2">
      <c r="C1377" s="25"/>
      <c r="D1377" s="19"/>
      <c r="E1377" s="19"/>
    </row>
    <row r="1378" spans="3:5" x14ac:dyDescent="0.2">
      <c r="C1378" s="25"/>
      <c r="D1378" s="19"/>
      <c r="E1378" s="19"/>
    </row>
    <row r="1379" spans="3:5" x14ac:dyDescent="0.2">
      <c r="C1379" s="25"/>
      <c r="D1379" s="19"/>
      <c r="E1379" s="19"/>
    </row>
    <row r="1380" spans="3:5" x14ac:dyDescent="0.2">
      <c r="C1380" s="25"/>
      <c r="D1380" s="19"/>
      <c r="E1380" s="19"/>
    </row>
    <row r="1381" spans="3:5" x14ac:dyDescent="0.2">
      <c r="C1381" s="25"/>
      <c r="D1381" s="19"/>
      <c r="E1381" s="19"/>
    </row>
    <row r="1382" spans="3:5" x14ac:dyDescent="0.2">
      <c r="C1382" s="25"/>
      <c r="D1382" s="19"/>
      <c r="E1382" s="19"/>
    </row>
    <row r="1383" spans="3:5" x14ac:dyDescent="0.2">
      <c r="C1383" s="25"/>
      <c r="D1383" s="19"/>
      <c r="E1383" s="19"/>
    </row>
    <row r="1384" spans="3:5" x14ac:dyDescent="0.2">
      <c r="C1384" s="25"/>
      <c r="D1384" s="19"/>
      <c r="E1384" s="19"/>
    </row>
    <row r="1385" spans="3:5" x14ac:dyDescent="0.2">
      <c r="C1385" s="25"/>
      <c r="D1385" s="19"/>
      <c r="E1385" s="19"/>
    </row>
    <row r="1386" spans="3:5" x14ac:dyDescent="0.2">
      <c r="C1386" s="25"/>
      <c r="D1386" s="19"/>
      <c r="E1386" s="19"/>
    </row>
    <row r="1387" spans="3:5" x14ac:dyDescent="0.2">
      <c r="C1387" s="25"/>
      <c r="D1387" s="19"/>
      <c r="E1387" s="19"/>
    </row>
    <row r="1388" spans="3:5" x14ac:dyDescent="0.2">
      <c r="C1388" s="25"/>
      <c r="D1388" s="19"/>
      <c r="E1388" s="19"/>
    </row>
    <row r="1389" spans="3:5" x14ac:dyDescent="0.2">
      <c r="C1389" s="25"/>
      <c r="D1389" s="19"/>
      <c r="E1389" s="19"/>
    </row>
    <row r="1390" spans="3:5" x14ac:dyDescent="0.2">
      <c r="C1390" s="25"/>
      <c r="D1390" s="19"/>
      <c r="E1390" s="19"/>
    </row>
    <row r="1391" spans="3:5" x14ac:dyDescent="0.2">
      <c r="C1391" s="25"/>
      <c r="D1391" s="19"/>
      <c r="E1391" s="19"/>
    </row>
    <row r="1392" spans="3:5" x14ac:dyDescent="0.2">
      <c r="C1392" s="25"/>
      <c r="D1392" s="19"/>
      <c r="E1392" s="19"/>
    </row>
    <row r="1393" spans="3:5" x14ac:dyDescent="0.2">
      <c r="C1393" s="25"/>
      <c r="D1393" s="19"/>
      <c r="E1393" s="19"/>
    </row>
    <row r="1394" spans="3:5" x14ac:dyDescent="0.2">
      <c r="C1394" s="25"/>
      <c r="D1394" s="19"/>
      <c r="E1394" s="19"/>
    </row>
    <row r="1395" spans="3:5" x14ac:dyDescent="0.2">
      <c r="C1395" s="25"/>
      <c r="D1395" s="19"/>
      <c r="E1395" s="19"/>
    </row>
  </sheetData>
  <sheetProtection algorithmName="SHA-512" hashValue="xbqMVcQwGBxd6HgKrPoR3z8TXWXcNanWlS8jnSEn5v8Q1yH6NkRa56vgeCvCf4R7W3Ll83dM+xgHPyxF72iL6w==" saltValue="H9SBPXUxkt9wDKDQPnEJ7g==" spinCount="100000" sheet="1" objects="1" scenarios="1" selectLockedCells="1" selectUnlockedCells="1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122">
    <mergeCell ref="AT8:AT9"/>
    <mergeCell ref="AU8:AX8"/>
    <mergeCell ref="AZ8:AZ9"/>
    <mergeCell ref="BA8:BA9"/>
    <mergeCell ref="BB8:BK8"/>
    <mergeCell ref="C20:D20"/>
    <mergeCell ref="C21:D21"/>
    <mergeCell ref="B35:C35"/>
    <mergeCell ref="C84:D84"/>
    <mergeCell ref="C34:D34"/>
    <mergeCell ref="F8:F9"/>
    <mergeCell ref="B11:D11"/>
    <mergeCell ref="C13:D13"/>
    <mergeCell ref="C32:D32"/>
    <mergeCell ref="C31:D31"/>
    <mergeCell ref="B12:C12"/>
    <mergeCell ref="B10:D10"/>
    <mergeCell ref="C71:D71"/>
    <mergeCell ref="C26:D26"/>
    <mergeCell ref="B27:C27"/>
    <mergeCell ref="C28:D28"/>
    <mergeCell ref="C67:D67"/>
    <mergeCell ref="C33:D33"/>
    <mergeCell ref="C60:D60"/>
    <mergeCell ref="B134:C134"/>
    <mergeCell ref="C133:D133"/>
    <mergeCell ref="C117:D117"/>
    <mergeCell ref="C96:D96"/>
    <mergeCell ref="C109:D109"/>
    <mergeCell ref="C98:D98"/>
    <mergeCell ref="C131:D131"/>
    <mergeCell ref="C129:D129"/>
    <mergeCell ref="C94:D94"/>
    <mergeCell ref="C125:D125"/>
    <mergeCell ref="C119:D119"/>
    <mergeCell ref="C116:D116"/>
    <mergeCell ref="B258:D258"/>
    <mergeCell ref="C256:D256"/>
    <mergeCell ref="C254:D254"/>
    <mergeCell ref="B255:D255"/>
    <mergeCell ref="B257:D257"/>
    <mergeCell ref="C135:D135"/>
    <mergeCell ref="C146:D146"/>
    <mergeCell ref="C200:D200"/>
    <mergeCell ref="B229:C229"/>
    <mergeCell ref="C224:D224"/>
    <mergeCell ref="C162:D162"/>
    <mergeCell ref="C228:D228"/>
    <mergeCell ref="C217:D217"/>
    <mergeCell ref="C165:D165"/>
    <mergeCell ref="C188:D188"/>
    <mergeCell ref="C196:D196"/>
    <mergeCell ref="C167:D167"/>
    <mergeCell ref="C210:D210"/>
    <mergeCell ref="C190:D190"/>
    <mergeCell ref="C214:D214"/>
    <mergeCell ref="C152:D152"/>
    <mergeCell ref="C149:D149"/>
    <mergeCell ref="C252:D252"/>
    <mergeCell ref="C250:D250"/>
    <mergeCell ref="C248:D248"/>
    <mergeCell ref="C169:D169"/>
    <mergeCell ref="C175:D175"/>
    <mergeCell ref="C178:D178"/>
    <mergeCell ref="C182:D182"/>
    <mergeCell ref="C194:D194"/>
    <mergeCell ref="C204:D204"/>
    <mergeCell ref="C184:D184"/>
    <mergeCell ref="C172:D172"/>
    <mergeCell ref="C186:D186"/>
    <mergeCell ref="C192:D192"/>
    <mergeCell ref="C180:D180"/>
    <mergeCell ref="C241:D241"/>
    <mergeCell ref="C223:D223"/>
    <mergeCell ref="AG8:AG9"/>
    <mergeCell ref="AH8:AH9"/>
    <mergeCell ref="C213:D213"/>
    <mergeCell ref="C206:D206"/>
    <mergeCell ref="C231:D231"/>
    <mergeCell ref="C157:D157"/>
    <mergeCell ref="C208:D208"/>
    <mergeCell ref="C198:D198"/>
    <mergeCell ref="C220:D220"/>
    <mergeCell ref="C230:D230"/>
    <mergeCell ref="B89:C89"/>
    <mergeCell ref="C83:D83"/>
    <mergeCell ref="C88:D88"/>
    <mergeCell ref="C90:D90"/>
    <mergeCell ref="C50:D50"/>
    <mergeCell ref="C36:D36"/>
    <mergeCell ref="C52:D52"/>
    <mergeCell ref="B61:C61"/>
    <mergeCell ref="C70:D70"/>
    <mergeCell ref="C62:D62"/>
    <mergeCell ref="B97:C97"/>
    <mergeCell ref="B72:C72"/>
    <mergeCell ref="C82:D82"/>
    <mergeCell ref="C73:D73"/>
    <mergeCell ref="AI8:AP8"/>
    <mergeCell ref="AS8:AS9"/>
    <mergeCell ref="C216:D216"/>
    <mergeCell ref="C251:D251"/>
    <mergeCell ref="A7:A9"/>
    <mergeCell ref="B5:BM5"/>
    <mergeCell ref="F7:AR7"/>
    <mergeCell ref="W8:W9"/>
    <mergeCell ref="H8:H9"/>
    <mergeCell ref="BM7:BM9"/>
    <mergeCell ref="BL7:BL9"/>
    <mergeCell ref="AR8:AR9"/>
    <mergeCell ref="AQ8:AQ9"/>
    <mergeCell ref="B7:D9"/>
    <mergeCell ref="AF8:AF9"/>
    <mergeCell ref="E7:E9"/>
    <mergeCell ref="AY8:AY9"/>
    <mergeCell ref="G8:G9"/>
    <mergeCell ref="I8:I9"/>
    <mergeCell ref="J8:J9"/>
    <mergeCell ref="X8:X9"/>
    <mergeCell ref="Y8:Y9"/>
    <mergeCell ref="K8:V8"/>
    <mergeCell ref="Z8:AE8"/>
  </mergeCells>
  <phoneticPr fontId="1" type="noConversion"/>
  <printOptions horizontalCentered="1"/>
  <pageMargins left="0.86614173228346458" right="0.31496062992125984" top="0.8125" bottom="0.39370078740157483" header="0.11811023622047245" footer="0.15748031496062992"/>
  <pageSetup paperSize="9" scale="65" orientation="portrait" horizontalDpi="300" verticalDpi="300" r:id="rId3"/>
  <headerFooter differentFirst="1">
    <oddFooter>&amp;L&amp;"Times New Roman,Regular"&amp;8&amp;D; &amp;T&amp;R&amp;"Times New Roman,Regular"&amp;8&amp;P (&amp;N)</oddFooter>
    <firstHeader>&amp;R&amp;"Times New Roman,Regular"&amp;9
1.pielikums Jūrmalas pilsētas domes
2017.gada 20.jūlija saistošajiem noteikumiem Nr.24
(protokols Nr.14, 7.punkts)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F0"/>
  </sheetPr>
  <dimension ref="A1:AP186"/>
  <sheetViews>
    <sheetView tabSelected="1" view="pageLayout" zoomScaleNormal="100" workbookViewId="0">
      <selection activeCell="AK7" sqref="AK7"/>
    </sheetView>
  </sheetViews>
  <sheetFormatPr defaultRowHeight="12" outlineLevelRow="1" outlineLevelCol="1" x14ac:dyDescent="0.2"/>
  <cols>
    <col min="1" max="1" width="1.42578125" style="94" customWidth="1"/>
    <col min="2" max="2" width="3" style="94" customWidth="1"/>
    <col min="3" max="3" width="9.140625" style="94" customWidth="1"/>
    <col min="4" max="4" width="40.7109375" style="94" customWidth="1"/>
    <col min="5" max="5" width="11.42578125" style="94" hidden="1" customWidth="1" outlineLevel="1"/>
    <col min="6" max="6" width="10.85546875" style="94" customWidth="1" collapsed="1"/>
    <col min="7" max="7" width="8.140625" style="94" hidden="1" customWidth="1" outlineLevel="1"/>
    <col min="8" max="9" width="7.85546875" style="94" hidden="1" customWidth="1" outlineLevel="1"/>
    <col min="10" max="10" width="8.140625" style="94" hidden="1" customWidth="1" outlineLevel="1"/>
    <col min="11" max="11" width="8.7109375" style="94" hidden="1" customWidth="1" outlineLevel="1"/>
    <col min="12" max="19" width="8.140625" style="94" hidden="1" customWidth="1" outlineLevel="1"/>
    <col min="20" max="20" width="10" style="94" hidden="1" customWidth="1" outlineLevel="1"/>
    <col min="21" max="21" width="7.7109375" style="94" customWidth="1" collapsed="1"/>
    <col min="22" max="22" width="11.5703125" style="94" hidden="1" customWidth="1" outlineLevel="1"/>
    <col min="23" max="23" width="6" style="94" hidden="1" customWidth="1" outlineLevel="1"/>
    <col min="24" max="24" width="7" style="94" hidden="1" customWidth="1" outlineLevel="1"/>
    <col min="25" max="33" width="7.7109375" style="94" hidden="1" customWidth="1" outlineLevel="1"/>
    <col min="34" max="34" width="13" style="94" hidden="1" customWidth="1" outlineLevel="1"/>
    <col min="35" max="35" width="12.140625" style="37" customWidth="1" collapsed="1"/>
    <col min="36" max="16384" width="9.140625" style="37"/>
  </cols>
  <sheetData>
    <row r="1" spans="1:39" x14ac:dyDescent="0.2">
      <c r="AH1" s="37"/>
      <c r="AI1" s="317" t="s">
        <v>709</v>
      </c>
      <c r="AJ1" s="316"/>
    </row>
    <row r="2" spans="1:39" x14ac:dyDescent="0.2">
      <c r="AH2" s="37"/>
      <c r="AI2" s="317" t="s">
        <v>710</v>
      </c>
      <c r="AL2" s="316"/>
    </row>
    <row r="3" spans="1:39" x14ac:dyDescent="0.2">
      <c r="AH3" s="37"/>
      <c r="AI3" s="317" t="s">
        <v>711</v>
      </c>
      <c r="AL3" s="316"/>
    </row>
    <row r="5" spans="1:39" ht="18" customHeight="1" x14ac:dyDescent="0.35">
      <c r="A5" s="528" t="s">
        <v>604</v>
      </c>
      <c r="B5" s="528"/>
      <c r="C5" s="528"/>
      <c r="D5" s="528"/>
      <c r="E5" s="528"/>
      <c r="F5" s="528"/>
      <c r="G5" s="528"/>
      <c r="H5" s="528"/>
      <c r="I5" s="528"/>
      <c r="J5" s="528"/>
      <c r="K5" s="528"/>
      <c r="L5" s="528"/>
      <c r="M5" s="528"/>
      <c r="N5" s="528"/>
      <c r="O5" s="528"/>
      <c r="P5" s="528"/>
      <c r="Q5" s="528"/>
      <c r="R5" s="528"/>
      <c r="S5" s="528"/>
      <c r="T5" s="528"/>
      <c r="U5" s="528"/>
      <c r="V5" s="528"/>
      <c r="W5" s="528"/>
      <c r="X5" s="528"/>
      <c r="Y5" s="528"/>
      <c r="Z5" s="528"/>
      <c r="AA5" s="528"/>
      <c r="AB5" s="528"/>
      <c r="AC5" s="528"/>
      <c r="AD5" s="528"/>
      <c r="AE5" s="528"/>
      <c r="AF5" s="528"/>
      <c r="AG5" s="528"/>
      <c r="AH5" s="528"/>
      <c r="AI5" s="528"/>
    </row>
    <row r="6" spans="1:39" ht="12.75" thickBot="1" x14ac:dyDescent="0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</row>
    <row r="7" spans="1:39" ht="48" x14ac:dyDescent="0.2">
      <c r="A7" s="529" t="s">
        <v>26</v>
      </c>
      <c r="B7" s="530"/>
      <c r="C7" s="530"/>
      <c r="D7" s="173" t="s">
        <v>27</v>
      </c>
      <c r="E7" s="182" t="s">
        <v>712</v>
      </c>
      <c r="F7" s="232" t="s">
        <v>706</v>
      </c>
      <c r="G7" s="232" t="s">
        <v>713</v>
      </c>
      <c r="H7" s="232" t="s">
        <v>745</v>
      </c>
      <c r="I7" s="232" t="s">
        <v>761</v>
      </c>
      <c r="J7" s="232" t="s">
        <v>777</v>
      </c>
      <c r="K7" s="232" t="s">
        <v>790</v>
      </c>
      <c r="L7" s="450" t="s">
        <v>791</v>
      </c>
      <c r="M7" s="232"/>
      <c r="N7" s="232"/>
      <c r="O7" s="232"/>
      <c r="P7" s="232"/>
      <c r="Q7" s="232"/>
      <c r="R7" s="232"/>
      <c r="S7" s="232"/>
      <c r="T7" s="232" t="s">
        <v>714</v>
      </c>
      <c r="U7" s="232" t="s">
        <v>590</v>
      </c>
      <c r="V7" s="232" t="s">
        <v>716</v>
      </c>
      <c r="W7" s="232" t="s">
        <v>745</v>
      </c>
      <c r="X7" s="232" t="s">
        <v>761</v>
      </c>
      <c r="Y7" s="232" t="s">
        <v>777</v>
      </c>
      <c r="Z7" s="232" t="s">
        <v>790</v>
      </c>
      <c r="AA7" s="232"/>
      <c r="AB7" s="232"/>
      <c r="AC7" s="232"/>
      <c r="AD7" s="232"/>
      <c r="AE7" s="232"/>
      <c r="AF7" s="232"/>
      <c r="AG7" s="232"/>
      <c r="AH7" s="232" t="s">
        <v>715</v>
      </c>
      <c r="AI7" s="318" t="s">
        <v>707</v>
      </c>
    </row>
    <row r="8" spans="1:39" ht="10.5" customHeight="1" thickBot="1" x14ac:dyDescent="0.25">
      <c r="A8" s="531">
        <v>1</v>
      </c>
      <c r="B8" s="532"/>
      <c r="C8" s="533"/>
      <c r="D8" s="99">
        <v>2</v>
      </c>
      <c r="E8" s="181">
        <v>3</v>
      </c>
      <c r="F8" s="181">
        <v>3</v>
      </c>
      <c r="G8" s="181">
        <v>5</v>
      </c>
      <c r="H8" s="181">
        <v>6</v>
      </c>
      <c r="I8" s="181">
        <v>7</v>
      </c>
      <c r="J8" s="181">
        <v>8</v>
      </c>
      <c r="K8" s="181">
        <v>9</v>
      </c>
      <c r="L8" s="181">
        <v>10</v>
      </c>
      <c r="M8" s="181">
        <v>11</v>
      </c>
      <c r="N8" s="181"/>
      <c r="O8" s="181"/>
      <c r="P8" s="181"/>
      <c r="Q8" s="181"/>
      <c r="R8" s="181"/>
      <c r="S8" s="181"/>
      <c r="T8" s="181">
        <v>4</v>
      </c>
      <c r="U8" s="181">
        <v>4</v>
      </c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>
        <v>5</v>
      </c>
      <c r="AI8" s="100">
        <v>5</v>
      </c>
    </row>
    <row r="9" spans="1:39" s="174" customFormat="1" ht="12.75" customHeight="1" thickTop="1" x14ac:dyDescent="0.2">
      <c r="A9" s="544" t="s">
        <v>123</v>
      </c>
      <c r="B9" s="545"/>
      <c r="C9" s="545"/>
      <c r="D9" s="546"/>
      <c r="E9" s="38">
        <f>SUM(E112,E114,E140)</f>
        <v>100575897</v>
      </c>
      <c r="F9" s="38">
        <f t="shared" ref="F9:AI9" si="0">SUM(F112,F114,F140)</f>
        <v>100977533</v>
      </c>
      <c r="G9" s="38">
        <f t="shared" si="0"/>
        <v>401636</v>
      </c>
      <c r="H9" s="38">
        <f t="shared" si="0"/>
        <v>2536438</v>
      </c>
      <c r="I9" s="38">
        <f t="shared" si="0"/>
        <v>568622</v>
      </c>
      <c r="J9" s="38">
        <f t="shared" si="0"/>
        <v>-2702213</v>
      </c>
      <c r="K9" s="38">
        <f t="shared" si="0"/>
        <v>1593</v>
      </c>
      <c r="L9" s="38">
        <f t="shared" si="0"/>
        <v>-2804</v>
      </c>
      <c r="M9" s="38">
        <f t="shared" si="0"/>
        <v>0</v>
      </c>
      <c r="N9" s="38">
        <f t="shared" si="0"/>
        <v>0</v>
      </c>
      <c r="O9" s="38">
        <f t="shared" si="0"/>
        <v>0</v>
      </c>
      <c r="P9" s="38">
        <f t="shared" si="0"/>
        <v>0</v>
      </c>
      <c r="Q9" s="38">
        <f t="shared" si="0"/>
        <v>0</v>
      </c>
      <c r="R9" s="38">
        <f t="shared" si="0"/>
        <v>0</v>
      </c>
      <c r="S9" s="38">
        <f t="shared" si="0"/>
        <v>0</v>
      </c>
      <c r="T9" s="38">
        <f t="shared" si="0"/>
        <v>-297778</v>
      </c>
      <c r="U9" s="38">
        <f t="shared" si="0"/>
        <v>-203644</v>
      </c>
      <c r="V9" s="38">
        <f t="shared" si="0"/>
        <v>94134</v>
      </c>
      <c r="W9" s="38">
        <f t="shared" si="0"/>
        <v>-8793</v>
      </c>
      <c r="X9" s="38">
        <f t="shared" si="0"/>
        <v>-13370</v>
      </c>
      <c r="Y9" s="38">
        <f t="shared" si="0"/>
        <v>116618</v>
      </c>
      <c r="Z9" s="38">
        <f t="shared" si="0"/>
        <v>-321</v>
      </c>
      <c r="AA9" s="38">
        <f t="shared" si="0"/>
        <v>0</v>
      </c>
      <c r="AB9" s="38">
        <f t="shared" si="0"/>
        <v>0</v>
      </c>
      <c r="AC9" s="38">
        <f t="shared" si="0"/>
        <v>0</v>
      </c>
      <c r="AD9" s="38">
        <f t="shared" si="0"/>
        <v>0</v>
      </c>
      <c r="AE9" s="38">
        <f t="shared" si="0"/>
        <v>0</v>
      </c>
      <c r="AF9" s="38">
        <f t="shared" si="0"/>
        <v>0</v>
      </c>
      <c r="AG9" s="38">
        <f t="shared" si="0"/>
        <v>0</v>
      </c>
      <c r="AH9" s="38">
        <f t="shared" si="0"/>
        <v>100278119</v>
      </c>
      <c r="AI9" s="38">
        <f t="shared" si="0"/>
        <v>100773889</v>
      </c>
      <c r="AK9" s="355"/>
      <c r="AL9" s="355"/>
      <c r="AM9" s="355"/>
    </row>
    <row r="10" spans="1:39" s="174" customFormat="1" x14ac:dyDescent="0.2">
      <c r="A10" s="39"/>
      <c r="B10" s="40"/>
      <c r="C10" s="41"/>
      <c r="D10" s="42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8"/>
      <c r="V10" s="48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K10" s="355"/>
      <c r="AL10" s="355"/>
      <c r="AM10" s="355"/>
    </row>
    <row r="11" spans="1:39" s="175" customFormat="1" x14ac:dyDescent="0.2">
      <c r="A11" s="536" t="s">
        <v>28</v>
      </c>
      <c r="B11" s="537"/>
      <c r="C11" s="537"/>
      <c r="D11" s="44" t="s">
        <v>29</v>
      </c>
      <c r="E11" s="45">
        <f t="shared" ref="E11:AI12" si="1">E12</f>
        <v>47366295</v>
      </c>
      <c r="F11" s="45">
        <f t="shared" si="1"/>
        <v>47366295</v>
      </c>
      <c r="G11" s="45">
        <f t="shared" si="1"/>
        <v>0</v>
      </c>
      <c r="H11" s="45">
        <f t="shared" si="1"/>
        <v>0</v>
      </c>
      <c r="I11" s="45">
        <f t="shared" si="1"/>
        <v>0</v>
      </c>
      <c r="J11" s="45">
        <f t="shared" si="1"/>
        <v>0</v>
      </c>
      <c r="K11" s="45">
        <f t="shared" si="1"/>
        <v>0</v>
      </c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 t="shared" si="1"/>
        <v>0</v>
      </c>
      <c r="Q11" s="45">
        <f t="shared" si="1"/>
        <v>0</v>
      </c>
      <c r="R11" s="45">
        <f t="shared" si="1"/>
        <v>0</v>
      </c>
      <c r="S11" s="45">
        <f t="shared" si="1"/>
        <v>0</v>
      </c>
      <c r="T11" s="45">
        <f t="shared" si="1"/>
        <v>0</v>
      </c>
      <c r="U11" s="45">
        <f t="shared" si="1"/>
        <v>0</v>
      </c>
      <c r="V11" s="45">
        <f t="shared" si="1"/>
        <v>0</v>
      </c>
      <c r="W11" s="45">
        <f t="shared" si="1"/>
        <v>0</v>
      </c>
      <c r="X11" s="45">
        <f t="shared" si="1"/>
        <v>0</v>
      </c>
      <c r="Y11" s="45">
        <f t="shared" si="1"/>
        <v>0</v>
      </c>
      <c r="Z11" s="45">
        <f t="shared" si="1"/>
        <v>0</v>
      </c>
      <c r="AA11" s="45">
        <f t="shared" si="1"/>
        <v>0</v>
      </c>
      <c r="AB11" s="45">
        <f t="shared" si="1"/>
        <v>0</v>
      </c>
      <c r="AC11" s="45">
        <f t="shared" si="1"/>
        <v>0</v>
      </c>
      <c r="AD11" s="45">
        <f t="shared" si="1"/>
        <v>0</v>
      </c>
      <c r="AE11" s="45">
        <f t="shared" si="1"/>
        <v>0</v>
      </c>
      <c r="AF11" s="45">
        <f t="shared" si="1"/>
        <v>0</v>
      </c>
      <c r="AG11" s="45">
        <f t="shared" si="1"/>
        <v>0</v>
      </c>
      <c r="AH11" s="45">
        <f t="shared" si="1"/>
        <v>47366295</v>
      </c>
      <c r="AI11" s="45">
        <f t="shared" si="1"/>
        <v>47366295</v>
      </c>
      <c r="AK11" s="355"/>
      <c r="AL11" s="355"/>
      <c r="AM11" s="355"/>
    </row>
    <row r="12" spans="1:39" s="174" customFormat="1" x14ac:dyDescent="0.2">
      <c r="A12" s="46"/>
      <c r="B12" s="538" t="s">
        <v>30</v>
      </c>
      <c r="C12" s="538"/>
      <c r="D12" s="47" t="s">
        <v>31</v>
      </c>
      <c r="E12" s="48">
        <f t="shared" si="1"/>
        <v>47366295</v>
      </c>
      <c r="F12" s="48">
        <f t="shared" si="1"/>
        <v>47366295</v>
      </c>
      <c r="G12" s="48">
        <f t="shared" si="1"/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  <c r="M12" s="48">
        <f t="shared" si="1"/>
        <v>0</v>
      </c>
      <c r="N12" s="48">
        <f t="shared" si="1"/>
        <v>0</v>
      </c>
      <c r="O12" s="48">
        <f t="shared" si="1"/>
        <v>0</v>
      </c>
      <c r="P12" s="48">
        <f t="shared" si="1"/>
        <v>0</v>
      </c>
      <c r="Q12" s="48">
        <f t="shared" si="1"/>
        <v>0</v>
      </c>
      <c r="R12" s="48">
        <f t="shared" si="1"/>
        <v>0</v>
      </c>
      <c r="S12" s="48">
        <f t="shared" si="1"/>
        <v>0</v>
      </c>
      <c r="T12" s="48">
        <f t="shared" si="1"/>
        <v>0</v>
      </c>
      <c r="U12" s="48">
        <f t="shared" si="1"/>
        <v>0</v>
      </c>
      <c r="V12" s="48">
        <f t="shared" si="1"/>
        <v>0</v>
      </c>
      <c r="W12" s="48">
        <f t="shared" si="1"/>
        <v>0</v>
      </c>
      <c r="X12" s="48">
        <f t="shared" si="1"/>
        <v>0</v>
      </c>
      <c r="Y12" s="48">
        <f t="shared" si="1"/>
        <v>0</v>
      </c>
      <c r="Z12" s="48">
        <f t="shared" si="1"/>
        <v>0</v>
      </c>
      <c r="AA12" s="48">
        <f t="shared" si="1"/>
        <v>0</v>
      </c>
      <c r="AB12" s="48">
        <f t="shared" si="1"/>
        <v>0</v>
      </c>
      <c r="AC12" s="48">
        <f t="shared" si="1"/>
        <v>0</v>
      </c>
      <c r="AD12" s="48">
        <f t="shared" si="1"/>
        <v>0</v>
      </c>
      <c r="AE12" s="48">
        <f t="shared" si="1"/>
        <v>0</v>
      </c>
      <c r="AF12" s="48">
        <f t="shared" si="1"/>
        <v>0</v>
      </c>
      <c r="AG12" s="48">
        <f t="shared" si="1"/>
        <v>0</v>
      </c>
      <c r="AH12" s="48">
        <f t="shared" si="1"/>
        <v>47366295</v>
      </c>
      <c r="AI12" s="48">
        <f t="shared" si="1"/>
        <v>47366295</v>
      </c>
      <c r="AK12" s="355"/>
      <c r="AL12" s="355"/>
      <c r="AM12" s="355"/>
    </row>
    <row r="13" spans="1:39" x14ac:dyDescent="0.2">
      <c r="A13" s="49"/>
      <c r="B13" s="547" t="s">
        <v>32</v>
      </c>
      <c r="C13" s="547"/>
      <c r="D13" s="50" t="s">
        <v>33</v>
      </c>
      <c r="E13" s="51">
        <f t="shared" ref="E13:F13" si="2">SUM(E14:E15)</f>
        <v>47366295</v>
      </c>
      <c r="F13" s="51">
        <f t="shared" si="2"/>
        <v>47366295</v>
      </c>
      <c r="G13" s="51">
        <f t="shared" ref="G13:S13" si="3">SUM(G14:G15)</f>
        <v>0</v>
      </c>
      <c r="H13" s="51">
        <f t="shared" si="3"/>
        <v>0</v>
      </c>
      <c r="I13" s="51">
        <f t="shared" si="3"/>
        <v>0</v>
      </c>
      <c r="J13" s="51">
        <f t="shared" si="3"/>
        <v>0</v>
      </c>
      <c r="K13" s="51">
        <f t="shared" si="3"/>
        <v>0</v>
      </c>
      <c r="L13" s="51">
        <f t="shared" si="3"/>
        <v>0</v>
      </c>
      <c r="M13" s="51">
        <f t="shared" si="3"/>
        <v>0</v>
      </c>
      <c r="N13" s="51">
        <f t="shared" si="3"/>
        <v>0</v>
      </c>
      <c r="O13" s="51">
        <f t="shared" si="3"/>
        <v>0</v>
      </c>
      <c r="P13" s="51">
        <f t="shared" si="3"/>
        <v>0</v>
      </c>
      <c r="Q13" s="51">
        <f t="shared" si="3"/>
        <v>0</v>
      </c>
      <c r="R13" s="51">
        <f t="shared" si="3"/>
        <v>0</v>
      </c>
      <c r="S13" s="51">
        <f t="shared" si="3"/>
        <v>0</v>
      </c>
      <c r="T13" s="51">
        <f t="shared" ref="T13:AG13" si="4">SUM(T14:T15)</f>
        <v>0</v>
      </c>
      <c r="U13" s="51">
        <f t="shared" si="4"/>
        <v>0</v>
      </c>
      <c r="V13" s="51">
        <f t="shared" si="4"/>
        <v>0</v>
      </c>
      <c r="W13" s="51">
        <f t="shared" si="4"/>
        <v>0</v>
      </c>
      <c r="X13" s="51">
        <f t="shared" si="4"/>
        <v>0</v>
      </c>
      <c r="Y13" s="51">
        <f t="shared" si="4"/>
        <v>0</v>
      </c>
      <c r="Z13" s="51">
        <f t="shared" si="4"/>
        <v>0</v>
      </c>
      <c r="AA13" s="51">
        <f t="shared" si="4"/>
        <v>0</v>
      </c>
      <c r="AB13" s="51">
        <f t="shared" si="4"/>
        <v>0</v>
      </c>
      <c r="AC13" s="51">
        <f t="shared" si="4"/>
        <v>0</v>
      </c>
      <c r="AD13" s="51">
        <f t="shared" si="4"/>
        <v>0</v>
      </c>
      <c r="AE13" s="51">
        <f t="shared" si="4"/>
        <v>0</v>
      </c>
      <c r="AF13" s="51">
        <f t="shared" si="4"/>
        <v>0</v>
      </c>
      <c r="AG13" s="51">
        <f t="shared" si="4"/>
        <v>0</v>
      </c>
      <c r="AH13" s="51">
        <f t="shared" ref="AH13:AI13" si="5">SUM(AH14:AH15)</f>
        <v>47366295</v>
      </c>
      <c r="AI13" s="51">
        <f t="shared" si="5"/>
        <v>47366295</v>
      </c>
      <c r="AK13" s="355"/>
      <c r="AL13" s="355"/>
      <c r="AM13" s="355"/>
    </row>
    <row r="14" spans="1:39" ht="24" x14ac:dyDescent="0.2">
      <c r="A14" s="52"/>
      <c r="B14" s="543" t="s">
        <v>34</v>
      </c>
      <c r="C14" s="543"/>
      <c r="D14" s="53" t="s">
        <v>155</v>
      </c>
      <c r="E14" s="54">
        <v>313938</v>
      </c>
      <c r="F14" s="54">
        <f>E14+G14</f>
        <v>313938</v>
      </c>
      <c r="G14" s="54">
        <f>SUM(H14:S14)</f>
        <v>0</v>
      </c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>
        <f>T14+V14</f>
        <v>0</v>
      </c>
      <c r="V14" s="54">
        <f>SUM(W14:AG14)</f>
        <v>0</v>
      </c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>
        <f>E14+T14</f>
        <v>313938</v>
      </c>
      <c r="AI14" s="54">
        <f>U14+F14</f>
        <v>313938</v>
      </c>
      <c r="AK14" s="355"/>
      <c r="AL14" s="355"/>
      <c r="AM14" s="355"/>
    </row>
    <row r="15" spans="1:39" ht="24" x14ac:dyDescent="0.2">
      <c r="A15" s="55"/>
      <c r="B15" s="548" t="s">
        <v>35</v>
      </c>
      <c r="C15" s="548"/>
      <c r="D15" s="56" t="s">
        <v>299</v>
      </c>
      <c r="E15" s="57">
        <v>47052357</v>
      </c>
      <c r="F15" s="66">
        <f>E15+G15</f>
        <v>47052357</v>
      </c>
      <c r="G15" s="66">
        <f>SUM(H15:S15)</f>
        <v>0</v>
      </c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>
        <f>T15+V15</f>
        <v>0</v>
      </c>
      <c r="V15" s="66">
        <f>SUM(W15:AG15)</f>
        <v>0</v>
      </c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>
        <f>E15+T15</f>
        <v>47052357</v>
      </c>
      <c r="AI15" s="66">
        <f>U15+F15</f>
        <v>47052357</v>
      </c>
      <c r="AK15" s="355"/>
      <c r="AL15" s="355"/>
      <c r="AM15" s="355"/>
    </row>
    <row r="16" spans="1:39" s="175" customFormat="1" x14ac:dyDescent="0.2">
      <c r="A16" s="536" t="s">
        <v>36</v>
      </c>
      <c r="B16" s="537"/>
      <c r="C16" s="537"/>
      <c r="D16" s="44" t="s">
        <v>37</v>
      </c>
      <c r="E16" s="58">
        <f t="shared" ref="E16:AI16" si="6">SUM(E17)</f>
        <v>10035787</v>
      </c>
      <c r="F16" s="58">
        <f t="shared" si="6"/>
        <v>10035787</v>
      </c>
      <c r="G16" s="58">
        <f t="shared" si="6"/>
        <v>0</v>
      </c>
      <c r="H16" s="58">
        <f t="shared" si="6"/>
        <v>0</v>
      </c>
      <c r="I16" s="58">
        <f t="shared" si="6"/>
        <v>0</v>
      </c>
      <c r="J16" s="58">
        <f t="shared" si="6"/>
        <v>0</v>
      </c>
      <c r="K16" s="58">
        <f t="shared" si="6"/>
        <v>0</v>
      </c>
      <c r="L16" s="58">
        <f t="shared" si="6"/>
        <v>0</v>
      </c>
      <c r="M16" s="58">
        <f t="shared" si="6"/>
        <v>0</v>
      </c>
      <c r="N16" s="58">
        <f t="shared" si="6"/>
        <v>0</v>
      </c>
      <c r="O16" s="58">
        <f t="shared" si="6"/>
        <v>0</v>
      </c>
      <c r="P16" s="58">
        <f t="shared" si="6"/>
        <v>0</v>
      </c>
      <c r="Q16" s="58">
        <f t="shared" si="6"/>
        <v>0</v>
      </c>
      <c r="R16" s="58">
        <f t="shared" si="6"/>
        <v>0</v>
      </c>
      <c r="S16" s="58">
        <f t="shared" si="6"/>
        <v>0</v>
      </c>
      <c r="T16" s="58">
        <f t="shared" si="6"/>
        <v>0</v>
      </c>
      <c r="U16" s="58">
        <f t="shared" si="6"/>
        <v>0</v>
      </c>
      <c r="V16" s="58">
        <f t="shared" si="6"/>
        <v>0</v>
      </c>
      <c r="W16" s="58">
        <f t="shared" si="6"/>
        <v>0</v>
      </c>
      <c r="X16" s="58">
        <f t="shared" si="6"/>
        <v>0</v>
      </c>
      <c r="Y16" s="58">
        <f t="shared" si="6"/>
        <v>0</v>
      </c>
      <c r="Z16" s="58">
        <f t="shared" si="6"/>
        <v>0</v>
      </c>
      <c r="AA16" s="58">
        <f t="shared" si="6"/>
        <v>0</v>
      </c>
      <c r="AB16" s="58">
        <f t="shared" si="6"/>
        <v>0</v>
      </c>
      <c r="AC16" s="58">
        <f t="shared" si="6"/>
        <v>0</v>
      </c>
      <c r="AD16" s="58">
        <f t="shared" si="6"/>
        <v>0</v>
      </c>
      <c r="AE16" s="58">
        <f t="shared" si="6"/>
        <v>0</v>
      </c>
      <c r="AF16" s="58">
        <f t="shared" si="6"/>
        <v>0</v>
      </c>
      <c r="AG16" s="58">
        <f t="shared" si="6"/>
        <v>0</v>
      </c>
      <c r="AH16" s="58">
        <f t="shared" si="6"/>
        <v>10035787</v>
      </c>
      <c r="AI16" s="58">
        <f t="shared" si="6"/>
        <v>10035787</v>
      </c>
      <c r="AK16" s="355"/>
      <c r="AL16" s="355"/>
      <c r="AM16" s="355"/>
    </row>
    <row r="17" spans="1:39" s="174" customFormat="1" x14ac:dyDescent="0.2">
      <c r="A17" s="46"/>
      <c r="B17" s="538" t="s">
        <v>38</v>
      </c>
      <c r="C17" s="538"/>
      <c r="D17" s="47" t="s">
        <v>39</v>
      </c>
      <c r="E17" s="59">
        <f t="shared" ref="E17:AH17" si="7">SUM(E18,E21,E24)</f>
        <v>10035787</v>
      </c>
      <c r="F17" s="59">
        <f t="shared" ref="F17:S17" si="8">SUM(F18,F21,F24)</f>
        <v>10035787</v>
      </c>
      <c r="G17" s="59">
        <f t="shared" si="8"/>
        <v>0</v>
      </c>
      <c r="H17" s="59">
        <f t="shared" si="8"/>
        <v>0</v>
      </c>
      <c r="I17" s="59">
        <f t="shared" si="8"/>
        <v>0</v>
      </c>
      <c r="J17" s="59">
        <f t="shared" si="8"/>
        <v>0</v>
      </c>
      <c r="K17" s="59">
        <f t="shared" si="8"/>
        <v>0</v>
      </c>
      <c r="L17" s="59">
        <f t="shared" si="8"/>
        <v>0</v>
      </c>
      <c r="M17" s="59">
        <f t="shared" si="8"/>
        <v>0</v>
      </c>
      <c r="N17" s="59">
        <f t="shared" si="8"/>
        <v>0</v>
      </c>
      <c r="O17" s="59">
        <f t="shared" si="8"/>
        <v>0</v>
      </c>
      <c r="P17" s="59">
        <f t="shared" si="8"/>
        <v>0</v>
      </c>
      <c r="Q17" s="59">
        <f t="shared" si="8"/>
        <v>0</v>
      </c>
      <c r="R17" s="59">
        <f t="shared" si="8"/>
        <v>0</v>
      </c>
      <c r="S17" s="59">
        <f t="shared" si="8"/>
        <v>0</v>
      </c>
      <c r="T17" s="59">
        <f t="shared" si="7"/>
        <v>0</v>
      </c>
      <c r="U17" s="59">
        <f t="shared" si="7"/>
        <v>0</v>
      </c>
      <c r="V17" s="59">
        <f t="shared" si="7"/>
        <v>0</v>
      </c>
      <c r="W17" s="59">
        <f t="shared" si="7"/>
        <v>0</v>
      </c>
      <c r="X17" s="59">
        <f t="shared" si="7"/>
        <v>0</v>
      </c>
      <c r="Y17" s="59">
        <f t="shared" si="7"/>
        <v>0</v>
      </c>
      <c r="Z17" s="59">
        <f t="shared" si="7"/>
        <v>0</v>
      </c>
      <c r="AA17" s="59">
        <f t="shared" si="7"/>
        <v>0</v>
      </c>
      <c r="AB17" s="59">
        <f t="shared" si="7"/>
        <v>0</v>
      </c>
      <c r="AC17" s="59">
        <f t="shared" si="7"/>
        <v>0</v>
      </c>
      <c r="AD17" s="59">
        <f t="shared" si="7"/>
        <v>0</v>
      </c>
      <c r="AE17" s="59">
        <f t="shared" si="7"/>
        <v>0</v>
      </c>
      <c r="AF17" s="59">
        <f t="shared" si="7"/>
        <v>0</v>
      </c>
      <c r="AG17" s="59">
        <f t="shared" si="7"/>
        <v>0</v>
      </c>
      <c r="AH17" s="59">
        <f t="shared" si="7"/>
        <v>10035787</v>
      </c>
      <c r="AI17" s="59">
        <f t="shared" ref="AI17" si="9">SUM(AI18,AI21,AI24)</f>
        <v>10035787</v>
      </c>
      <c r="AK17" s="355"/>
      <c r="AL17" s="355"/>
      <c r="AM17" s="355"/>
    </row>
    <row r="18" spans="1:39" x14ac:dyDescent="0.2">
      <c r="A18" s="60"/>
      <c r="B18" s="542" t="s">
        <v>193</v>
      </c>
      <c r="C18" s="542"/>
      <c r="D18" s="61" t="s">
        <v>192</v>
      </c>
      <c r="E18" s="62">
        <f>SUM(E19:E20)</f>
        <v>5252480</v>
      </c>
      <c r="F18" s="62">
        <f>SUM(F19:F20)</f>
        <v>5252480</v>
      </c>
      <c r="G18" s="62">
        <f t="shared" ref="G18:S18" si="10">SUM(G19:G20)</f>
        <v>0</v>
      </c>
      <c r="H18" s="62">
        <f t="shared" si="10"/>
        <v>0</v>
      </c>
      <c r="I18" s="62">
        <f t="shared" si="10"/>
        <v>0</v>
      </c>
      <c r="J18" s="62">
        <f t="shared" si="10"/>
        <v>0</v>
      </c>
      <c r="K18" s="62">
        <f t="shared" si="10"/>
        <v>0</v>
      </c>
      <c r="L18" s="62">
        <f t="shared" si="10"/>
        <v>0</v>
      </c>
      <c r="M18" s="62">
        <f t="shared" si="10"/>
        <v>0</v>
      </c>
      <c r="N18" s="62">
        <f t="shared" si="10"/>
        <v>0</v>
      </c>
      <c r="O18" s="62">
        <f t="shared" si="10"/>
        <v>0</v>
      </c>
      <c r="P18" s="62">
        <f t="shared" si="10"/>
        <v>0</v>
      </c>
      <c r="Q18" s="62">
        <f t="shared" si="10"/>
        <v>0</v>
      </c>
      <c r="R18" s="62">
        <f t="shared" si="10"/>
        <v>0</v>
      </c>
      <c r="S18" s="62">
        <f t="shared" si="10"/>
        <v>0</v>
      </c>
      <c r="T18" s="62">
        <f>SUM(T19:T20)</f>
        <v>0</v>
      </c>
      <c r="U18" s="62">
        <f t="shared" ref="U18" si="11">SUM(U19:U20)</f>
        <v>0</v>
      </c>
      <c r="V18" s="62">
        <f t="shared" ref="V18" si="12">SUM(V19:V20)</f>
        <v>0</v>
      </c>
      <c r="W18" s="62">
        <f t="shared" ref="W18" si="13">SUM(W19:W20)</f>
        <v>0</v>
      </c>
      <c r="X18" s="62">
        <f t="shared" ref="X18" si="14">SUM(X19:X20)</f>
        <v>0</v>
      </c>
      <c r="Y18" s="62">
        <f t="shared" ref="Y18" si="15">SUM(Y19:Y20)</f>
        <v>0</v>
      </c>
      <c r="Z18" s="62">
        <f t="shared" ref="Z18" si="16">SUM(Z19:Z20)</f>
        <v>0</v>
      </c>
      <c r="AA18" s="62">
        <f t="shared" ref="AA18" si="17">SUM(AA19:AA20)</f>
        <v>0</v>
      </c>
      <c r="AB18" s="62">
        <f t="shared" ref="AB18" si="18">SUM(AB19:AB20)</f>
        <v>0</v>
      </c>
      <c r="AC18" s="62">
        <f t="shared" ref="AC18" si="19">SUM(AC19:AC20)</f>
        <v>0</v>
      </c>
      <c r="AD18" s="62">
        <f t="shared" ref="AD18" si="20">SUM(AD19:AD20)</f>
        <v>0</v>
      </c>
      <c r="AE18" s="62">
        <f t="shared" ref="AE18" si="21">SUM(AE19:AE20)</f>
        <v>0</v>
      </c>
      <c r="AF18" s="62">
        <f t="shared" ref="AF18" si="22">SUM(AF19:AF20)</f>
        <v>0</v>
      </c>
      <c r="AG18" s="62">
        <f t="shared" ref="AG18:AI18" si="23">SUM(AG19:AG20)</f>
        <v>0</v>
      </c>
      <c r="AH18" s="62">
        <f>SUM(AH19:AH20)</f>
        <v>5252480</v>
      </c>
      <c r="AI18" s="62">
        <f t="shared" si="23"/>
        <v>5252480</v>
      </c>
      <c r="AK18" s="355"/>
      <c r="AL18" s="355"/>
      <c r="AM18" s="355"/>
    </row>
    <row r="19" spans="1:39" ht="24" x14ac:dyDescent="0.2">
      <c r="A19" s="52"/>
      <c r="B19" s="543" t="s">
        <v>40</v>
      </c>
      <c r="C19" s="543"/>
      <c r="D19" s="53" t="s">
        <v>41</v>
      </c>
      <c r="E19" s="54">
        <v>4720480</v>
      </c>
      <c r="F19" s="54">
        <f t="shared" ref="F19:F20" si="24">E19+G19</f>
        <v>4720480</v>
      </c>
      <c r="G19" s="54">
        <f t="shared" ref="G19:G20" si="25">SUM(H19:S19)</f>
        <v>0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>
        <f t="shared" ref="U19:U20" si="26">T19+V19</f>
        <v>0</v>
      </c>
      <c r="V19" s="54">
        <f t="shared" ref="V19:V20" si="27">SUM(W19:AG19)</f>
        <v>0</v>
      </c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>
        <f t="shared" ref="AH19:AH20" si="28">E19+T19</f>
        <v>4720480</v>
      </c>
      <c r="AI19" s="54">
        <f t="shared" ref="AI19:AI20" si="29">U19+F19</f>
        <v>4720480</v>
      </c>
      <c r="AK19" s="355"/>
      <c r="AL19" s="355"/>
      <c r="AM19" s="355"/>
    </row>
    <row r="20" spans="1:39" ht="24" x14ac:dyDescent="0.2">
      <c r="A20" s="55"/>
      <c r="B20" s="535" t="s">
        <v>42</v>
      </c>
      <c r="C20" s="535"/>
      <c r="D20" s="56" t="s">
        <v>43</v>
      </c>
      <c r="E20" s="57">
        <v>532000</v>
      </c>
      <c r="F20" s="66">
        <f t="shared" si="24"/>
        <v>532000</v>
      </c>
      <c r="G20" s="66">
        <f t="shared" si="25"/>
        <v>0</v>
      </c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>
        <f t="shared" si="26"/>
        <v>0</v>
      </c>
      <c r="V20" s="66">
        <f t="shared" si="27"/>
        <v>0</v>
      </c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>
        <f t="shared" si="28"/>
        <v>532000</v>
      </c>
      <c r="AI20" s="66">
        <f t="shared" si="29"/>
        <v>532000</v>
      </c>
      <c r="AK20" s="355"/>
      <c r="AL20" s="355"/>
      <c r="AM20" s="355"/>
    </row>
    <row r="21" spans="1:39" x14ac:dyDescent="0.2">
      <c r="A21" s="60"/>
      <c r="B21" s="542" t="s">
        <v>44</v>
      </c>
      <c r="C21" s="542"/>
      <c r="D21" s="61" t="s">
        <v>156</v>
      </c>
      <c r="E21" s="62">
        <f>SUM(E22:E23)</f>
        <v>3111742</v>
      </c>
      <c r="F21" s="62">
        <f>SUM(F22:F23)</f>
        <v>3111742</v>
      </c>
      <c r="G21" s="62">
        <f t="shared" ref="G21:S21" si="30">SUM(G22:G23)</f>
        <v>0</v>
      </c>
      <c r="H21" s="62">
        <f t="shared" si="30"/>
        <v>0</v>
      </c>
      <c r="I21" s="62">
        <f t="shared" si="30"/>
        <v>0</v>
      </c>
      <c r="J21" s="62">
        <f t="shared" si="30"/>
        <v>0</v>
      </c>
      <c r="K21" s="62">
        <f t="shared" si="30"/>
        <v>0</v>
      </c>
      <c r="L21" s="62">
        <f t="shared" si="30"/>
        <v>0</v>
      </c>
      <c r="M21" s="62">
        <f t="shared" si="30"/>
        <v>0</v>
      </c>
      <c r="N21" s="62">
        <f t="shared" si="30"/>
        <v>0</v>
      </c>
      <c r="O21" s="62">
        <f t="shared" si="30"/>
        <v>0</v>
      </c>
      <c r="P21" s="62">
        <f t="shared" si="30"/>
        <v>0</v>
      </c>
      <c r="Q21" s="62">
        <f t="shared" si="30"/>
        <v>0</v>
      </c>
      <c r="R21" s="62">
        <f t="shared" si="30"/>
        <v>0</v>
      </c>
      <c r="S21" s="62">
        <f t="shared" si="30"/>
        <v>0</v>
      </c>
      <c r="T21" s="62">
        <f>SUM(T22:T23)</f>
        <v>0</v>
      </c>
      <c r="U21" s="62">
        <f t="shared" ref="U21" si="31">SUM(U22:U23)</f>
        <v>0</v>
      </c>
      <c r="V21" s="62">
        <f t="shared" ref="V21" si="32">SUM(V22:V23)</f>
        <v>0</v>
      </c>
      <c r="W21" s="62">
        <f t="shared" ref="W21" si="33">SUM(W22:W23)</f>
        <v>0</v>
      </c>
      <c r="X21" s="62">
        <f t="shared" ref="X21" si="34">SUM(X22:X23)</f>
        <v>0</v>
      </c>
      <c r="Y21" s="62">
        <f t="shared" ref="Y21" si="35">SUM(Y22:Y23)</f>
        <v>0</v>
      </c>
      <c r="Z21" s="62">
        <f t="shared" ref="Z21" si="36">SUM(Z22:Z23)</f>
        <v>0</v>
      </c>
      <c r="AA21" s="62">
        <f t="shared" ref="AA21" si="37">SUM(AA22:AA23)</f>
        <v>0</v>
      </c>
      <c r="AB21" s="62">
        <f t="shared" ref="AB21" si="38">SUM(AB22:AB23)</f>
        <v>0</v>
      </c>
      <c r="AC21" s="62">
        <f t="shared" ref="AC21" si="39">SUM(AC22:AC23)</f>
        <v>0</v>
      </c>
      <c r="AD21" s="62">
        <f t="shared" ref="AD21" si="40">SUM(AD22:AD23)</f>
        <v>0</v>
      </c>
      <c r="AE21" s="62">
        <f t="shared" ref="AE21" si="41">SUM(AE22:AE23)</f>
        <v>0</v>
      </c>
      <c r="AF21" s="62">
        <f t="shared" ref="AF21" si="42">SUM(AF22:AF23)</f>
        <v>0</v>
      </c>
      <c r="AG21" s="62">
        <f t="shared" ref="AG21:AI21" si="43">SUM(AG22:AG23)</f>
        <v>0</v>
      </c>
      <c r="AH21" s="62">
        <f>SUM(AH22:AH23)</f>
        <v>3111742</v>
      </c>
      <c r="AI21" s="62">
        <f t="shared" si="43"/>
        <v>3111742</v>
      </c>
      <c r="AK21" s="355"/>
      <c r="AL21" s="355"/>
      <c r="AM21" s="355"/>
    </row>
    <row r="22" spans="1:39" ht="24" x14ac:dyDescent="0.2">
      <c r="A22" s="52"/>
      <c r="B22" s="534" t="s">
        <v>45</v>
      </c>
      <c r="C22" s="534"/>
      <c r="D22" s="53" t="s">
        <v>166</v>
      </c>
      <c r="E22" s="54">
        <v>2701742</v>
      </c>
      <c r="F22" s="54">
        <f t="shared" ref="F22:F23" si="44">E22+G22</f>
        <v>2701742</v>
      </c>
      <c r="G22" s="54">
        <f t="shared" ref="G22:G23" si="45">SUM(H22:S22)</f>
        <v>0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>
        <f t="shared" ref="U22:U23" si="46">T22+V22</f>
        <v>0</v>
      </c>
      <c r="V22" s="54">
        <f t="shared" ref="V22:V23" si="47">SUM(W22:AG22)</f>
        <v>0</v>
      </c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>
        <f t="shared" ref="AH22:AH23" si="48">E22+T22</f>
        <v>2701742</v>
      </c>
      <c r="AI22" s="54">
        <f t="shared" ref="AI22:AI23" si="49">U22+F22</f>
        <v>2701742</v>
      </c>
      <c r="AK22" s="355"/>
      <c r="AL22" s="355"/>
      <c r="AM22" s="355"/>
    </row>
    <row r="23" spans="1:39" ht="24" x14ac:dyDescent="0.2">
      <c r="A23" s="55"/>
      <c r="B23" s="535" t="s">
        <v>46</v>
      </c>
      <c r="C23" s="535"/>
      <c r="D23" s="56" t="s">
        <v>167</v>
      </c>
      <c r="E23" s="57">
        <v>410000</v>
      </c>
      <c r="F23" s="66">
        <f t="shared" si="44"/>
        <v>410000</v>
      </c>
      <c r="G23" s="66">
        <f t="shared" si="45"/>
        <v>0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128">
        <f t="shared" si="46"/>
        <v>0</v>
      </c>
      <c r="V23" s="128">
        <f t="shared" si="47"/>
        <v>0</v>
      </c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>
        <f t="shared" si="48"/>
        <v>410000</v>
      </c>
      <c r="AI23" s="128">
        <f t="shared" si="49"/>
        <v>410000</v>
      </c>
      <c r="AK23" s="355"/>
      <c r="AL23" s="355"/>
      <c r="AM23" s="355"/>
    </row>
    <row r="24" spans="1:39" x14ac:dyDescent="0.2">
      <c r="A24" s="64"/>
      <c r="B24" s="542" t="s">
        <v>381</v>
      </c>
      <c r="C24" s="542"/>
      <c r="D24" s="61" t="s">
        <v>384</v>
      </c>
      <c r="E24" s="62">
        <f>SUM(E25:E26)</f>
        <v>1671565</v>
      </c>
      <c r="F24" s="62">
        <f>SUM(F25:F26)</f>
        <v>1671565</v>
      </c>
      <c r="G24" s="62">
        <f t="shared" ref="G24:S24" si="50">SUM(G25:G26)</f>
        <v>0</v>
      </c>
      <c r="H24" s="62">
        <f t="shared" si="50"/>
        <v>0</v>
      </c>
      <c r="I24" s="62">
        <f t="shared" si="50"/>
        <v>0</v>
      </c>
      <c r="J24" s="62">
        <f t="shared" si="50"/>
        <v>0</v>
      </c>
      <c r="K24" s="62">
        <f t="shared" si="50"/>
        <v>0</v>
      </c>
      <c r="L24" s="62">
        <f t="shared" si="50"/>
        <v>0</v>
      </c>
      <c r="M24" s="62">
        <f t="shared" si="50"/>
        <v>0</v>
      </c>
      <c r="N24" s="62">
        <f t="shared" si="50"/>
        <v>0</v>
      </c>
      <c r="O24" s="62">
        <f t="shared" si="50"/>
        <v>0</v>
      </c>
      <c r="P24" s="62">
        <f t="shared" si="50"/>
        <v>0</v>
      </c>
      <c r="Q24" s="62">
        <f t="shared" si="50"/>
        <v>0</v>
      </c>
      <c r="R24" s="62">
        <f t="shared" si="50"/>
        <v>0</v>
      </c>
      <c r="S24" s="62">
        <f t="shared" si="50"/>
        <v>0</v>
      </c>
      <c r="T24" s="62">
        <f>SUM(T25:T26)</f>
        <v>0</v>
      </c>
      <c r="U24" s="51">
        <f t="shared" ref="U24" si="51">SUM(U25:U26)</f>
        <v>0</v>
      </c>
      <c r="V24" s="51">
        <f t="shared" ref="V24" si="52">SUM(V25:V26)</f>
        <v>0</v>
      </c>
      <c r="W24" s="51">
        <f t="shared" ref="W24" si="53">SUM(W25:W26)</f>
        <v>0</v>
      </c>
      <c r="X24" s="51">
        <f t="shared" ref="X24" si="54">SUM(X25:X26)</f>
        <v>0</v>
      </c>
      <c r="Y24" s="51">
        <f t="shared" ref="Y24" si="55">SUM(Y25:Y26)</f>
        <v>0</v>
      </c>
      <c r="Z24" s="51">
        <f t="shared" ref="Z24" si="56">SUM(Z25:Z26)</f>
        <v>0</v>
      </c>
      <c r="AA24" s="51">
        <f t="shared" ref="AA24" si="57">SUM(AA25:AA26)</f>
        <v>0</v>
      </c>
      <c r="AB24" s="51">
        <f t="shared" ref="AB24" si="58">SUM(AB25:AB26)</f>
        <v>0</v>
      </c>
      <c r="AC24" s="51">
        <f t="shared" ref="AC24" si="59">SUM(AC25:AC26)</f>
        <v>0</v>
      </c>
      <c r="AD24" s="51">
        <f t="shared" ref="AD24" si="60">SUM(AD25:AD26)</f>
        <v>0</v>
      </c>
      <c r="AE24" s="51">
        <f t="shared" ref="AE24" si="61">SUM(AE25:AE26)</f>
        <v>0</v>
      </c>
      <c r="AF24" s="51">
        <f t="shared" ref="AF24" si="62">SUM(AF25:AF26)</f>
        <v>0</v>
      </c>
      <c r="AG24" s="51">
        <f t="shared" ref="AG24:AI24" si="63">SUM(AG25:AG26)</f>
        <v>0</v>
      </c>
      <c r="AH24" s="51">
        <f>SUM(AH25:AH26)</f>
        <v>1671565</v>
      </c>
      <c r="AI24" s="51">
        <f t="shared" si="63"/>
        <v>1671565</v>
      </c>
      <c r="AK24" s="355"/>
      <c r="AL24" s="355"/>
      <c r="AM24" s="355"/>
    </row>
    <row r="25" spans="1:39" ht="24" x14ac:dyDescent="0.2">
      <c r="A25" s="64"/>
      <c r="B25" s="534" t="s">
        <v>382</v>
      </c>
      <c r="C25" s="534"/>
      <c r="D25" s="53" t="s">
        <v>385</v>
      </c>
      <c r="E25" s="105">
        <v>1491114</v>
      </c>
      <c r="F25" s="105">
        <f t="shared" ref="F25:F26" si="64">E25+G25</f>
        <v>1491114</v>
      </c>
      <c r="G25" s="105">
        <f t="shared" ref="G25:G26" si="65">SUM(H25:S25)</f>
        <v>0</v>
      </c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>
        <f t="shared" ref="U25:U26" si="66">T25+V25</f>
        <v>0</v>
      </c>
      <c r="V25" s="105">
        <f t="shared" ref="V25:V26" si="67">SUM(W25:AG25)</f>
        <v>0</v>
      </c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>
        <f t="shared" ref="AH25:AH26" si="68">E25+T25</f>
        <v>1491114</v>
      </c>
      <c r="AI25" s="105">
        <f t="shared" ref="AI25:AI26" si="69">U25+F25</f>
        <v>1491114</v>
      </c>
      <c r="AK25" s="355"/>
      <c r="AL25" s="355"/>
      <c r="AM25" s="355"/>
    </row>
    <row r="26" spans="1:39" ht="24" x14ac:dyDescent="0.2">
      <c r="A26" s="64"/>
      <c r="B26" s="535" t="s">
        <v>383</v>
      </c>
      <c r="C26" s="535"/>
      <c r="D26" s="56" t="s">
        <v>386</v>
      </c>
      <c r="E26" s="66">
        <v>180451</v>
      </c>
      <c r="F26" s="66">
        <f t="shared" si="64"/>
        <v>180451</v>
      </c>
      <c r="G26" s="66">
        <f t="shared" si="65"/>
        <v>0</v>
      </c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>
        <f t="shared" si="66"/>
        <v>0</v>
      </c>
      <c r="V26" s="66">
        <f t="shared" si="67"/>
        <v>0</v>
      </c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>
        <f t="shared" si="68"/>
        <v>180451</v>
      </c>
      <c r="AI26" s="66">
        <f t="shared" si="69"/>
        <v>180451</v>
      </c>
      <c r="AK26" s="355"/>
      <c r="AL26" s="355"/>
      <c r="AM26" s="355"/>
    </row>
    <row r="27" spans="1:39" s="175" customFormat="1" x14ac:dyDescent="0.2">
      <c r="A27" s="536" t="s">
        <v>47</v>
      </c>
      <c r="B27" s="537"/>
      <c r="C27" s="537"/>
      <c r="D27" s="44" t="s">
        <v>48</v>
      </c>
      <c r="E27" s="58">
        <f t="shared" ref="E27:F27" si="70">SUM(E28,E30)</f>
        <v>291600</v>
      </c>
      <c r="F27" s="58">
        <f t="shared" si="70"/>
        <v>291600</v>
      </c>
      <c r="G27" s="58">
        <f t="shared" ref="G27:S27" si="71">SUM(G28,G30)</f>
        <v>0</v>
      </c>
      <c r="H27" s="58">
        <f t="shared" si="71"/>
        <v>0</v>
      </c>
      <c r="I27" s="58">
        <f t="shared" si="71"/>
        <v>0</v>
      </c>
      <c r="J27" s="58">
        <f t="shared" si="71"/>
        <v>0</v>
      </c>
      <c r="K27" s="58">
        <f t="shared" si="71"/>
        <v>0</v>
      </c>
      <c r="L27" s="58">
        <f t="shared" si="71"/>
        <v>0</v>
      </c>
      <c r="M27" s="58">
        <f t="shared" si="71"/>
        <v>0</v>
      </c>
      <c r="N27" s="58">
        <f t="shared" si="71"/>
        <v>0</v>
      </c>
      <c r="O27" s="58">
        <f t="shared" si="71"/>
        <v>0</v>
      </c>
      <c r="P27" s="58">
        <f t="shared" si="71"/>
        <v>0</v>
      </c>
      <c r="Q27" s="58">
        <f t="shared" si="71"/>
        <v>0</v>
      </c>
      <c r="R27" s="58">
        <f t="shared" si="71"/>
        <v>0</v>
      </c>
      <c r="S27" s="58">
        <f t="shared" si="71"/>
        <v>0</v>
      </c>
      <c r="T27" s="58">
        <f t="shared" ref="T27:AG27" si="72">SUM(T28,T30)</f>
        <v>0</v>
      </c>
      <c r="U27" s="58">
        <f t="shared" si="72"/>
        <v>0</v>
      </c>
      <c r="V27" s="58">
        <f t="shared" si="72"/>
        <v>0</v>
      </c>
      <c r="W27" s="58">
        <f t="shared" si="72"/>
        <v>0</v>
      </c>
      <c r="X27" s="58">
        <f t="shared" si="72"/>
        <v>0</v>
      </c>
      <c r="Y27" s="58">
        <f t="shared" si="72"/>
        <v>0</v>
      </c>
      <c r="Z27" s="58">
        <f t="shared" si="72"/>
        <v>0</v>
      </c>
      <c r="AA27" s="58">
        <f t="shared" si="72"/>
        <v>0</v>
      </c>
      <c r="AB27" s="58">
        <f t="shared" si="72"/>
        <v>0</v>
      </c>
      <c r="AC27" s="58">
        <f t="shared" si="72"/>
        <v>0</v>
      </c>
      <c r="AD27" s="58">
        <f t="shared" si="72"/>
        <v>0</v>
      </c>
      <c r="AE27" s="58">
        <f t="shared" si="72"/>
        <v>0</v>
      </c>
      <c r="AF27" s="58">
        <f t="shared" si="72"/>
        <v>0</v>
      </c>
      <c r="AG27" s="58">
        <f t="shared" si="72"/>
        <v>0</v>
      </c>
      <c r="AH27" s="58">
        <f t="shared" ref="AH27:AI27" si="73">SUM(AH28,AH30)</f>
        <v>291600</v>
      </c>
      <c r="AI27" s="58">
        <f t="shared" si="73"/>
        <v>291600</v>
      </c>
      <c r="AK27" s="355"/>
      <c r="AL27" s="355"/>
      <c r="AM27" s="355"/>
    </row>
    <row r="28" spans="1:39" s="174" customFormat="1" ht="24" x14ac:dyDescent="0.2">
      <c r="A28" s="46"/>
      <c r="B28" s="538" t="s">
        <v>49</v>
      </c>
      <c r="C28" s="538"/>
      <c r="D28" s="63" t="s">
        <v>50</v>
      </c>
      <c r="E28" s="59">
        <f t="shared" ref="E28:AI28" si="74">E29</f>
        <v>186600</v>
      </c>
      <c r="F28" s="59">
        <f t="shared" si="74"/>
        <v>186600</v>
      </c>
      <c r="G28" s="59">
        <f t="shared" si="74"/>
        <v>0</v>
      </c>
      <c r="H28" s="59">
        <f t="shared" si="74"/>
        <v>0</v>
      </c>
      <c r="I28" s="59">
        <f t="shared" si="74"/>
        <v>0</v>
      </c>
      <c r="J28" s="59">
        <f t="shared" si="74"/>
        <v>0</v>
      </c>
      <c r="K28" s="59">
        <f t="shared" si="74"/>
        <v>0</v>
      </c>
      <c r="L28" s="59">
        <f t="shared" si="74"/>
        <v>0</v>
      </c>
      <c r="M28" s="59">
        <f t="shared" si="74"/>
        <v>0</v>
      </c>
      <c r="N28" s="59">
        <f t="shared" si="74"/>
        <v>0</v>
      </c>
      <c r="O28" s="59">
        <f t="shared" si="74"/>
        <v>0</v>
      </c>
      <c r="P28" s="59">
        <f t="shared" si="74"/>
        <v>0</v>
      </c>
      <c r="Q28" s="59">
        <f t="shared" si="74"/>
        <v>0</v>
      </c>
      <c r="R28" s="59">
        <f t="shared" si="74"/>
        <v>0</v>
      </c>
      <c r="S28" s="59">
        <f t="shared" si="74"/>
        <v>0</v>
      </c>
      <c r="T28" s="59">
        <f t="shared" si="74"/>
        <v>0</v>
      </c>
      <c r="U28" s="59">
        <f t="shared" si="74"/>
        <v>0</v>
      </c>
      <c r="V28" s="59">
        <f t="shared" si="74"/>
        <v>0</v>
      </c>
      <c r="W28" s="59">
        <f t="shared" si="74"/>
        <v>0</v>
      </c>
      <c r="X28" s="59">
        <f t="shared" si="74"/>
        <v>0</v>
      </c>
      <c r="Y28" s="59">
        <f t="shared" si="74"/>
        <v>0</v>
      </c>
      <c r="Z28" s="59">
        <f t="shared" si="74"/>
        <v>0</v>
      </c>
      <c r="AA28" s="59">
        <f t="shared" si="74"/>
        <v>0</v>
      </c>
      <c r="AB28" s="59">
        <f t="shared" si="74"/>
        <v>0</v>
      </c>
      <c r="AC28" s="59">
        <f t="shared" si="74"/>
        <v>0</v>
      </c>
      <c r="AD28" s="59">
        <f t="shared" si="74"/>
        <v>0</v>
      </c>
      <c r="AE28" s="59">
        <f t="shared" si="74"/>
        <v>0</v>
      </c>
      <c r="AF28" s="59">
        <f t="shared" si="74"/>
        <v>0</v>
      </c>
      <c r="AG28" s="59">
        <f t="shared" si="74"/>
        <v>0</v>
      </c>
      <c r="AH28" s="59">
        <f t="shared" si="74"/>
        <v>186600</v>
      </c>
      <c r="AI28" s="59">
        <f t="shared" si="74"/>
        <v>186600</v>
      </c>
      <c r="AK28" s="355"/>
      <c r="AL28" s="355"/>
      <c r="AM28" s="355"/>
    </row>
    <row r="29" spans="1:39" x14ac:dyDescent="0.2">
      <c r="A29" s="64"/>
      <c r="B29" s="539" t="s">
        <v>51</v>
      </c>
      <c r="C29" s="539"/>
      <c r="D29" s="65" t="s">
        <v>52</v>
      </c>
      <c r="E29" s="66">
        <v>186600</v>
      </c>
      <c r="F29" s="66">
        <f>E29+G29</f>
        <v>186600</v>
      </c>
      <c r="G29" s="66">
        <f>SUM(H29:S29)</f>
        <v>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>
        <f>T29+V29</f>
        <v>0</v>
      </c>
      <c r="V29" s="66">
        <f>SUM(W29:AG29)</f>
        <v>0</v>
      </c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>
        <f>E29+T29</f>
        <v>186600</v>
      </c>
      <c r="AI29" s="66">
        <f>U29+F29</f>
        <v>186600</v>
      </c>
      <c r="AK29" s="355"/>
      <c r="AL29" s="355"/>
      <c r="AM29" s="355"/>
    </row>
    <row r="30" spans="1:39" s="174" customFormat="1" ht="24" x14ac:dyDescent="0.2">
      <c r="A30" s="46"/>
      <c r="B30" s="540" t="s">
        <v>53</v>
      </c>
      <c r="C30" s="541"/>
      <c r="D30" s="67" t="s">
        <v>54</v>
      </c>
      <c r="E30" s="59">
        <f t="shared" ref="E30:AI31" si="75">SUM(E31)</f>
        <v>105000</v>
      </c>
      <c r="F30" s="59">
        <f t="shared" si="75"/>
        <v>105000</v>
      </c>
      <c r="G30" s="59">
        <f t="shared" si="75"/>
        <v>0</v>
      </c>
      <c r="H30" s="59">
        <f t="shared" si="75"/>
        <v>0</v>
      </c>
      <c r="I30" s="59">
        <f t="shared" si="75"/>
        <v>0</v>
      </c>
      <c r="J30" s="59">
        <f t="shared" si="75"/>
        <v>0</v>
      </c>
      <c r="K30" s="59">
        <f t="shared" si="75"/>
        <v>0</v>
      </c>
      <c r="L30" s="59">
        <f t="shared" si="75"/>
        <v>0</v>
      </c>
      <c r="M30" s="59">
        <f t="shared" si="75"/>
        <v>0</v>
      </c>
      <c r="N30" s="59">
        <f t="shared" si="75"/>
        <v>0</v>
      </c>
      <c r="O30" s="59">
        <f t="shared" si="75"/>
        <v>0</v>
      </c>
      <c r="P30" s="59">
        <f t="shared" si="75"/>
        <v>0</v>
      </c>
      <c r="Q30" s="59">
        <f t="shared" si="75"/>
        <v>0</v>
      </c>
      <c r="R30" s="59">
        <f t="shared" si="75"/>
        <v>0</v>
      </c>
      <c r="S30" s="59">
        <f t="shared" si="75"/>
        <v>0</v>
      </c>
      <c r="T30" s="59">
        <f t="shared" si="75"/>
        <v>0</v>
      </c>
      <c r="U30" s="59">
        <f t="shared" si="75"/>
        <v>0</v>
      </c>
      <c r="V30" s="59">
        <f t="shared" si="75"/>
        <v>0</v>
      </c>
      <c r="W30" s="59">
        <f t="shared" si="75"/>
        <v>0</v>
      </c>
      <c r="X30" s="59">
        <f t="shared" si="75"/>
        <v>0</v>
      </c>
      <c r="Y30" s="59">
        <f t="shared" si="75"/>
        <v>0</v>
      </c>
      <c r="Z30" s="59">
        <f t="shared" si="75"/>
        <v>0</v>
      </c>
      <c r="AA30" s="59">
        <f t="shared" si="75"/>
        <v>0</v>
      </c>
      <c r="AB30" s="59">
        <f t="shared" si="75"/>
        <v>0</v>
      </c>
      <c r="AC30" s="59">
        <f t="shared" si="75"/>
        <v>0</v>
      </c>
      <c r="AD30" s="59">
        <f t="shared" si="75"/>
        <v>0</v>
      </c>
      <c r="AE30" s="59">
        <f t="shared" si="75"/>
        <v>0</v>
      </c>
      <c r="AF30" s="59">
        <f t="shared" si="75"/>
        <v>0</v>
      </c>
      <c r="AG30" s="59">
        <f t="shared" si="75"/>
        <v>0</v>
      </c>
      <c r="AH30" s="59">
        <f t="shared" si="75"/>
        <v>105000</v>
      </c>
      <c r="AI30" s="59">
        <f t="shared" si="75"/>
        <v>105000</v>
      </c>
      <c r="AK30" s="355"/>
      <c r="AL30" s="355"/>
      <c r="AM30" s="355"/>
    </row>
    <row r="31" spans="1:39" x14ac:dyDescent="0.2">
      <c r="A31" s="64"/>
      <c r="B31" s="551" t="s">
        <v>55</v>
      </c>
      <c r="C31" s="552"/>
      <c r="D31" s="69" t="s">
        <v>56</v>
      </c>
      <c r="E31" s="62">
        <f t="shared" si="75"/>
        <v>105000</v>
      </c>
      <c r="F31" s="62">
        <f t="shared" si="75"/>
        <v>105000</v>
      </c>
      <c r="G31" s="62">
        <f t="shared" si="75"/>
        <v>0</v>
      </c>
      <c r="H31" s="62">
        <f t="shared" si="75"/>
        <v>0</v>
      </c>
      <c r="I31" s="62">
        <f t="shared" si="75"/>
        <v>0</v>
      </c>
      <c r="J31" s="62">
        <f t="shared" si="75"/>
        <v>0</v>
      </c>
      <c r="K31" s="62">
        <f t="shared" si="75"/>
        <v>0</v>
      </c>
      <c r="L31" s="62">
        <f t="shared" si="75"/>
        <v>0</v>
      </c>
      <c r="M31" s="62">
        <f t="shared" si="75"/>
        <v>0</v>
      </c>
      <c r="N31" s="62">
        <f t="shared" si="75"/>
        <v>0</v>
      </c>
      <c r="O31" s="62">
        <f t="shared" si="75"/>
        <v>0</v>
      </c>
      <c r="P31" s="62">
        <f t="shared" si="75"/>
        <v>0</v>
      </c>
      <c r="Q31" s="62">
        <f t="shared" si="75"/>
        <v>0</v>
      </c>
      <c r="R31" s="62">
        <f t="shared" si="75"/>
        <v>0</v>
      </c>
      <c r="S31" s="62">
        <f t="shared" si="75"/>
        <v>0</v>
      </c>
      <c r="T31" s="62">
        <f t="shared" si="75"/>
        <v>0</v>
      </c>
      <c r="U31" s="62">
        <f t="shared" si="75"/>
        <v>0</v>
      </c>
      <c r="V31" s="62">
        <f t="shared" si="75"/>
        <v>0</v>
      </c>
      <c r="W31" s="62">
        <f t="shared" si="75"/>
        <v>0</v>
      </c>
      <c r="X31" s="62">
        <f t="shared" si="75"/>
        <v>0</v>
      </c>
      <c r="Y31" s="62">
        <f t="shared" si="75"/>
        <v>0</v>
      </c>
      <c r="Z31" s="62">
        <f t="shared" si="75"/>
        <v>0</v>
      </c>
      <c r="AA31" s="62">
        <f t="shared" si="75"/>
        <v>0</v>
      </c>
      <c r="AB31" s="62">
        <f t="shared" si="75"/>
        <v>0</v>
      </c>
      <c r="AC31" s="62">
        <f t="shared" si="75"/>
        <v>0</v>
      </c>
      <c r="AD31" s="62">
        <f t="shared" si="75"/>
        <v>0</v>
      </c>
      <c r="AE31" s="62">
        <f t="shared" si="75"/>
        <v>0</v>
      </c>
      <c r="AF31" s="62">
        <f t="shared" si="75"/>
        <v>0</v>
      </c>
      <c r="AG31" s="62">
        <f t="shared" si="75"/>
        <v>0</v>
      </c>
      <c r="AH31" s="62">
        <f t="shared" si="75"/>
        <v>105000</v>
      </c>
      <c r="AI31" s="62">
        <f t="shared" si="75"/>
        <v>105000</v>
      </c>
      <c r="AK31" s="355"/>
      <c r="AL31" s="355"/>
      <c r="AM31" s="355"/>
    </row>
    <row r="32" spans="1:39" ht="24" x14ac:dyDescent="0.2">
      <c r="A32" s="64"/>
      <c r="B32" s="187"/>
      <c r="C32" s="189" t="s">
        <v>317</v>
      </c>
      <c r="D32" s="144" t="s">
        <v>318</v>
      </c>
      <c r="E32" s="66">
        <v>105000</v>
      </c>
      <c r="F32" s="66">
        <f>E32+G32</f>
        <v>105000</v>
      </c>
      <c r="G32" s="66">
        <f>SUM(H32:S32)</f>
        <v>0</v>
      </c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>
        <f>T32+V32</f>
        <v>0</v>
      </c>
      <c r="V32" s="66">
        <f>SUM(W32:AG32)</f>
        <v>0</v>
      </c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>
        <f>E32+T32</f>
        <v>105000</v>
      </c>
      <c r="AI32" s="66">
        <f>U32+F32</f>
        <v>105000</v>
      </c>
      <c r="AK32" s="355"/>
      <c r="AL32" s="355"/>
      <c r="AM32" s="355"/>
    </row>
    <row r="33" spans="1:39" s="175" customFormat="1" ht="24" hidden="1" x14ac:dyDescent="0.2">
      <c r="A33" s="536" t="s">
        <v>57</v>
      </c>
      <c r="B33" s="537"/>
      <c r="C33" s="537"/>
      <c r="D33" s="70" t="s">
        <v>133</v>
      </c>
      <c r="E33" s="58">
        <f t="shared" ref="E33:AH33" si="76">SUM(,E34,E36)</f>
        <v>0</v>
      </c>
      <c r="F33" s="58">
        <f t="shared" ref="F33:S33" si="77">SUM(,F34,F36)</f>
        <v>0</v>
      </c>
      <c r="G33" s="58">
        <f t="shared" si="77"/>
        <v>0</v>
      </c>
      <c r="H33" s="58">
        <f t="shared" si="77"/>
        <v>0</v>
      </c>
      <c r="I33" s="58">
        <f t="shared" si="77"/>
        <v>0</v>
      </c>
      <c r="J33" s="58">
        <f t="shared" si="77"/>
        <v>0</v>
      </c>
      <c r="K33" s="58">
        <f t="shared" si="77"/>
        <v>0</v>
      </c>
      <c r="L33" s="58">
        <f t="shared" si="77"/>
        <v>0</v>
      </c>
      <c r="M33" s="58">
        <f t="shared" si="77"/>
        <v>0</v>
      </c>
      <c r="N33" s="58">
        <f t="shared" si="77"/>
        <v>0</v>
      </c>
      <c r="O33" s="58">
        <f t="shared" si="77"/>
        <v>0</v>
      </c>
      <c r="P33" s="58">
        <f t="shared" si="77"/>
        <v>0</v>
      </c>
      <c r="Q33" s="58">
        <f t="shared" si="77"/>
        <v>0</v>
      </c>
      <c r="R33" s="58">
        <f t="shared" si="77"/>
        <v>0</v>
      </c>
      <c r="S33" s="58">
        <f t="shared" si="77"/>
        <v>0</v>
      </c>
      <c r="T33" s="58">
        <f t="shared" si="76"/>
        <v>0</v>
      </c>
      <c r="U33" s="58">
        <f t="shared" si="76"/>
        <v>0</v>
      </c>
      <c r="V33" s="58">
        <f t="shared" si="76"/>
        <v>0</v>
      </c>
      <c r="W33" s="58">
        <f t="shared" si="76"/>
        <v>0</v>
      </c>
      <c r="X33" s="58">
        <f t="shared" si="76"/>
        <v>0</v>
      </c>
      <c r="Y33" s="58">
        <f t="shared" si="76"/>
        <v>0</v>
      </c>
      <c r="Z33" s="58">
        <f t="shared" si="76"/>
        <v>0</v>
      </c>
      <c r="AA33" s="58">
        <f t="shared" si="76"/>
        <v>0</v>
      </c>
      <c r="AB33" s="58">
        <f t="shared" si="76"/>
        <v>0</v>
      </c>
      <c r="AC33" s="58">
        <f t="shared" si="76"/>
        <v>0</v>
      </c>
      <c r="AD33" s="58">
        <f t="shared" si="76"/>
        <v>0</v>
      </c>
      <c r="AE33" s="58">
        <f t="shared" si="76"/>
        <v>0</v>
      </c>
      <c r="AF33" s="58">
        <f t="shared" si="76"/>
        <v>0</v>
      </c>
      <c r="AG33" s="58">
        <f t="shared" si="76"/>
        <v>0</v>
      </c>
      <c r="AH33" s="58">
        <f t="shared" si="76"/>
        <v>0</v>
      </c>
      <c r="AI33" s="58">
        <f t="shared" ref="AI33" si="78">SUM(,AI34,AI36)</f>
        <v>0</v>
      </c>
      <c r="AK33" s="355"/>
      <c r="AL33" s="355"/>
      <c r="AM33" s="355"/>
    </row>
    <row r="34" spans="1:39" s="175" customFormat="1" ht="24" hidden="1" x14ac:dyDescent="0.2">
      <c r="A34" s="140"/>
      <c r="B34" s="538" t="s">
        <v>274</v>
      </c>
      <c r="C34" s="553"/>
      <c r="D34" s="47" t="s">
        <v>276</v>
      </c>
      <c r="E34" s="59">
        <f t="shared" ref="E34:AI34" si="79">E35</f>
        <v>0</v>
      </c>
      <c r="F34" s="59">
        <f t="shared" si="79"/>
        <v>0</v>
      </c>
      <c r="G34" s="59">
        <f t="shared" si="79"/>
        <v>0</v>
      </c>
      <c r="H34" s="59">
        <f t="shared" si="79"/>
        <v>0</v>
      </c>
      <c r="I34" s="59">
        <f t="shared" si="79"/>
        <v>0</v>
      </c>
      <c r="J34" s="59">
        <f t="shared" si="79"/>
        <v>0</v>
      </c>
      <c r="K34" s="59">
        <f t="shared" si="79"/>
        <v>0</v>
      </c>
      <c r="L34" s="59">
        <f t="shared" si="79"/>
        <v>0</v>
      </c>
      <c r="M34" s="59">
        <f t="shared" si="79"/>
        <v>0</v>
      </c>
      <c r="N34" s="59">
        <f t="shared" si="79"/>
        <v>0</v>
      </c>
      <c r="O34" s="59">
        <f t="shared" si="79"/>
        <v>0</v>
      </c>
      <c r="P34" s="59">
        <f t="shared" si="79"/>
        <v>0</v>
      </c>
      <c r="Q34" s="59">
        <f t="shared" si="79"/>
        <v>0</v>
      </c>
      <c r="R34" s="59">
        <f t="shared" si="79"/>
        <v>0</v>
      </c>
      <c r="S34" s="59">
        <f t="shared" si="79"/>
        <v>0</v>
      </c>
      <c r="T34" s="59">
        <f t="shared" si="79"/>
        <v>0</v>
      </c>
      <c r="U34" s="59">
        <f t="shared" si="79"/>
        <v>0</v>
      </c>
      <c r="V34" s="59">
        <f t="shared" si="79"/>
        <v>0</v>
      </c>
      <c r="W34" s="59">
        <f t="shared" si="79"/>
        <v>0</v>
      </c>
      <c r="X34" s="59">
        <f t="shared" si="79"/>
        <v>0</v>
      </c>
      <c r="Y34" s="59">
        <f t="shared" si="79"/>
        <v>0</v>
      </c>
      <c r="Z34" s="59">
        <f t="shared" si="79"/>
        <v>0</v>
      </c>
      <c r="AA34" s="59">
        <f t="shared" si="79"/>
        <v>0</v>
      </c>
      <c r="AB34" s="59">
        <f t="shared" si="79"/>
        <v>0</v>
      </c>
      <c r="AC34" s="59">
        <f t="shared" si="79"/>
        <v>0</v>
      </c>
      <c r="AD34" s="59">
        <f t="shared" si="79"/>
        <v>0</v>
      </c>
      <c r="AE34" s="59">
        <f t="shared" si="79"/>
        <v>0</v>
      </c>
      <c r="AF34" s="59">
        <f t="shared" si="79"/>
        <v>0</v>
      </c>
      <c r="AG34" s="59">
        <f t="shared" si="79"/>
        <v>0</v>
      </c>
      <c r="AH34" s="59">
        <f t="shared" si="79"/>
        <v>0</v>
      </c>
      <c r="AI34" s="59">
        <f t="shared" si="79"/>
        <v>0</v>
      </c>
      <c r="AK34" s="355"/>
      <c r="AL34" s="355"/>
      <c r="AM34" s="355"/>
    </row>
    <row r="35" spans="1:39" s="175" customFormat="1" ht="24" hidden="1" x14ac:dyDescent="0.2">
      <c r="A35" s="140"/>
      <c r="B35" s="542" t="s">
        <v>275</v>
      </c>
      <c r="C35" s="554"/>
      <c r="D35" s="61" t="s">
        <v>277</v>
      </c>
      <c r="E35" s="62"/>
      <c r="F35" s="62">
        <f>E35+G35</f>
        <v>0</v>
      </c>
      <c r="G35" s="62">
        <f>SUM(H35:S35)</f>
        <v>0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>
        <f>T35+V35</f>
        <v>0</v>
      </c>
      <c r="V35" s="62">
        <f>SUM(W35:AG35)</f>
        <v>0</v>
      </c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>
        <f>E35+T35</f>
        <v>0</v>
      </c>
      <c r="AI35" s="62">
        <f>U35+F35</f>
        <v>0</v>
      </c>
      <c r="AK35" s="355"/>
      <c r="AL35" s="355"/>
      <c r="AM35" s="355"/>
    </row>
    <row r="36" spans="1:39" s="174" customFormat="1" ht="36" hidden="1" x14ac:dyDescent="0.2">
      <c r="A36" s="46"/>
      <c r="B36" s="538" t="s">
        <v>58</v>
      </c>
      <c r="C36" s="538"/>
      <c r="D36" s="47" t="s">
        <v>374</v>
      </c>
      <c r="E36" s="59">
        <f t="shared" ref="E36:F36" si="80">SUM(E37,E39,E41)</f>
        <v>0</v>
      </c>
      <c r="F36" s="59">
        <f t="shared" si="80"/>
        <v>0</v>
      </c>
      <c r="G36" s="59">
        <f t="shared" ref="G36:S36" si="81">SUM(G37,G39,G41)</f>
        <v>0</v>
      </c>
      <c r="H36" s="59">
        <f t="shared" si="81"/>
        <v>0</v>
      </c>
      <c r="I36" s="59">
        <f t="shared" si="81"/>
        <v>0</v>
      </c>
      <c r="J36" s="59">
        <f t="shared" si="81"/>
        <v>0</v>
      </c>
      <c r="K36" s="59">
        <f t="shared" si="81"/>
        <v>0</v>
      </c>
      <c r="L36" s="59">
        <f t="shared" si="81"/>
        <v>0</v>
      </c>
      <c r="M36" s="59">
        <f t="shared" si="81"/>
        <v>0</v>
      </c>
      <c r="N36" s="59">
        <f t="shared" si="81"/>
        <v>0</v>
      </c>
      <c r="O36" s="59">
        <f t="shared" si="81"/>
        <v>0</v>
      </c>
      <c r="P36" s="59">
        <f t="shared" si="81"/>
        <v>0</v>
      </c>
      <c r="Q36" s="59">
        <f t="shared" si="81"/>
        <v>0</v>
      </c>
      <c r="R36" s="59">
        <f t="shared" si="81"/>
        <v>0</v>
      </c>
      <c r="S36" s="59">
        <f t="shared" si="81"/>
        <v>0</v>
      </c>
      <c r="T36" s="59">
        <f t="shared" ref="T36:AG36" si="82">SUM(T37,T39,T41)</f>
        <v>0</v>
      </c>
      <c r="U36" s="59">
        <f t="shared" si="82"/>
        <v>0</v>
      </c>
      <c r="V36" s="59">
        <f t="shared" si="82"/>
        <v>0</v>
      </c>
      <c r="W36" s="59">
        <f t="shared" si="82"/>
        <v>0</v>
      </c>
      <c r="X36" s="59">
        <f t="shared" si="82"/>
        <v>0</v>
      </c>
      <c r="Y36" s="59">
        <f t="shared" si="82"/>
        <v>0</v>
      </c>
      <c r="Z36" s="59">
        <f t="shared" si="82"/>
        <v>0</v>
      </c>
      <c r="AA36" s="59">
        <f t="shared" si="82"/>
        <v>0</v>
      </c>
      <c r="AB36" s="59">
        <f t="shared" si="82"/>
        <v>0</v>
      </c>
      <c r="AC36" s="59">
        <f t="shared" si="82"/>
        <v>0</v>
      </c>
      <c r="AD36" s="59">
        <f t="shared" si="82"/>
        <v>0</v>
      </c>
      <c r="AE36" s="59">
        <f t="shared" si="82"/>
        <v>0</v>
      </c>
      <c r="AF36" s="59">
        <f t="shared" si="82"/>
        <v>0</v>
      </c>
      <c r="AG36" s="59">
        <f t="shared" si="82"/>
        <v>0</v>
      </c>
      <c r="AH36" s="59">
        <f t="shared" ref="AH36:AI36" si="83">SUM(AH37,AH39,AH41)</f>
        <v>0</v>
      </c>
      <c r="AI36" s="59">
        <f t="shared" si="83"/>
        <v>0</v>
      </c>
      <c r="AK36" s="355"/>
      <c r="AL36" s="355"/>
      <c r="AM36" s="355"/>
    </row>
    <row r="37" spans="1:39" hidden="1" x14ac:dyDescent="0.2">
      <c r="A37" s="49"/>
      <c r="B37" s="547" t="s">
        <v>59</v>
      </c>
      <c r="C37" s="547"/>
      <c r="D37" s="50" t="s">
        <v>168</v>
      </c>
      <c r="E37" s="51">
        <f t="shared" ref="E37:AI37" si="84">E38</f>
        <v>0</v>
      </c>
      <c r="F37" s="51">
        <f t="shared" si="84"/>
        <v>0</v>
      </c>
      <c r="G37" s="51">
        <f t="shared" si="84"/>
        <v>0</v>
      </c>
      <c r="H37" s="51">
        <f t="shared" si="84"/>
        <v>0</v>
      </c>
      <c r="I37" s="51">
        <f t="shared" si="84"/>
        <v>0</v>
      </c>
      <c r="J37" s="51">
        <f t="shared" si="84"/>
        <v>0</v>
      </c>
      <c r="K37" s="51">
        <f t="shared" si="84"/>
        <v>0</v>
      </c>
      <c r="L37" s="51">
        <f t="shared" si="84"/>
        <v>0</v>
      </c>
      <c r="M37" s="51">
        <f t="shared" si="84"/>
        <v>0</v>
      </c>
      <c r="N37" s="51">
        <f t="shared" si="84"/>
        <v>0</v>
      </c>
      <c r="O37" s="51">
        <f t="shared" si="84"/>
        <v>0</v>
      </c>
      <c r="P37" s="51">
        <f t="shared" si="84"/>
        <v>0</v>
      </c>
      <c r="Q37" s="51">
        <f t="shared" si="84"/>
        <v>0</v>
      </c>
      <c r="R37" s="51">
        <f t="shared" si="84"/>
        <v>0</v>
      </c>
      <c r="S37" s="51">
        <f t="shared" si="84"/>
        <v>0</v>
      </c>
      <c r="T37" s="51">
        <f t="shared" si="84"/>
        <v>0</v>
      </c>
      <c r="U37" s="51">
        <f t="shared" si="84"/>
        <v>0</v>
      </c>
      <c r="V37" s="51">
        <f t="shared" si="84"/>
        <v>0</v>
      </c>
      <c r="W37" s="51">
        <f t="shared" si="84"/>
        <v>0</v>
      </c>
      <c r="X37" s="51">
        <f t="shared" si="84"/>
        <v>0</v>
      </c>
      <c r="Y37" s="51">
        <f t="shared" si="84"/>
        <v>0</v>
      </c>
      <c r="Z37" s="51">
        <f t="shared" si="84"/>
        <v>0</v>
      </c>
      <c r="AA37" s="51">
        <f t="shared" si="84"/>
        <v>0</v>
      </c>
      <c r="AB37" s="51">
        <f t="shared" si="84"/>
        <v>0</v>
      </c>
      <c r="AC37" s="51">
        <f t="shared" si="84"/>
        <v>0</v>
      </c>
      <c r="AD37" s="51">
        <f t="shared" si="84"/>
        <v>0</v>
      </c>
      <c r="AE37" s="51">
        <f t="shared" si="84"/>
        <v>0</v>
      </c>
      <c r="AF37" s="51">
        <f t="shared" si="84"/>
        <v>0</v>
      </c>
      <c r="AG37" s="51">
        <f t="shared" si="84"/>
        <v>0</v>
      </c>
      <c r="AH37" s="51">
        <f t="shared" si="84"/>
        <v>0</v>
      </c>
      <c r="AI37" s="51">
        <f t="shared" si="84"/>
        <v>0</v>
      </c>
      <c r="AK37" s="355"/>
      <c r="AL37" s="355"/>
      <c r="AM37" s="355"/>
    </row>
    <row r="38" spans="1:39" ht="36" hidden="1" x14ac:dyDescent="0.2">
      <c r="A38" s="64"/>
      <c r="B38" s="550" t="s">
        <v>60</v>
      </c>
      <c r="C38" s="550"/>
      <c r="D38" s="65" t="s">
        <v>169</v>
      </c>
      <c r="E38" s="66"/>
      <c r="F38" s="66">
        <f>E38+G38</f>
        <v>0</v>
      </c>
      <c r="G38" s="66">
        <f>SUM(H38:S38)</f>
        <v>0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>
        <f>T38+V38</f>
        <v>0</v>
      </c>
      <c r="V38" s="66">
        <f>SUM(W38:AG38)</f>
        <v>0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>
        <f>E38+T38</f>
        <v>0</v>
      </c>
      <c r="AI38" s="66">
        <f>U38+F38</f>
        <v>0</v>
      </c>
      <c r="AK38" s="355"/>
      <c r="AL38" s="355"/>
      <c r="AM38" s="355"/>
    </row>
    <row r="39" spans="1:39" ht="14.25" hidden="1" customHeight="1" x14ac:dyDescent="0.2">
      <c r="A39" s="60"/>
      <c r="B39" s="542" t="s">
        <v>320</v>
      </c>
      <c r="C39" s="542"/>
      <c r="D39" s="61" t="s">
        <v>319</v>
      </c>
      <c r="E39" s="62">
        <f t="shared" ref="E39:AI39" si="85">E40</f>
        <v>0</v>
      </c>
      <c r="F39" s="62">
        <f t="shared" si="85"/>
        <v>0</v>
      </c>
      <c r="G39" s="62">
        <f t="shared" si="85"/>
        <v>0</v>
      </c>
      <c r="H39" s="62">
        <f t="shared" si="85"/>
        <v>0</v>
      </c>
      <c r="I39" s="62">
        <f t="shared" si="85"/>
        <v>0</v>
      </c>
      <c r="J39" s="62">
        <f t="shared" si="85"/>
        <v>0</v>
      </c>
      <c r="K39" s="62">
        <f t="shared" si="85"/>
        <v>0</v>
      </c>
      <c r="L39" s="62">
        <f t="shared" si="85"/>
        <v>0</v>
      </c>
      <c r="M39" s="62">
        <f t="shared" si="85"/>
        <v>0</v>
      </c>
      <c r="N39" s="62">
        <f t="shared" si="85"/>
        <v>0</v>
      </c>
      <c r="O39" s="62">
        <f t="shared" si="85"/>
        <v>0</v>
      </c>
      <c r="P39" s="62">
        <f t="shared" si="85"/>
        <v>0</v>
      </c>
      <c r="Q39" s="62">
        <f t="shared" si="85"/>
        <v>0</v>
      </c>
      <c r="R39" s="62">
        <f t="shared" si="85"/>
        <v>0</v>
      </c>
      <c r="S39" s="62">
        <f t="shared" si="85"/>
        <v>0</v>
      </c>
      <c r="T39" s="62">
        <f t="shared" si="85"/>
        <v>0</v>
      </c>
      <c r="U39" s="62">
        <f t="shared" si="85"/>
        <v>0</v>
      </c>
      <c r="V39" s="62">
        <f t="shared" si="85"/>
        <v>0</v>
      </c>
      <c r="W39" s="62">
        <f t="shared" si="85"/>
        <v>0</v>
      </c>
      <c r="X39" s="62">
        <f t="shared" si="85"/>
        <v>0</v>
      </c>
      <c r="Y39" s="62">
        <f t="shared" si="85"/>
        <v>0</v>
      </c>
      <c r="Z39" s="62">
        <f t="shared" si="85"/>
        <v>0</v>
      </c>
      <c r="AA39" s="62">
        <f t="shared" si="85"/>
        <v>0</v>
      </c>
      <c r="AB39" s="62">
        <f t="shared" si="85"/>
        <v>0</v>
      </c>
      <c r="AC39" s="62">
        <f t="shared" si="85"/>
        <v>0</v>
      </c>
      <c r="AD39" s="62">
        <f t="shared" si="85"/>
        <v>0</v>
      </c>
      <c r="AE39" s="62">
        <f t="shared" si="85"/>
        <v>0</v>
      </c>
      <c r="AF39" s="62">
        <f t="shared" si="85"/>
        <v>0</v>
      </c>
      <c r="AG39" s="62">
        <f t="shared" si="85"/>
        <v>0</v>
      </c>
      <c r="AH39" s="62">
        <f t="shared" si="85"/>
        <v>0</v>
      </c>
      <c r="AI39" s="62">
        <f t="shared" si="85"/>
        <v>0</v>
      </c>
      <c r="AK39" s="355"/>
      <c r="AL39" s="355"/>
      <c r="AM39" s="355"/>
    </row>
    <row r="40" spans="1:39" ht="26.25" hidden="1" customHeight="1" x14ac:dyDescent="0.2">
      <c r="A40" s="64"/>
      <c r="B40" s="188"/>
      <c r="C40" s="188" t="s">
        <v>321</v>
      </c>
      <c r="D40" s="65" t="s">
        <v>322</v>
      </c>
      <c r="E40" s="66"/>
      <c r="F40" s="66">
        <f>E40+G40</f>
        <v>0</v>
      </c>
      <c r="G40" s="66">
        <f>SUM(H40:S40)</f>
        <v>0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>
        <f>T40+V40</f>
        <v>0</v>
      </c>
      <c r="V40" s="66">
        <f>SUM(W40:AG40)</f>
        <v>0</v>
      </c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>
        <f>E40+T40</f>
        <v>0</v>
      </c>
      <c r="AI40" s="66">
        <f>U40+F40</f>
        <v>0</v>
      </c>
      <c r="AK40" s="355"/>
      <c r="AL40" s="355"/>
      <c r="AM40" s="355"/>
    </row>
    <row r="41" spans="1:39" ht="29.25" hidden="1" customHeight="1" x14ac:dyDescent="0.2">
      <c r="A41" s="60"/>
      <c r="B41" s="542" t="s">
        <v>631</v>
      </c>
      <c r="C41" s="542"/>
      <c r="D41" s="61" t="s">
        <v>632</v>
      </c>
      <c r="E41" s="62">
        <v>0</v>
      </c>
      <c r="F41" s="62">
        <v>0</v>
      </c>
      <c r="G41" s="62">
        <v>0</v>
      </c>
      <c r="H41" s="62">
        <v>0</v>
      </c>
      <c r="I41" s="62">
        <v>0</v>
      </c>
      <c r="J41" s="62">
        <v>0</v>
      </c>
      <c r="K41" s="62">
        <v>0</v>
      </c>
      <c r="L41" s="62">
        <v>0</v>
      </c>
      <c r="M41" s="62">
        <v>0</v>
      </c>
      <c r="N41" s="62">
        <v>0</v>
      </c>
      <c r="O41" s="62">
        <v>0</v>
      </c>
      <c r="P41" s="62">
        <v>0</v>
      </c>
      <c r="Q41" s="62">
        <v>0</v>
      </c>
      <c r="R41" s="62">
        <v>0</v>
      </c>
      <c r="S41" s="62">
        <v>0</v>
      </c>
      <c r="T41" s="62">
        <v>0</v>
      </c>
      <c r="U41" s="62">
        <v>0</v>
      </c>
      <c r="V41" s="62">
        <v>0</v>
      </c>
      <c r="W41" s="62">
        <v>0</v>
      </c>
      <c r="X41" s="62">
        <v>0</v>
      </c>
      <c r="Y41" s="62">
        <v>0</v>
      </c>
      <c r="Z41" s="62">
        <v>0</v>
      </c>
      <c r="AA41" s="62">
        <v>0</v>
      </c>
      <c r="AB41" s="62">
        <v>0</v>
      </c>
      <c r="AC41" s="62">
        <v>0</v>
      </c>
      <c r="AD41" s="62">
        <v>0</v>
      </c>
      <c r="AE41" s="62">
        <v>0</v>
      </c>
      <c r="AF41" s="62">
        <v>0</v>
      </c>
      <c r="AG41" s="62">
        <v>0</v>
      </c>
      <c r="AH41" s="62">
        <f>E41+T41</f>
        <v>0</v>
      </c>
      <c r="AI41" s="62">
        <v>0</v>
      </c>
      <c r="AK41" s="355"/>
      <c r="AL41" s="355"/>
      <c r="AM41" s="355"/>
    </row>
    <row r="42" spans="1:39" s="175" customFormat="1" ht="24" x14ac:dyDescent="0.2">
      <c r="A42" s="536" t="s">
        <v>61</v>
      </c>
      <c r="B42" s="537"/>
      <c r="C42" s="537"/>
      <c r="D42" s="70" t="s">
        <v>62</v>
      </c>
      <c r="E42" s="58">
        <f t="shared" ref="E42:F42" si="86">SUM(E43,E46)</f>
        <v>2654048</v>
      </c>
      <c r="F42" s="58">
        <f t="shared" si="86"/>
        <v>2654048</v>
      </c>
      <c r="G42" s="58">
        <f t="shared" ref="G42:S42" si="87">SUM(G43,G46)</f>
        <v>0</v>
      </c>
      <c r="H42" s="58">
        <f t="shared" si="87"/>
        <v>0</v>
      </c>
      <c r="I42" s="58">
        <f t="shared" si="87"/>
        <v>0</v>
      </c>
      <c r="J42" s="58">
        <f t="shared" si="87"/>
        <v>0</v>
      </c>
      <c r="K42" s="58">
        <f t="shared" si="87"/>
        <v>0</v>
      </c>
      <c r="L42" s="58">
        <f t="shared" si="87"/>
        <v>0</v>
      </c>
      <c r="M42" s="58">
        <f t="shared" si="87"/>
        <v>0</v>
      </c>
      <c r="N42" s="58">
        <f t="shared" si="87"/>
        <v>0</v>
      </c>
      <c r="O42" s="58">
        <f t="shared" si="87"/>
        <v>0</v>
      </c>
      <c r="P42" s="58">
        <f t="shared" si="87"/>
        <v>0</v>
      </c>
      <c r="Q42" s="58">
        <f t="shared" si="87"/>
        <v>0</v>
      </c>
      <c r="R42" s="58">
        <f t="shared" si="87"/>
        <v>0</v>
      </c>
      <c r="S42" s="58">
        <f t="shared" si="87"/>
        <v>0</v>
      </c>
      <c r="T42" s="58">
        <f t="shared" ref="T42:AG42" si="88">SUM(T43,T46)</f>
        <v>0</v>
      </c>
      <c r="U42" s="58">
        <f t="shared" si="88"/>
        <v>0</v>
      </c>
      <c r="V42" s="58">
        <f t="shared" si="88"/>
        <v>0</v>
      </c>
      <c r="W42" s="58">
        <f t="shared" si="88"/>
        <v>0</v>
      </c>
      <c r="X42" s="58">
        <f t="shared" si="88"/>
        <v>0</v>
      </c>
      <c r="Y42" s="58">
        <f t="shared" si="88"/>
        <v>0</v>
      </c>
      <c r="Z42" s="58">
        <f t="shared" si="88"/>
        <v>0</v>
      </c>
      <c r="AA42" s="58">
        <f t="shared" si="88"/>
        <v>0</v>
      </c>
      <c r="AB42" s="58">
        <f t="shared" si="88"/>
        <v>0</v>
      </c>
      <c r="AC42" s="58">
        <f t="shared" si="88"/>
        <v>0</v>
      </c>
      <c r="AD42" s="58">
        <f t="shared" si="88"/>
        <v>0</v>
      </c>
      <c r="AE42" s="58">
        <f t="shared" si="88"/>
        <v>0</v>
      </c>
      <c r="AF42" s="58">
        <f t="shared" si="88"/>
        <v>0</v>
      </c>
      <c r="AG42" s="58">
        <f t="shared" si="88"/>
        <v>0</v>
      </c>
      <c r="AH42" s="58">
        <f t="shared" ref="AH42:AI42" si="89">SUM(AH43,AH46)</f>
        <v>2654048</v>
      </c>
      <c r="AI42" s="58">
        <f t="shared" si="89"/>
        <v>2654048</v>
      </c>
      <c r="AK42" s="355"/>
      <c r="AL42" s="355"/>
      <c r="AM42" s="355"/>
    </row>
    <row r="43" spans="1:39" s="174" customFormat="1" x14ac:dyDescent="0.2">
      <c r="A43" s="46"/>
      <c r="B43" s="538" t="s">
        <v>63</v>
      </c>
      <c r="C43" s="538"/>
      <c r="D43" s="47" t="s">
        <v>64</v>
      </c>
      <c r="E43" s="59">
        <f t="shared" ref="E43" si="90">SUM(E44:E45)</f>
        <v>13100</v>
      </c>
      <c r="F43" s="59">
        <f t="shared" ref="F43:S43" si="91">SUM(F44:F45)</f>
        <v>13100</v>
      </c>
      <c r="G43" s="59">
        <f t="shared" si="91"/>
        <v>0</v>
      </c>
      <c r="H43" s="59">
        <f t="shared" si="91"/>
        <v>0</v>
      </c>
      <c r="I43" s="59">
        <f t="shared" si="91"/>
        <v>0</v>
      </c>
      <c r="J43" s="59">
        <f t="shared" si="91"/>
        <v>0</v>
      </c>
      <c r="K43" s="59">
        <f t="shared" si="91"/>
        <v>0</v>
      </c>
      <c r="L43" s="59">
        <f t="shared" si="91"/>
        <v>0</v>
      </c>
      <c r="M43" s="59">
        <f t="shared" si="91"/>
        <v>0</v>
      </c>
      <c r="N43" s="59">
        <f t="shared" si="91"/>
        <v>0</v>
      </c>
      <c r="O43" s="59">
        <f t="shared" si="91"/>
        <v>0</v>
      </c>
      <c r="P43" s="59">
        <f t="shared" si="91"/>
        <v>0</v>
      </c>
      <c r="Q43" s="59">
        <f t="shared" si="91"/>
        <v>0</v>
      </c>
      <c r="R43" s="59">
        <f t="shared" si="91"/>
        <v>0</v>
      </c>
      <c r="S43" s="59">
        <f t="shared" si="91"/>
        <v>0</v>
      </c>
      <c r="T43" s="59">
        <f t="shared" ref="T43:AG43" si="92">SUM(T44:T45)</f>
        <v>0</v>
      </c>
      <c r="U43" s="59">
        <f t="shared" si="92"/>
        <v>0</v>
      </c>
      <c r="V43" s="59">
        <f t="shared" si="92"/>
        <v>0</v>
      </c>
      <c r="W43" s="59">
        <f t="shared" si="92"/>
        <v>0</v>
      </c>
      <c r="X43" s="59">
        <f t="shared" si="92"/>
        <v>0</v>
      </c>
      <c r="Y43" s="59">
        <f t="shared" si="92"/>
        <v>0</v>
      </c>
      <c r="Z43" s="59">
        <f t="shared" si="92"/>
        <v>0</v>
      </c>
      <c r="AA43" s="59">
        <f t="shared" si="92"/>
        <v>0</v>
      </c>
      <c r="AB43" s="59">
        <f t="shared" si="92"/>
        <v>0</v>
      </c>
      <c r="AC43" s="59">
        <f t="shared" si="92"/>
        <v>0</v>
      </c>
      <c r="AD43" s="59">
        <f t="shared" si="92"/>
        <v>0</v>
      </c>
      <c r="AE43" s="59">
        <f t="shared" si="92"/>
        <v>0</v>
      </c>
      <c r="AF43" s="59">
        <f t="shared" si="92"/>
        <v>0</v>
      </c>
      <c r="AG43" s="59">
        <f t="shared" si="92"/>
        <v>0</v>
      </c>
      <c r="AH43" s="59">
        <f t="shared" ref="AH43:AI43" si="93">SUM(AH44:AH45)</f>
        <v>13100</v>
      </c>
      <c r="AI43" s="59">
        <f t="shared" si="93"/>
        <v>13100</v>
      </c>
      <c r="AK43" s="355"/>
      <c r="AL43" s="355"/>
      <c r="AM43" s="355"/>
    </row>
    <row r="44" spans="1:39" ht="48" x14ac:dyDescent="0.2">
      <c r="A44" s="60"/>
      <c r="B44" s="542" t="s">
        <v>65</v>
      </c>
      <c r="C44" s="542"/>
      <c r="D44" s="61" t="s">
        <v>375</v>
      </c>
      <c r="E44" s="62">
        <v>9300</v>
      </c>
      <c r="F44" s="51">
        <f t="shared" ref="F44:F45" si="94">E44+G44</f>
        <v>9300</v>
      </c>
      <c r="G44" s="51">
        <f t="shared" ref="G44:G45" si="95">SUM(H44:S44)</f>
        <v>0</v>
      </c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>
        <f t="shared" ref="U44:U45" si="96">T44+V44</f>
        <v>0</v>
      </c>
      <c r="V44" s="51">
        <f t="shared" ref="V44:V45" si="97">SUM(W44:AG44)</f>
        <v>0</v>
      </c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>
        <f t="shared" ref="AH44:AH45" si="98">E44+T44</f>
        <v>9300</v>
      </c>
      <c r="AI44" s="51">
        <f t="shared" ref="AI44:AI45" si="99">U44+F44</f>
        <v>9300</v>
      </c>
      <c r="AK44" s="355"/>
      <c r="AL44" s="355"/>
      <c r="AM44" s="355"/>
    </row>
    <row r="45" spans="1:39" ht="24" x14ac:dyDescent="0.2">
      <c r="A45" s="71"/>
      <c r="B45" s="549" t="s">
        <v>66</v>
      </c>
      <c r="C45" s="549"/>
      <c r="D45" s="72" t="s">
        <v>217</v>
      </c>
      <c r="E45" s="73">
        <v>3800</v>
      </c>
      <c r="F45" s="66">
        <f t="shared" si="94"/>
        <v>3800</v>
      </c>
      <c r="G45" s="66">
        <f t="shared" si="95"/>
        <v>0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2">
        <f t="shared" si="96"/>
        <v>0</v>
      </c>
      <c r="V45" s="62">
        <f t="shared" si="97"/>
        <v>0</v>
      </c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>
        <f t="shared" si="98"/>
        <v>3800</v>
      </c>
      <c r="AI45" s="62">
        <f t="shared" si="99"/>
        <v>3800</v>
      </c>
      <c r="AK45" s="355"/>
      <c r="AL45" s="355"/>
      <c r="AM45" s="355"/>
    </row>
    <row r="46" spans="1:39" s="174" customFormat="1" x14ac:dyDescent="0.2">
      <c r="A46" s="46"/>
      <c r="B46" s="538" t="s">
        <v>67</v>
      </c>
      <c r="C46" s="538"/>
      <c r="D46" s="47" t="s">
        <v>68</v>
      </c>
      <c r="E46" s="59">
        <f t="shared" ref="E46:AG46" si="100">SUM(E47:E52)</f>
        <v>2640948</v>
      </c>
      <c r="F46" s="59">
        <f t="shared" ref="F46:S46" si="101">SUM(F47:F52)</f>
        <v>2640948</v>
      </c>
      <c r="G46" s="59">
        <f t="shared" si="101"/>
        <v>0</v>
      </c>
      <c r="H46" s="59">
        <f t="shared" si="101"/>
        <v>0</v>
      </c>
      <c r="I46" s="59">
        <f t="shared" si="101"/>
        <v>0</v>
      </c>
      <c r="J46" s="59">
        <f t="shared" si="101"/>
        <v>0</v>
      </c>
      <c r="K46" s="59">
        <f t="shared" si="101"/>
        <v>0</v>
      </c>
      <c r="L46" s="59">
        <f t="shared" si="101"/>
        <v>0</v>
      </c>
      <c r="M46" s="59">
        <f t="shared" si="101"/>
        <v>0</v>
      </c>
      <c r="N46" s="59">
        <f t="shared" si="101"/>
        <v>0</v>
      </c>
      <c r="O46" s="59">
        <f t="shared" si="101"/>
        <v>0</v>
      </c>
      <c r="P46" s="59">
        <f t="shared" si="101"/>
        <v>0</v>
      </c>
      <c r="Q46" s="59">
        <f t="shared" si="101"/>
        <v>0</v>
      </c>
      <c r="R46" s="59">
        <f t="shared" si="101"/>
        <v>0</v>
      </c>
      <c r="S46" s="59">
        <f t="shared" si="101"/>
        <v>0</v>
      </c>
      <c r="T46" s="59">
        <f t="shared" si="100"/>
        <v>0</v>
      </c>
      <c r="U46" s="233">
        <f t="shared" si="100"/>
        <v>0</v>
      </c>
      <c r="V46" s="233">
        <f t="shared" si="100"/>
        <v>0</v>
      </c>
      <c r="W46" s="233">
        <f t="shared" si="100"/>
        <v>0</v>
      </c>
      <c r="X46" s="233">
        <f t="shared" si="100"/>
        <v>0</v>
      </c>
      <c r="Y46" s="233">
        <f t="shared" si="100"/>
        <v>0</v>
      </c>
      <c r="Z46" s="233">
        <f t="shared" si="100"/>
        <v>0</v>
      </c>
      <c r="AA46" s="233">
        <f t="shared" si="100"/>
        <v>0</v>
      </c>
      <c r="AB46" s="233">
        <f t="shared" si="100"/>
        <v>0</v>
      </c>
      <c r="AC46" s="233">
        <f t="shared" si="100"/>
        <v>0</v>
      </c>
      <c r="AD46" s="233">
        <f t="shared" si="100"/>
        <v>0</v>
      </c>
      <c r="AE46" s="233">
        <f t="shared" si="100"/>
        <v>0</v>
      </c>
      <c r="AF46" s="233">
        <f t="shared" si="100"/>
        <v>0</v>
      </c>
      <c r="AG46" s="233">
        <f t="shared" si="100"/>
        <v>0</v>
      </c>
      <c r="AH46" s="233">
        <f t="shared" ref="AH46:AI46" si="102">SUM(AH47:AH52)</f>
        <v>2640948</v>
      </c>
      <c r="AI46" s="233">
        <f t="shared" si="102"/>
        <v>2640948</v>
      </c>
      <c r="AK46" s="355"/>
      <c r="AL46" s="355"/>
      <c r="AM46" s="355"/>
    </row>
    <row r="47" spans="1:39" ht="24" x14ac:dyDescent="0.2">
      <c r="A47" s="74"/>
      <c r="B47" s="555" t="s">
        <v>69</v>
      </c>
      <c r="C47" s="555"/>
      <c r="D47" s="75" t="s">
        <v>157</v>
      </c>
      <c r="E47" s="76"/>
      <c r="F47" s="66">
        <f t="shared" ref="F47:F52" si="103">E47+G47</f>
        <v>0</v>
      </c>
      <c r="G47" s="66">
        <f t="shared" ref="G47:G52" si="104">SUM(H47:S47)</f>
        <v>0</v>
      </c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>
        <f t="shared" ref="U47:U52" si="105">T47+V47</f>
        <v>0</v>
      </c>
      <c r="V47" s="66">
        <f t="shared" ref="V47:V52" si="106">SUM(W47:AG47)</f>
        <v>0</v>
      </c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>
        <f t="shared" ref="AH47:AH52" si="107">E47+T47</f>
        <v>0</v>
      </c>
      <c r="AI47" s="66">
        <f t="shared" ref="AI47:AI52" si="108">U47+F47</f>
        <v>0</v>
      </c>
      <c r="AK47" s="355"/>
      <c r="AL47" s="355"/>
      <c r="AM47" s="355"/>
    </row>
    <row r="48" spans="1:39" x14ac:dyDescent="0.2">
      <c r="A48" s="74"/>
      <c r="B48" s="555" t="s">
        <v>70</v>
      </c>
      <c r="C48" s="555"/>
      <c r="D48" s="75" t="s">
        <v>158</v>
      </c>
      <c r="E48" s="76">
        <v>38000</v>
      </c>
      <c r="F48" s="76">
        <f t="shared" si="103"/>
        <v>38000</v>
      </c>
      <c r="G48" s="76">
        <f t="shared" si="104"/>
        <v>0</v>
      </c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>
        <f t="shared" si="105"/>
        <v>0</v>
      </c>
      <c r="V48" s="76">
        <f t="shared" si="106"/>
        <v>0</v>
      </c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>
        <f t="shared" si="107"/>
        <v>38000</v>
      </c>
      <c r="AI48" s="76">
        <f t="shared" si="108"/>
        <v>38000</v>
      </c>
      <c r="AK48" s="355"/>
      <c r="AL48" s="355"/>
      <c r="AM48" s="355"/>
    </row>
    <row r="49" spans="1:39" ht="24" x14ac:dyDescent="0.2">
      <c r="A49" s="74"/>
      <c r="B49" s="555" t="s">
        <v>71</v>
      </c>
      <c r="C49" s="555"/>
      <c r="D49" s="75" t="s">
        <v>159</v>
      </c>
      <c r="E49" s="76">
        <v>2514948</v>
      </c>
      <c r="F49" s="76">
        <f t="shared" si="103"/>
        <v>2514948</v>
      </c>
      <c r="G49" s="76">
        <f t="shared" si="104"/>
        <v>0</v>
      </c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>
        <f t="shared" si="105"/>
        <v>0</v>
      </c>
      <c r="V49" s="76">
        <f t="shared" si="106"/>
        <v>0</v>
      </c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>
        <f t="shared" si="107"/>
        <v>2514948</v>
      </c>
      <c r="AI49" s="76">
        <f t="shared" si="108"/>
        <v>2514948</v>
      </c>
      <c r="AK49" s="355"/>
      <c r="AL49" s="355"/>
      <c r="AM49" s="355"/>
    </row>
    <row r="50" spans="1:39" ht="24" x14ac:dyDescent="0.2">
      <c r="A50" s="74"/>
      <c r="B50" s="555" t="s">
        <v>72</v>
      </c>
      <c r="C50" s="555"/>
      <c r="D50" s="75" t="s">
        <v>160</v>
      </c>
      <c r="E50" s="76">
        <v>50000</v>
      </c>
      <c r="F50" s="76">
        <f t="shared" si="103"/>
        <v>50000</v>
      </c>
      <c r="G50" s="76">
        <f t="shared" si="104"/>
        <v>0</v>
      </c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>
        <f t="shared" si="105"/>
        <v>0</v>
      </c>
      <c r="V50" s="76">
        <f t="shared" si="106"/>
        <v>0</v>
      </c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>
        <f t="shared" si="107"/>
        <v>50000</v>
      </c>
      <c r="AI50" s="76">
        <f t="shared" si="108"/>
        <v>50000</v>
      </c>
      <c r="AK50" s="355"/>
      <c r="AL50" s="355"/>
      <c r="AM50" s="355"/>
    </row>
    <row r="51" spans="1:39" ht="26.25" hidden="1" customHeight="1" x14ac:dyDescent="0.2">
      <c r="A51" s="55"/>
      <c r="B51" s="555" t="s">
        <v>351</v>
      </c>
      <c r="C51" s="556"/>
      <c r="D51" s="56" t="s">
        <v>352</v>
      </c>
      <c r="E51" s="57"/>
      <c r="F51" s="76">
        <f t="shared" si="103"/>
        <v>0</v>
      </c>
      <c r="G51" s="57">
        <f t="shared" si="104"/>
        <v>0</v>
      </c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76"/>
      <c r="U51" s="76">
        <f t="shared" si="105"/>
        <v>0</v>
      </c>
      <c r="V51" s="76">
        <f t="shared" si="106"/>
        <v>0</v>
      </c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>
        <f t="shared" si="107"/>
        <v>0</v>
      </c>
      <c r="AI51" s="76">
        <f t="shared" si="108"/>
        <v>0</v>
      </c>
      <c r="AK51" s="355"/>
      <c r="AL51" s="355"/>
      <c r="AM51" s="355"/>
    </row>
    <row r="52" spans="1:39" ht="24" x14ac:dyDescent="0.2">
      <c r="A52" s="55"/>
      <c r="B52" s="535" t="s">
        <v>144</v>
      </c>
      <c r="C52" s="535"/>
      <c r="D52" s="56" t="s">
        <v>616</v>
      </c>
      <c r="E52" s="57">
        <v>38000</v>
      </c>
      <c r="F52" s="66">
        <f t="shared" si="103"/>
        <v>38000</v>
      </c>
      <c r="G52" s="66">
        <f t="shared" si="104"/>
        <v>0</v>
      </c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>
        <f t="shared" si="105"/>
        <v>0</v>
      </c>
      <c r="V52" s="66">
        <f t="shared" si="106"/>
        <v>0</v>
      </c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>
        <f t="shared" si="107"/>
        <v>38000</v>
      </c>
      <c r="AI52" s="66">
        <f t="shared" si="108"/>
        <v>38000</v>
      </c>
      <c r="AK52" s="355"/>
      <c r="AL52" s="355"/>
      <c r="AM52" s="355"/>
    </row>
    <row r="53" spans="1:39" s="175" customFormat="1" x14ac:dyDescent="0.2">
      <c r="A53" s="536" t="s">
        <v>73</v>
      </c>
      <c r="B53" s="537"/>
      <c r="C53" s="537"/>
      <c r="D53" s="70" t="s">
        <v>74</v>
      </c>
      <c r="E53" s="58">
        <f t="shared" ref="E53:AH53" si="109">SUM(E56,E54)</f>
        <v>154000</v>
      </c>
      <c r="F53" s="58">
        <f t="shared" ref="F53:S53" si="110">SUM(F56,F54)</f>
        <v>154000</v>
      </c>
      <c r="G53" s="58">
        <f t="shared" si="110"/>
        <v>0</v>
      </c>
      <c r="H53" s="58">
        <f t="shared" si="110"/>
        <v>0</v>
      </c>
      <c r="I53" s="58">
        <f t="shared" si="110"/>
        <v>0</v>
      </c>
      <c r="J53" s="58">
        <f t="shared" si="110"/>
        <v>0</v>
      </c>
      <c r="K53" s="58">
        <f t="shared" si="110"/>
        <v>0</v>
      </c>
      <c r="L53" s="58">
        <f t="shared" si="110"/>
        <v>0</v>
      </c>
      <c r="M53" s="58">
        <f t="shared" si="110"/>
        <v>0</v>
      </c>
      <c r="N53" s="58">
        <f t="shared" si="110"/>
        <v>0</v>
      </c>
      <c r="O53" s="58">
        <f t="shared" si="110"/>
        <v>0</v>
      </c>
      <c r="P53" s="58">
        <f t="shared" si="110"/>
        <v>0</v>
      </c>
      <c r="Q53" s="58">
        <f t="shared" si="110"/>
        <v>0</v>
      </c>
      <c r="R53" s="58">
        <f t="shared" si="110"/>
        <v>0</v>
      </c>
      <c r="S53" s="58">
        <f t="shared" si="110"/>
        <v>0</v>
      </c>
      <c r="T53" s="58">
        <f t="shared" si="109"/>
        <v>0</v>
      </c>
      <c r="U53" s="58">
        <f t="shared" si="109"/>
        <v>0</v>
      </c>
      <c r="V53" s="58">
        <f t="shared" si="109"/>
        <v>0</v>
      </c>
      <c r="W53" s="58">
        <f t="shared" si="109"/>
        <v>0</v>
      </c>
      <c r="X53" s="58">
        <f t="shared" si="109"/>
        <v>0</v>
      </c>
      <c r="Y53" s="58">
        <f t="shared" si="109"/>
        <v>0</v>
      </c>
      <c r="Z53" s="58">
        <f t="shared" si="109"/>
        <v>0</v>
      </c>
      <c r="AA53" s="58">
        <f t="shared" si="109"/>
        <v>0</v>
      </c>
      <c r="AB53" s="58">
        <f t="shared" si="109"/>
        <v>0</v>
      </c>
      <c r="AC53" s="58">
        <f t="shared" si="109"/>
        <v>0</v>
      </c>
      <c r="AD53" s="58">
        <f t="shared" si="109"/>
        <v>0</v>
      </c>
      <c r="AE53" s="58">
        <f t="shared" si="109"/>
        <v>0</v>
      </c>
      <c r="AF53" s="58">
        <f t="shared" si="109"/>
        <v>0</v>
      </c>
      <c r="AG53" s="58">
        <f t="shared" si="109"/>
        <v>0</v>
      </c>
      <c r="AH53" s="58">
        <f t="shared" si="109"/>
        <v>154000</v>
      </c>
      <c r="AI53" s="58">
        <f t="shared" ref="AI53" si="111">SUM(AI56,AI54)</f>
        <v>154000</v>
      </c>
      <c r="AK53" s="355"/>
      <c r="AL53" s="355"/>
      <c r="AM53" s="355"/>
    </row>
    <row r="54" spans="1:39" s="174" customFormat="1" x14ac:dyDescent="0.2">
      <c r="A54" s="46"/>
      <c r="B54" s="538" t="s">
        <v>75</v>
      </c>
      <c r="C54" s="538"/>
      <c r="D54" s="47" t="s">
        <v>76</v>
      </c>
      <c r="E54" s="59">
        <f t="shared" ref="E54:AI54" si="112">E55</f>
        <v>154000</v>
      </c>
      <c r="F54" s="59">
        <f t="shared" si="112"/>
        <v>154000</v>
      </c>
      <c r="G54" s="59">
        <f t="shared" si="112"/>
        <v>0</v>
      </c>
      <c r="H54" s="59">
        <f t="shared" si="112"/>
        <v>0</v>
      </c>
      <c r="I54" s="59">
        <f t="shared" si="112"/>
        <v>0</v>
      </c>
      <c r="J54" s="59">
        <f t="shared" si="112"/>
        <v>0</v>
      </c>
      <c r="K54" s="59">
        <f t="shared" si="112"/>
        <v>0</v>
      </c>
      <c r="L54" s="59">
        <f t="shared" si="112"/>
        <v>0</v>
      </c>
      <c r="M54" s="59">
        <f t="shared" si="112"/>
        <v>0</v>
      </c>
      <c r="N54" s="59">
        <f t="shared" si="112"/>
        <v>0</v>
      </c>
      <c r="O54" s="59">
        <f t="shared" si="112"/>
        <v>0</v>
      </c>
      <c r="P54" s="59">
        <f t="shared" si="112"/>
        <v>0</v>
      </c>
      <c r="Q54" s="59">
        <f t="shared" si="112"/>
        <v>0</v>
      </c>
      <c r="R54" s="59">
        <f t="shared" si="112"/>
        <v>0</v>
      </c>
      <c r="S54" s="59">
        <f t="shared" si="112"/>
        <v>0</v>
      </c>
      <c r="T54" s="59">
        <f t="shared" si="112"/>
        <v>0</v>
      </c>
      <c r="U54" s="59">
        <f t="shared" si="112"/>
        <v>0</v>
      </c>
      <c r="V54" s="59">
        <f t="shared" si="112"/>
        <v>0</v>
      </c>
      <c r="W54" s="59">
        <f t="shared" si="112"/>
        <v>0</v>
      </c>
      <c r="X54" s="59">
        <f t="shared" si="112"/>
        <v>0</v>
      </c>
      <c r="Y54" s="59">
        <f t="shared" si="112"/>
        <v>0</v>
      </c>
      <c r="Z54" s="59">
        <f t="shared" si="112"/>
        <v>0</v>
      </c>
      <c r="AA54" s="59">
        <f t="shared" si="112"/>
        <v>0</v>
      </c>
      <c r="AB54" s="59">
        <f t="shared" si="112"/>
        <v>0</v>
      </c>
      <c r="AC54" s="59">
        <f t="shared" si="112"/>
        <v>0</v>
      </c>
      <c r="AD54" s="59">
        <f t="shared" si="112"/>
        <v>0</v>
      </c>
      <c r="AE54" s="59">
        <f t="shared" si="112"/>
        <v>0</v>
      </c>
      <c r="AF54" s="59">
        <f t="shared" si="112"/>
        <v>0</v>
      </c>
      <c r="AG54" s="59">
        <f t="shared" si="112"/>
        <v>0</v>
      </c>
      <c r="AH54" s="59">
        <f t="shared" si="112"/>
        <v>154000</v>
      </c>
      <c r="AI54" s="59">
        <f t="shared" si="112"/>
        <v>154000</v>
      </c>
      <c r="AK54" s="355"/>
      <c r="AL54" s="355"/>
      <c r="AM54" s="355"/>
    </row>
    <row r="55" spans="1:39" x14ac:dyDescent="0.2">
      <c r="A55" s="177"/>
      <c r="B55" s="557" t="s">
        <v>77</v>
      </c>
      <c r="C55" s="557"/>
      <c r="D55" s="104" t="s">
        <v>78</v>
      </c>
      <c r="E55" s="105">
        <v>154000</v>
      </c>
      <c r="F55" s="62">
        <f t="shared" ref="F55:F56" si="113">E55+G55</f>
        <v>154000</v>
      </c>
      <c r="G55" s="62">
        <f t="shared" ref="G55:G56" si="114">SUM(H55:S55)</f>
        <v>0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>
        <f t="shared" ref="U55:U56" si="115">T55+V55</f>
        <v>0</v>
      </c>
      <c r="V55" s="62">
        <f t="shared" ref="V55:V56" si="116">SUM(W55:AG55)</f>
        <v>0</v>
      </c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>
        <f>E55+T55</f>
        <v>154000</v>
      </c>
      <c r="AI55" s="62">
        <f t="shared" ref="AI55:AI56" si="117">U55+F55</f>
        <v>154000</v>
      </c>
      <c r="AK55" s="355"/>
      <c r="AL55" s="355"/>
      <c r="AM55" s="355"/>
    </row>
    <row r="56" spans="1:39" ht="24" hidden="1" x14ac:dyDescent="0.2">
      <c r="A56" s="64"/>
      <c r="B56" s="538" t="s">
        <v>323</v>
      </c>
      <c r="C56" s="538"/>
      <c r="D56" s="47" t="s">
        <v>324</v>
      </c>
      <c r="E56" s="59"/>
      <c r="F56" s="233">
        <f t="shared" si="113"/>
        <v>0</v>
      </c>
      <c r="G56" s="233">
        <f t="shared" si="114"/>
        <v>0</v>
      </c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>
        <f t="shared" si="115"/>
        <v>0</v>
      </c>
      <c r="V56" s="233">
        <f t="shared" si="116"/>
        <v>0</v>
      </c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>
        <f t="shared" si="117"/>
        <v>0</v>
      </c>
      <c r="AK56" s="355"/>
      <c r="AL56" s="355"/>
      <c r="AM56" s="355"/>
    </row>
    <row r="57" spans="1:39" s="175" customFormat="1" x14ac:dyDescent="0.2">
      <c r="A57" s="536" t="s">
        <v>79</v>
      </c>
      <c r="B57" s="537"/>
      <c r="C57" s="537"/>
      <c r="D57" s="70" t="s">
        <v>80</v>
      </c>
      <c r="E57" s="58">
        <f t="shared" ref="E57:F57" si="118">SUM(E58,E60)</f>
        <v>113932</v>
      </c>
      <c r="F57" s="58">
        <f t="shared" si="118"/>
        <v>113932</v>
      </c>
      <c r="G57" s="58">
        <f t="shared" ref="G57:S57" si="119">SUM(G58,G60)</f>
        <v>0</v>
      </c>
      <c r="H57" s="58">
        <f t="shared" si="119"/>
        <v>0</v>
      </c>
      <c r="I57" s="58">
        <f t="shared" si="119"/>
        <v>0</v>
      </c>
      <c r="J57" s="58">
        <f t="shared" si="119"/>
        <v>0</v>
      </c>
      <c r="K57" s="58">
        <f t="shared" si="119"/>
        <v>0</v>
      </c>
      <c r="L57" s="58">
        <f t="shared" si="119"/>
        <v>0</v>
      </c>
      <c r="M57" s="58">
        <f t="shared" si="119"/>
        <v>0</v>
      </c>
      <c r="N57" s="58">
        <f t="shared" si="119"/>
        <v>0</v>
      </c>
      <c r="O57" s="58">
        <f t="shared" si="119"/>
        <v>0</v>
      </c>
      <c r="P57" s="58">
        <f t="shared" si="119"/>
        <v>0</v>
      </c>
      <c r="Q57" s="58">
        <f t="shared" si="119"/>
        <v>0</v>
      </c>
      <c r="R57" s="58">
        <f t="shared" si="119"/>
        <v>0</v>
      </c>
      <c r="S57" s="58">
        <f t="shared" si="119"/>
        <v>0</v>
      </c>
      <c r="T57" s="58">
        <f t="shared" ref="T57:AG57" si="120">SUM(T58,T60)</f>
        <v>0</v>
      </c>
      <c r="U57" s="58">
        <f t="shared" si="120"/>
        <v>0</v>
      </c>
      <c r="V57" s="58">
        <f t="shared" si="120"/>
        <v>0</v>
      </c>
      <c r="W57" s="58">
        <f t="shared" si="120"/>
        <v>0</v>
      </c>
      <c r="X57" s="58">
        <f t="shared" si="120"/>
        <v>0</v>
      </c>
      <c r="Y57" s="58">
        <f t="shared" si="120"/>
        <v>0</v>
      </c>
      <c r="Z57" s="58">
        <f t="shared" si="120"/>
        <v>0</v>
      </c>
      <c r="AA57" s="58">
        <f t="shared" si="120"/>
        <v>0</v>
      </c>
      <c r="AB57" s="58">
        <f t="shared" si="120"/>
        <v>0</v>
      </c>
      <c r="AC57" s="58">
        <f t="shared" si="120"/>
        <v>0</v>
      </c>
      <c r="AD57" s="58">
        <f t="shared" si="120"/>
        <v>0</v>
      </c>
      <c r="AE57" s="58">
        <f t="shared" si="120"/>
        <v>0</v>
      </c>
      <c r="AF57" s="58">
        <f t="shared" si="120"/>
        <v>0</v>
      </c>
      <c r="AG57" s="58">
        <f t="shared" si="120"/>
        <v>0</v>
      </c>
      <c r="AH57" s="58">
        <f t="shared" ref="AH57:AI57" si="121">SUM(AH58,AH60)</f>
        <v>113932</v>
      </c>
      <c r="AI57" s="58">
        <f t="shared" si="121"/>
        <v>113932</v>
      </c>
      <c r="AK57" s="355"/>
      <c r="AL57" s="355"/>
      <c r="AM57" s="355"/>
    </row>
    <row r="58" spans="1:39" s="174" customFormat="1" ht="24" x14ac:dyDescent="0.2">
      <c r="A58" s="46"/>
      <c r="B58" s="558" t="s">
        <v>81</v>
      </c>
      <c r="C58" s="559"/>
      <c r="D58" s="77" t="s">
        <v>82</v>
      </c>
      <c r="E58" s="59">
        <f t="shared" ref="E58:AI58" si="122">SUM(E59)</f>
        <v>33200</v>
      </c>
      <c r="F58" s="59">
        <f t="shared" si="122"/>
        <v>33200</v>
      </c>
      <c r="G58" s="59">
        <f t="shared" si="122"/>
        <v>0</v>
      </c>
      <c r="H58" s="59">
        <f t="shared" si="122"/>
        <v>0</v>
      </c>
      <c r="I58" s="59">
        <f t="shared" si="122"/>
        <v>0</v>
      </c>
      <c r="J58" s="59">
        <f t="shared" si="122"/>
        <v>0</v>
      </c>
      <c r="K58" s="59">
        <f t="shared" si="122"/>
        <v>0</v>
      </c>
      <c r="L58" s="59">
        <f t="shared" si="122"/>
        <v>0</v>
      </c>
      <c r="M58" s="59">
        <f t="shared" si="122"/>
        <v>0</v>
      </c>
      <c r="N58" s="59">
        <f t="shared" si="122"/>
        <v>0</v>
      </c>
      <c r="O58" s="59">
        <f t="shared" si="122"/>
        <v>0</v>
      </c>
      <c r="P58" s="59">
        <f t="shared" si="122"/>
        <v>0</v>
      </c>
      <c r="Q58" s="59">
        <f t="shared" si="122"/>
        <v>0</v>
      </c>
      <c r="R58" s="59">
        <f t="shared" si="122"/>
        <v>0</v>
      </c>
      <c r="S58" s="59">
        <f t="shared" si="122"/>
        <v>0</v>
      </c>
      <c r="T58" s="59">
        <f t="shared" si="122"/>
        <v>0</v>
      </c>
      <c r="U58" s="233">
        <f t="shared" si="122"/>
        <v>0</v>
      </c>
      <c r="V58" s="233">
        <f t="shared" si="122"/>
        <v>0</v>
      </c>
      <c r="W58" s="233">
        <f t="shared" si="122"/>
        <v>0</v>
      </c>
      <c r="X58" s="233">
        <f t="shared" si="122"/>
        <v>0</v>
      </c>
      <c r="Y58" s="233">
        <f t="shared" si="122"/>
        <v>0</v>
      </c>
      <c r="Z58" s="233">
        <f t="shared" si="122"/>
        <v>0</v>
      </c>
      <c r="AA58" s="233">
        <f t="shared" si="122"/>
        <v>0</v>
      </c>
      <c r="AB58" s="233">
        <f t="shared" si="122"/>
        <v>0</v>
      </c>
      <c r="AC58" s="233">
        <f t="shared" si="122"/>
        <v>0</v>
      </c>
      <c r="AD58" s="233">
        <f t="shared" si="122"/>
        <v>0</v>
      </c>
      <c r="AE58" s="233">
        <f t="shared" si="122"/>
        <v>0</v>
      </c>
      <c r="AF58" s="233">
        <f t="shared" si="122"/>
        <v>0</v>
      </c>
      <c r="AG58" s="233">
        <f t="shared" si="122"/>
        <v>0</v>
      </c>
      <c r="AH58" s="233">
        <f t="shared" si="122"/>
        <v>33200</v>
      </c>
      <c r="AI58" s="233">
        <f t="shared" si="122"/>
        <v>33200</v>
      </c>
      <c r="AK58" s="355"/>
      <c r="AL58" s="355"/>
      <c r="AM58" s="355"/>
    </row>
    <row r="59" spans="1:39" ht="24" x14ac:dyDescent="0.2">
      <c r="A59" s="49"/>
      <c r="B59" s="560" t="s">
        <v>83</v>
      </c>
      <c r="C59" s="561"/>
      <c r="D59" s="78" t="s">
        <v>84</v>
      </c>
      <c r="E59" s="51">
        <v>33200</v>
      </c>
      <c r="F59" s="51">
        <f>E59+G59</f>
        <v>33200</v>
      </c>
      <c r="G59" s="51">
        <f>SUM(H59:S59)</f>
        <v>0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>
        <f>T59+V59</f>
        <v>0</v>
      </c>
      <c r="V59" s="51">
        <f>SUM(W59:AG59)</f>
        <v>0</v>
      </c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>
        <f>E59+T59</f>
        <v>33200</v>
      </c>
      <c r="AI59" s="51">
        <f>U59+F59</f>
        <v>33200</v>
      </c>
      <c r="AJ59" s="175"/>
      <c r="AK59" s="355"/>
      <c r="AL59" s="355"/>
      <c r="AM59" s="355"/>
    </row>
    <row r="60" spans="1:39" s="174" customFormat="1" x14ac:dyDescent="0.2">
      <c r="A60" s="46"/>
      <c r="B60" s="538" t="s">
        <v>85</v>
      </c>
      <c r="C60" s="538"/>
      <c r="D60" s="47" t="s">
        <v>125</v>
      </c>
      <c r="E60" s="59">
        <f t="shared" ref="E60:AH60" si="123">SUM(E61+E63)</f>
        <v>80732</v>
      </c>
      <c r="F60" s="59">
        <f t="shared" ref="F60:S60" si="124">SUM(F61+F63)</f>
        <v>80732</v>
      </c>
      <c r="G60" s="59">
        <f t="shared" si="124"/>
        <v>0</v>
      </c>
      <c r="H60" s="59">
        <f t="shared" si="124"/>
        <v>0</v>
      </c>
      <c r="I60" s="59">
        <f t="shared" si="124"/>
        <v>0</v>
      </c>
      <c r="J60" s="59">
        <f t="shared" si="124"/>
        <v>0</v>
      </c>
      <c r="K60" s="59">
        <f t="shared" si="124"/>
        <v>0</v>
      </c>
      <c r="L60" s="59">
        <f t="shared" si="124"/>
        <v>0</v>
      </c>
      <c r="M60" s="59">
        <f t="shared" si="124"/>
        <v>0</v>
      </c>
      <c r="N60" s="59">
        <f t="shared" si="124"/>
        <v>0</v>
      </c>
      <c r="O60" s="59">
        <f t="shared" si="124"/>
        <v>0</v>
      </c>
      <c r="P60" s="59">
        <f t="shared" si="124"/>
        <v>0</v>
      </c>
      <c r="Q60" s="59">
        <f t="shared" si="124"/>
        <v>0</v>
      </c>
      <c r="R60" s="59">
        <f t="shared" si="124"/>
        <v>0</v>
      </c>
      <c r="S60" s="59">
        <f t="shared" si="124"/>
        <v>0</v>
      </c>
      <c r="T60" s="59">
        <f t="shared" si="123"/>
        <v>0</v>
      </c>
      <c r="U60" s="59">
        <f t="shared" si="123"/>
        <v>0</v>
      </c>
      <c r="V60" s="59">
        <f t="shared" si="123"/>
        <v>0</v>
      </c>
      <c r="W60" s="59">
        <f t="shared" si="123"/>
        <v>0</v>
      </c>
      <c r="X60" s="59">
        <f t="shared" si="123"/>
        <v>0</v>
      </c>
      <c r="Y60" s="59">
        <f t="shared" si="123"/>
        <v>0</v>
      </c>
      <c r="Z60" s="59">
        <f t="shared" si="123"/>
        <v>0</v>
      </c>
      <c r="AA60" s="59">
        <f t="shared" si="123"/>
        <v>0</v>
      </c>
      <c r="AB60" s="59">
        <f t="shared" si="123"/>
        <v>0</v>
      </c>
      <c r="AC60" s="59">
        <f t="shared" si="123"/>
        <v>0</v>
      </c>
      <c r="AD60" s="59">
        <f t="shared" si="123"/>
        <v>0</v>
      </c>
      <c r="AE60" s="59">
        <f t="shared" si="123"/>
        <v>0</v>
      </c>
      <c r="AF60" s="59">
        <f t="shared" si="123"/>
        <v>0</v>
      </c>
      <c r="AG60" s="59">
        <f t="shared" si="123"/>
        <v>0</v>
      </c>
      <c r="AH60" s="59">
        <f t="shared" si="123"/>
        <v>80732</v>
      </c>
      <c r="AI60" s="59">
        <f t="shared" ref="AI60" si="125">SUM(AI61+AI63)</f>
        <v>80732</v>
      </c>
      <c r="AK60" s="355"/>
      <c r="AL60" s="355"/>
      <c r="AM60" s="355"/>
    </row>
    <row r="61" spans="1:39" s="174" customFormat="1" hidden="1" x14ac:dyDescent="0.2">
      <c r="A61" s="206"/>
      <c r="B61" s="542" t="s">
        <v>353</v>
      </c>
      <c r="C61" s="554"/>
      <c r="D61" s="50" t="s">
        <v>355</v>
      </c>
      <c r="E61" s="51">
        <f t="shared" ref="E61:AI61" si="126">SUM(E62:E62)</f>
        <v>0</v>
      </c>
      <c r="F61" s="51">
        <f t="shared" si="126"/>
        <v>0</v>
      </c>
      <c r="G61" s="51">
        <f t="shared" si="126"/>
        <v>0</v>
      </c>
      <c r="H61" s="51">
        <f t="shared" si="126"/>
        <v>0</v>
      </c>
      <c r="I61" s="51">
        <f t="shared" si="126"/>
        <v>0</v>
      </c>
      <c r="J61" s="51">
        <f t="shared" si="126"/>
        <v>0</v>
      </c>
      <c r="K61" s="51">
        <f t="shared" si="126"/>
        <v>0</v>
      </c>
      <c r="L61" s="51">
        <f t="shared" si="126"/>
        <v>0</v>
      </c>
      <c r="M61" s="51">
        <f t="shared" si="126"/>
        <v>0</v>
      </c>
      <c r="N61" s="51">
        <f t="shared" si="126"/>
        <v>0</v>
      </c>
      <c r="O61" s="51">
        <f t="shared" si="126"/>
        <v>0</v>
      </c>
      <c r="P61" s="51">
        <f t="shared" si="126"/>
        <v>0</v>
      </c>
      <c r="Q61" s="51">
        <f t="shared" si="126"/>
        <v>0</v>
      </c>
      <c r="R61" s="51">
        <f t="shared" si="126"/>
        <v>0</v>
      </c>
      <c r="S61" s="51">
        <f t="shared" si="126"/>
        <v>0</v>
      </c>
      <c r="T61" s="51">
        <f t="shared" si="126"/>
        <v>0</v>
      </c>
      <c r="U61" s="51">
        <f t="shared" si="126"/>
        <v>0</v>
      </c>
      <c r="V61" s="51">
        <f t="shared" si="126"/>
        <v>0</v>
      </c>
      <c r="W61" s="51">
        <f t="shared" si="126"/>
        <v>0</v>
      </c>
      <c r="X61" s="51">
        <f t="shared" si="126"/>
        <v>0</v>
      </c>
      <c r="Y61" s="51">
        <f t="shared" si="126"/>
        <v>0</v>
      </c>
      <c r="Z61" s="51">
        <f t="shared" si="126"/>
        <v>0</v>
      </c>
      <c r="AA61" s="51">
        <f t="shared" si="126"/>
        <v>0</v>
      </c>
      <c r="AB61" s="51">
        <f t="shared" si="126"/>
        <v>0</v>
      </c>
      <c r="AC61" s="51">
        <f t="shared" si="126"/>
        <v>0</v>
      </c>
      <c r="AD61" s="51">
        <f t="shared" si="126"/>
        <v>0</v>
      </c>
      <c r="AE61" s="51">
        <f t="shared" si="126"/>
        <v>0</v>
      </c>
      <c r="AF61" s="51">
        <f t="shared" si="126"/>
        <v>0</v>
      </c>
      <c r="AG61" s="51">
        <f t="shared" si="126"/>
        <v>0</v>
      </c>
      <c r="AH61" s="51">
        <f t="shared" si="126"/>
        <v>0</v>
      </c>
      <c r="AI61" s="51">
        <f t="shared" si="126"/>
        <v>0</v>
      </c>
      <c r="AK61" s="355"/>
      <c r="AL61" s="355"/>
      <c r="AM61" s="355"/>
    </row>
    <row r="62" spans="1:39" s="174" customFormat="1" hidden="1" x14ac:dyDescent="0.2">
      <c r="A62" s="206"/>
      <c r="B62" s="564" t="s">
        <v>354</v>
      </c>
      <c r="C62" s="565"/>
      <c r="D62" s="50" t="s">
        <v>356</v>
      </c>
      <c r="E62" s="51"/>
      <c r="F62" s="51">
        <f>E62+G62</f>
        <v>0</v>
      </c>
      <c r="G62" s="51">
        <f>SUM(H62:S62)</f>
        <v>0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>
        <f>T62+V62</f>
        <v>0</v>
      </c>
      <c r="V62" s="51">
        <f>SUM(W62:AG62)</f>
        <v>0</v>
      </c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>
        <f>E62+T62</f>
        <v>0</v>
      </c>
      <c r="AI62" s="51">
        <f>U62+F62</f>
        <v>0</v>
      </c>
      <c r="AK62" s="355"/>
      <c r="AL62" s="355"/>
      <c r="AM62" s="355"/>
    </row>
    <row r="63" spans="1:39" x14ac:dyDescent="0.2">
      <c r="A63" s="49"/>
      <c r="B63" s="547" t="s">
        <v>126</v>
      </c>
      <c r="C63" s="547"/>
      <c r="D63" s="50" t="s">
        <v>86</v>
      </c>
      <c r="E63" s="51">
        <f t="shared" ref="E63:AG63" si="127">SUM(E64:E65)</f>
        <v>80732</v>
      </c>
      <c r="F63" s="51">
        <f t="shared" ref="F63:S63" si="128">SUM(F64:F65)</f>
        <v>80732</v>
      </c>
      <c r="G63" s="51">
        <f t="shared" si="128"/>
        <v>0</v>
      </c>
      <c r="H63" s="51">
        <f t="shared" si="128"/>
        <v>0</v>
      </c>
      <c r="I63" s="51">
        <f t="shared" si="128"/>
        <v>0</v>
      </c>
      <c r="J63" s="51">
        <f t="shared" si="128"/>
        <v>0</v>
      </c>
      <c r="K63" s="51">
        <f t="shared" si="128"/>
        <v>0</v>
      </c>
      <c r="L63" s="51">
        <f t="shared" si="128"/>
        <v>0</v>
      </c>
      <c r="M63" s="51">
        <f t="shared" si="128"/>
        <v>0</v>
      </c>
      <c r="N63" s="51">
        <f t="shared" si="128"/>
        <v>0</v>
      </c>
      <c r="O63" s="51">
        <f t="shared" si="128"/>
        <v>0</v>
      </c>
      <c r="P63" s="51">
        <f t="shared" si="128"/>
        <v>0</v>
      </c>
      <c r="Q63" s="51">
        <f t="shared" si="128"/>
        <v>0</v>
      </c>
      <c r="R63" s="51">
        <f t="shared" si="128"/>
        <v>0</v>
      </c>
      <c r="S63" s="51">
        <f t="shared" si="128"/>
        <v>0</v>
      </c>
      <c r="T63" s="51">
        <f t="shared" si="127"/>
        <v>0</v>
      </c>
      <c r="U63" s="51">
        <f t="shared" si="127"/>
        <v>0</v>
      </c>
      <c r="V63" s="51">
        <f t="shared" si="127"/>
        <v>0</v>
      </c>
      <c r="W63" s="51">
        <f t="shared" si="127"/>
        <v>0</v>
      </c>
      <c r="X63" s="51">
        <f t="shared" si="127"/>
        <v>0</v>
      </c>
      <c r="Y63" s="51">
        <f t="shared" si="127"/>
        <v>0</v>
      </c>
      <c r="Z63" s="51">
        <f t="shared" si="127"/>
        <v>0</v>
      </c>
      <c r="AA63" s="51">
        <f t="shared" si="127"/>
        <v>0</v>
      </c>
      <c r="AB63" s="51">
        <f t="shared" si="127"/>
        <v>0</v>
      </c>
      <c r="AC63" s="51">
        <f t="shared" si="127"/>
        <v>0</v>
      </c>
      <c r="AD63" s="51">
        <f t="shared" si="127"/>
        <v>0</v>
      </c>
      <c r="AE63" s="51">
        <f t="shared" si="127"/>
        <v>0</v>
      </c>
      <c r="AF63" s="51">
        <f t="shared" si="127"/>
        <v>0</v>
      </c>
      <c r="AG63" s="51">
        <f t="shared" si="127"/>
        <v>0</v>
      </c>
      <c r="AH63" s="51">
        <f t="shared" ref="AH63:AI63" si="129">SUM(AH64:AH65)</f>
        <v>80732</v>
      </c>
      <c r="AI63" s="51">
        <f t="shared" si="129"/>
        <v>80732</v>
      </c>
      <c r="AK63" s="355"/>
      <c r="AL63" s="355"/>
      <c r="AM63" s="355"/>
    </row>
    <row r="64" spans="1:39" hidden="1" x14ac:dyDescent="0.2">
      <c r="A64" s="177"/>
      <c r="B64" s="562" t="s">
        <v>145</v>
      </c>
      <c r="C64" s="563"/>
      <c r="D64" s="104" t="s">
        <v>146</v>
      </c>
      <c r="E64" s="105"/>
      <c r="F64" s="105">
        <f t="shared" ref="F64:F65" si="130">E64+G64</f>
        <v>0</v>
      </c>
      <c r="G64" s="105">
        <f t="shared" ref="G64:G65" si="131">SUM(H64:S64)</f>
        <v>0</v>
      </c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>
        <f t="shared" ref="U64:U65" si="132">T64+V64</f>
        <v>0</v>
      </c>
      <c r="V64" s="105">
        <f t="shared" ref="V64:V65" si="133">SUM(W64:AG64)</f>
        <v>0</v>
      </c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>
        <f>E64+T64</f>
        <v>0</v>
      </c>
      <c r="AI64" s="105">
        <f t="shared" ref="AI64:AI65" si="134">U64+F64</f>
        <v>0</v>
      </c>
      <c r="AK64" s="355"/>
      <c r="AL64" s="355"/>
      <c r="AM64" s="355"/>
    </row>
    <row r="65" spans="1:39" ht="24" x14ac:dyDescent="0.2">
      <c r="A65" s="176"/>
      <c r="B65" s="566" t="s">
        <v>127</v>
      </c>
      <c r="C65" s="567"/>
      <c r="D65" s="130" t="s">
        <v>128</v>
      </c>
      <c r="E65" s="128">
        <v>80732</v>
      </c>
      <c r="F65" s="128">
        <f t="shared" si="130"/>
        <v>80732</v>
      </c>
      <c r="G65" s="128">
        <f t="shared" si="131"/>
        <v>0</v>
      </c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>
        <f t="shared" si="132"/>
        <v>0</v>
      </c>
      <c r="V65" s="128">
        <f t="shared" si="133"/>
        <v>0</v>
      </c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>
        <f>E65+T65</f>
        <v>80732</v>
      </c>
      <c r="AI65" s="128">
        <f t="shared" si="134"/>
        <v>80732</v>
      </c>
      <c r="AK65" s="355"/>
      <c r="AL65" s="355"/>
      <c r="AM65" s="355"/>
    </row>
    <row r="66" spans="1:39" s="175" customFormat="1" ht="48" x14ac:dyDescent="0.2">
      <c r="A66" s="536" t="s">
        <v>87</v>
      </c>
      <c r="B66" s="537"/>
      <c r="C66" s="537"/>
      <c r="D66" s="70" t="s">
        <v>170</v>
      </c>
      <c r="E66" s="58">
        <f t="shared" ref="E66:AH66" si="135">SUM(E72,E68,E67,E71)</f>
        <v>4400000</v>
      </c>
      <c r="F66" s="58">
        <f t="shared" ref="F66:S66" si="136">SUM(F72,F68,F67,F71)</f>
        <v>4400000</v>
      </c>
      <c r="G66" s="58">
        <f t="shared" si="136"/>
        <v>0</v>
      </c>
      <c r="H66" s="58">
        <f t="shared" si="136"/>
        <v>0</v>
      </c>
      <c r="I66" s="58">
        <f t="shared" si="136"/>
        <v>0</v>
      </c>
      <c r="J66" s="58">
        <f t="shared" si="136"/>
        <v>0</v>
      </c>
      <c r="K66" s="58">
        <f t="shared" si="136"/>
        <v>0</v>
      </c>
      <c r="L66" s="58">
        <f t="shared" si="136"/>
        <v>0</v>
      </c>
      <c r="M66" s="58">
        <f t="shared" si="136"/>
        <v>0</v>
      </c>
      <c r="N66" s="58">
        <f t="shared" si="136"/>
        <v>0</v>
      </c>
      <c r="O66" s="58">
        <f t="shared" si="136"/>
        <v>0</v>
      </c>
      <c r="P66" s="58">
        <f t="shared" si="136"/>
        <v>0</v>
      </c>
      <c r="Q66" s="58">
        <f t="shared" si="136"/>
        <v>0</v>
      </c>
      <c r="R66" s="58">
        <f t="shared" si="136"/>
        <v>0</v>
      </c>
      <c r="S66" s="58">
        <f t="shared" si="136"/>
        <v>0</v>
      </c>
      <c r="T66" s="58">
        <f t="shared" si="135"/>
        <v>0</v>
      </c>
      <c r="U66" s="58">
        <f t="shared" si="135"/>
        <v>0</v>
      </c>
      <c r="V66" s="58">
        <f t="shared" si="135"/>
        <v>0</v>
      </c>
      <c r="W66" s="58">
        <f t="shared" si="135"/>
        <v>0</v>
      </c>
      <c r="X66" s="58">
        <f t="shared" si="135"/>
        <v>0</v>
      </c>
      <c r="Y66" s="58">
        <f t="shared" si="135"/>
        <v>0</v>
      </c>
      <c r="Z66" s="58">
        <f t="shared" si="135"/>
        <v>0</v>
      </c>
      <c r="AA66" s="58">
        <f t="shared" si="135"/>
        <v>0</v>
      </c>
      <c r="AB66" s="58">
        <f t="shared" si="135"/>
        <v>0</v>
      </c>
      <c r="AC66" s="58">
        <f t="shared" si="135"/>
        <v>0</v>
      </c>
      <c r="AD66" s="58">
        <f t="shared" si="135"/>
        <v>0</v>
      </c>
      <c r="AE66" s="58">
        <f t="shared" si="135"/>
        <v>0</v>
      </c>
      <c r="AF66" s="58">
        <f t="shared" si="135"/>
        <v>0</v>
      </c>
      <c r="AG66" s="58">
        <f t="shared" si="135"/>
        <v>0</v>
      </c>
      <c r="AH66" s="58">
        <f t="shared" si="135"/>
        <v>4400000</v>
      </c>
      <c r="AI66" s="58">
        <f t="shared" ref="AI66" si="137">SUM(AI72,AI68,AI67,AI71)</f>
        <v>4400000</v>
      </c>
      <c r="AK66" s="355"/>
      <c r="AL66" s="355"/>
      <c r="AM66" s="355"/>
    </row>
    <row r="67" spans="1:39" s="174" customFormat="1" ht="12.75" x14ac:dyDescent="0.2">
      <c r="A67" s="126"/>
      <c r="B67" s="219" t="s">
        <v>230</v>
      </c>
      <c r="C67" s="219"/>
      <c r="D67" s="47" t="s">
        <v>229</v>
      </c>
      <c r="E67" s="59"/>
      <c r="F67" s="59">
        <f>E67+G67</f>
        <v>0</v>
      </c>
      <c r="G67" s="59">
        <f>SUM(H67:S67)</f>
        <v>0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>
        <f>T67+V67</f>
        <v>0</v>
      </c>
      <c r="V67" s="59">
        <f>SUM(W67:AG67)</f>
        <v>0</v>
      </c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>
        <f>E67+T67</f>
        <v>0</v>
      </c>
      <c r="AI67" s="59">
        <f>U67+F67</f>
        <v>0</v>
      </c>
      <c r="AK67" s="355"/>
      <c r="AL67" s="355"/>
      <c r="AM67" s="355"/>
    </row>
    <row r="68" spans="1:39" s="174" customFormat="1" x14ac:dyDescent="0.2">
      <c r="A68" s="46"/>
      <c r="B68" s="538" t="s">
        <v>241</v>
      </c>
      <c r="C68" s="538"/>
      <c r="D68" s="47" t="s">
        <v>244</v>
      </c>
      <c r="E68" s="59">
        <f t="shared" ref="E68:AG68" si="138">SUM(E69:E70)</f>
        <v>3757000</v>
      </c>
      <c r="F68" s="59">
        <f t="shared" ref="F68:S68" si="139">SUM(F69:F70)</f>
        <v>3757000</v>
      </c>
      <c r="G68" s="59">
        <f t="shared" si="139"/>
        <v>0</v>
      </c>
      <c r="H68" s="59">
        <f t="shared" si="139"/>
        <v>0</v>
      </c>
      <c r="I68" s="59">
        <f t="shared" si="139"/>
        <v>0</v>
      </c>
      <c r="J68" s="59">
        <f t="shared" si="139"/>
        <v>0</v>
      </c>
      <c r="K68" s="59">
        <f t="shared" si="139"/>
        <v>0</v>
      </c>
      <c r="L68" s="59">
        <f t="shared" si="139"/>
        <v>0</v>
      </c>
      <c r="M68" s="59">
        <f t="shared" si="139"/>
        <v>0</v>
      </c>
      <c r="N68" s="59">
        <f t="shared" si="139"/>
        <v>0</v>
      </c>
      <c r="O68" s="59">
        <f t="shared" si="139"/>
        <v>0</v>
      </c>
      <c r="P68" s="59">
        <f t="shared" si="139"/>
        <v>0</v>
      </c>
      <c r="Q68" s="59">
        <f t="shared" si="139"/>
        <v>0</v>
      </c>
      <c r="R68" s="59">
        <f t="shared" si="139"/>
        <v>0</v>
      </c>
      <c r="S68" s="59">
        <f t="shared" si="139"/>
        <v>0</v>
      </c>
      <c r="T68" s="59">
        <f t="shared" si="138"/>
        <v>0</v>
      </c>
      <c r="U68" s="59">
        <f t="shared" si="138"/>
        <v>0</v>
      </c>
      <c r="V68" s="59">
        <f t="shared" si="138"/>
        <v>0</v>
      </c>
      <c r="W68" s="59">
        <f t="shared" si="138"/>
        <v>0</v>
      </c>
      <c r="X68" s="59">
        <f t="shared" si="138"/>
        <v>0</v>
      </c>
      <c r="Y68" s="59">
        <f t="shared" si="138"/>
        <v>0</v>
      </c>
      <c r="Z68" s="59">
        <f t="shared" si="138"/>
        <v>0</v>
      </c>
      <c r="AA68" s="59">
        <f t="shared" si="138"/>
        <v>0</v>
      </c>
      <c r="AB68" s="59">
        <f t="shared" si="138"/>
        <v>0</v>
      </c>
      <c r="AC68" s="59">
        <f t="shared" si="138"/>
        <v>0</v>
      </c>
      <c r="AD68" s="59">
        <f t="shared" si="138"/>
        <v>0</v>
      </c>
      <c r="AE68" s="59">
        <f t="shared" si="138"/>
        <v>0</v>
      </c>
      <c r="AF68" s="59">
        <f t="shared" si="138"/>
        <v>0</v>
      </c>
      <c r="AG68" s="59">
        <f t="shared" si="138"/>
        <v>0</v>
      </c>
      <c r="AH68" s="59">
        <f t="shared" ref="AH68:AI68" si="140">SUM(AH69:AH70)</f>
        <v>3757000</v>
      </c>
      <c r="AI68" s="59">
        <f t="shared" si="140"/>
        <v>3757000</v>
      </c>
      <c r="AK68" s="355"/>
      <c r="AL68" s="355"/>
      <c r="AM68" s="355"/>
    </row>
    <row r="69" spans="1:39" s="174" customFormat="1" x14ac:dyDescent="0.2">
      <c r="A69" s="46"/>
      <c r="B69" s="547" t="s">
        <v>147</v>
      </c>
      <c r="C69" s="547"/>
      <c r="D69" s="61" t="s">
        <v>148</v>
      </c>
      <c r="E69" s="62">
        <f>1000000+3198832-41100-732-400000</f>
        <v>3757000</v>
      </c>
      <c r="F69" s="62">
        <f t="shared" ref="F69:F71" si="141">E69+G69</f>
        <v>3757000</v>
      </c>
      <c r="G69" s="62">
        <f t="shared" ref="G69:G71" si="142">SUM(H69:S69)</f>
        <v>0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>
        <f t="shared" ref="U69:U71" si="143">T69+V69</f>
        <v>0</v>
      </c>
      <c r="V69" s="62">
        <f t="shared" ref="V69:V71" si="144">SUM(W69:AG69)</f>
        <v>0</v>
      </c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>
        <f t="shared" ref="AH69:AH71" si="145">E69+T69</f>
        <v>3757000</v>
      </c>
      <c r="AI69" s="62">
        <f t="shared" ref="AI69:AI71" si="146">U69+F69</f>
        <v>3757000</v>
      </c>
      <c r="AK69" s="355"/>
      <c r="AL69" s="355"/>
      <c r="AM69" s="355"/>
    </row>
    <row r="70" spans="1:39" s="174" customFormat="1" hidden="1" x14ac:dyDescent="0.2">
      <c r="A70" s="46"/>
      <c r="B70" s="542" t="s">
        <v>242</v>
      </c>
      <c r="C70" s="542"/>
      <c r="D70" s="61" t="s">
        <v>243</v>
      </c>
      <c r="E70" s="62"/>
      <c r="F70" s="62">
        <f t="shared" si="141"/>
        <v>0</v>
      </c>
      <c r="G70" s="62">
        <f t="shared" si="142"/>
        <v>0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>
        <f t="shared" si="143"/>
        <v>0</v>
      </c>
      <c r="V70" s="62">
        <f t="shared" si="144"/>
        <v>0</v>
      </c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>
        <f t="shared" si="145"/>
        <v>0</v>
      </c>
      <c r="AI70" s="62">
        <f t="shared" si="146"/>
        <v>0</v>
      </c>
      <c r="AK70" s="355"/>
      <c r="AL70" s="355"/>
      <c r="AM70" s="355"/>
    </row>
    <row r="71" spans="1:39" s="174" customFormat="1" ht="24" hidden="1" x14ac:dyDescent="0.2">
      <c r="A71" s="46"/>
      <c r="B71" s="172" t="s">
        <v>245</v>
      </c>
      <c r="C71" s="172"/>
      <c r="D71" s="47" t="s">
        <v>300</v>
      </c>
      <c r="E71" s="59"/>
      <c r="F71" s="59">
        <f t="shared" si="141"/>
        <v>0</v>
      </c>
      <c r="G71" s="59">
        <f t="shared" si="142"/>
        <v>0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>
        <f t="shared" si="143"/>
        <v>0</v>
      </c>
      <c r="V71" s="59">
        <f t="shared" si="144"/>
        <v>0</v>
      </c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>
        <f t="shared" si="145"/>
        <v>0</v>
      </c>
      <c r="AI71" s="59">
        <f t="shared" si="146"/>
        <v>0</v>
      </c>
      <c r="AK71" s="355"/>
      <c r="AL71" s="355"/>
      <c r="AM71" s="355"/>
    </row>
    <row r="72" spans="1:39" s="174" customFormat="1" ht="24" x14ac:dyDescent="0.2">
      <c r="A72" s="46"/>
      <c r="B72" s="538" t="s">
        <v>149</v>
      </c>
      <c r="C72" s="538"/>
      <c r="D72" s="47" t="s">
        <v>119</v>
      </c>
      <c r="E72" s="59">
        <f t="shared" ref="E72:AG72" si="147">SUM(E73:E75)</f>
        <v>643000</v>
      </c>
      <c r="F72" s="59">
        <f t="shared" ref="F72:S72" si="148">SUM(F73:F75)</f>
        <v>643000</v>
      </c>
      <c r="G72" s="59">
        <f t="shared" si="148"/>
        <v>0</v>
      </c>
      <c r="H72" s="59">
        <f t="shared" si="148"/>
        <v>0</v>
      </c>
      <c r="I72" s="59">
        <f t="shared" si="148"/>
        <v>0</v>
      </c>
      <c r="J72" s="59">
        <f t="shared" si="148"/>
        <v>0</v>
      </c>
      <c r="K72" s="59">
        <f t="shared" si="148"/>
        <v>0</v>
      </c>
      <c r="L72" s="59">
        <f t="shared" si="148"/>
        <v>0</v>
      </c>
      <c r="M72" s="59">
        <f t="shared" si="148"/>
        <v>0</v>
      </c>
      <c r="N72" s="59">
        <f t="shared" si="148"/>
        <v>0</v>
      </c>
      <c r="O72" s="59">
        <f t="shared" si="148"/>
        <v>0</v>
      </c>
      <c r="P72" s="59">
        <f t="shared" si="148"/>
        <v>0</v>
      </c>
      <c r="Q72" s="59">
        <f t="shared" si="148"/>
        <v>0</v>
      </c>
      <c r="R72" s="59">
        <f t="shared" si="148"/>
        <v>0</v>
      </c>
      <c r="S72" s="59">
        <f t="shared" si="148"/>
        <v>0</v>
      </c>
      <c r="T72" s="59">
        <f t="shared" si="147"/>
        <v>0</v>
      </c>
      <c r="U72" s="59">
        <f t="shared" si="147"/>
        <v>0</v>
      </c>
      <c r="V72" s="59">
        <f t="shared" si="147"/>
        <v>0</v>
      </c>
      <c r="W72" s="59">
        <f t="shared" si="147"/>
        <v>0</v>
      </c>
      <c r="X72" s="59">
        <f t="shared" si="147"/>
        <v>0</v>
      </c>
      <c r="Y72" s="59">
        <f t="shared" si="147"/>
        <v>0</v>
      </c>
      <c r="Z72" s="59">
        <f t="shared" si="147"/>
        <v>0</v>
      </c>
      <c r="AA72" s="59">
        <f t="shared" si="147"/>
        <v>0</v>
      </c>
      <c r="AB72" s="59">
        <f t="shared" si="147"/>
        <v>0</v>
      </c>
      <c r="AC72" s="59">
        <f t="shared" si="147"/>
        <v>0</v>
      </c>
      <c r="AD72" s="59">
        <f t="shared" si="147"/>
        <v>0</v>
      </c>
      <c r="AE72" s="59">
        <f t="shared" si="147"/>
        <v>0</v>
      </c>
      <c r="AF72" s="59">
        <f t="shared" si="147"/>
        <v>0</v>
      </c>
      <c r="AG72" s="59">
        <f t="shared" si="147"/>
        <v>0</v>
      </c>
      <c r="AH72" s="59">
        <f t="shared" ref="AH72" si="149">SUM(AH73:AH75)</f>
        <v>643000</v>
      </c>
      <c r="AI72" s="59">
        <f t="shared" ref="AI72" si="150">SUM(AI73:AI75)</f>
        <v>643000</v>
      </c>
      <c r="AK72" s="355"/>
      <c r="AL72" s="355"/>
      <c r="AM72" s="355"/>
    </row>
    <row r="73" spans="1:39" x14ac:dyDescent="0.2">
      <c r="A73" s="49"/>
      <c r="B73" s="547" t="s">
        <v>150</v>
      </c>
      <c r="C73" s="547"/>
      <c r="D73" s="50" t="s">
        <v>120</v>
      </c>
      <c r="E73" s="51">
        <v>233000</v>
      </c>
      <c r="F73" s="51">
        <f t="shared" ref="F73:F75" si="151">E73+G73</f>
        <v>233000</v>
      </c>
      <c r="G73" s="51">
        <f t="shared" ref="G73:G75" si="152">SUM(H73:S73)</f>
        <v>0</v>
      </c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>
        <f t="shared" ref="U73:U75" si="153">T73+V73</f>
        <v>0</v>
      </c>
      <c r="V73" s="51">
        <f t="shared" ref="V73:V75" si="154">SUM(W73:AG73)</f>
        <v>0</v>
      </c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>
        <f t="shared" ref="AH73:AH75" si="155">E73+T73</f>
        <v>233000</v>
      </c>
      <c r="AI73" s="51">
        <f t="shared" ref="AI73:AI75" si="156">U73+F73</f>
        <v>233000</v>
      </c>
      <c r="AK73" s="355"/>
      <c r="AL73" s="355"/>
      <c r="AM73" s="355"/>
    </row>
    <row r="74" spans="1:39" x14ac:dyDescent="0.2">
      <c r="A74" s="60"/>
      <c r="B74" s="542" t="s">
        <v>151</v>
      </c>
      <c r="C74" s="542"/>
      <c r="D74" s="61" t="s">
        <v>121</v>
      </c>
      <c r="E74" s="62">
        <v>30000</v>
      </c>
      <c r="F74" s="62">
        <f t="shared" si="151"/>
        <v>30000</v>
      </c>
      <c r="G74" s="62">
        <f t="shared" si="152"/>
        <v>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>
        <f t="shared" si="153"/>
        <v>0</v>
      </c>
      <c r="V74" s="62">
        <f t="shared" si="154"/>
        <v>0</v>
      </c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>
        <f t="shared" si="155"/>
        <v>30000</v>
      </c>
      <c r="AI74" s="62">
        <f t="shared" si="156"/>
        <v>30000</v>
      </c>
      <c r="AK74" s="355"/>
      <c r="AL74" s="355"/>
      <c r="AM74" s="355"/>
    </row>
    <row r="75" spans="1:39" x14ac:dyDescent="0.2">
      <c r="A75" s="71"/>
      <c r="B75" s="549" t="s">
        <v>152</v>
      </c>
      <c r="C75" s="549"/>
      <c r="D75" s="72" t="s">
        <v>122</v>
      </c>
      <c r="E75" s="73">
        <v>380000</v>
      </c>
      <c r="F75" s="73">
        <f t="shared" si="151"/>
        <v>380000</v>
      </c>
      <c r="G75" s="73">
        <f t="shared" si="152"/>
        <v>0</v>
      </c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>
        <f t="shared" si="153"/>
        <v>0</v>
      </c>
      <c r="V75" s="73">
        <f t="shared" si="154"/>
        <v>0</v>
      </c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>
        <f t="shared" si="155"/>
        <v>380000</v>
      </c>
      <c r="AI75" s="73">
        <f t="shared" si="156"/>
        <v>380000</v>
      </c>
      <c r="AK75" s="355"/>
      <c r="AL75" s="355"/>
      <c r="AM75" s="355"/>
    </row>
    <row r="76" spans="1:39" ht="41.25" customHeight="1" x14ac:dyDescent="0.2">
      <c r="A76" s="536" t="s">
        <v>783</v>
      </c>
      <c r="B76" s="537"/>
      <c r="C76" s="537"/>
      <c r="D76" s="70" t="s">
        <v>784</v>
      </c>
      <c r="E76" s="58">
        <f t="shared" ref="E76:AI78" si="157">SUM(E77)</f>
        <v>0</v>
      </c>
      <c r="F76" s="58">
        <f>SUM(F77)</f>
        <v>44492</v>
      </c>
      <c r="G76" s="58">
        <f t="shared" si="157"/>
        <v>44492</v>
      </c>
      <c r="H76" s="58">
        <f t="shared" si="157"/>
        <v>0</v>
      </c>
      <c r="I76" s="58">
        <f t="shared" si="157"/>
        <v>0</v>
      </c>
      <c r="J76" s="58">
        <f t="shared" si="157"/>
        <v>0</v>
      </c>
      <c r="K76" s="58">
        <f t="shared" si="157"/>
        <v>44492</v>
      </c>
      <c r="L76" s="58">
        <f t="shared" si="157"/>
        <v>0</v>
      </c>
      <c r="M76" s="58">
        <f t="shared" si="157"/>
        <v>0</v>
      </c>
      <c r="N76" s="58">
        <f t="shared" si="157"/>
        <v>0</v>
      </c>
      <c r="O76" s="58">
        <f t="shared" si="157"/>
        <v>0</v>
      </c>
      <c r="P76" s="58">
        <f t="shared" si="157"/>
        <v>0</v>
      </c>
      <c r="Q76" s="58">
        <f t="shared" si="157"/>
        <v>0</v>
      </c>
      <c r="R76" s="58">
        <f t="shared" si="157"/>
        <v>0</v>
      </c>
      <c r="S76" s="58">
        <f t="shared" si="157"/>
        <v>0</v>
      </c>
      <c r="T76" s="58">
        <f t="shared" si="157"/>
        <v>0</v>
      </c>
      <c r="U76" s="58">
        <f t="shared" si="157"/>
        <v>0</v>
      </c>
      <c r="V76" s="58">
        <f t="shared" si="157"/>
        <v>0</v>
      </c>
      <c r="W76" s="58">
        <f t="shared" si="157"/>
        <v>0</v>
      </c>
      <c r="X76" s="58">
        <f t="shared" si="157"/>
        <v>0</v>
      </c>
      <c r="Y76" s="58">
        <f t="shared" si="157"/>
        <v>0</v>
      </c>
      <c r="Z76" s="58">
        <f t="shared" si="157"/>
        <v>0</v>
      </c>
      <c r="AA76" s="58">
        <f t="shared" si="157"/>
        <v>0</v>
      </c>
      <c r="AB76" s="58">
        <f t="shared" si="157"/>
        <v>0</v>
      </c>
      <c r="AC76" s="58">
        <f t="shared" si="157"/>
        <v>0</v>
      </c>
      <c r="AD76" s="58">
        <f t="shared" si="157"/>
        <v>0</v>
      </c>
      <c r="AE76" s="58">
        <f t="shared" si="157"/>
        <v>0</v>
      </c>
      <c r="AF76" s="58">
        <f t="shared" si="157"/>
        <v>0</v>
      </c>
      <c r="AG76" s="58">
        <f t="shared" si="157"/>
        <v>0</v>
      </c>
      <c r="AH76" s="58">
        <f t="shared" si="157"/>
        <v>0</v>
      </c>
      <c r="AI76" s="58">
        <f t="shared" si="157"/>
        <v>44492</v>
      </c>
      <c r="AK76" s="355"/>
      <c r="AL76" s="355"/>
      <c r="AM76" s="355"/>
    </row>
    <row r="77" spans="1:39" ht="36" x14ac:dyDescent="0.2">
      <c r="A77" s="46"/>
      <c r="B77" s="538" t="s">
        <v>785</v>
      </c>
      <c r="C77" s="538"/>
      <c r="D77" s="47" t="s">
        <v>786</v>
      </c>
      <c r="E77" s="59"/>
      <c r="F77" s="73">
        <f>E77+G77</f>
        <v>44492</v>
      </c>
      <c r="G77" s="73">
        <f t="shared" ref="G77" si="158">SUM(H77:S77)</f>
        <v>44492</v>
      </c>
      <c r="H77" s="73"/>
      <c r="I77" s="73"/>
      <c r="J77" s="73"/>
      <c r="K77" s="73">
        <v>44492</v>
      </c>
      <c r="L77" s="73"/>
      <c r="M77" s="73"/>
      <c r="N77" s="73"/>
      <c r="O77" s="73"/>
      <c r="P77" s="73"/>
      <c r="Q77" s="73"/>
      <c r="R77" s="73"/>
      <c r="S77" s="73"/>
      <c r="T77" s="73"/>
      <c r="U77" s="66">
        <f t="shared" ref="U77" si="159">T77+V77</f>
        <v>0</v>
      </c>
      <c r="V77" s="66">
        <f t="shared" ref="V77" si="160">SUM(W77:AG77)</f>
        <v>0</v>
      </c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51">
        <f t="shared" ref="AH77" si="161">E77+T77</f>
        <v>0</v>
      </c>
      <c r="AI77" s="51">
        <f t="shared" ref="AI77" si="162">U77+F77</f>
        <v>44492</v>
      </c>
      <c r="AK77" s="355"/>
      <c r="AL77" s="355"/>
      <c r="AM77" s="355"/>
    </row>
    <row r="78" spans="1:39" s="175" customFormat="1" x14ac:dyDescent="0.2">
      <c r="A78" s="536" t="s">
        <v>88</v>
      </c>
      <c r="B78" s="537"/>
      <c r="C78" s="537"/>
      <c r="D78" s="70" t="s">
        <v>89</v>
      </c>
      <c r="E78" s="58">
        <f t="shared" si="157"/>
        <v>11305132</v>
      </c>
      <c r="F78" s="58">
        <f t="shared" si="157"/>
        <v>11788716</v>
      </c>
      <c r="G78" s="58">
        <f t="shared" si="157"/>
        <v>483584</v>
      </c>
      <c r="H78" s="58">
        <f t="shared" si="157"/>
        <v>68527</v>
      </c>
      <c r="I78" s="58">
        <f t="shared" si="157"/>
        <v>552523</v>
      </c>
      <c r="J78" s="58">
        <f t="shared" si="157"/>
        <v>-101668</v>
      </c>
      <c r="K78" s="58">
        <f t="shared" si="157"/>
        <v>-35798</v>
      </c>
      <c r="L78" s="58">
        <f t="shared" si="157"/>
        <v>0</v>
      </c>
      <c r="M78" s="58">
        <f t="shared" si="157"/>
        <v>0</v>
      </c>
      <c r="N78" s="58">
        <f t="shared" si="157"/>
        <v>0</v>
      </c>
      <c r="O78" s="58">
        <f t="shared" si="157"/>
        <v>0</v>
      </c>
      <c r="P78" s="58">
        <f t="shared" si="157"/>
        <v>0</v>
      </c>
      <c r="Q78" s="58">
        <f t="shared" si="157"/>
        <v>0</v>
      </c>
      <c r="R78" s="58">
        <f t="shared" si="157"/>
        <v>0</v>
      </c>
      <c r="S78" s="58">
        <f t="shared" si="157"/>
        <v>0</v>
      </c>
      <c r="T78" s="58">
        <f t="shared" si="157"/>
        <v>0</v>
      </c>
      <c r="U78" s="58">
        <f t="shared" si="157"/>
        <v>0</v>
      </c>
      <c r="V78" s="58">
        <f t="shared" si="157"/>
        <v>0</v>
      </c>
      <c r="W78" s="58">
        <f t="shared" si="157"/>
        <v>0</v>
      </c>
      <c r="X78" s="58">
        <f t="shared" si="157"/>
        <v>0</v>
      </c>
      <c r="Y78" s="58">
        <f t="shared" si="157"/>
        <v>0</v>
      </c>
      <c r="Z78" s="58">
        <f t="shared" si="157"/>
        <v>0</v>
      </c>
      <c r="AA78" s="58">
        <f t="shared" si="157"/>
        <v>0</v>
      </c>
      <c r="AB78" s="58">
        <f t="shared" si="157"/>
        <v>0</v>
      </c>
      <c r="AC78" s="58">
        <f t="shared" si="157"/>
        <v>0</v>
      </c>
      <c r="AD78" s="58">
        <f t="shared" si="157"/>
        <v>0</v>
      </c>
      <c r="AE78" s="58">
        <f t="shared" si="157"/>
        <v>0</v>
      </c>
      <c r="AF78" s="58">
        <f t="shared" si="157"/>
        <v>0</v>
      </c>
      <c r="AG78" s="58">
        <f t="shared" si="157"/>
        <v>0</v>
      </c>
      <c r="AH78" s="58">
        <f t="shared" si="157"/>
        <v>11305132</v>
      </c>
      <c r="AI78" s="58">
        <f t="shared" si="157"/>
        <v>11788716</v>
      </c>
      <c r="AK78" s="355"/>
      <c r="AL78" s="355"/>
      <c r="AM78" s="355"/>
    </row>
    <row r="79" spans="1:39" s="174" customFormat="1" x14ac:dyDescent="0.2">
      <c r="A79" s="46"/>
      <c r="B79" s="538" t="s">
        <v>90</v>
      </c>
      <c r="C79" s="538"/>
      <c r="D79" s="47" t="s">
        <v>266</v>
      </c>
      <c r="E79" s="59">
        <f t="shared" ref="E79:F79" si="163">SUM(,E80,E81,E82)</f>
        <v>11305132</v>
      </c>
      <c r="F79" s="59">
        <f t="shared" si="163"/>
        <v>11788716</v>
      </c>
      <c r="G79" s="59">
        <f t="shared" ref="G79:S79" si="164">SUM(,G80,G81,G82)</f>
        <v>483584</v>
      </c>
      <c r="H79" s="59">
        <f>SUM(,H80,H81,H82)</f>
        <v>68527</v>
      </c>
      <c r="I79" s="59">
        <f t="shared" si="164"/>
        <v>552523</v>
      </c>
      <c r="J79" s="59">
        <f t="shared" si="164"/>
        <v>-101668</v>
      </c>
      <c r="K79" s="59">
        <f t="shared" si="164"/>
        <v>-35798</v>
      </c>
      <c r="L79" s="59">
        <f t="shared" si="164"/>
        <v>0</v>
      </c>
      <c r="M79" s="59">
        <f t="shared" si="164"/>
        <v>0</v>
      </c>
      <c r="N79" s="59">
        <f t="shared" si="164"/>
        <v>0</v>
      </c>
      <c r="O79" s="59">
        <f t="shared" si="164"/>
        <v>0</v>
      </c>
      <c r="P79" s="59">
        <f t="shared" si="164"/>
        <v>0</v>
      </c>
      <c r="Q79" s="59">
        <f t="shared" si="164"/>
        <v>0</v>
      </c>
      <c r="R79" s="59">
        <f t="shared" si="164"/>
        <v>0</v>
      </c>
      <c r="S79" s="59">
        <f t="shared" si="164"/>
        <v>0</v>
      </c>
      <c r="T79" s="59">
        <f t="shared" ref="T79:AG79" si="165">SUM(,T80,T81,T82)</f>
        <v>0</v>
      </c>
      <c r="U79" s="59">
        <f t="shared" si="165"/>
        <v>0</v>
      </c>
      <c r="V79" s="59">
        <f t="shared" si="165"/>
        <v>0</v>
      </c>
      <c r="W79" s="59">
        <f t="shared" si="165"/>
        <v>0</v>
      </c>
      <c r="X79" s="59">
        <f t="shared" si="165"/>
        <v>0</v>
      </c>
      <c r="Y79" s="59">
        <f t="shared" si="165"/>
        <v>0</v>
      </c>
      <c r="Z79" s="59">
        <f t="shared" si="165"/>
        <v>0</v>
      </c>
      <c r="AA79" s="59">
        <f t="shared" si="165"/>
        <v>0</v>
      </c>
      <c r="AB79" s="59">
        <f t="shared" si="165"/>
        <v>0</v>
      </c>
      <c r="AC79" s="59">
        <f t="shared" si="165"/>
        <v>0</v>
      </c>
      <c r="AD79" s="59">
        <f t="shared" si="165"/>
        <v>0</v>
      </c>
      <c r="AE79" s="59">
        <f t="shared" si="165"/>
        <v>0</v>
      </c>
      <c r="AF79" s="59">
        <f t="shared" si="165"/>
        <v>0</v>
      </c>
      <c r="AG79" s="59">
        <f t="shared" si="165"/>
        <v>0</v>
      </c>
      <c r="AH79" s="59">
        <f t="shared" ref="AH79:AI79" si="166">SUM(,AH80,AH81,AH82)</f>
        <v>11305132</v>
      </c>
      <c r="AI79" s="59">
        <f t="shared" si="166"/>
        <v>11788716</v>
      </c>
      <c r="AK79" s="355"/>
      <c r="AL79" s="355"/>
      <c r="AM79" s="355"/>
    </row>
    <row r="80" spans="1:39" ht="24" x14ac:dyDescent="0.2">
      <c r="A80" s="60"/>
      <c r="B80" s="542" t="s">
        <v>91</v>
      </c>
      <c r="C80" s="542"/>
      <c r="D80" s="61" t="s">
        <v>262</v>
      </c>
      <c r="E80" s="62">
        <v>10885278</v>
      </c>
      <c r="F80" s="51">
        <f t="shared" ref="F80:F82" si="167">E80+G80</f>
        <v>11216670</v>
      </c>
      <c r="G80" s="51">
        <f t="shared" ref="G80:G82" si="168">SUM(H80:S80)</f>
        <v>331392</v>
      </c>
      <c r="H80" s="51">
        <v>489</v>
      </c>
      <c r="I80" s="51">
        <f>98498-5498+40303+(88-539)+190709</f>
        <v>323561</v>
      </c>
      <c r="J80" s="51">
        <f>4041+3301</f>
        <v>7342</v>
      </c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>
        <f t="shared" ref="U80:U82" si="169">T80+V80</f>
        <v>0</v>
      </c>
      <c r="V80" s="51">
        <f t="shared" ref="V80:V82" si="170">SUM(W80:AG80)</f>
        <v>0</v>
      </c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>
        <f t="shared" ref="AH80:AH82" si="171">E80+T80</f>
        <v>10885278</v>
      </c>
      <c r="AI80" s="51">
        <f t="shared" ref="AI80:AI82" si="172">U80+F80</f>
        <v>11216670</v>
      </c>
      <c r="AK80" s="355"/>
      <c r="AL80" s="355"/>
      <c r="AM80" s="355"/>
    </row>
    <row r="81" spans="1:39" ht="48" x14ac:dyDescent="0.2">
      <c r="A81" s="60"/>
      <c r="B81" s="542" t="s">
        <v>129</v>
      </c>
      <c r="C81" s="542"/>
      <c r="D81" s="61" t="s">
        <v>263</v>
      </c>
      <c r="E81" s="62">
        <v>389964</v>
      </c>
      <c r="F81" s="51">
        <f t="shared" si="167"/>
        <v>532203</v>
      </c>
      <c r="G81" s="51">
        <f t="shared" si="168"/>
        <v>142239</v>
      </c>
      <c r="H81" s="51">
        <f>4035-630-18000+4760+2593-50+75330</f>
        <v>68038</v>
      </c>
      <c r="I81" s="51">
        <f>1409-30838+2402+85021+143800+19615</f>
        <v>221409</v>
      </c>
      <c r="J81" s="51">
        <f>1+8192-117203</f>
        <v>-109010</v>
      </c>
      <c r="K81" s="51">
        <f>80-44492+6214</f>
        <v>-38198</v>
      </c>
      <c r="L81" s="51"/>
      <c r="M81" s="51"/>
      <c r="N81" s="51"/>
      <c r="O81" s="51"/>
      <c r="P81" s="51"/>
      <c r="Q81" s="51"/>
      <c r="R81" s="51"/>
      <c r="S81" s="51"/>
      <c r="T81" s="234"/>
      <c r="U81" s="51">
        <f t="shared" si="169"/>
        <v>0</v>
      </c>
      <c r="V81" s="51">
        <f t="shared" si="170"/>
        <v>0</v>
      </c>
      <c r="W81" s="234"/>
      <c r="X81" s="234"/>
      <c r="Y81" s="234"/>
      <c r="Z81" s="234"/>
      <c r="AA81" s="234"/>
      <c r="AB81" s="234"/>
      <c r="AC81" s="234"/>
      <c r="AD81" s="234"/>
      <c r="AE81" s="234"/>
      <c r="AF81" s="234"/>
      <c r="AG81" s="234"/>
      <c r="AH81" s="51">
        <f t="shared" si="171"/>
        <v>389964</v>
      </c>
      <c r="AI81" s="51">
        <f t="shared" si="172"/>
        <v>532203</v>
      </c>
      <c r="AK81" s="355"/>
      <c r="AL81" s="355"/>
      <c r="AM81" s="355"/>
    </row>
    <row r="82" spans="1:39" ht="24" x14ac:dyDescent="0.2">
      <c r="A82" s="71"/>
      <c r="B82" s="549" t="s">
        <v>130</v>
      </c>
      <c r="C82" s="549"/>
      <c r="D82" s="72" t="s">
        <v>264</v>
      </c>
      <c r="E82" s="73">
        <f>29890</f>
        <v>29890</v>
      </c>
      <c r="F82" s="66">
        <f t="shared" si="167"/>
        <v>39843</v>
      </c>
      <c r="G82" s="66">
        <f t="shared" si="168"/>
        <v>9953</v>
      </c>
      <c r="H82" s="66"/>
      <c r="I82" s="66">
        <f>4053+3500</f>
        <v>7553</v>
      </c>
      <c r="J82" s="66"/>
      <c r="K82" s="66">
        <v>2400</v>
      </c>
      <c r="L82" s="66"/>
      <c r="M82" s="66"/>
      <c r="N82" s="66"/>
      <c r="O82" s="66"/>
      <c r="P82" s="66"/>
      <c r="Q82" s="66"/>
      <c r="R82" s="66"/>
      <c r="S82" s="66"/>
      <c r="T82" s="66"/>
      <c r="U82" s="66">
        <f t="shared" si="169"/>
        <v>0</v>
      </c>
      <c r="V82" s="66">
        <f t="shared" si="170"/>
        <v>0</v>
      </c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>
        <f t="shared" si="171"/>
        <v>29890</v>
      </c>
      <c r="AI82" s="66">
        <f t="shared" si="172"/>
        <v>39843</v>
      </c>
      <c r="AK82" s="355"/>
      <c r="AL82" s="355"/>
      <c r="AM82" s="355"/>
    </row>
    <row r="83" spans="1:39" s="175" customFormat="1" x14ac:dyDescent="0.2">
      <c r="A83" s="536" t="s">
        <v>92</v>
      </c>
      <c r="B83" s="537"/>
      <c r="C83" s="537"/>
      <c r="D83" s="70" t="s">
        <v>93</v>
      </c>
      <c r="E83" s="58">
        <f>SUM(E84,E85,E88)</f>
        <v>881228</v>
      </c>
      <c r="F83" s="58">
        <f>SUM(F84,F85,F88)</f>
        <v>794453</v>
      </c>
      <c r="G83" s="58">
        <f t="shared" ref="G83:S83" si="173">SUM(G84,G85,G88)</f>
        <v>-86775</v>
      </c>
      <c r="H83" s="58">
        <f t="shared" si="173"/>
        <v>8791</v>
      </c>
      <c r="I83" s="58">
        <f t="shared" si="173"/>
        <v>11850</v>
      </c>
      <c r="J83" s="58">
        <f t="shared" si="173"/>
        <v>-107416</v>
      </c>
      <c r="K83" s="58">
        <f t="shared" si="173"/>
        <v>0</v>
      </c>
      <c r="L83" s="58">
        <f t="shared" si="173"/>
        <v>0</v>
      </c>
      <c r="M83" s="58">
        <f t="shared" si="173"/>
        <v>0</v>
      </c>
      <c r="N83" s="58">
        <f t="shared" si="173"/>
        <v>0</v>
      </c>
      <c r="O83" s="58">
        <f t="shared" si="173"/>
        <v>0</v>
      </c>
      <c r="P83" s="58">
        <f t="shared" si="173"/>
        <v>0</v>
      </c>
      <c r="Q83" s="58">
        <f t="shared" si="173"/>
        <v>0</v>
      </c>
      <c r="R83" s="58">
        <f t="shared" si="173"/>
        <v>0</v>
      </c>
      <c r="S83" s="58">
        <f t="shared" si="173"/>
        <v>0</v>
      </c>
      <c r="T83" s="58">
        <f>SUM(T84,T85,T88)</f>
        <v>-293228</v>
      </c>
      <c r="U83" s="58">
        <f t="shared" ref="U83" si="174">SUM(U84,U85,U88)</f>
        <v>-197251</v>
      </c>
      <c r="V83" s="58">
        <f t="shared" ref="V83" si="175">SUM(V84,V85,V88)</f>
        <v>95977</v>
      </c>
      <c r="W83" s="58">
        <f t="shared" ref="W83" si="176">SUM(W84,W85,W88)</f>
        <v>-8791</v>
      </c>
      <c r="X83" s="58">
        <f t="shared" ref="X83" si="177">SUM(X84,X85,X88)</f>
        <v>-11850</v>
      </c>
      <c r="Y83" s="58">
        <f t="shared" ref="Y83" si="178">SUM(Y84,Y85,Y88)</f>
        <v>116618</v>
      </c>
      <c r="Z83" s="58">
        <f t="shared" ref="Z83" si="179">SUM(Z84,Z85,Z88)</f>
        <v>0</v>
      </c>
      <c r="AA83" s="58">
        <f t="shared" ref="AA83" si="180">SUM(AA84,AA85,AA88)</f>
        <v>0</v>
      </c>
      <c r="AB83" s="58">
        <f t="shared" ref="AB83" si="181">SUM(AB84,AB85,AB88)</f>
        <v>0</v>
      </c>
      <c r="AC83" s="58">
        <f t="shared" ref="AC83" si="182">SUM(AC84,AC85,AC88)</f>
        <v>0</v>
      </c>
      <c r="AD83" s="58">
        <f t="shared" ref="AD83" si="183">SUM(AD84,AD85,AD88)</f>
        <v>0</v>
      </c>
      <c r="AE83" s="58">
        <f t="shared" ref="AE83" si="184">SUM(AE84,AE85,AE88)</f>
        <v>0</v>
      </c>
      <c r="AF83" s="58">
        <f t="shared" ref="AF83" si="185">SUM(AF84,AF85,AF88)</f>
        <v>0</v>
      </c>
      <c r="AG83" s="58">
        <f t="shared" ref="AG83:AI83" si="186">SUM(AG84,AG85,AG88)</f>
        <v>0</v>
      </c>
      <c r="AH83" s="58">
        <f>SUM(AH84,AH85,AH88)</f>
        <v>588000</v>
      </c>
      <c r="AI83" s="58">
        <f t="shared" si="186"/>
        <v>597202</v>
      </c>
      <c r="AK83" s="355"/>
      <c r="AL83" s="355"/>
      <c r="AM83" s="355"/>
    </row>
    <row r="84" spans="1:39" s="175" customFormat="1" ht="24" hidden="1" x14ac:dyDescent="0.2">
      <c r="A84" s="140"/>
      <c r="B84" s="538" t="s">
        <v>357</v>
      </c>
      <c r="C84" s="553"/>
      <c r="D84" s="47" t="s">
        <v>358</v>
      </c>
      <c r="E84" s="59"/>
      <c r="F84" s="59">
        <f>E84+G84</f>
        <v>0</v>
      </c>
      <c r="G84" s="59">
        <f>SUM(H84:S84)</f>
        <v>0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>
        <f>T84+V84</f>
        <v>0</v>
      </c>
      <c r="V84" s="59">
        <f>SUM(W84:AG84)</f>
        <v>0</v>
      </c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>
        <f>E84+T84</f>
        <v>0</v>
      </c>
      <c r="AI84" s="59">
        <f>U84+F84</f>
        <v>0</v>
      </c>
      <c r="AK84" s="355"/>
      <c r="AL84" s="355"/>
      <c r="AM84" s="355"/>
    </row>
    <row r="85" spans="1:39" s="174" customFormat="1" ht="24" x14ac:dyDescent="0.2">
      <c r="A85" s="46"/>
      <c r="B85" s="538" t="s">
        <v>94</v>
      </c>
      <c r="C85" s="538"/>
      <c r="D85" s="47" t="s">
        <v>265</v>
      </c>
      <c r="E85" s="59">
        <f>SUM(,E86:E87)</f>
        <v>588000</v>
      </c>
      <c r="F85" s="59">
        <f t="shared" ref="F85:AA85" si="187">SUM(,F86:F87)</f>
        <v>597202</v>
      </c>
      <c r="G85" s="59">
        <f t="shared" si="187"/>
        <v>9202</v>
      </c>
      <c r="H85" s="59">
        <f t="shared" si="187"/>
        <v>0</v>
      </c>
      <c r="I85" s="59">
        <f t="shared" si="187"/>
        <v>0</v>
      </c>
      <c r="J85" s="59">
        <f t="shared" si="187"/>
        <v>9202</v>
      </c>
      <c r="K85" s="59">
        <f t="shared" si="187"/>
        <v>0</v>
      </c>
      <c r="L85" s="59">
        <f t="shared" si="187"/>
        <v>0</v>
      </c>
      <c r="M85" s="59">
        <f t="shared" si="187"/>
        <v>0</v>
      </c>
      <c r="N85" s="59">
        <f t="shared" si="187"/>
        <v>0</v>
      </c>
      <c r="O85" s="59">
        <f t="shared" si="187"/>
        <v>0</v>
      </c>
      <c r="P85" s="59">
        <f t="shared" si="187"/>
        <v>0</v>
      </c>
      <c r="Q85" s="59">
        <f t="shared" si="187"/>
        <v>0</v>
      </c>
      <c r="R85" s="59">
        <f t="shared" si="187"/>
        <v>0</v>
      </c>
      <c r="S85" s="59">
        <f t="shared" si="187"/>
        <v>0</v>
      </c>
      <c r="T85" s="59">
        <f t="shared" si="187"/>
        <v>0</v>
      </c>
      <c r="U85" s="59">
        <f t="shared" si="187"/>
        <v>0</v>
      </c>
      <c r="V85" s="59">
        <f t="shared" si="187"/>
        <v>0</v>
      </c>
      <c r="W85" s="59">
        <f t="shared" si="187"/>
        <v>0</v>
      </c>
      <c r="X85" s="59">
        <f t="shared" si="187"/>
        <v>0</v>
      </c>
      <c r="Y85" s="59">
        <f t="shared" si="187"/>
        <v>0</v>
      </c>
      <c r="Z85" s="59">
        <f t="shared" si="187"/>
        <v>0</v>
      </c>
      <c r="AA85" s="59">
        <f t="shared" si="187"/>
        <v>0</v>
      </c>
      <c r="AB85" s="59">
        <f t="shared" ref="AB85" si="188">SUM(,AB86:AB87)</f>
        <v>0</v>
      </c>
      <c r="AC85" s="59">
        <f t="shared" ref="AC85" si="189">SUM(,AC86:AC87)</f>
        <v>0</v>
      </c>
      <c r="AD85" s="59">
        <f t="shared" ref="AD85" si="190">SUM(,AD86:AD87)</f>
        <v>0</v>
      </c>
      <c r="AE85" s="59">
        <f t="shared" ref="AE85" si="191">SUM(,AE86:AE87)</f>
        <v>0</v>
      </c>
      <c r="AF85" s="59">
        <f t="shared" ref="AF85" si="192">SUM(,AF86:AF87)</f>
        <v>0</v>
      </c>
      <c r="AG85" s="59">
        <f t="shared" ref="AG85" si="193">SUM(,AG86:AG87)</f>
        <v>0</v>
      </c>
      <c r="AH85" s="59">
        <f t="shared" ref="AH85" si="194">SUM(,AH86:AH87)</f>
        <v>588000</v>
      </c>
      <c r="AI85" s="59">
        <f t="shared" ref="AI85" si="195">SUM(,AI86:AI87)</f>
        <v>597202</v>
      </c>
      <c r="AK85" s="355"/>
      <c r="AL85" s="355"/>
      <c r="AM85" s="355"/>
    </row>
    <row r="86" spans="1:39" x14ac:dyDescent="0.2">
      <c r="A86" s="49"/>
      <c r="B86" s="547" t="s">
        <v>95</v>
      </c>
      <c r="C86" s="547"/>
      <c r="D86" s="50" t="s">
        <v>96</v>
      </c>
      <c r="E86" s="51">
        <v>588000</v>
      </c>
      <c r="F86" s="51">
        <f t="shared" ref="F86:F88" si="196">E86+G86</f>
        <v>588000</v>
      </c>
      <c r="G86" s="51">
        <f t="shared" ref="G86:G88" si="197">SUM(H86:S86)</f>
        <v>0</v>
      </c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>
        <f t="shared" ref="U86:U88" si="198">T86+V86</f>
        <v>0</v>
      </c>
      <c r="V86" s="51">
        <f t="shared" ref="V86:V88" si="199">SUM(W86:AG86)</f>
        <v>0</v>
      </c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>
        <f t="shared" ref="AH86:AH88" si="200">E86+T86</f>
        <v>588000</v>
      </c>
      <c r="AI86" s="51">
        <f t="shared" ref="AI86:AI88" si="201">U86+F86</f>
        <v>588000</v>
      </c>
      <c r="AK86" s="355"/>
      <c r="AL86" s="355"/>
      <c r="AM86" s="355"/>
    </row>
    <row r="87" spans="1:39" x14ac:dyDescent="0.2">
      <c r="A87" s="64"/>
      <c r="B87" s="547" t="s">
        <v>773</v>
      </c>
      <c r="C87" s="547"/>
      <c r="D87" s="50" t="s">
        <v>774</v>
      </c>
      <c r="E87" s="66"/>
      <c r="F87" s="51">
        <f t="shared" ref="F87" si="202">E87+G87</f>
        <v>9202</v>
      </c>
      <c r="G87" s="51">
        <f t="shared" ref="G87" si="203">SUM(H87:S87)</f>
        <v>9202</v>
      </c>
      <c r="H87" s="66"/>
      <c r="I87" s="66"/>
      <c r="J87" s="66">
        <v>9202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51">
        <f t="shared" ref="U87" si="204">T87+V87</f>
        <v>0</v>
      </c>
      <c r="V87" s="51">
        <f t="shared" ref="V87" si="205">SUM(W87:AG87)</f>
        <v>0</v>
      </c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51">
        <f t="shared" ref="AH87" si="206">E87+T87</f>
        <v>0</v>
      </c>
      <c r="AI87" s="51">
        <f t="shared" ref="AI87" si="207">U87+F87</f>
        <v>9202</v>
      </c>
      <c r="AK87" s="355"/>
      <c r="AL87" s="355"/>
      <c r="AM87" s="355"/>
    </row>
    <row r="88" spans="1:39" x14ac:dyDescent="0.2">
      <c r="A88" s="71"/>
      <c r="B88" s="236" t="s">
        <v>579</v>
      </c>
      <c r="C88" s="236"/>
      <c r="D88" s="237" t="s">
        <v>617</v>
      </c>
      <c r="E88" s="73">
        <v>293228</v>
      </c>
      <c r="F88" s="73">
        <f t="shared" si="196"/>
        <v>197251</v>
      </c>
      <c r="G88" s="73">
        <f t="shared" si="197"/>
        <v>-95977</v>
      </c>
      <c r="H88" s="73">
        <f>4032+4759</f>
        <v>8791</v>
      </c>
      <c r="I88" s="73">
        <f>-312+14+904+394+900+387+357+115+636+1226+377+71+72+6709</f>
        <v>11850</v>
      </c>
      <c r="J88" s="73">
        <f>152+1+101+331-117203</f>
        <v>-116618</v>
      </c>
      <c r="K88" s="73"/>
      <c r="L88" s="73"/>
      <c r="M88" s="73"/>
      <c r="N88" s="73"/>
      <c r="O88" s="73"/>
      <c r="P88" s="73"/>
      <c r="Q88" s="73"/>
      <c r="R88" s="73"/>
      <c r="S88" s="73"/>
      <c r="T88" s="73">
        <f>-199775-66679-709-20758-2921-2386</f>
        <v>-293228</v>
      </c>
      <c r="U88" s="66">
        <f t="shared" si="198"/>
        <v>-197251</v>
      </c>
      <c r="V88" s="66">
        <f t="shared" si="199"/>
        <v>95977</v>
      </c>
      <c r="W88" s="66">
        <f>-4032-4759</f>
        <v>-8791</v>
      </c>
      <c r="X88" s="66">
        <f>312-14-904-394-900-387-357-115-636-1226-377-71-72-6709</f>
        <v>-11850</v>
      </c>
      <c r="Y88" s="66">
        <f>-152-1-101-331+117203</f>
        <v>116618</v>
      </c>
      <c r="Z88" s="66"/>
      <c r="AA88" s="66"/>
      <c r="AB88" s="66"/>
      <c r="AC88" s="66"/>
      <c r="AD88" s="66"/>
      <c r="AE88" s="66"/>
      <c r="AF88" s="66"/>
      <c r="AG88" s="66"/>
      <c r="AH88" s="51">
        <f t="shared" si="200"/>
        <v>0</v>
      </c>
      <c r="AI88" s="51">
        <f t="shared" si="201"/>
        <v>0</v>
      </c>
      <c r="AK88" s="355"/>
      <c r="AL88" s="355"/>
      <c r="AM88" s="355"/>
    </row>
    <row r="89" spans="1:39" s="175" customFormat="1" x14ac:dyDescent="0.2">
      <c r="A89" s="536" t="s">
        <v>97</v>
      </c>
      <c r="B89" s="537"/>
      <c r="C89" s="568"/>
      <c r="D89" s="70" t="s">
        <v>376</v>
      </c>
      <c r="E89" s="58">
        <f>SUM(E90,E93,E107)</f>
        <v>1762210</v>
      </c>
      <c r="F89" s="58">
        <f>SUM(F90,F93,F107)</f>
        <v>1771363</v>
      </c>
      <c r="G89" s="58">
        <f t="shared" ref="G89:S89" si="208">SUM(G90,G93,G107)</f>
        <v>9153</v>
      </c>
      <c r="H89" s="58">
        <f t="shared" si="208"/>
        <v>-100</v>
      </c>
      <c r="I89" s="58">
        <f t="shared" si="208"/>
        <v>4249</v>
      </c>
      <c r="J89" s="58">
        <f t="shared" si="208"/>
        <v>-1091</v>
      </c>
      <c r="K89" s="58">
        <f t="shared" si="208"/>
        <v>8899</v>
      </c>
      <c r="L89" s="58">
        <f t="shared" si="208"/>
        <v>-2804</v>
      </c>
      <c r="M89" s="58">
        <f t="shared" si="208"/>
        <v>0</v>
      </c>
      <c r="N89" s="58">
        <f t="shared" si="208"/>
        <v>0</v>
      </c>
      <c r="O89" s="58">
        <f t="shared" si="208"/>
        <v>0</v>
      </c>
      <c r="P89" s="58">
        <f t="shared" si="208"/>
        <v>0</v>
      </c>
      <c r="Q89" s="58">
        <f t="shared" si="208"/>
        <v>0</v>
      </c>
      <c r="R89" s="58">
        <f t="shared" si="208"/>
        <v>0</v>
      </c>
      <c r="S89" s="58">
        <f t="shared" si="208"/>
        <v>0</v>
      </c>
      <c r="T89" s="58">
        <f>SUM(T90,T93,T107)</f>
        <v>-4550</v>
      </c>
      <c r="U89" s="58">
        <f t="shared" ref="U89" si="209">SUM(U90,U93,U107)</f>
        <v>-6391</v>
      </c>
      <c r="V89" s="58">
        <f t="shared" ref="V89" si="210">SUM(V90,V93,V107)</f>
        <v>-1841</v>
      </c>
      <c r="W89" s="58">
        <f t="shared" ref="W89" si="211">SUM(W90,W93,W107)</f>
        <v>0</v>
      </c>
      <c r="X89" s="58">
        <f t="shared" ref="X89" si="212">SUM(X90,X93,X107)</f>
        <v>-1520</v>
      </c>
      <c r="Y89" s="58">
        <f t="shared" ref="Y89" si="213">SUM(Y90,Y93,Y107)</f>
        <v>0</v>
      </c>
      <c r="Z89" s="58">
        <f t="shared" ref="Z89" si="214">SUM(Z90,Z93,Z107)</f>
        <v>-321</v>
      </c>
      <c r="AA89" s="58">
        <f t="shared" ref="AA89" si="215">SUM(AA90,AA93,AA107)</f>
        <v>0</v>
      </c>
      <c r="AB89" s="58">
        <f t="shared" ref="AB89" si="216">SUM(AB90,AB93,AB107)</f>
        <v>0</v>
      </c>
      <c r="AC89" s="58">
        <f t="shared" ref="AC89" si="217">SUM(AC90,AC93,AC107)</f>
        <v>0</v>
      </c>
      <c r="AD89" s="58">
        <f t="shared" ref="AD89" si="218">SUM(AD90,AD93,AD107)</f>
        <v>0</v>
      </c>
      <c r="AE89" s="58">
        <f t="shared" ref="AE89" si="219">SUM(AE90,AE93,AE107)</f>
        <v>0</v>
      </c>
      <c r="AF89" s="58">
        <f t="shared" ref="AF89" si="220">SUM(AF90,AF93,AF107)</f>
        <v>0</v>
      </c>
      <c r="AG89" s="58">
        <f t="shared" ref="AG89:AI89" si="221">SUM(AG90,AG93,AG107)</f>
        <v>0</v>
      </c>
      <c r="AH89" s="58">
        <f>SUM(AH90,AH93,AH107)</f>
        <v>1757660</v>
      </c>
      <c r="AI89" s="58">
        <f t="shared" si="221"/>
        <v>1764972</v>
      </c>
      <c r="AK89" s="355"/>
      <c r="AL89" s="355"/>
      <c r="AM89" s="355"/>
    </row>
    <row r="90" spans="1:39" s="174" customFormat="1" x14ac:dyDescent="0.2">
      <c r="A90" s="79"/>
      <c r="B90" s="538" t="s">
        <v>98</v>
      </c>
      <c r="C90" s="553"/>
      <c r="D90" s="123" t="s">
        <v>377</v>
      </c>
      <c r="E90" s="59">
        <f t="shared" ref="E90:AH90" si="222">SUM(E91:E92)</f>
        <v>83866</v>
      </c>
      <c r="F90" s="59">
        <f t="shared" ref="F90:S90" si="223">SUM(F91:F92)</f>
        <v>83866</v>
      </c>
      <c r="G90" s="59">
        <f t="shared" si="223"/>
        <v>0</v>
      </c>
      <c r="H90" s="59">
        <f t="shared" si="223"/>
        <v>0</v>
      </c>
      <c r="I90" s="59">
        <f t="shared" si="223"/>
        <v>0</v>
      </c>
      <c r="J90" s="59">
        <f t="shared" si="223"/>
        <v>0</v>
      </c>
      <c r="K90" s="59">
        <f t="shared" si="223"/>
        <v>0</v>
      </c>
      <c r="L90" s="59">
        <f t="shared" si="223"/>
        <v>0</v>
      </c>
      <c r="M90" s="59">
        <f t="shared" si="223"/>
        <v>0</v>
      </c>
      <c r="N90" s="59">
        <f t="shared" si="223"/>
        <v>0</v>
      </c>
      <c r="O90" s="59">
        <f t="shared" si="223"/>
        <v>0</v>
      </c>
      <c r="P90" s="59">
        <f t="shared" si="223"/>
        <v>0</v>
      </c>
      <c r="Q90" s="59">
        <f t="shared" si="223"/>
        <v>0</v>
      </c>
      <c r="R90" s="59">
        <f t="shared" si="223"/>
        <v>0</v>
      </c>
      <c r="S90" s="59">
        <f t="shared" si="223"/>
        <v>0</v>
      </c>
      <c r="T90" s="59">
        <f t="shared" si="222"/>
        <v>0</v>
      </c>
      <c r="U90" s="59">
        <f t="shared" si="222"/>
        <v>0</v>
      </c>
      <c r="V90" s="59">
        <f t="shared" si="222"/>
        <v>0</v>
      </c>
      <c r="W90" s="59">
        <f t="shared" si="222"/>
        <v>0</v>
      </c>
      <c r="X90" s="59">
        <f t="shared" si="222"/>
        <v>0</v>
      </c>
      <c r="Y90" s="59">
        <f t="shared" si="222"/>
        <v>0</v>
      </c>
      <c r="Z90" s="59">
        <f t="shared" si="222"/>
        <v>0</v>
      </c>
      <c r="AA90" s="59">
        <f t="shared" si="222"/>
        <v>0</v>
      </c>
      <c r="AB90" s="59">
        <f t="shared" si="222"/>
        <v>0</v>
      </c>
      <c r="AC90" s="59">
        <f t="shared" si="222"/>
        <v>0</v>
      </c>
      <c r="AD90" s="59">
        <f t="shared" si="222"/>
        <v>0</v>
      </c>
      <c r="AE90" s="59">
        <f t="shared" si="222"/>
        <v>0</v>
      </c>
      <c r="AF90" s="59">
        <f t="shared" si="222"/>
        <v>0</v>
      </c>
      <c r="AG90" s="59">
        <f t="shared" si="222"/>
        <v>0</v>
      </c>
      <c r="AH90" s="59">
        <f t="shared" si="222"/>
        <v>83866</v>
      </c>
      <c r="AI90" s="59">
        <f t="shared" ref="AI90" si="224">SUM(AI91:AI92)</f>
        <v>83866</v>
      </c>
      <c r="AK90" s="355"/>
      <c r="AL90" s="355"/>
      <c r="AM90" s="355"/>
    </row>
    <row r="91" spans="1:39" ht="24" hidden="1" x14ac:dyDescent="0.2">
      <c r="A91" s="178"/>
      <c r="B91" s="566" t="s">
        <v>252</v>
      </c>
      <c r="C91" s="567"/>
      <c r="D91" s="130" t="s">
        <v>253</v>
      </c>
      <c r="E91" s="128"/>
      <c r="F91" s="128">
        <f t="shared" ref="F91:F92" si="225">E91+G91</f>
        <v>0</v>
      </c>
      <c r="G91" s="128">
        <f t="shared" ref="G91:G92" si="226">SUM(H91:S91)</f>
        <v>0</v>
      </c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>
        <f t="shared" ref="U91:U92" si="227">T91+V91</f>
        <v>0</v>
      </c>
      <c r="V91" s="128">
        <f t="shared" ref="V91:V92" si="228">SUM(W91:AG91)</f>
        <v>0</v>
      </c>
      <c r="W91" s="128"/>
      <c r="X91" s="128"/>
      <c r="Y91" s="128"/>
      <c r="Z91" s="128"/>
      <c r="AA91" s="128"/>
      <c r="AB91" s="128"/>
      <c r="AC91" s="128"/>
      <c r="AD91" s="128"/>
      <c r="AE91" s="128"/>
      <c r="AF91" s="128"/>
      <c r="AG91" s="128"/>
      <c r="AH91" s="128">
        <f>E91+T91</f>
        <v>0</v>
      </c>
      <c r="AI91" s="128">
        <f t="shared" ref="AI91:AI92" si="229">U91+F91</f>
        <v>0</v>
      </c>
      <c r="AK91" s="355"/>
      <c r="AL91" s="355"/>
      <c r="AM91" s="355"/>
    </row>
    <row r="92" spans="1:39" ht="24" x14ac:dyDescent="0.2">
      <c r="A92" s="279"/>
      <c r="B92" s="566" t="s">
        <v>636</v>
      </c>
      <c r="C92" s="567"/>
      <c r="D92" s="130" t="s">
        <v>637</v>
      </c>
      <c r="E92" s="51">
        <v>83866</v>
      </c>
      <c r="F92" s="51">
        <f t="shared" si="225"/>
        <v>83866</v>
      </c>
      <c r="G92" s="51">
        <f t="shared" si="226"/>
        <v>0</v>
      </c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>
        <f t="shared" si="227"/>
        <v>0</v>
      </c>
      <c r="V92" s="51">
        <f t="shared" si="228"/>
        <v>0</v>
      </c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>
        <f t="shared" ref="AH92" si="230">E92+T92</f>
        <v>83866</v>
      </c>
      <c r="AI92" s="51">
        <f t="shared" si="229"/>
        <v>83866</v>
      </c>
      <c r="AK92" s="355"/>
      <c r="AL92" s="355"/>
      <c r="AM92" s="355"/>
    </row>
    <row r="93" spans="1:39" s="174" customFormat="1" ht="24" x14ac:dyDescent="0.2">
      <c r="A93" s="46"/>
      <c r="B93" s="538" t="s">
        <v>99</v>
      </c>
      <c r="C93" s="553"/>
      <c r="D93" s="47" t="s">
        <v>378</v>
      </c>
      <c r="E93" s="59">
        <f t="shared" ref="E93:AH93" si="231">SUM(E94,E98,E100,E103)</f>
        <v>1646526</v>
      </c>
      <c r="F93" s="59">
        <f t="shared" ref="F93:S93" si="232">SUM(F94,F98,F100,F103)</f>
        <v>1643634</v>
      </c>
      <c r="G93" s="59">
        <f t="shared" si="232"/>
        <v>-2892</v>
      </c>
      <c r="H93" s="59">
        <f t="shared" si="232"/>
        <v>0</v>
      </c>
      <c r="I93" s="59">
        <f t="shared" si="232"/>
        <v>2490</v>
      </c>
      <c r="J93" s="59">
        <f t="shared" si="232"/>
        <v>-5472</v>
      </c>
      <c r="K93" s="59">
        <f t="shared" si="232"/>
        <v>2894</v>
      </c>
      <c r="L93" s="59">
        <f t="shared" si="232"/>
        <v>-2804</v>
      </c>
      <c r="M93" s="59">
        <f t="shared" si="232"/>
        <v>0</v>
      </c>
      <c r="N93" s="59">
        <f t="shared" si="232"/>
        <v>0</v>
      </c>
      <c r="O93" s="59">
        <f t="shared" si="232"/>
        <v>0</v>
      </c>
      <c r="P93" s="59">
        <f t="shared" si="232"/>
        <v>0</v>
      </c>
      <c r="Q93" s="59">
        <f t="shared" si="232"/>
        <v>0</v>
      </c>
      <c r="R93" s="59">
        <f t="shared" si="232"/>
        <v>0</v>
      </c>
      <c r="S93" s="59">
        <f t="shared" si="232"/>
        <v>0</v>
      </c>
      <c r="T93" s="59">
        <f t="shared" si="231"/>
        <v>0</v>
      </c>
      <c r="U93" s="59">
        <f t="shared" si="231"/>
        <v>-1</v>
      </c>
      <c r="V93" s="59">
        <f t="shared" si="231"/>
        <v>-1</v>
      </c>
      <c r="W93" s="59">
        <f t="shared" si="231"/>
        <v>0</v>
      </c>
      <c r="X93" s="59">
        <f t="shared" si="231"/>
        <v>-1</v>
      </c>
      <c r="Y93" s="59">
        <f t="shared" si="231"/>
        <v>0</v>
      </c>
      <c r="Z93" s="59">
        <f t="shared" si="231"/>
        <v>0</v>
      </c>
      <c r="AA93" s="59">
        <f t="shared" si="231"/>
        <v>0</v>
      </c>
      <c r="AB93" s="59">
        <f t="shared" si="231"/>
        <v>0</v>
      </c>
      <c r="AC93" s="59">
        <f t="shared" si="231"/>
        <v>0</v>
      </c>
      <c r="AD93" s="59">
        <f t="shared" si="231"/>
        <v>0</v>
      </c>
      <c r="AE93" s="59">
        <f t="shared" si="231"/>
        <v>0</v>
      </c>
      <c r="AF93" s="59">
        <f t="shared" si="231"/>
        <v>0</v>
      </c>
      <c r="AG93" s="59">
        <f t="shared" si="231"/>
        <v>0</v>
      </c>
      <c r="AH93" s="59">
        <f t="shared" si="231"/>
        <v>1646526</v>
      </c>
      <c r="AI93" s="59">
        <f t="shared" ref="AI93" si="233">SUM(AI94,AI98,AI100,AI103)</f>
        <v>1643633</v>
      </c>
      <c r="AK93" s="355"/>
      <c r="AL93" s="355"/>
      <c r="AM93" s="355"/>
    </row>
    <row r="94" spans="1:39" x14ac:dyDescent="0.2">
      <c r="A94" s="49"/>
      <c r="B94" s="542" t="s">
        <v>100</v>
      </c>
      <c r="C94" s="554"/>
      <c r="D94" s="50" t="s">
        <v>101</v>
      </c>
      <c r="E94" s="51">
        <f t="shared" ref="E94:F94" si="234">SUM(E95:E97)</f>
        <v>153893</v>
      </c>
      <c r="F94" s="51">
        <f t="shared" si="234"/>
        <v>154245</v>
      </c>
      <c r="G94" s="51">
        <f t="shared" ref="G94:S94" si="235">SUM(G95:G97)</f>
        <v>352</v>
      </c>
      <c r="H94" s="51">
        <f t="shared" si="235"/>
        <v>0</v>
      </c>
      <c r="I94" s="51">
        <f t="shared" si="235"/>
        <v>0</v>
      </c>
      <c r="J94" s="51">
        <f t="shared" si="235"/>
        <v>0</v>
      </c>
      <c r="K94" s="51">
        <f t="shared" si="235"/>
        <v>0</v>
      </c>
      <c r="L94" s="51">
        <f t="shared" si="235"/>
        <v>352</v>
      </c>
      <c r="M94" s="51">
        <f t="shared" si="235"/>
        <v>0</v>
      </c>
      <c r="N94" s="51">
        <f t="shared" si="235"/>
        <v>0</v>
      </c>
      <c r="O94" s="51">
        <f t="shared" si="235"/>
        <v>0</v>
      </c>
      <c r="P94" s="51">
        <f t="shared" si="235"/>
        <v>0</v>
      </c>
      <c r="Q94" s="51">
        <f t="shared" si="235"/>
        <v>0</v>
      </c>
      <c r="R94" s="51">
        <f t="shared" si="235"/>
        <v>0</v>
      </c>
      <c r="S94" s="51">
        <f t="shared" si="235"/>
        <v>0</v>
      </c>
      <c r="T94" s="51">
        <f t="shared" ref="T94:AG94" si="236">SUM(T95:T97)</f>
        <v>0</v>
      </c>
      <c r="U94" s="51">
        <f t="shared" si="236"/>
        <v>0</v>
      </c>
      <c r="V94" s="51">
        <f t="shared" si="236"/>
        <v>0</v>
      </c>
      <c r="W94" s="51">
        <f t="shared" si="236"/>
        <v>0</v>
      </c>
      <c r="X94" s="51">
        <f t="shared" si="236"/>
        <v>0</v>
      </c>
      <c r="Y94" s="51">
        <f t="shared" si="236"/>
        <v>0</v>
      </c>
      <c r="Z94" s="51">
        <f t="shared" si="236"/>
        <v>0</v>
      </c>
      <c r="AA94" s="51">
        <f t="shared" si="236"/>
        <v>0</v>
      </c>
      <c r="AB94" s="51">
        <f t="shared" si="236"/>
        <v>0</v>
      </c>
      <c r="AC94" s="51">
        <f t="shared" si="236"/>
        <v>0</v>
      </c>
      <c r="AD94" s="51">
        <f t="shared" si="236"/>
        <v>0</v>
      </c>
      <c r="AE94" s="51">
        <f t="shared" si="236"/>
        <v>0</v>
      </c>
      <c r="AF94" s="51">
        <f t="shared" si="236"/>
        <v>0</v>
      </c>
      <c r="AG94" s="51">
        <f t="shared" si="236"/>
        <v>0</v>
      </c>
      <c r="AH94" s="51">
        <f t="shared" ref="AH94:AI94" si="237">SUM(AH95:AH97)</f>
        <v>153893</v>
      </c>
      <c r="AI94" s="51">
        <f t="shared" si="237"/>
        <v>154245</v>
      </c>
      <c r="AK94" s="355"/>
      <c r="AL94" s="355"/>
      <c r="AM94" s="355"/>
    </row>
    <row r="95" spans="1:39" x14ac:dyDescent="0.2">
      <c r="A95" s="52"/>
      <c r="B95" s="562" t="s">
        <v>102</v>
      </c>
      <c r="C95" s="563"/>
      <c r="D95" s="56" t="s">
        <v>194</v>
      </c>
      <c r="E95" s="54">
        <v>12150</v>
      </c>
      <c r="F95" s="54">
        <f t="shared" ref="F95:F97" si="238">E95+G95</f>
        <v>12150</v>
      </c>
      <c r="G95" s="54">
        <f t="shared" ref="G95:G97" si="239">SUM(H95:S95)</f>
        <v>0</v>
      </c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105"/>
      <c r="U95" s="105">
        <f t="shared" ref="U95:U97" si="240">T95+V95</f>
        <v>0</v>
      </c>
      <c r="V95" s="105">
        <f t="shared" ref="V95:V97" si="241">SUM(W95:AG95)</f>
        <v>0</v>
      </c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>
        <f t="shared" ref="AH95:AH97" si="242">E95+T95</f>
        <v>12150</v>
      </c>
      <c r="AI95" s="105">
        <f t="shared" ref="AI95:AI97" si="243">U95+F95</f>
        <v>12150</v>
      </c>
      <c r="AK95" s="355"/>
      <c r="AL95" s="355"/>
      <c r="AM95" s="355"/>
    </row>
    <row r="96" spans="1:39" x14ac:dyDescent="0.2">
      <c r="A96" s="74"/>
      <c r="B96" s="555" t="s">
        <v>103</v>
      </c>
      <c r="C96" s="556"/>
      <c r="D96" s="75" t="s">
        <v>104</v>
      </c>
      <c r="E96" s="54">
        <v>141743</v>
      </c>
      <c r="F96" s="54">
        <f t="shared" si="238"/>
        <v>142095</v>
      </c>
      <c r="G96" s="54">
        <f t="shared" si="239"/>
        <v>352</v>
      </c>
      <c r="H96" s="54"/>
      <c r="I96" s="54"/>
      <c r="J96" s="54"/>
      <c r="K96" s="54"/>
      <c r="L96" s="54">
        <v>352</v>
      </c>
      <c r="M96" s="54"/>
      <c r="N96" s="54"/>
      <c r="O96" s="54"/>
      <c r="P96" s="54"/>
      <c r="Q96" s="54"/>
      <c r="R96" s="54"/>
      <c r="S96" s="54"/>
      <c r="T96" s="54"/>
      <c r="U96" s="54">
        <f t="shared" si="240"/>
        <v>0</v>
      </c>
      <c r="V96" s="54">
        <f t="shared" si="241"/>
        <v>0</v>
      </c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>
        <f t="shared" si="242"/>
        <v>141743</v>
      </c>
      <c r="AI96" s="54">
        <f t="shared" si="243"/>
        <v>142095</v>
      </c>
      <c r="AK96" s="355"/>
      <c r="AL96" s="355"/>
      <c r="AM96" s="355"/>
    </row>
    <row r="97" spans="1:42" hidden="1" x14ac:dyDescent="0.2">
      <c r="A97" s="55"/>
      <c r="B97" s="566" t="s">
        <v>105</v>
      </c>
      <c r="C97" s="567"/>
      <c r="D97" s="56" t="s">
        <v>195</v>
      </c>
      <c r="E97" s="54">
        <v>0</v>
      </c>
      <c r="F97" s="66">
        <f t="shared" si="238"/>
        <v>0</v>
      </c>
      <c r="G97" s="66">
        <f t="shared" si="239"/>
        <v>0</v>
      </c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>
        <f t="shared" si="240"/>
        <v>0</v>
      </c>
      <c r="V97" s="66">
        <f t="shared" si="241"/>
        <v>0</v>
      </c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>
        <f t="shared" si="242"/>
        <v>0</v>
      </c>
      <c r="AI97" s="66">
        <f t="shared" si="243"/>
        <v>0</v>
      </c>
      <c r="AK97" s="355"/>
      <c r="AL97" s="355"/>
      <c r="AM97" s="355"/>
    </row>
    <row r="98" spans="1:42" ht="24" x14ac:dyDescent="0.2">
      <c r="A98" s="60"/>
      <c r="B98" s="542" t="s">
        <v>106</v>
      </c>
      <c r="C98" s="554"/>
      <c r="D98" s="61" t="s">
        <v>107</v>
      </c>
      <c r="E98" s="62">
        <f t="shared" ref="E98:AI98" si="244">SUM(E99:E99)</f>
        <v>78098</v>
      </c>
      <c r="F98" s="62">
        <f t="shared" si="244"/>
        <v>78098</v>
      </c>
      <c r="G98" s="62">
        <f t="shared" si="244"/>
        <v>0</v>
      </c>
      <c r="H98" s="62">
        <f t="shared" si="244"/>
        <v>0</v>
      </c>
      <c r="I98" s="62">
        <f t="shared" si="244"/>
        <v>0</v>
      </c>
      <c r="J98" s="62">
        <f t="shared" si="244"/>
        <v>0</v>
      </c>
      <c r="K98" s="62">
        <f t="shared" si="244"/>
        <v>0</v>
      </c>
      <c r="L98" s="62">
        <f t="shared" si="244"/>
        <v>0</v>
      </c>
      <c r="M98" s="62">
        <f t="shared" si="244"/>
        <v>0</v>
      </c>
      <c r="N98" s="62">
        <f t="shared" si="244"/>
        <v>0</v>
      </c>
      <c r="O98" s="62">
        <f t="shared" si="244"/>
        <v>0</v>
      </c>
      <c r="P98" s="62">
        <f t="shared" si="244"/>
        <v>0</v>
      </c>
      <c r="Q98" s="62">
        <f t="shared" si="244"/>
        <v>0</v>
      </c>
      <c r="R98" s="62">
        <f t="shared" si="244"/>
        <v>0</v>
      </c>
      <c r="S98" s="62">
        <f t="shared" si="244"/>
        <v>0</v>
      </c>
      <c r="T98" s="62">
        <f t="shared" si="244"/>
        <v>0</v>
      </c>
      <c r="U98" s="62">
        <f t="shared" si="244"/>
        <v>0</v>
      </c>
      <c r="V98" s="62">
        <f t="shared" si="244"/>
        <v>0</v>
      </c>
      <c r="W98" s="62">
        <f t="shared" si="244"/>
        <v>0</v>
      </c>
      <c r="X98" s="62">
        <f t="shared" si="244"/>
        <v>0</v>
      </c>
      <c r="Y98" s="62">
        <f t="shared" si="244"/>
        <v>0</v>
      </c>
      <c r="Z98" s="62">
        <f t="shared" si="244"/>
        <v>0</v>
      </c>
      <c r="AA98" s="62">
        <f t="shared" si="244"/>
        <v>0</v>
      </c>
      <c r="AB98" s="62">
        <f t="shared" si="244"/>
        <v>0</v>
      </c>
      <c r="AC98" s="62">
        <f t="shared" si="244"/>
        <v>0</v>
      </c>
      <c r="AD98" s="62">
        <f t="shared" si="244"/>
        <v>0</v>
      </c>
      <c r="AE98" s="62">
        <f t="shared" si="244"/>
        <v>0</v>
      </c>
      <c r="AF98" s="62">
        <f t="shared" si="244"/>
        <v>0</v>
      </c>
      <c r="AG98" s="62">
        <f t="shared" si="244"/>
        <v>0</v>
      </c>
      <c r="AH98" s="62">
        <f t="shared" si="244"/>
        <v>78098</v>
      </c>
      <c r="AI98" s="62">
        <f t="shared" si="244"/>
        <v>78098</v>
      </c>
      <c r="AK98" s="355"/>
      <c r="AL98" s="355"/>
      <c r="AM98" s="355"/>
    </row>
    <row r="99" spans="1:42" ht="24" x14ac:dyDescent="0.2">
      <c r="A99" s="64"/>
      <c r="B99" s="564" t="s">
        <v>108</v>
      </c>
      <c r="C99" s="565"/>
      <c r="D99" s="75" t="s">
        <v>196</v>
      </c>
      <c r="E99" s="54">
        <v>78098</v>
      </c>
      <c r="F99" s="66">
        <f>E99+G99</f>
        <v>78098</v>
      </c>
      <c r="G99" s="66">
        <f>SUM(H99:S99)</f>
        <v>0</v>
      </c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>
        <f>T99+V99</f>
        <v>0</v>
      </c>
      <c r="V99" s="66">
        <f>SUM(W99:AG99)</f>
        <v>0</v>
      </c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>
        <f>E99+T99</f>
        <v>78098</v>
      </c>
      <c r="AI99" s="66">
        <f>U99+F99</f>
        <v>78098</v>
      </c>
      <c r="AK99" s="355"/>
      <c r="AL99" s="355"/>
      <c r="AM99" s="355"/>
    </row>
    <row r="100" spans="1:42" x14ac:dyDescent="0.2">
      <c r="A100" s="60"/>
      <c r="B100" s="542" t="s">
        <v>109</v>
      </c>
      <c r="C100" s="554"/>
      <c r="D100" s="61" t="s">
        <v>198</v>
      </c>
      <c r="E100" s="62">
        <f t="shared" ref="E100:AH100" si="245">SUM(E101:E102)</f>
        <v>301861</v>
      </c>
      <c r="F100" s="62">
        <f t="shared" ref="F100:S100" si="246">SUM(F101:F102)</f>
        <v>313539</v>
      </c>
      <c r="G100" s="62">
        <f t="shared" si="246"/>
        <v>11678</v>
      </c>
      <c r="H100" s="62">
        <f t="shared" si="246"/>
        <v>0</v>
      </c>
      <c r="I100" s="62">
        <f t="shared" si="246"/>
        <v>-109</v>
      </c>
      <c r="J100" s="62">
        <f t="shared" si="246"/>
        <v>0</v>
      </c>
      <c r="K100" s="62">
        <f t="shared" si="246"/>
        <v>2774</v>
      </c>
      <c r="L100" s="62">
        <f t="shared" si="246"/>
        <v>9013</v>
      </c>
      <c r="M100" s="62">
        <f t="shared" si="246"/>
        <v>0</v>
      </c>
      <c r="N100" s="62">
        <f t="shared" si="246"/>
        <v>0</v>
      </c>
      <c r="O100" s="62">
        <f t="shared" si="246"/>
        <v>0</v>
      </c>
      <c r="P100" s="62">
        <f t="shared" si="246"/>
        <v>0</v>
      </c>
      <c r="Q100" s="62">
        <f t="shared" si="246"/>
        <v>0</v>
      </c>
      <c r="R100" s="62">
        <f t="shared" si="246"/>
        <v>0</v>
      </c>
      <c r="S100" s="62">
        <f t="shared" si="246"/>
        <v>0</v>
      </c>
      <c r="T100" s="62">
        <f t="shared" si="245"/>
        <v>0</v>
      </c>
      <c r="U100" s="62">
        <f t="shared" si="245"/>
        <v>0</v>
      </c>
      <c r="V100" s="62">
        <f t="shared" si="245"/>
        <v>0</v>
      </c>
      <c r="W100" s="62">
        <f t="shared" si="245"/>
        <v>0</v>
      </c>
      <c r="X100" s="62">
        <f t="shared" si="245"/>
        <v>0</v>
      </c>
      <c r="Y100" s="62">
        <f t="shared" si="245"/>
        <v>0</v>
      </c>
      <c r="Z100" s="62">
        <f t="shared" si="245"/>
        <v>0</v>
      </c>
      <c r="AA100" s="62">
        <f t="shared" si="245"/>
        <v>0</v>
      </c>
      <c r="AB100" s="62">
        <f t="shared" si="245"/>
        <v>0</v>
      </c>
      <c r="AC100" s="62">
        <f t="shared" si="245"/>
        <v>0</v>
      </c>
      <c r="AD100" s="62">
        <f t="shared" si="245"/>
        <v>0</v>
      </c>
      <c r="AE100" s="62">
        <f t="shared" si="245"/>
        <v>0</v>
      </c>
      <c r="AF100" s="62">
        <f t="shared" si="245"/>
        <v>0</v>
      </c>
      <c r="AG100" s="62">
        <f t="shared" si="245"/>
        <v>0</v>
      </c>
      <c r="AH100" s="62">
        <f t="shared" si="245"/>
        <v>301861</v>
      </c>
      <c r="AI100" s="62">
        <f t="shared" ref="AI100" si="247">SUM(AI101:AI102)</f>
        <v>313539</v>
      </c>
      <c r="AK100" s="355"/>
      <c r="AL100" s="355"/>
      <c r="AM100" s="355"/>
    </row>
    <row r="101" spans="1:42" x14ac:dyDescent="0.2">
      <c r="A101" s="52"/>
      <c r="B101" s="562" t="s">
        <v>110</v>
      </c>
      <c r="C101" s="563"/>
      <c r="D101" s="53" t="s">
        <v>162</v>
      </c>
      <c r="E101" s="54">
        <v>297160</v>
      </c>
      <c r="F101" s="54">
        <f t="shared" ref="F101:F102" si="248">E101+G101</f>
        <v>308947</v>
      </c>
      <c r="G101" s="54">
        <f t="shared" ref="G101:G102" si="249">SUM(H101:S101)</f>
        <v>11787</v>
      </c>
      <c r="H101" s="54"/>
      <c r="I101" s="54"/>
      <c r="J101" s="54"/>
      <c r="K101" s="54">
        <v>2774</v>
      </c>
      <c r="L101" s="54">
        <v>9013</v>
      </c>
      <c r="M101" s="54"/>
      <c r="N101" s="54"/>
      <c r="O101" s="54"/>
      <c r="P101" s="54"/>
      <c r="Q101" s="54"/>
      <c r="R101" s="54"/>
      <c r="S101" s="54"/>
      <c r="T101" s="54"/>
      <c r="U101" s="54">
        <f t="shared" ref="U101:U102" si="250">T101+V101</f>
        <v>0</v>
      </c>
      <c r="V101" s="54">
        <f t="shared" ref="V101:V102" si="251">SUM(W101:AG101)</f>
        <v>0</v>
      </c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>
        <f t="shared" ref="AH101:AH102" si="252">E101+T101</f>
        <v>297160</v>
      </c>
      <c r="AI101" s="54">
        <f t="shared" ref="AI101:AI102" si="253">U101+F101</f>
        <v>308947</v>
      </c>
      <c r="AK101" s="355"/>
      <c r="AL101" s="355"/>
      <c r="AM101" s="355"/>
    </row>
    <row r="102" spans="1:42" x14ac:dyDescent="0.2">
      <c r="A102" s="74"/>
      <c r="B102" s="555" t="s">
        <v>111</v>
      </c>
      <c r="C102" s="556"/>
      <c r="D102" s="75" t="s">
        <v>197</v>
      </c>
      <c r="E102" s="54">
        <v>4701</v>
      </c>
      <c r="F102" s="54">
        <f t="shared" si="248"/>
        <v>4592</v>
      </c>
      <c r="G102" s="54">
        <f t="shared" si="249"/>
        <v>-109</v>
      </c>
      <c r="H102" s="54"/>
      <c r="I102" s="54">
        <v>-109</v>
      </c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>
        <f t="shared" si="250"/>
        <v>0</v>
      </c>
      <c r="V102" s="54">
        <f t="shared" si="251"/>
        <v>0</v>
      </c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>
        <f t="shared" si="252"/>
        <v>4701</v>
      </c>
      <c r="AI102" s="54">
        <f t="shared" si="253"/>
        <v>4592</v>
      </c>
      <c r="AK102" s="355"/>
      <c r="AL102" s="355"/>
      <c r="AM102" s="355"/>
    </row>
    <row r="103" spans="1:42" ht="24" x14ac:dyDescent="0.2">
      <c r="A103" s="60"/>
      <c r="B103" s="542" t="s">
        <v>112</v>
      </c>
      <c r="C103" s="554"/>
      <c r="D103" s="61" t="s">
        <v>379</v>
      </c>
      <c r="E103" s="62">
        <f>SUM(E104:E106)</f>
        <v>1112674</v>
      </c>
      <c r="F103" s="62">
        <f>SUM(F104:F106)</f>
        <v>1097752</v>
      </c>
      <c r="G103" s="62">
        <f t="shared" ref="G103:S103" si="254">SUM(G104:G106)</f>
        <v>-14922</v>
      </c>
      <c r="H103" s="62">
        <f t="shared" si="254"/>
        <v>0</v>
      </c>
      <c r="I103" s="62">
        <f t="shared" si="254"/>
        <v>2599</v>
      </c>
      <c r="J103" s="62">
        <f t="shared" si="254"/>
        <v>-5472</v>
      </c>
      <c r="K103" s="62">
        <f t="shared" si="254"/>
        <v>120</v>
      </c>
      <c r="L103" s="62">
        <f t="shared" si="254"/>
        <v>-12169</v>
      </c>
      <c r="M103" s="62">
        <f t="shared" si="254"/>
        <v>0</v>
      </c>
      <c r="N103" s="62">
        <f t="shared" si="254"/>
        <v>0</v>
      </c>
      <c r="O103" s="62">
        <f t="shared" si="254"/>
        <v>0</v>
      </c>
      <c r="P103" s="62">
        <f t="shared" si="254"/>
        <v>0</v>
      </c>
      <c r="Q103" s="62">
        <f t="shared" si="254"/>
        <v>0</v>
      </c>
      <c r="R103" s="62">
        <f t="shared" si="254"/>
        <v>0</v>
      </c>
      <c r="S103" s="62">
        <f t="shared" si="254"/>
        <v>0</v>
      </c>
      <c r="T103" s="62">
        <f>SUM(T104:T106)</f>
        <v>0</v>
      </c>
      <c r="U103" s="62">
        <f t="shared" ref="U103" si="255">SUM(U104:U106)</f>
        <v>-1</v>
      </c>
      <c r="V103" s="62">
        <f t="shared" ref="V103" si="256">SUM(V104:V106)</f>
        <v>-1</v>
      </c>
      <c r="W103" s="62">
        <f t="shared" ref="W103" si="257">SUM(W104:W106)</f>
        <v>0</v>
      </c>
      <c r="X103" s="62">
        <f t="shared" ref="X103" si="258">SUM(X104:X106)</f>
        <v>-1</v>
      </c>
      <c r="Y103" s="62">
        <f t="shared" ref="Y103" si="259">SUM(Y104:Y106)</f>
        <v>0</v>
      </c>
      <c r="Z103" s="62">
        <f t="shared" ref="Z103" si="260">SUM(Z104:Z106)</f>
        <v>0</v>
      </c>
      <c r="AA103" s="62">
        <f t="shared" ref="AA103" si="261">SUM(AA104:AA106)</f>
        <v>0</v>
      </c>
      <c r="AB103" s="62">
        <f t="shared" ref="AB103" si="262">SUM(AB104:AB106)</f>
        <v>0</v>
      </c>
      <c r="AC103" s="62">
        <f t="shared" ref="AC103" si="263">SUM(AC104:AC106)</f>
        <v>0</v>
      </c>
      <c r="AD103" s="62">
        <f t="shared" ref="AD103" si="264">SUM(AD104:AD106)</f>
        <v>0</v>
      </c>
      <c r="AE103" s="62">
        <f t="shared" ref="AE103" si="265">SUM(AE104:AE106)</f>
        <v>0</v>
      </c>
      <c r="AF103" s="62">
        <f t="shared" ref="AF103" si="266">SUM(AF104:AF106)</f>
        <v>0</v>
      </c>
      <c r="AG103" s="62">
        <f t="shared" ref="AG103:AI103" si="267">SUM(AG104:AG106)</f>
        <v>0</v>
      </c>
      <c r="AH103" s="62">
        <f>SUM(AH104:AH106)</f>
        <v>1112674</v>
      </c>
      <c r="AI103" s="62">
        <f t="shared" si="267"/>
        <v>1097751</v>
      </c>
      <c r="AK103" s="355"/>
      <c r="AL103" s="355"/>
      <c r="AM103" s="355"/>
    </row>
    <row r="104" spans="1:42" ht="24" x14ac:dyDescent="0.2">
      <c r="A104" s="52"/>
      <c r="B104" s="562" t="s">
        <v>113</v>
      </c>
      <c r="C104" s="563"/>
      <c r="D104" s="56" t="s">
        <v>199</v>
      </c>
      <c r="E104" s="54">
        <v>527059</v>
      </c>
      <c r="F104" s="54">
        <f t="shared" ref="F104:F106" si="268">E104+G104</f>
        <v>517857</v>
      </c>
      <c r="G104" s="54">
        <f t="shared" ref="G104:G106" si="269">SUM(H104:S104)</f>
        <v>-9202</v>
      </c>
      <c r="H104" s="54"/>
      <c r="I104" s="54"/>
      <c r="J104" s="54">
        <v>-9202</v>
      </c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>
        <f t="shared" ref="U104:U106" si="270">T104+V104</f>
        <v>0</v>
      </c>
      <c r="V104" s="54">
        <f t="shared" ref="V104:V106" si="271">SUM(W104:AG104)</f>
        <v>0</v>
      </c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>
        <f t="shared" ref="AH104:AH107" si="272">E104+T104</f>
        <v>527059</v>
      </c>
      <c r="AI104" s="54">
        <f t="shared" ref="AI104:AI106" si="273">U104+F104</f>
        <v>517857</v>
      </c>
      <c r="AK104" s="355"/>
      <c r="AL104" s="355"/>
      <c r="AM104" s="355"/>
    </row>
    <row r="105" spans="1:42" x14ac:dyDescent="0.2">
      <c r="A105" s="74"/>
      <c r="B105" s="555" t="s">
        <v>114</v>
      </c>
      <c r="C105" s="556"/>
      <c r="D105" s="56" t="s">
        <v>218</v>
      </c>
      <c r="E105" s="54">
        <v>19610</v>
      </c>
      <c r="F105" s="54">
        <f t="shared" si="268"/>
        <v>20110</v>
      </c>
      <c r="G105" s="54">
        <f t="shared" si="269"/>
        <v>500</v>
      </c>
      <c r="H105" s="54"/>
      <c r="I105" s="54"/>
      <c r="J105" s="54">
        <v>380</v>
      </c>
      <c r="K105" s="54">
        <v>120</v>
      </c>
      <c r="L105" s="54"/>
      <c r="M105" s="54"/>
      <c r="N105" s="54"/>
      <c r="O105" s="54"/>
      <c r="P105" s="54"/>
      <c r="Q105" s="54"/>
      <c r="R105" s="54"/>
      <c r="S105" s="54"/>
      <c r="T105" s="54"/>
      <c r="U105" s="54">
        <f t="shared" si="270"/>
        <v>0</v>
      </c>
      <c r="V105" s="54">
        <f t="shared" si="271"/>
        <v>0</v>
      </c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>
        <f t="shared" si="272"/>
        <v>19610</v>
      </c>
      <c r="AI105" s="54">
        <f t="shared" si="273"/>
        <v>20110</v>
      </c>
      <c r="AK105" s="355"/>
      <c r="AL105" s="355"/>
      <c r="AM105" s="355"/>
    </row>
    <row r="106" spans="1:42" x14ac:dyDescent="0.2">
      <c r="A106" s="55"/>
      <c r="B106" s="566" t="s">
        <v>115</v>
      </c>
      <c r="C106" s="567"/>
      <c r="D106" s="56" t="s">
        <v>200</v>
      </c>
      <c r="E106" s="54">
        <v>566005</v>
      </c>
      <c r="F106" s="128">
        <f t="shared" si="268"/>
        <v>559785</v>
      </c>
      <c r="G106" s="128">
        <f t="shared" si="269"/>
        <v>-6220</v>
      </c>
      <c r="H106" s="128"/>
      <c r="I106" s="128">
        <f>1+2348+100+150</f>
        <v>2599</v>
      </c>
      <c r="J106" s="128">
        <v>3350</v>
      </c>
      <c r="K106" s="128"/>
      <c r="L106" s="128">
        <f>4060+2-16231</f>
        <v>-12169</v>
      </c>
      <c r="M106" s="128"/>
      <c r="N106" s="128"/>
      <c r="O106" s="128"/>
      <c r="P106" s="128"/>
      <c r="Q106" s="128"/>
      <c r="R106" s="128"/>
      <c r="S106" s="128"/>
      <c r="T106" s="128"/>
      <c r="U106" s="128">
        <f t="shared" si="270"/>
        <v>-1</v>
      </c>
      <c r="V106" s="128">
        <f t="shared" si="271"/>
        <v>-1</v>
      </c>
      <c r="W106" s="128"/>
      <c r="X106" s="128">
        <f>-1</f>
        <v>-1</v>
      </c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>
        <f t="shared" si="272"/>
        <v>566005</v>
      </c>
      <c r="AI106" s="128">
        <f t="shared" si="273"/>
        <v>559784</v>
      </c>
      <c r="AK106" s="355"/>
      <c r="AL106" s="355"/>
      <c r="AM106" s="355"/>
    </row>
    <row r="107" spans="1:42" ht="36" x14ac:dyDescent="0.2">
      <c r="A107" s="60"/>
      <c r="B107" s="538" t="s">
        <v>273</v>
      </c>
      <c r="C107" s="553"/>
      <c r="D107" s="145" t="s">
        <v>380</v>
      </c>
      <c r="E107" s="62">
        <f t="shared" ref="E107:AG107" si="274">SUM(E108,E110)</f>
        <v>31818</v>
      </c>
      <c r="F107" s="66">
        <f t="shared" ref="F107:S107" si="275">SUM(F108,F110)</f>
        <v>43863</v>
      </c>
      <c r="G107" s="66">
        <f t="shared" si="275"/>
        <v>12045</v>
      </c>
      <c r="H107" s="66">
        <f t="shared" si="275"/>
        <v>-100</v>
      </c>
      <c r="I107" s="66">
        <f t="shared" si="275"/>
        <v>1759</v>
      </c>
      <c r="J107" s="66">
        <f t="shared" si="275"/>
        <v>4381</v>
      </c>
      <c r="K107" s="66">
        <f t="shared" si="275"/>
        <v>6005</v>
      </c>
      <c r="L107" s="66">
        <f t="shared" si="275"/>
        <v>0</v>
      </c>
      <c r="M107" s="66">
        <f t="shared" si="275"/>
        <v>0</v>
      </c>
      <c r="N107" s="66">
        <f t="shared" si="275"/>
        <v>0</v>
      </c>
      <c r="O107" s="66">
        <f t="shared" si="275"/>
        <v>0</v>
      </c>
      <c r="P107" s="66">
        <f t="shared" si="275"/>
        <v>0</v>
      </c>
      <c r="Q107" s="66">
        <f t="shared" si="275"/>
        <v>0</v>
      </c>
      <c r="R107" s="66">
        <f t="shared" si="275"/>
        <v>0</v>
      </c>
      <c r="S107" s="66">
        <f t="shared" si="275"/>
        <v>0</v>
      </c>
      <c r="T107" s="66">
        <f t="shared" si="274"/>
        <v>-4550</v>
      </c>
      <c r="U107" s="66">
        <f t="shared" si="274"/>
        <v>-6390</v>
      </c>
      <c r="V107" s="66">
        <f t="shared" si="274"/>
        <v>-1840</v>
      </c>
      <c r="W107" s="66">
        <f t="shared" si="274"/>
        <v>0</v>
      </c>
      <c r="X107" s="66">
        <f t="shared" si="274"/>
        <v>-1519</v>
      </c>
      <c r="Y107" s="66">
        <f t="shared" si="274"/>
        <v>0</v>
      </c>
      <c r="Z107" s="66">
        <f t="shared" si="274"/>
        <v>-321</v>
      </c>
      <c r="AA107" s="66">
        <f t="shared" si="274"/>
        <v>0</v>
      </c>
      <c r="AB107" s="66">
        <f t="shared" si="274"/>
        <v>0</v>
      </c>
      <c r="AC107" s="66">
        <f t="shared" si="274"/>
        <v>0</v>
      </c>
      <c r="AD107" s="66">
        <f t="shared" si="274"/>
        <v>0</v>
      </c>
      <c r="AE107" s="66">
        <f t="shared" si="274"/>
        <v>0</v>
      </c>
      <c r="AF107" s="66">
        <f t="shared" si="274"/>
        <v>0</v>
      </c>
      <c r="AG107" s="66">
        <f t="shared" si="274"/>
        <v>0</v>
      </c>
      <c r="AH107" s="66">
        <f t="shared" si="272"/>
        <v>27268</v>
      </c>
      <c r="AI107" s="66">
        <f t="shared" ref="AI107" si="276">SUM(AI108,AI110)</f>
        <v>37473</v>
      </c>
      <c r="AK107" s="355"/>
      <c r="AL107" s="355"/>
      <c r="AM107" s="355"/>
    </row>
    <row r="108" spans="1:42" s="174" customFormat="1" hidden="1" x14ac:dyDescent="0.2">
      <c r="A108" s="46"/>
      <c r="B108" s="542" t="s">
        <v>116</v>
      </c>
      <c r="C108" s="554"/>
      <c r="D108" s="61" t="s">
        <v>267</v>
      </c>
      <c r="E108" s="125">
        <f t="shared" ref="E108:AI108" si="277">SUM(E109:E109)</f>
        <v>0</v>
      </c>
      <c r="F108" s="125">
        <f t="shared" si="277"/>
        <v>0</v>
      </c>
      <c r="G108" s="125">
        <f t="shared" si="277"/>
        <v>0</v>
      </c>
      <c r="H108" s="125">
        <f t="shared" si="277"/>
        <v>0</v>
      </c>
      <c r="I108" s="125">
        <f t="shared" si="277"/>
        <v>0</v>
      </c>
      <c r="J108" s="125">
        <f t="shared" si="277"/>
        <v>0</v>
      </c>
      <c r="K108" s="125">
        <f t="shared" si="277"/>
        <v>0</v>
      </c>
      <c r="L108" s="125">
        <f t="shared" si="277"/>
        <v>0</v>
      </c>
      <c r="M108" s="125">
        <f t="shared" si="277"/>
        <v>0</v>
      </c>
      <c r="N108" s="125">
        <f t="shared" si="277"/>
        <v>0</v>
      </c>
      <c r="O108" s="125">
        <f t="shared" si="277"/>
        <v>0</v>
      </c>
      <c r="P108" s="125">
        <f t="shared" si="277"/>
        <v>0</v>
      </c>
      <c r="Q108" s="125">
        <f t="shared" si="277"/>
        <v>0</v>
      </c>
      <c r="R108" s="125">
        <f t="shared" si="277"/>
        <v>0</v>
      </c>
      <c r="S108" s="125">
        <f t="shared" si="277"/>
        <v>0</v>
      </c>
      <c r="T108" s="125">
        <f t="shared" si="277"/>
        <v>0</v>
      </c>
      <c r="U108" s="125">
        <f t="shared" si="277"/>
        <v>0</v>
      </c>
      <c r="V108" s="125">
        <f t="shared" si="277"/>
        <v>0</v>
      </c>
      <c r="W108" s="125">
        <f t="shared" si="277"/>
        <v>0</v>
      </c>
      <c r="X108" s="125">
        <f t="shared" si="277"/>
        <v>0</v>
      </c>
      <c r="Y108" s="125">
        <f t="shared" si="277"/>
        <v>0</v>
      </c>
      <c r="Z108" s="125">
        <f t="shared" si="277"/>
        <v>0</v>
      </c>
      <c r="AA108" s="125">
        <f t="shared" si="277"/>
        <v>0</v>
      </c>
      <c r="AB108" s="125">
        <f t="shared" si="277"/>
        <v>0</v>
      </c>
      <c r="AC108" s="125">
        <f t="shared" si="277"/>
        <v>0</v>
      </c>
      <c r="AD108" s="125">
        <f t="shared" si="277"/>
        <v>0</v>
      </c>
      <c r="AE108" s="125">
        <f t="shared" si="277"/>
        <v>0</v>
      </c>
      <c r="AF108" s="125">
        <f t="shared" si="277"/>
        <v>0</v>
      </c>
      <c r="AG108" s="125">
        <f t="shared" si="277"/>
        <v>0</v>
      </c>
      <c r="AH108" s="125">
        <f t="shared" si="277"/>
        <v>0</v>
      </c>
      <c r="AI108" s="125">
        <f t="shared" si="277"/>
        <v>0</v>
      </c>
      <c r="AK108" s="355"/>
      <c r="AL108" s="355"/>
      <c r="AM108" s="355"/>
    </row>
    <row r="109" spans="1:42" ht="24" hidden="1" x14ac:dyDescent="0.2">
      <c r="A109" s="55"/>
      <c r="B109" s="535" t="s">
        <v>227</v>
      </c>
      <c r="C109" s="569"/>
      <c r="D109" s="56" t="s">
        <v>228</v>
      </c>
      <c r="E109" s="57"/>
      <c r="F109" s="66">
        <f t="shared" ref="F109:F110" si="278">E109+G109</f>
        <v>0</v>
      </c>
      <c r="G109" s="66">
        <f t="shared" ref="G109:G110" si="279">SUM(H109:S109)</f>
        <v>0</v>
      </c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>
        <f t="shared" ref="U109:U110" si="280">T109+V109</f>
        <v>0</v>
      </c>
      <c r="V109" s="66">
        <f t="shared" ref="V109:V110" si="281">SUM(W109:AG109)</f>
        <v>0</v>
      </c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>
        <f t="shared" ref="AH109:AH110" si="282">E109+T109</f>
        <v>0</v>
      </c>
      <c r="AI109" s="66">
        <f t="shared" ref="AI109:AI110" si="283">U109+F109</f>
        <v>0</v>
      </c>
      <c r="AK109" s="355"/>
      <c r="AL109" s="355"/>
      <c r="AM109" s="355"/>
    </row>
    <row r="110" spans="1:42" s="174" customFormat="1" x14ac:dyDescent="0.2">
      <c r="A110" s="80"/>
      <c r="B110" s="551" t="s">
        <v>271</v>
      </c>
      <c r="C110" s="552"/>
      <c r="D110" s="61" t="s">
        <v>272</v>
      </c>
      <c r="E110" s="125">
        <f>21164+6104+4200+350</f>
        <v>31818</v>
      </c>
      <c r="F110" s="125">
        <f t="shared" si="278"/>
        <v>43863</v>
      </c>
      <c r="G110" s="125">
        <f t="shared" si="279"/>
        <v>12045</v>
      </c>
      <c r="H110" s="125">
        <v>-100</v>
      </c>
      <c r="I110" s="125">
        <f>40+29+1105+200+375+10</f>
        <v>1759</v>
      </c>
      <c r="J110" s="125">
        <f>1008+3373</f>
        <v>4381</v>
      </c>
      <c r="K110" s="125">
        <f>5594+30+60+321</f>
        <v>6005</v>
      </c>
      <c r="L110" s="125"/>
      <c r="M110" s="125"/>
      <c r="N110" s="125"/>
      <c r="O110" s="125"/>
      <c r="P110" s="125"/>
      <c r="Q110" s="125"/>
      <c r="R110" s="125"/>
      <c r="S110" s="125"/>
      <c r="T110" s="125">
        <f>-4200-350</f>
        <v>-4550</v>
      </c>
      <c r="U110" s="125">
        <f t="shared" si="280"/>
        <v>-6390</v>
      </c>
      <c r="V110" s="125">
        <f t="shared" si="281"/>
        <v>-1840</v>
      </c>
      <c r="W110" s="125"/>
      <c r="X110" s="125">
        <f>-29-1105-375-10</f>
        <v>-1519</v>
      </c>
      <c r="Y110" s="125"/>
      <c r="Z110" s="125">
        <v>-321</v>
      </c>
      <c r="AA110" s="125"/>
      <c r="AB110" s="125"/>
      <c r="AC110" s="125"/>
      <c r="AD110" s="125"/>
      <c r="AE110" s="125"/>
      <c r="AF110" s="125"/>
      <c r="AG110" s="125"/>
      <c r="AH110" s="125">
        <f t="shared" si="282"/>
        <v>27268</v>
      </c>
      <c r="AI110" s="125">
        <f t="shared" si="283"/>
        <v>37473</v>
      </c>
      <c r="AK110" s="355"/>
      <c r="AL110" s="355"/>
      <c r="AM110" s="355"/>
    </row>
    <row r="111" spans="1:42" x14ac:dyDescent="0.2">
      <c r="A111" s="49"/>
      <c r="B111" s="82"/>
      <c r="C111" s="83"/>
      <c r="D111" s="65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K111" s="355"/>
      <c r="AL111" s="355"/>
      <c r="AM111" s="355"/>
    </row>
    <row r="112" spans="1:42" s="180" customFormat="1" ht="26.25" customHeight="1" x14ac:dyDescent="0.2">
      <c r="A112" s="583" t="s">
        <v>132</v>
      </c>
      <c r="B112" s="584"/>
      <c r="C112" s="584"/>
      <c r="D112" s="585"/>
      <c r="E112" s="179">
        <f>SUM(E11,E16,E27,E33,E42,E53,E66,E76,E57,E78,E83,E89,)</f>
        <v>78964232</v>
      </c>
      <c r="F112" s="179">
        <f t="shared" ref="F112:AI112" si="284">SUM(F11,F16,F27,F33,F42,F53,F66,F76,F57,F78,F83,F89,)</f>
        <v>79414686</v>
      </c>
      <c r="G112" s="179">
        <f t="shared" si="284"/>
        <v>450454</v>
      </c>
      <c r="H112" s="179">
        <f t="shared" si="284"/>
        <v>77218</v>
      </c>
      <c r="I112" s="179">
        <f t="shared" si="284"/>
        <v>568622</v>
      </c>
      <c r="J112" s="179">
        <f t="shared" si="284"/>
        <v>-210175</v>
      </c>
      <c r="K112" s="179">
        <f t="shared" si="284"/>
        <v>17593</v>
      </c>
      <c r="L112" s="179">
        <f t="shared" si="284"/>
        <v>-2804</v>
      </c>
      <c r="M112" s="179">
        <f t="shared" si="284"/>
        <v>0</v>
      </c>
      <c r="N112" s="179">
        <f t="shared" si="284"/>
        <v>0</v>
      </c>
      <c r="O112" s="179">
        <f t="shared" si="284"/>
        <v>0</v>
      </c>
      <c r="P112" s="179">
        <f t="shared" si="284"/>
        <v>0</v>
      </c>
      <c r="Q112" s="179">
        <f t="shared" si="284"/>
        <v>0</v>
      </c>
      <c r="R112" s="179">
        <f t="shared" si="284"/>
        <v>0</v>
      </c>
      <c r="S112" s="179">
        <f t="shared" si="284"/>
        <v>0</v>
      </c>
      <c r="T112" s="179">
        <f t="shared" si="284"/>
        <v>-297778</v>
      </c>
      <c r="U112" s="179">
        <f t="shared" si="284"/>
        <v>-203642</v>
      </c>
      <c r="V112" s="179">
        <f t="shared" si="284"/>
        <v>94136</v>
      </c>
      <c r="W112" s="179">
        <f t="shared" si="284"/>
        <v>-8791</v>
      </c>
      <c r="X112" s="179">
        <f t="shared" si="284"/>
        <v>-13370</v>
      </c>
      <c r="Y112" s="179">
        <f t="shared" si="284"/>
        <v>116618</v>
      </c>
      <c r="Z112" s="179">
        <f t="shared" si="284"/>
        <v>-321</v>
      </c>
      <c r="AA112" s="179">
        <f t="shared" si="284"/>
        <v>0</v>
      </c>
      <c r="AB112" s="179">
        <f t="shared" si="284"/>
        <v>0</v>
      </c>
      <c r="AC112" s="179">
        <f t="shared" si="284"/>
        <v>0</v>
      </c>
      <c r="AD112" s="179">
        <f t="shared" si="284"/>
        <v>0</v>
      </c>
      <c r="AE112" s="179">
        <f t="shared" si="284"/>
        <v>0</v>
      </c>
      <c r="AF112" s="179">
        <f t="shared" si="284"/>
        <v>0</v>
      </c>
      <c r="AG112" s="179">
        <f t="shared" si="284"/>
        <v>0</v>
      </c>
      <c r="AH112" s="179">
        <f t="shared" si="284"/>
        <v>78666454</v>
      </c>
      <c r="AI112" s="179">
        <f t="shared" si="284"/>
        <v>79211044</v>
      </c>
      <c r="AK112" s="355"/>
      <c r="AL112" s="355"/>
      <c r="AM112" s="355"/>
      <c r="AN112" s="37"/>
      <c r="AO112" s="37"/>
      <c r="AP112" s="37"/>
    </row>
    <row r="113" spans="1:42" x14ac:dyDescent="0.2">
      <c r="A113" s="60"/>
      <c r="B113" s="84"/>
      <c r="C113" s="85"/>
      <c r="D113" s="56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62"/>
      <c r="AK113" s="355"/>
      <c r="AL113" s="355"/>
      <c r="AM113" s="355"/>
      <c r="AN113" s="174"/>
      <c r="AO113" s="174"/>
      <c r="AP113" s="174"/>
    </row>
    <row r="114" spans="1:42" s="174" customFormat="1" x14ac:dyDescent="0.2">
      <c r="A114" s="46"/>
      <c r="B114" s="586" t="s">
        <v>373</v>
      </c>
      <c r="C114" s="587"/>
      <c r="D114" s="47" t="s">
        <v>141</v>
      </c>
      <c r="E114" s="59">
        <f>SUM(,E115)</f>
        <v>13990592</v>
      </c>
      <c r="F114" s="59">
        <f t="shared" ref="F114:AI114" si="285">SUM(,F115)</f>
        <v>11482554</v>
      </c>
      <c r="G114" s="59">
        <f t="shared" si="285"/>
        <v>-2508038</v>
      </c>
      <c r="H114" s="59">
        <f t="shared" si="285"/>
        <v>0</v>
      </c>
      <c r="I114" s="59">
        <f t="shared" si="285"/>
        <v>0</v>
      </c>
      <c r="J114" s="59">
        <f t="shared" si="285"/>
        <v>-2492038</v>
      </c>
      <c r="K114" s="59">
        <f t="shared" si="285"/>
        <v>-16000</v>
      </c>
      <c r="L114" s="59">
        <f t="shared" si="285"/>
        <v>0</v>
      </c>
      <c r="M114" s="59">
        <f t="shared" si="285"/>
        <v>0</v>
      </c>
      <c r="N114" s="59">
        <f t="shared" si="285"/>
        <v>0</v>
      </c>
      <c r="O114" s="59">
        <f t="shared" si="285"/>
        <v>0</v>
      </c>
      <c r="P114" s="59">
        <f t="shared" si="285"/>
        <v>0</v>
      </c>
      <c r="Q114" s="59">
        <f t="shared" si="285"/>
        <v>0</v>
      </c>
      <c r="R114" s="59">
        <f t="shared" si="285"/>
        <v>0</v>
      </c>
      <c r="S114" s="59">
        <f t="shared" si="285"/>
        <v>0</v>
      </c>
      <c r="T114" s="59">
        <f t="shared" si="285"/>
        <v>0</v>
      </c>
      <c r="U114" s="59">
        <f t="shared" si="285"/>
        <v>0</v>
      </c>
      <c r="V114" s="59">
        <f t="shared" si="285"/>
        <v>0</v>
      </c>
      <c r="W114" s="59">
        <f t="shared" si="285"/>
        <v>0</v>
      </c>
      <c r="X114" s="59">
        <f t="shared" si="285"/>
        <v>0</v>
      </c>
      <c r="Y114" s="59">
        <f t="shared" si="285"/>
        <v>0</v>
      </c>
      <c r="Z114" s="59">
        <f t="shared" si="285"/>
        <v>0</v>
      </c>
      <c r="AA114" s="59">
        <f t="shared" si="285"/>
        <v>0</v>
      </c>
      <c r="AB114" s="59">
        <f t="shared" si="285"/>
        <v>0</v>
      </c>
      <c r="AC114" s="59">
        <f t="shared" si="285"/>
        <v>0</v>
      </c>
      <c r="AD114" s="59">
        <f t="shared" si="285"/>
        <v>0</v>
      </c>
      <c r="AE114" s="59">
        <f t="shared" si="285"/>
        <v>0</v>
      </c>
      <c r="AF114" s="59">
        <f t="shared" si="285"/>
        <v>0</v>
      </c>
      <c r="AG114" s="59">
        <f t="shared" si="285"/>
        <v>0</v>
      </c>
      <c r="AH114" s="59">
        <f t="shared" si="285"/>
        <v>13990592</v>
      </c>
      <c r="AI114" s="59">
        <f t="shared" si="285"/>
        <v>11482554</v>
      </c>
      <c r="AK114" s="355"/>
      <c r="AL114" s="355"/>
      <c r="AM114" s="355"/>
    </row>
    <row r="115" spans="1:42" s="174" customFormat="1" x14ac:dyDescent="0.2">
      <c r="A115" s="46"/>
      <c r="B115" s="171"/>
      <c r="C115" s="171"/>
      <c r="D115" s="114" t="s">
        <v>268</v>
      </c>
      <c r="E115" s="59">
        <f t="shared" ref="E115:F115" si="286">SUM(E122,E116)</f>
        <v>13990592</v>
      </c>
      <c r="F115" s="59">
        <f t="shared" si="286"/>
        <v>11482554</v>
      </c>
      <c r="G115" s="59">
        <f t="shared" ref="G115:S115" si="287">SUM(G122,G116)</f>
        <v>-2508038</v>
      </c>
      <c r="H115" s="59">
        <f t="shared" si="287"/>
        <v>0</v>
      </c>
      <c r="I115" s="59">
        <f t="shared" si="287"/>
        <v>0</v>
      </c>
      <c r="J115" s="59">
        <f t="shared" si="287"/>
        <v>-2492038</v>
      </c>
      <c r="K115" s="59">
        <f t="shared" si="287"/>
        <v>-16000</v>
      </c>
      <c r="L115" s="59">
        <f t="shared" si="287"/>
        <v>0</v>
      </c>
      <c r="M115" s="59">
        <f t="shared" si="287"/>
        <v>0</v>
      </c>
      <c r="N115" s="59">
        <f t="shared" si="287"/>
        <v>0</v>
      </c>
      <c r="O115" s="59">
        <f t="shared" si="287"/>
        <v>0</v>
      </c>
      <c r="P115" s="59">
        <f t="shared" si="287"/>
        <v>0</v>
      </c>
      <c r="Q115" s="59">
        <f t="shared" si="287"/>
        <v>0</v>
      </c>
      <c r="R115" s="59">
        <f t="shared" si="287"/>
        <v>0</v>
      </c>
      <c r="S115" s="59">
        <f t="shared" si="287"/>
        <v>0</v>
      </c>
      <c r="T115" s="59">
        <f t="shared" ref="T115:AG115" si="288">SUM(T122,T116)</f>
        <v>0</v>
      </c>
      <c r="U115" s="59">
        <f t="shared" si="288"/>
        <v>0</v>
      </c>
      <c r="V115" s="59">
        <f t="shared" si="288"/>
        <v>0</v>
      </c>
      <c r="W115" s="59">
        <f t="shared" si="288"/>
        <v>0</v>
      </c>
      <c r="X115" s="59">
        <f t="shared" si="288"/>
        <v>0</v>
      </c>
      <c r="Y115" s="59">
        <f t="shared" si="288"/>
        <v>0</v>
      </c>
      <c r="Z115" s="59">
        <f t="shared" si="288"/>
        <v>0</v>
      </c>
      <c r="AA115" s="59">
        <f t="shared" si="288"/>
        <v>0</v>
      </c>
      <c r="AB115" s="59">
        <f t="shared" si="288"/>
        <v>0</v>
      </c>
      <c r="AC115" s="59">
        <f t="shared" si="288"/>
        <v>0</v>
      </c>
      <c r="AD115" s="59">
        <f t="shared" si="288"/>
        <v>0</v>
      </c>
      <c r="AE115" s="59">
        <f t="shared" si="288"/>
        <v>0</v>
      </c>
      <c r="AF115" s="59">
        <f t="shared" si="288"/>
        <v>0</v>
      </c>
      <c r="AG115" s="59">
        <f t="shared" si="288"/>
        <v>0</v>
      </c>
      <c r="AH115" s="59">
        <f t="shared" ref="AH115:AI115" si="289">SUM(AH122,AH116)</f>
        <v>13990592</v>
      </c>
      <c r="AI115" s="59">
        <f t="shared" si="289"/>
        <v>11482554</v>
      </c>
      <c r="AK115" s="355"/>
      <c r="AL115" s="355"/>
      <c r="AM115" s="355"/>
    </row>
    <row r="116" spans="1:42" s="174" customFormat="1" x14ac:dyDescent="0.2">
      <c r="A116" s="80"/>
      <c r="B116" s="88"/>
      <c r="C116" s="171" t="s">
        <v>143</v>
      </c>
      <c r="D116" s="81" t="s">
        <v>279</v>
      </c>
      <c r="E116" s="59">
        <f t="shared" ref="E116" si="290">SUM(E117:E121)</f>
        <v>175000</v>
      </c>
      <c r="F116" s="59">
        <f t="shared" ref="F116:S116" si="291">SUM(F117:F121)</f>
        <v>175000</v>
      </c>
      <c r="G116" s="59">
        <f t="shared" si="291"/>
        <v>0</v>
      </c>
      <c r="H116" s="59">
        <f t="shared" si="291"/>
        <v>0</v>
      </c>
      <c r="I116" s="59">
        <f t="shared" si="291"/>
        <v>0</v>
      </c>
      <c r="J116" s="59">
        <f t="shared" si="291"/>
        <v>0</v>
      </c>
      <c r="K116" s="59">
        <f t="shared" si="291"/>
        <v>0</v>
      </c>
      <c r="L116" s="59">
        <f t="shared" si="291"/>
        <v>0</v>
      </c>
      <c r="M116" s="59">
        <f t="shared" si="291"/>
        <v>0</v>
      </c>
      <c r="N116" s="59">
        <f t="shared" si="291"/>
        <v>0</v>
      </c>
      <c r="O116" s="59">
        <f t="shared" si="291"/>
        <v>0</v>
      </c>
      <c r="P116" s="59">
        <f t="shared" si="291"/>
        <v>0</v>
      </c>
      <c r="Q116" s="59">
        <f t="shared" si="291"/>
        <v>0</v>
      </c>
      <c r="R116" s="59">
        <f t="shared" si="291"/>
        <v>0</v>
      </c>
      <c r="S116" s="59">
        <f t="shared" si="291"/>
        <v>0</v>
      </c>
      <c r="T116" s="59">
        <f t="shared" ref="T116:AG116" si="292">SUM(T117:T121)</f>
        <v>0</v>
      </c>
      <c r="U116" s="59">
        <f t="shared" si="292"/>
        <v>0</v>
      </c>
      <c r="V116" s="59">
        <f t="shared" si="292"/>
        <v>0</v>
      </c>
      <c r="W116" s="59">
        <f t="shared" si="292"/>
        <v>0</v>
      </c>
      <c r="X116" s="59">
        <f t="shared" si="292"/>
        <v>0</v>
      </c>
      <c r="Y116" s="59">
        <f t="shared" si="292"/>
        <v>0</v>
      </c>
      <c r="Z116" s="59">
        <f t="shared" si="292"/>
        <v>0</v>
      </c>
      <c r="AA116" s="59">
        <f t="shared" si="292"/>
        <v>0</v>
      </c>
      <c r="AB116" s="59">
        <f t="shared" si="292"/>
        <v>0</v>
      </c>
      <c r="AC116" s="59">
        <f t="shared" si="292"/>
        <v>0</v>
      </c>
      <c r="AD116" s="59">
        <f t="shared" si="292"/>
        <v>0</v>
      </c>
      <c r="AE116" s="59">
        <f t="shared" si="292"/>
        <v>0</v>
      </c>
      <c r="AF116" s="59">
        <f t="shared" si="292"/>
        <v>0</v>
      </c>
      <c r="AG116" s="59">
        <f t="shared" si="292"/>
        <v>0</v>
      </c>
      <c r="AH116" s="59">
        <f t="shared" ref="AH116:AI116" si="293">SUM(AH117:AH121)</f>
        <v>175000</v>
      </c>
      <c r="AI116" s="59">
        <f t="shared" si="293"/>
        <v>175000</v>
      </c>
      <c r="AK116" s="355"/>
      <c r="AL116" s="355"/>
      <c r="AM116" s="355"/>
      <c r="AN116" s="37"/>
      <c r="AO116" s="37"/>
      <c r="AP116" s="37"/>
    </row>
    <row r="117" spans="1:42" x14ac:dyDescent="0.2">
      <c r="A117" s="74"/>
      <c r="B117" s="555"/>
      <c r="C117" s="556"/>
      <c r="D117" s="56"/>
      <c r="E117" s="76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K117" s="355"/>
      <c r="AL117" s="355"/>
      <c r="AM117" s="355"/>
    </row>
    <row r="118" spans="1:42" x14ac:dyDescent="0.2">
      <c r="A118" s="74"/>
      <c r="B118" s="169"/>
      <c r="C118" s="170"/>
      <c r="D118" s="75" t="s">
        <v>683</v>
      </c>
      <c r="E118" s="76">
        <v>175000</v>
      </c>
      <c r="F118" s="54">
        <f t="shared" ref="F118:F120" si="294">E118+G118</f>
        <v>175000</v>
      </c>
      <c r="G118" s="54">
        <f t="shared" ref="G118:G120" si="295">SUM(H118:S118)</f>
        <v>0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>
        <f t="shared" ref="U118:U120" si="296">T118+V118</f>
        <v>0</v>
      </c>
      <c r="V118" s="54">
        <f t="shared" ref="V118:V120" si="297">SUM(W118:AG118)</f>
        <v>0</v>
      </c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>
        <f t="shared" ref="AH118:AH121" si="298">E118+T118</f>
        <v>175000</v>
      </c>
      <c r="AI118" s="54">
        <f t="shared" ref="AI118:AI121" si="299">U118+F118</f>
        <v>175000</v>
      </c>
      <c r="AK118" s="355"/>
      <c r="AL118" s="355"/>
      <c r="AM118" s="355"/>
    </row>
    <row r="119" spans="1:42" ht="36" hidden="1" x14ac:dyDescent="0.2">
      <c r="A119" s="74"/>
      <c r="B119" s="555"/>
      <c r="C119" s="556"/>
      <c r="D119" s="56" t="s">
        <v>372</v>
      </c>
      <c r="E119" s="76">
        <v>0</v>
      </c>
      <c r="F119" s="54">
        <f t="shared" si="294"/>
        <v>0</v>
      </c>
      <c r="G119" s="54">
        <f t="shared" si="295"/>
        <v>0</v>
      </c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>
        <f t="shared" si="296"/>
        <v>0</v>
      </c>
      <c r="V119" s="54">
        <f t="shared" si="297"/>
        <v>0</v>
      </c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>
        <f t="shared" si="298"/>
        <v>0</v>
      </c>
      <c r="AI119" s="54">
        <f t="shared" si="299"/>
        <v>0</v>
      </c>
      <c r="AK119" s="355"/>
      <c r="AL119" s="355"/>
      <c r="AM119" s="355"/>
    </row>
    <row r="120" spans="1:42" ht="24" hidden="1" x14ac:dyDescent="0.2">
      <c r="A120" s="55"/>
      <c r="B120" s="535"/>
      <c r="C120" s="569"/>
      <c r="D120" s="75" t="s">
        <v>302</v>
      </c>
      <c r="E120" s="76"/>
      <c r="F120" s="66">
        <f t="shared" si="294"/>
        <v>0</v>
      </c>
      <c r="G120" s="66">
        <f t="shared" si="295"/>
        <v>0</v>
      </c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>
        <f t="shared" si="296"/>
        <v>0</v>
      </c>
      <c r="V120" s="66">
        <f t="shared" si="297"/>
        <v>0</v>
      </c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>
        <f t="shared" si="298"/>
        <v>0</v>
      </c>
      <c r="AI120" s="66">
        <f t="shared" si="299"/>
        <v>0</v>
      </c>
      <c r="AK120" s="355"/>
      <c r="AL120" s="355"/>
      <c r="AM120" s="355"/>
    </row>
    <row r="121" spans="1:42" x14ac:dyDescent="0.2">
      <c r="A121" s="141"/>
      <c r="B121" s="142"/>
      <c r="C121" s="143"/>
      <c r="D121" s="144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>
        <f t="shared" si="298"/>
        <v>0</v>
      </c>
      <c r="AI121" s="51">
        <f t="shared" si="299"/>
        <v>0</v>
      </c>
      <c r="AK121" s="355"/>
      <c r="AL121" s="355"/>
      <c r="AM121" s="355"/>
      <c r="AN121" s="174"/>
      <c r="AO121" s="174"/>
      <c r="AP121" s="174"/>
    </row>
    <row r="122" spans="1:42" s="174" customFormat="1" x14ac:dyDescent="0.2">
      <c r="A122" s="80"/>
      <c r="B122" s="88"/>
      <c r="C122" s="171" t="s">
        <v>370</v>
      </c>
      <c r="D122" s="81" t="s">
        <v>280</v>
      </c>
      <c r="E122" s="59">
        <f t="shared" ref="E122:AI122" si="300">SUM(E123:E139)</f>
        <v>13815592</v>
      </c>
      <c r="F122" s="59">
        <f t="shared" si="300"/>
        <v>11307554</v>
      </c>
      <c r="G122" s="59">
        <f t="shared" si="300"/>
        <v>-2508038</v>
      </c>
      <c r="H122" s="59">
        <f t="shared" si="300"/>
        <v>0</v>
      </c>
      <c r="I122" s="59">
        <f t="shared" si="300"/>
        <v>0</v>
      </c>
      <c r="J122" s="59">
        <f t="shared" si="300"/>
        <v>-2492038</v>
      </c>
      <c r="K122" s="59">
        <f t="shared" si="300"/>
        <v>-16000</v>
      </c>
      <c r="L122" s="59">
        <f t="shared" si="300"/>
        <v>0</v>
      </c>
      <c r="M122" s="59">
        <f t="shared" si="300"/>
        <v>0</v>
      </c>
      <c r="N122" s="59">
        <f t="shared" si="300"/>
        <v>0</v>
      </c>
      <c r="O122" s="59">
        <f t="shared" si="300"/>
        <v>0</v>
      </c>
      <c r="P122" s="59">
        <f t="shared" si="300"/>
        <v>0</v>
      </c>
      <c r="Q122" s="59">
        <f t="shared" si="300"/>
        <v>0</v>
      </c>
      <c r="R122" s="59">
        <f t="shared" si="300"/>
        <v>0</v>
      </c>
      <c r="S122" s="59">
        <f t="shared" si="300"/>
        <v>0</v>
      </c>
      <c r="T122" s="59">
        <f t="shared" si="300"/>
        <v>0</v>
      </c>
      <c r="U122" s="59">
        <f t="shared" si="300"/>
        <v>0</v>
      </c>
      <c r="V122" s="59">
        <f t="shared" si="300"/>
        <v>0</v>
      </c>
      <c r="W122" s="59">
        <f t="shared" si="300"/>
        <v>0</v>
      </c>
      <c r="X122" s="59">
        <f t="shared" si="300"/>
        <v>0</v>
      </c>
      <c r="Y122" s="59">
        <f t="shared" si="300"/>
        <v>0</v>
      </c>
      <c r="Z122" s="59">
        <f t="shared" si="300"/>
        <v>0</v>
      </c>
      <c r="AA122" s="59">
        <f t="shared" si="300"/>
        <v>0</v>
      </c>
      <c r="AB122" s="59">
        <f t="shared" si="300"/>
        <v>0</v>
      </c>
      <c r="AC122" s="59">
        <f t="shared" si="300"/>
        <v>0</v>
      </c>
      <c r="AD122" s="59">
        <f t="shared" si="300"/>
        <v>0</v>
      </c>
      <c r="AE122" s="59">
        <f t="shared" si="300"/>
        <v>0</v>
      </c>
      <c r="AF122" s="59">
        <f t="shared" si="300"/>
        <v>0</v>
      </c>
      <c r="AG122" s="59">
        <f t="shared" si="300"/>
        <v>0</v>
      </c>
      <c r="AH122" s="59">
        <f t="shared" si="300"/>
        <v>13815592</v>
      </c>
      <c r="AI122" s="59">
        <f t="shared" si="300"/>
        <v>11307554</v>
      </c>
      <c r="AK122" s="355"/>
      <c r="AL122" s="355"/>
      <c r="AM122" s="355"/>
      <c r="AN122" s="37"/>
      <c r="AO122" s="37"/>
      <c r="AP122" s="37"/>
    </row>
    <row r="123" spans="1:42" ht="36" hidden="1" x14ac:dyDescent="0.2">
      <c r="A123" s="74"/>
      <c r="B123" s="555"/>
      <c r="C123" s="556"/>
      <c r="D123" s="56" t="s">
        <v>270</v>
      </c>
      <c r="E123" s="76">
        <v>0</v>
      </c>
      <c r="F123" s="76">
        <f t="shared" ref="F123:F138" si="301">E123+G123</f>
        <v>0</v>
      </c>
      <c r="G123" s="76">
        <f t="shared" ref="G123:G138" si="302">SUM(H123:S123)</f>
        <v>0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>
        <f t="shared" ref="U123:U138" si="303">T123+V123</f>
        <v>0</v>
      </c>
      <c r="V123" s="76">
        <f t="shared" ref="V123:V138" si="304">SUM(W123:AG123)</f>
        <v>0</v>
      </c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>
        <f t="shared" ref="AH123:AH138" si="305">E123+T123</f>
        <v>0</v>
      </c>
      <c r="AI123" s="76">
        <f t="shared" ref="AI123:AI138" si="306">U123+F123</f>
        <v>0</v>
      </c>
      <c r="AK123" s="355"/>
      <c r="AL123" s="355"/>
      <c r="AM123" s="355"/>
    </row>
    <row r="124" spans="1:42" ht="24" x14ac:dyDescent="0.2">
      <c r="A124" s="74"/>
      <c r="B124" s="293"/>
      <c r="C124" s="294"/>
      <c r="D124" s="56" t="s">
        <v>684</v>
      </c>
      <c r="E124" s="76">
        <v>316700</v>
      </c>
      <c r="F124" s="76">
        <f t="shared" si="301"/>
        <v>316700</v>
      </c>
      <c r="G124" s="76">
        <f t="shared" si="302"/>
        <v>0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>
        <f t="shared" si="303"/>
        <v>0</v>
      </c>
      <c r="V124" s="76">
        <f t="shared" si="304"/>
        <v>0</v>
      </c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>
        <f t="shared" si="305"/>
        <v>316700</v>
      </c>
      <c r="AI124" s="76">
        <f t="shared" si="306"/>
        <v>316700</v>
      </c>
      <c r="AK124" s="355"/>
      <c r="AL124" s="355"/>
      <c r="AM124" s="355"/>
    </row>
    <row r="125" spans="1:42" hidden="1" x14ac:dyDescent="0.2">
      <c r="A125" s="74"/>
      <c r="B125" s="211"/>
      <c r="C125" s="212"/>
      <c r="D125" s="56" t="s">
        <v>301</v>
      </c>
      <c r="E125" s="76">
        <v>0</v>
      </c>
      <c r="F125" s="76">
        <f t="shared" si="301"/>
        <v>0</v>
      </c>
      <c r="G125" s="76">
        <f t="shared" si="302"/>
        <v>0</v>
      </c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>
        <f t="shared" si="303"/>
        <v>0</v>
      </c>
      <c r="V125" s="76">
        <f t="shared" si="304"/>
        <v>0</v>
      </c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>
        <f t="shared" si="305"/>
        <v>0</v>
      </c>
      <c r="AI125" s="76">
        <f t="shared" si="306"/>
        <v>0</v>
      </c>
      <c r="AK125" s="355"/>
      <c r="AL125" s="355"/>
      <c r="AM125" s="355"/>
    </row>
    <row r="126" spans="1:42" ht="48" hidden="1" x14ac:dyDescent="0.2">
      <c r="A126" s="74"/>
      <c r="B126" s="211"/>
      <c r="C126" s="212"/>
      <c r="D126" s="56" t="s">
        <v>615</v>
      </c>
      <c r="E126" s="76">
        <v>0</v>
      </c>
      <c r="F126" s="76">
        <f t="shared" si="301"/>
        <v>0</v>
      </c>
      <c r="G126" s="76">
        <f t="shared" si="302"/>
        <v>0</v>
      </c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>
        <f t="shared" si="303"/>
        <v>0</v>
      </c>
      <c r="V126" s="76">
        <f t="shared" si="304"/>
        <v>0</v>
      </c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>
        <f t="shared" si="305"/>
        <v>0</v>
      </c>
      <c r="AI126" s="76">
        <f t="shared" si="306"/>
        <v>0</v>
      </c>
      <c r="AK126" s="355"/>
      <c r="AL126" s="355"/>
      <c r="AM126" s="355"/>
    </row>
    <row r="127" spans="1:42" ht="36" hidden="1" x14ac:dyDescent="0.2">
      <c r="A127" s="74"/>
      <c r="B127" s="211"/>
      <c r="C127" s="212"/>
      <c r="D127" s="56" t="s">
        <v>365</v>
      </c>
      <c r="E127" s="288"/>
      <c r="F127" s="76">
        <f t="shared" si="301"/>
        <v>0</v>
      </c>
      <c r="G127" s="76">
        <f t="shared" si="302"/>
        <v>0</v>
      </c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>
        <f t="shared" si="303"/>
        <v>0</v>
      </c>
      <c r="V127" s="76">
        <f t="shared" si="304"/>
        <v>0</v>
      </c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>
        <f t="shared" si="305"/>
        <v>0</v>
      </c>
      <c r="AI127" s="76">
        <f t="shared" si="306"/>
        <v>0</v>
      </c>
      <c r="AJ127" s="260"/>
      <c r="AK127" s="355"/>
      <c r="AL127" s="355"/>
      <c r="AM127" s="355"/>
    </row>
    <row r="128" spans="1:42" ht="36" x14ac:dyDescent="0.2">
      <c r="A128" s="74"/>
      <c r="B128" s="293"/>
      <c r="C128" s="294"/>
      <c r="D128" s="56" t="s">
        <v>685</v>
      </c>
      <c r="E128" s="76">
        <v>8500366</v>
      </c>
      <c r="F128" s="76">
        <f t="shared" si="301"/>
        <v>6008328</v>
      </c>
      <c r="G128" s="76">
        <f t="shared" si="302"/>
        <v>-2492038</v>
      </c>
      <c r="H128" s="76"/>
      <c r="I128" s="76"/>
      <c r="J128" s="76">
        <v>-2492038</v>
      </c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>
        <f t="shared" si="303"/>
        <v>0</v>
      </c>
      <c r="V128" s="76">
        <f t="shared" si="304"/>
        <v>0</v>
      </c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>
        <f t="shared" si="305"/>
        <v>8500366</v>
      </c>
      <c r="AI128" s="76">
        <f t="shared" si="306"/>
        <v>6008328</v>
      </c>
      <c r="AJ128" s="260"/>
      <c r="AK128" s="355"/>
      <c r="AL128" s="355"/>
      <c r="AM128" s="355"/>
    </row>
    <row r="129" spans="1:42" ht="24" hidden="1" x14ac:dyDescent="0.2">
      <c r="A129" s="74"/>
      <c r="B129" s="555"/>
      <c r="C129" s="556"/>
      <c r="D129" s="56" t="s">
        <v>269</v>
      </c>
      <c r="E129" s="76">
        <v>0</v>
      </c>
      <c r="F129" s="76">
        <f t="shared" si="301"/>
        <v>0</v>
      </c>
      <c r="G129" s="76">
        <f t="shared" si="302"/>
        <v>0</v>
      </c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>
        <f t="shared" si="303"/>
        <v>0</v>
      </c>
      <c r="V129" s="76">
        <f t="shared" si="304"/>
        <v>0</v>
      </c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>
        <f t="shared" si="305"/>
        <v>0</v>
      </c>
      <c r="AI129" s="76">
        <f t="shared" si="306"/>
        <v>0</v>
      </c>
      <c r="AK129" s="355"/>
      <c r="AL129" s="355"/>
      <c r="AM129" s="355"/>
    </row>
    <row r="130" spans="1:42" ht="13.5" hidden="1" customHeight="1" x14ac:dyDescent="0.2">
      <c r="A130" s="74"/>
      <c r="B130" s="555"/>
      <c r="C130" s="556"/>
      <c r="D130" s="56" t="s">
        <v>282</v>
      </c>
      <c r="E130" s="76">
        <v>0</v>
      </c>
      <c r="F130" s="76">
        <f t="shared" si="301"/>
        <v>0</v>
      </c>
      <c r="G130" s="76">
        <f t="shared" si="302"/>
        <v>0</v>
      </c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>
        <f t="shared" si="303"/>
        <v>0</v>
      </c>
      <c r="V130" s="76">
        <f t="shared" si="304"/>
        <v>0</v>
      </c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>
        <f t="shared" si="305"/>
        <v>0</v>
      </c>
      <c r="AI130" s="76">
        <f t="shared" si="306"/>
        <v>0</v>
      </c>
      <c r="AK130" s="355"/>
      <c r="AL130" s="355"/>
      <c r="AM130" s="355"/>
    </row>
    <row r="131" spans="1:42" ht="24" hidden="1" x14ac:dyDescent="0.2">
      <c r="A131" s="74"/>
      <c r="B131" s="555"/>
      <c r="C131" s="556"/>
      <c r="D131" s="56" t="s">
        <v>281</v>
      </c>
      <c r="E131" s="76">
        <v>0</v>
      </c>
      <c r="F131" s="76">
        <f t="shared" si="301"/>
        <v>0</v>
      </c>
      <c r="G131" s="76">
        <f t="shared" si="302"/>
        <v>0</v>
      </c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>
        <f t="shared" si="303"/>
        <v>0</v>
      </c>
      <c r="V131" s="76">
        <f t="shared" si="304"/>
        <v>0</v>
      </c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>
        <f t="shared" si="305"/>
        <v>0</v>
      </c>
      <c r="AI131" s="76">
        <f t="shared" si="306"/>
        <v>0</v>
      </c>
      <c r="AK131" s="355"/>
      <c r="AL131" s="355"/>
      <c r="AM131" s="355"/>
    </row>
    <row r="132" spans="1:42" ht="36" hidden="1" x14ac:dyDescent="0.2">
      <c r="A132" s="74"/>
      <c r="B132" s="169"/>
      <c r="C132" s="170"/>
      <c r="D132" s="56" t="s">
        <v>303</v>
      </c>
      <c r="E132" s="76">
        <v>0</v>
      </c>
      <c r="F132" s="54">
        <f t="shared" si="301"/>
        <v>0</v>
      </c>
      <c r="G132" s="54">
        <f t="shared" si="302"/>
        <v>0</v>
      </c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>
        <f t="shared" si="303"/>
        <v>0</v>
      </c>
      <c r="V132" s="54">
        <f t="shared" si="304"/>
        <v>0</v>
      </c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76">
        <f t="shared" si="305"/>
        <v>0</v>
      </c>
      <c r="AI132" s="76">
        <f t="shared" si="306"/>
        <v>0</v>
      </c>
      <c r="AK132" s="355"/>
      <c r="AL132" s="355"/>
      <c r="AM132" s="355"/>
    </row>
    <row r="133" spans="1:42" ht="36" hidden="1" x14ac:dyDescent="0.2">
      <c r="A133" s="74"/>
      <c r="B133" s="555"/>
      <c r="C133" s="556"/>
      <c r="D133" s="56" t="s">
        <v>283</v>
      </c>
      <c r="E133" s="76">
        <v>0</v>
      </c>
      <c r="F133" s="76">
        <f t="shared" si="301"/>
        <v>0</v>
      </c>
      <c r="G133" s="76">
        <f t="shared" si="302"/>
        <v>0</v>
      </c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>
        <f t="shared" si="303"/>
        <v>0</v>
      </c>
      <c r="V133" s="76">
        <f t="shared" si="304"/>
        <v>0</v>
      </c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>
        <f t="shared" si="305"/>
        <v>0</v>
      </c>
      <c r="AI133" s="76">
        <f t="shared" si="306"/>
        <v>0</v>
      </c>
      <c r="AK133" s="355"/>
      <c r="AL133" s="355"/>
      <c r="AM133" s="355"/>
    </row>
    <row r="134" spans="1:42" hidden="1" x14ac:dyDescent="0.2">
      <c r="A134" s="74"/>
      <c r="B134" s="169"/>
      <c r="C134" s="170"/>
      <c r="D134" s="56" t="s">
        <v>582</v>
      </c>
      <c r="E134" s="76"/>
      <c r="F134" s="76">
        <f t="shared" si="301"/>
        <v>0</v>
      </c>
      <c r="G134" s="76">
        <f t="shared" si="302"/>
        <v>0</v>
      </c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>
        <f t="shared" si="303"/>
        <v>0</v>
      </c>
      <c r="V134" s="76">
        <f t="shared" si="304"/>
        <v>0</v>
      </c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>
        <f t="shared" si="305"/>
        <v>0</v>
      </c>
      <c r="AI134" s="76">
        <f t="shared" si="306"/>
        <v>0</v>
      </c>
      <c r="AK134" s="355"/>
      <c r="AL134" s="355"/>
      <c r="AM134" s="355"/>
    </row>
    <row r="135" spans="1:42" ht="15.75" hidden="1" customHeight="1" x14ac:dyDescent="0.2">
      <c r="A135" s="74"/>
      <c r="B135" s="169"/>
      <c r="C135" s="170"/>
      <c r="D135" s="56" t="s">
        <v>316</v>
      </c>
      <c r="E135" s="76">
        <v>0</v>
      </c>
      <c r="F135" s="76">
        <f t="shared" si="301"/>
        <v>0</v>
      </c>
      <c r="G135" s="76">
        <f t="shared" si="302"/>
        <v>0</v>
      </c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>
        <f t="shared" si="303"/>
        <v>0</v>
      </c>
      <c r="V135" s="76">
        <f t="shared" si="304"/>
        <v>0</v>
      </c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>
        <f t="shared" si="305"/>
        <v>0</v>
      </c>
      <c r="AI135" s="76">
        <f t="shared" si="306"/>
        <v>0</v>
      </c>
      <c r="AK135" s="355"/>
      <c r="AL135" s="355"/>
      <c r="AM135" s="355"/>
    </row>
    <row r="136" spans="1:42" hidden="1" x14ac:dyDescent="0.2">
      <c r="A136" s="74"/>
      <c r="B136" s="555"/>
      <c r="C136" s="556"/>
      <c r="D136" s="56" t="s">
        <v>315</v>
      </c>
      <c r="E136" s="76"/>
      <c r="F136" s="76">
        <f t="shared" si="301"/>
        <v>0</v>
      </c>
      <c r="G136" s="76">
        <f t="shared" si="302"/>
        <v>0</v>
      </c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>
        <f t="shared" si="303"/>
        <v>0</v>
      </c>
      <c r="V136" s="76">
        <f t="shared" si="304"/>
        <v>0</v>
      </c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>
        <f t="shared" si="305"/>
        <v>0</v>
      </c>
      <c r="AI136" s="76">
        <f t="shared" si="306"/>
        <v>0</v>
      </c>
      <c r="AK136" s="355"/>
      <c r="AL136" s="355"/>
      <c r="AM136" s="355"/>
    </row>
    <row r="137" spans="1:42" x14ac:dyDescent="0.2">
      <c r="A137" s="74"/>
      <c r="B137" s="276"/>
      <c r="C137" s="277"/>
      <c r="D137" s="278" t="s">
        <v>633</v>
      </c>
      <c r="E137" s="76">
        <v>750000</v>
      </c>
      <c r="F137" s="76">
        <f t="shared" si="301"/>
        <v>734000</v>
      </c>
      <c r="G137" s="76">
        <f t="shared" si="302"/>
        <v>-16000</v>
      </c>
      <c r="H137" s="76"/>
      <c r="I137" s="76"/>
      <c r="J137" s="76"/>
      <c r="K137" s="76">
        <v>-16000</v>
      </c>
      <c r="L137" s="76"/>
      <c r="M137" s="76"/>
      <c r="N137" s="76"/>
      <c r="O137" s="76"/>
      <c r="P137" s="76"/>
      <c r="Q137" s="76"/>
      <c r="R137" s="76"/>
      <c r="S137" s="76"/>
      <c r="T137" s="76"/>
      <c r="U137" s="76">
        <f t="shared" si="303"/>
        <v>0</v>
      </c>
      <c r="V137" s="76">
        <f t="shared" si="304"/>
        <v>0</v>
      </c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>
        <f t="shared" si="305"/>
        <v>750000</v>
      </c>
      <c r="AI137" s="76">
        <f t="shared" si="306"/>
        <v>734000</v>
      </c>
      <c r="AK137" s="355"/>
      <c r="AL137" s="355"/>
      <c r="AM137" s="355"/>
    </row>
    <row r="138" spans="1:42" ht="24" x14ac:dyDescent="0.2">
      <c r="A138" s="74"/>
      <c r="B138" s="276"/>
      <c r="C138" s="277"/>
      <c r="D138" s="278" t="s">
        <v>634</v>
      </c>
      <c r="E138" s="76">
        <v>4248526</v>
      </c>
      <c r="F138" s="76">
        <f t="shared" si="301"/>
        <v>4248526</v>
      </c>
      <c r="G138" s="76">
        <f t="shared" si="302"/>
        <v>0</v>
      </c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>
        <f t="shared" si="303"/>
        <v>0</v>
      </c>
      <c r="V138" s="76">
        <f t="shared" si="304"/>
        <v>0</v>
      </c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>
        <f t="shared" si="305"/>
        <v>4248526</v>
      </c>
      <c r="AI138" s="76">
        <f t="shared" si="306"/>
        <v>4248526</v>
      </c>
      <c r="AK138" s="355"/>
      <c r="AL138" s="355"/>
      <c r="AM138" s="355"/>
    </row>
    <row r="139" spans="1:42" x14ac:dyDescent="0.2">
      <c r="A139" s="74"/>
      <c r="B139" s="555"/>
      <c r="C139" s="556"/>
      <c r="D139" s="56"/>
      <c r="E139" s="7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K139" s="355"/>
      <c r="AL139" s="355"/>
      <c r="AM139" s="355"/>
      <c r="AN139" s="174"/>
      <c r="AO139" s="174"/>
      <c r="AP139" s="174"/>
    </row>
    <row r="140" spans="1:42" s="174" customFormat="1" x14ac:dyDescent="0.2">
      <c r="A140" s="80"/>
      <c r="B140" s="88"/>
      <c r="C140" s="89"/>
      <c r="D140" s="47" t="s">
        <v>201</v>
      </c>
      <c r="E140" s="59">
        <f>SUM(E141:E163)</f>
        <v>7621073</v>
      </c>
      <c r="F140" s="59">
        <f t="shared" ref="F140:AI140" si="307">SUM(F141:F163)</f>
        <v>10080293</v>
      </c>
      <c r="G140" s="59">
        <f t="shared" si="307"/>
        <v>2459220</v>
      </c>
      <c r="H140" s="59">
        <f t="shared" si="307"/>
        <v>2459220</v>
      </c>
      <c r="I140" s="59">
        <f t="shared" si="307"/>
        <v>0</v>
      </c>
      <c r="J140" s="59">
        <f t="shared" si="307"/>
        <v>0</v>
      </c>
      <c r="K140" s="59">
        <f t="shared" si="307"/>
        <v>0</v>
      </c>
      <c r="L140" s="59">
        <f t="shared" si="307"/>
        <v>0</v>
      </c>
      <c r="M140" s="59">
        <f t="shared" si="307"/>
        <v>0</v>
      </c>
      <c r="N140" s="59">
        <f t="shared" si="307"/>
        <v>0</v>
      </c>
      <c r="O140" s="59">
        <f t="shared" si="307"/>
        <v>0</v>
      </c>
      <c r="P140" s="59">
        <f t="shared" si="307"/>
        <v>0</v>
      </c>
      <c r="Q140" s="59">
        <f t="shared" si="307"/>
        <v>0</v>
      </c>
      <c r="R140" s="59">
        <f t="shared" si="307"/>
        <v>0</v>
      </c>
      <c r="S140" s="59">
        <f t="shared" si="307"/>
        <v>0</v>
      </c>
      <c r="T140" s="59">
        <f t="shared" si="307"/>
        <v>0</v>
      </c>
      <c r="U140" s="59">
        <f t="shared" si="307"/>
        <v>-2</v>
      </c>
      <c r="V140" s="59">
        <f t="shared" si="307"/>
        <v>-2</v>
      </c>
      <c r="W140" s="59">
        <f t="shared" si="307"/>
        <v>-2</v>
      </c>
      <c r="X140" s="59">
        <f t="shared" si="307"/>
        <v>0</v>
      </c>
      <c r="Y140" s="59">
        <f t="shared" si="307"/>
        <v>0</v>
      </c>
      <c r="Z140" s="59">
        <f t="shared" si="307"/>
        <v>0</v>
      </c>
      <c r="AA140" s="59">
        <f t="shared" si="307"/>
        <v>0</v>
      </c>
      <c r="AB140" s="59">
        <f t="shared" si="307"/>
        <v>0</v>
      </c>
      <c r="AC140" s="59">
        <f t="shared" si="307"/>
        <v>0</v>
      </c>
      <c r="AD140" s="59">
        <f t="shared" si="307"/>
        <v>0</v>
      </c>
      <c r="AE140" s="59">
        <f t="shared" si="307"/>
        <v>0</v>
      </c>
      <c r="AF140" s="59">
        <f t="shared" si="307"/>
        <v>0</v>
      </c>
      <c r="AG140" s="59">
        <f t="shared" si="307"/>
        <v>0</v>
      </c>
      <c r="AH140" s="59">
        <f t="shared" si="307"/>
        <v>7621073</v>
      </c>
      <c r="AI140" s="59">
        <f t="shared" si="307"/>
        <v>10080291</v>
      </c>
      <c r="AK140" s="355"/>
      <c r="AL140" s="355"/>
      <c r="AM140" s="355"/>
      <c r="AN140" s="37"/>
      <c r="AO140" s="37"/>
      <c r="AP140" s="37"/>
    </row>
    <row r="141" spans="1:42" hidden="1" outlineLevel="1" x14ac:dyDescent="0.2">
      <c r="A141" s="319"/>
      <c r="B141" s="320"/>
      <c r="C141" s="321"/>
      <c r="D141" s="322" t="s">
        <v>202</v>
      </c>
      <c r="E141" s="105">
        <f>7000000-292582-60000</f>
        <v>6647418</v>
      </c>
      <c r="F141" s="105">
        <f t="shared" ref="F141:F161" si="308">E141+G141</f>
        <v>8626234</v>
      </c>
      <c r="G141" s="105">
        <f t="shared" ref="G141:G161" si="309">SUM(H141:S141)</f>
        <v>1978816</v>
      </c>
      <c r="H141" s="105">
        <f>1+1+1978814</f>
        <v>1978816</v>
      </c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>
        <f t="shared" ref="U141:U161" si="310">T141+V141</f>
        <v>0</v>
      </c>
      <c r="V141" s="105">
        <f t="shared" ref="V141:V161" si="311">SUM(W141:AG141)</f>
        <v>0</v>
      </c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>
        <f t="shared" ref="AH141:AH161" si="312">E141+T141</f>
        <v>6647418</v>
      </c>
      <c r="AI141" s="105">
        <f t="shared" ref="AI141:AI161" si="313">U141+F141</f>
        <v>8626234</v>
      </c>
      <c r="AK141" s="355"/>
      <c r="AL141" s="355"/>
      <c r="AM141" s="355"/>
    </row>
    <row r="142" spans="1:42" hidden="1" outlineLevel="1" x14ac:dyDescent="0.2">
      <c r="A142" s="323"/>
      <c r="B142" s="324"/>
      <c r="C142" s="325"/>
      <c r="D142" s="75" t="s">
        <v>203</v>
      </c>
      <c r="E142" s="76">
        <v>117987</v>
      </c>
      <c r="F142" s="76">
        <f t="shared" si="308"/>
        <v>257005</v>
      </c>
      <c r="G142" s="76">
        <f t="shared" si="309"/>
        <v>139018</v>
      </c>
      <c r="H142" s="76">
        <v>139018</v>
      </c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>
        <f t="shared" si="310"/>
        <v>0</v>
      </c>
      <c r="V142" s="76">
        <f t="shared" si="311"/>
        <v>0</v>
      </c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>
        <f t="shared" si="312"/>
        <v>117987</v>
      </c>
      <c r="AI142" s="76">
        <f t="shared" si="313"/>
        <v>257005</v>
      </c>
      <c r="AK142" s="355"/>
      <c r="AL142" s="355"/>
      <c r="AM142" s="355"/>
    </row>
    <row r="143" spans="1:42" hidden="1" outlineLevel="1" x14ac:dyDescent="0.2">
      <c r="A143" s="323"/>
      <c r="B143" s="324"/>
      <c r="C143" s="325"/>
      <c r="D143" s="326" t="s">
        <v>728</v>
      </c>
      <c r="E143" s="76">
        <v>2704</v>
      </c>
      <c r="F143" s="76">
        <f>E143+G143</f>
        <v>24068</v>
      </c>
      <c r="G143" s="76">
        <f t="shared" si="309"/>
        <v>21364</v>
      </c>
      <c r="H143" s="76">
        <f>-44+18000+1+3407</f>
        <v>21364</v>
      </c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>
        <f t="shared" si="310"/>
        <v>-1</v>
      </c>
      <c r="V143" s="76">
        <f t="shared" si="311"/>
        <v>-1</v>
      </c>
      <c r="W143" s="76">
        <v>-1</v>
      </c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>
        <f>E143+T143</f>
        <v>2704</v>
      </c>
      <c r="AI143" s="76">
        <f t="shared" si="313"/>
        <v>24067</v>
      </c>
      <c r="AK143" s="355"/>
      <c r="AL143" s="355"/>
      <c r="AM143" s="355"/>
    </row>
    <row r="144" spans="1:42" hidden="1" outlineLevel="1" x14ac:dyDescent="0.2">
      <c r="A144" s="323"/>
      <c r="B144" s="324"/>
      <c r="C144" s="325"/>
      <c r="D144" s="326" t="s">
        <v>729</v>
      </c>
      <c r="E144" s="76">
        <f>22146-2704</f>
        <v>19442</v>
      </c>
      <c r="F144" s="76">
        <f>E144+G144</f>
        <v>32127</v>
      </c>
      <c r="G144" s="76">
        <f t="shared" ref="G144" si="314">SUM(H144:S144)</f>
        <v>12685</v>
      </c>
      <c r="H144" s="76">
        <f>14+856+630+10410+1+1926-1465+313</f>
        <v>12685</v>
      </c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>
        <f t="shared" ref="U144" si="315">T144+V144</f>
        <v>-1</v>
      </c>
      <c r="V144" s="76">
        <f t="shared" ref="V144" si="316">SUM(W144:AG144)</f>
        <v>-1</v>
      </c>
      <c r="W144" s="76">
        <f>-1</f>
        <v>-1</v>
      </c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>
        <f>E144+T144</f>
        <v>19442</v>
      </c>
      <c r="AI144" s="76">
        <f t="shared" ref="AI144" si="317">U144+F144</f>
        <v>32126</v>
      </c>
      <c r="AK144" s="355"/>
      <c r="AL144" s="355"/>
      <c r="AM144" s="355"/>
    </row>
    <row r="145" spans="1:42" hidden="1" outlineLevel="1" x14ac:dyDescent="0.2">
      <c r="A145" s="323"/>
      <c r="B145" s="324"/>
      <c r="C145" s="325"/>
      <c r="D145" s="75" t="s">
        <v>86</v>
      </c>
      <c r="E145" s="76">
        <v>5167</v>
      </c>
      <c r="F145" s="76">
        <f t="shared" si="308"/>
        <v>5429</v>
      </c>
      <c r="G145" s="76">
        <f t="shared" si="309"/>
        <v>262</v>
      </c>
      <c r="H145" s="76">
        <v>262</v>
      </c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>
        <f t="shared" si="310"/>
        <v>0</v>
      </c>
      <c r="V145" s="76">
        <f t="shared" si="311"/>
        <v>0</v>
      </c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>
        <f t="shared" si="312"/>
        <v>5167</v>
      </c>
      <c r="AI145" s="76">
        <f t="shared" si="313"/>
        <v>5429</v>
      </c>
      <c r="AK145" s="355"/>
      <c r="AL145" s="355"/>
      <c r="AM145" s="355"/>
    </row>
    <row r="146" spans="1:42" hidden="1" outlineLevel="1" x14ac:dyDescent="0.2">
      <c r="A146" s="323"/>
      <c r="B146" s="324"/>
      <c r="C146" s="325"/>
      <c r="D146" s="326" t="s">
        <v>140</v>
      </c>
      <c r="E146" s="76"/>
      <c r="F146" s="76">
        <f t="shared" si="308"/>
        <v>21070</v>
      </c>
      <c r="G146" s="76">
        <f t="shared" si="309"/>
        <v>21070</v>
      </c>
      <c r="H146" s="76">
        <f>6431+14639</f>
        <v>21070</v>
      </c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>
        <f t="shared" si="310"/>
        <v>0</v>
      </c>
      <c r="V146" s="76">
        <f t="shared" si="311"/>
        <v>0</v>
      </c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>
        <f t="shared" si="312"/>
        <v>0</v>
      </c>
      <c r="AI146" s="76">
        <f t="shared" si="313"/>
        <v>21070</v>
      </c>
      <c r="AK146" s="355"/>
      <c r="AL146" s="355"/>
      <c r="AM146" s="355"/>
    </row>
    <row r="147" spans="1:42" ht="24" hidden="1" outlineLevel="1" x14ac:dyDescent="0.2">
      <c r="A147" s="323"/>
      <c r="B147" s="324"/>
      <c r="C147" s="325"/>
      <c r="D147" s="326" t="s">
        <v>304</v>
      </c>
      <c r="E147" s="76"/>
      <c r="F147" s="76">
        <f t="shared" si="308"/>
        <v>12410</v>
      </c>
      <c r="G147" s="76">
        <f t="shared" si="309"/>
        <v>12410</v>
      </c>
      <c r="H147" s="76">
        <f>965+11445</f>
        <v>12410</v>
      </c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>
        <f t="shared" si="310"/>
        <v>0</v>
      </c>
      <c r="V147" s="76">
        <f t="shared" si="311"/>
        <v>0</v>
      </c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>
        <f t="shared" si="312"/>
        <v>0</v>
      </c>
      <c r="AI147" s="76">
        <f t="shared" si="313"/>
        <v>12410</v>
      </c>
      <c r="AK147" s="355"/>
      <c r="AL147" s="355"/>
      <c r="AM147" s="355"/>
    </row>
    <row r="148" spans="1:42" hidden="1" outlineLevel="1" x14ac:dyDescent="0.2">
      <c r="A148" s="323"/>
      <c r="B148" s="324"/>
      <c r="C148" s="325"/>
      <c r="D148" s="326" t="s">
        <v>261</v>
      </c>
      <c r="E148" s="76"/>
      <c r="F148" s="76">
        <f t="shared" si="308"/>
        <v>7</v>
      </c>
      <c r="G148" s="76">
        <f t="shared" si="309"/>
        <v>7</v>
      </c>
      <c r="H148" s="76">
        <v>7</v>
      </c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>
        <f t="shared" si="310"/>
        <v>0</v>
      </c>
      <c r="V148" s="76">
        <f t="shared" si="311"/>
        <v>0</v>
      </c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>
        <f t="shared" si="312"/>
        <v>0</v>
      </c>
      <c r="AI148" s="76">
        <f t="shared" si="313"/>
        <v>7</v>
      </c>
      <c r="AK148" s="355"/>
      <c r="AL148" s="355"/>
      <c r="AM148" s="355"/>
    </row>
    <row r="149" spans="1:42" hidden="1" outlineLevel="1" x14ac:dyDescent="0.2">
      <c r="A149" s="323"/>
      <c r="B149" s="324"/>
      <c r="C149" s="325"/>
      <c r="D149" s="326" t="s">
        <v>740</v>
      </c>
      <c r="E149" s="76"/>
      <c r="F149" s="76">
        <f t="shared" ref="F149" si="318">E149+G149</f>
        <v>2</v>
      </c>
      <c r="G149" s="76">
        <f t="shared" ref="G149" si="319">SUM(H149:S149)</f>
        <v>2</v>
      </c>
      <c r="H149" s="76">
        <v>2</v>
      </c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>
        <f t="shared" ref="U149" si="320">T149+V149</f>
        <v>0</v>
      </c>
      <c r="V149" s="76">
        <f t="shared" ref="V149" si="321">SUM(W149:AG149)</f>
        <v>0</v>
      </c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>
        <f t="shared" ref="AH149" si="322">E149+T149</f>
        <v>0</v>
      </c>
      <c r="AI149" s="76">
        <f t="shared" ref="AI149" si="323">U149+F149</f>
        <v>2</v>
      </c>
      <c r="AK149" s="355"/>
      <c r="AL149" s="355"/>
      <c r="AM149" s="355"/>
    </row>
    <row r="150" spans="1:42" hidden="1" outlineLevel="1" x14ac:dyDescent="0.2">
      <c r="A150" s="323"/>
      <c r="B150" s="324"/>
      <c r="C150" s="325"/>
      <c r="D150" s="326" t="s">
        <v>165</v>
      </c>
      <c r="E150" s="76">
        <v>54954</v>
      </c>
      <c r="F150" s="76">
        <f t="shared" si="308"/>
        <v>79186</v>
      </c>
      <c r="G150" s="76">
        <f t="shared" si="309"/>
        <v>24232</v>
      </c>
      <c r="H150" s="76">
        <v>24232</v>
      </c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>
        <f t="shared" si="310"/>
        <v>0</v>
      </c>
      <c r="V150" s="76">
        <f t="shared" si="311"/>
        <v>0</v>
      </c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>
        <f t="shared" si="312"/>
        <v>54954</v>
      </c>
      <c r="AI150" s="76">
        <f t="shared" si="313"/>
        <v>79186</v>
      </c>
      <c r="AK150" s="355"/>
      <c r="AL150" s="355"/>
      <c r="AM150" s="355"/>
    </row>
    <row r="151" spans="1:42" ht="24" hidden="1" outlineLevel="1" x14ac:dyDescent="0.2">
      <c r="A151" s="323"/>
      <c r="B151" s="324"/>
      <c r="C151" s="325"/>
      <c r="D151" s="326" t="s">
        <v>399</v>
      </c>
      <c r="E151" s="76">
        <v>683</v>
      </c>
      <c r="F151" s="76">
        <f t="shared" si="308"/>
        <v>770</v>
      </c>
      <c r="G151" s="76">
        <f t="shared" si="309"/>
        <v>87</v>
      </c>
      <c r="H151" s="76">
        <v>87</v>
      </c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>
        <f t="shared" si="310"/>
        <v>0</v>
      </c>
      <c r="V151" s="76">
        <f t="shared" si="311"/>
        <v>0</v>
      </c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>
        <f t="shared" si="312"/>
        <v>683</v>
      </c>
      <c r="AI151" s="76">
        <f t="shared" si="313"/>
        <v>770</v>
      </c>
      <c r="AK151" s="355"/>
      <c r="AL151" s="355"/>
      <c r="AM151" s="355"/>
    </row>
    <row r="152" spans="1:42" ht="24" hidden="1" outlineLevel="1" x14ac:dyDescent="0.2">
      <c r="A152" s="323"/>
      <c r="B152" s="324"/>
      <c r="C152" s="325"/>
      <c r="D152" s="326" t="s">
        <v>371</v>
      </c>
      <c r="E152" s="76">
        <v>0</v>
      </c>
      <c r="F152" s="76">
        <f t="shared" si="308"/>
        <v>2367</v>
      </c>
      <c r="G152" s="76">
        <f t="shared" si="309"/>
        <v>2367</v>
      </c>
      <c r="H152" s="76">
        <v>2367</v>
      </c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>
        <f t="shared" si="310"/>
        <v>0</v>
      </c>
      <c r="V152" s="76">
        <f t="shared" si="311"/>
        <v>0</v>
      </c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>
        <f t="shared" si="312"/>
        <v>0</v>
      </c>
      <c r="AI152" s="76">
        <f t="shared" si="313"/>
        <v>2367</v>
      </c>
      <c r="AK152" s="355"/>
      <c r="AL152" s="355"/>
      <c r="AM152" s="355"/>
    </row>
    <row r="153" spans="1:42" hidden="1" outlineLevel="1" x14ac:dyDescent="0.2">
      <c r="A153" s="323"/>
      <c r="B153" s="324"/>
      <c r="C153" s="325"/>
      <c r="D153" s="326" t="s">
        <v>255</v>
      </c>
      <c r="E153" s="76"/>
      <c r="F153" s="76">
        <f t="shared" si="308"/>
        <v>17090</v>
      </c>
      <c r="G153" s="76">
        <f t="shared" si="309"/>
        <v>17090</v>
      </c>
      <c r="H153" s="76">
        <f>13939+3239-88</f>
        <v>17090</v>
      </c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>
        <f t="shared" si="310"/>
        <v>0</v>
      </c>
      <c r="V153" s="76">
        <f t="shared" si="311"/>
        <v>0</v>
      </c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>
        <f t="shared" si="312"/>
        <v>0</v>
      </c>
      <c r="AI153" s="76">
        <f t="shared" si="313"/>
        <v>17090</v>
      </c>
      <c r="AK153" s="355"/>
      <c r="AL153" s="355"/>
      <c r="AM153" s="355"/>
    </row>
    <row r="154" spans="1:42" hidden="1" outlineLevel="1" x14ac:dyDescent="0.2">
      <c r="A154" s="323"/>
      <c r="B154" s="324"/>
      <c r="C154" s="325"/>
      <c r="D154" s="326" t="s">
        <v>635</v>
      </c>
      <c r="E154" s="76"/>
      <c r="F154" s="76">
        <f t="shared" si="308"/>
        <v>0</v>
      </c>
      <c r="G154" s="76">
        <f t="shared" si="309"/>
        <v>0</v>
      </c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>
        <f t="shared" si="310"/>
        <v>0</v>
      </c>
      <c r="V154" s="76">
        <f t="shared" si="311"/>
        <v>0</v>
      </c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>
        <f t="shared" si="312"/>
        <v>0</v>
      </c>
      <c r="AI154" s="76">
        <f t="shared" si="313"/>
        <v>0</v>
      </c>
      <c r="AK154" s="355"/>
      <c r="AL154" s="355"/>
      <c r="AM154" s="355"/>
    </row>
    <row r="155" spans="1:42" ht="24" hidden="1" outlineLevel="1" x14ac:dyDescent="0.2">
      <c r="A155" s="323"/>
      <c r="B155" s="324"/>
      <c r="C155" s="325"/>
      <c r="D155" s="326" t="s">
        <v>739</v>
      </c>
      <c r="E155" s="76"/>
      <c r="F155" s="76">
        <f t="shared" ref="F155" si="324">E155+G155</f>
        <v>81</v>
      </c>
      <c r="G155" s="76">
        <f t="shared" ref="G155" si="325">SUM(H155:S155)</f>
        <v>81</v>
      </c>
      <c r="H155" s="76">
        <v>81</v>
      </c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>
        <f t="shared" ref="U155" si="326">T155+V155</f>
        <v>0</v>
      </c>
      <c r="V155" s="76">
        <f t="shared" ref="V155" si="327">SUM(W155:AG155)</f>
        <v>0</v>
      </c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>
        <f t="shared" ref="AH155" si="328">E155+T155</f>
        <v>0</v>
      </c>
      <c r="AI155" s="76">
        <f t="shared" ref="AI155" si="329">U155+F155</f>
        <v>81</v>
      </c>
      <c r="AK155" s="355"/>
      <c r="AL155" s="355"/>
      <c r="AM155" s="355"/>
    </row>
    <row r="156" spans="1:42" hidden="1" outlineLevel="1" x14ac:dyDescent="0.2">
      <c r="A156" s="323"/>
      <c r="B156" s="324"/>
      <c r="C156" s="325"/>
      <c r="D156" s="326" t="s">
        <v>142</v>
      </c>
      <c r="E156" s="76"/>
      <c r="F156" s="76">
        <f t="shared" si="308"/>
        <v>46515</v>
      </c>
      <c r="G156" s="76">
        <f t="shared" si="309"/>
        <v>46515</v>
      </c>
      <c r="H156" s="76">
        <v>46515</v>
      </c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>
        <f t="shared" si="310"/>
        <v>0</v>
      </c>
      <c r="V156" s="76">
        <f t="shared" si="311"/>
        <v>0</v>
      </c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>
        <f t="shared" si="312"/>
        <v>0</v>
      </c>
      <c r="AI156" s="76">
        <f t="shared" si="313"/>
        <v>46515</v>
      </c>
      <c r="AK156" s="355"/>
      <c r="AL156" s="355"/>
      <c r="AM156" s="355"/>
    </row>
    <row r="157" spans="1:42" hidden="1" outlineLevel="1" x14ac:dyDescent="0.2">
      <c r="A157" s="323"/>
      <c r="B157" s="324"/>
      <c r="C157" s="325"/>
      <c r="D157" s="327" t="s">
        <v>56</v>
      </c>
      <c r="E157" s="76">
        <v>0</v>
      </c>
      <c r="F157" s="76">
        <f t="shared" si="308"/>
        <v>1</v>
      </c>
      <c r="G157" s="76">
        <f t="shared" si="309"/>
        <v>1</v>
      </c>
      <c r="H157" s="76">
        <v>1</v>
      </c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>
        <f t="shared" si="310"/>
        <v>0</v>
      </c>
      <c r="V157" s="76">
        <f t="shared" si="311"/>
        <v>0</v>
      </c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>
        <f t="shared" si="312"/>
        <v>0</v>
      </c>
      <c r="AI157" s="76">
        <f t="shared" si="313"/>
        <v>1</v>
      </c>
      <c r="AK157" s="355"/>
      <c r="AL157" s="355"/>
      <c r="AM157" s="355"/>
    </row>
    <row r="158" spans="1:42" ht="24" hidden="1" outlineLevel="1" x14ac:dyDescent="0.2">
      <c r="A158" s="323"/>
      <c r="B158" s="324"/>
      <c r="C158" s="325"/>
      <c r="D158" s="327" t="s">
        <v>84</v>
      </c>
      <c r="E158" s="76">
        <f>9104+73792</f>
        <v>82896</v>
      </c>
      <c r="F158" s="76">
        <f t="shared" si="308"/>
        <v>87439</v>
      </c>
      <c r="G158" s="76">
        <f t="shared" si="309"/>
        <v>4543</v>
      </c>
      <c r="H158" s="76">
        <v>4543</v>
      </c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>
        <f t="shared" si="310"/>
        <v>0</v>
      </c>
      <c r="V158" s="76">
        <f t="shared" si="311"/>
        <v>0</v>
      </c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>
        <f t="shared" si="312"/>
        <v>82896</v>
      </c>
      <c r="AI158" s="76">
        <f t="shared" si="313"/>
        <v>87439</v>
      </c>
      <c r="AK158" s="355"/>
      <c r="AL158" s="355"/>
      <c r="AM158" s="355"/>
    </row>
    <row r="159" spans="1:42" hidden="1" outlineLevel="1" x14ac:dyDescent="0.2">
      <c r="A159" s="323"/>
      <c r="B159" s="324"/>
      <c r="C159" s="325"/>
      <c r="D159" s="327" t="s">
        <v>191</v>
      </c>
      <c r="E159" s="76">
        <v>9266</v>
      </c>
      <c r="F159" s="76">
        <f t="shared" si="308"/>
        <v>15782</v>
      </c>
      <c r="G159" s="76">
        <f t="shared" si="309"/>
        <v>6516</v>
      </c>
      <c r="H159" s="76">
        <v>6516</v>
      </c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>
        <f t="shared" si="310"/>
        <v>0</v>
      </c>
      <c r="V159" s="76">
        <f t="shared" si="311"/>
        <v>0</v>
      </c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>
        <f t="shared" si="312"/>
        <v>9266</v>
      </c>
      <c r="AI159" s="76">
        <f t="shared" si="313"/>
        <v>15782</v>
      </c>
      <c r="AK159" s="355"/>
      <c r="AL159" s="355"/>
      <c r="AM159" s="355"/>
    </row>
    <row r="160" spans="1:42" hidden="1" outlineLevel="1" x14ac:dyDescent="0.2">
      <c r="A160" s="323"/>
      <c r="B160" s="324"/>
      <c r="C160" s="325"/>
      <c r="D160" s="327" t="s">
        <v>131</v>
      </c>
      <c r="E160" s="76">
        <v>680556</v>
      </c>
      <c r="F160" s="76">
        <f t="shared" si="308"/>
        <v>842503</v>
      </c>
      <c r="G160" s="76">
        <f t="shared" si="309"/>
        <v>161947</v>
      </c>
      <c r="H160" s="76">
        <v>161947</v>
      </c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>
        <f t="shared" si="310"/>
        <v>0</v>
      </c>
      <c r="V160" s="76">
        <f t="shared" si="311"/>
        <v>0</v>
      </c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>
        <f t="shared" si="312"/>
        <v>680556</v>
      </c>
      <c r="AI160" s="76">
        <f t="shared" si="313"/>
        <v>842503</v>
      </c>
      <c r="AK160" s="355"/>
      <c r="AL160" s="355"/>
      <c r="AM160" s="355"/>
      <c r="AN160" s="174"/>
      <c r="AO160" s="174"/>
      <c r="AP160" s="174"/>
    </row>
    <row r="161" spans="1:42" ht="24" hidden="1" outlineLevel="1" x14ac:dyDescent="0.2">
      <c r="A161" s="323"/>
      <c r="B161" s="324"/>
      <c r="C161" s="325"/>
      <c r="D161" s="327" t="s">
        <v>161</v>
      </c>
      <c r="E161" s="76">
        <v>0</v>
      </c>
      <c r="F161" s="76">
        <f t="shared" si="308"/>
        <v>0</v>
      </c>
      <c r="G161" s="76">
        <f t="shared" si="309"/>
        <v>0</v>
      </c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>
        <f t="shared" si="310"/>
        <v>0</v>
      </c>
      <c r="V161" s="76">
        <f t="shared" si="311"/>
        <v>0</v>
      </c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>
        <f t="shared" si="312"/>
        <v>0</v>
      </c>
      <c r="AI161" s="76">
        <f t="shared" si="313"/>
        <v>0</v>
      </c>
      <c r="AK161" s="355"/>
      <c r="AL161" s="355"/>
      <c r="AM161" s="355"/>
      <c r="AN161" s="174"/>
      <c r="AO161" s="174"/>
      <c r="AP161" s="174"/>
    </row>
    <row r="162" spans="1:42" hidden="1" outlineLevel="1" x14ac:dyDescent="0.2">
      <c r="A162" s="323"/>
      <c r="B162" s="324"/>
      <c r="C162" s="325"/>
      <c r="D162" s="327" t="s">
        <v>741</v>
      </c>
      <c r="E162" s="76"/>
      <c r="F162" s="76">
        <f t="shared" ref="F162" si="330">E162+G162</f>
        <v>10207</v>
      </c>
      <c r="G162" s="76">
        <f t="shared" ref="G162" si="331">SUM(H162:S162)</f>
        <v>10207</v>
      </c>
      <c r="H162" s="76">
        <f>10206+1</f>
        <v>10207</v>
      </c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>
        <f t="shared" ref="U162" si="332">T162+V162</f>
        <v>0</v>
      </c>
      <c r="V162" s="76">
        <f t="shared" ref="V162" si="333">SUM(W162:AG162)</f>
        <v>0</v>
      </c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>
        <f t="shared" ref="AH162" si="334">E162+T162</f>
        <v>0</v>
      </c>
      <c r="AI162" s="76">
        <f t="shared" ref="AI162" si="335">U162+F162</f>
        <v>10207</v>
      </c>
      <c r="AK162" s="355"/>
      <c r="AL162" s="355"/>
      <c r="AM162" s="355"/>
      <c r="AN162" s="174"/>
      <c r="AO162" s="174"/>
      <c r="AP162" s="174"/>
    </row>
    <row r="163" spans="1:42" hidden="1" outlineLevel="1" x14ac:dyDescent="0.2">
      <c r="A163" s="323"/>
      <c r="B163" s="324"/>
      <c r="C163" s="325"/>
      <c r="D163" s="327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K163" s="355"/>
      <c r="AL163" s="355"/>
      <c r="AM163" s="355"/>
    </row>
    <row r="164" spans="1:42" collapsed="1" x14ac:dyDescent="0.2">
      <c r="A164" s="580" t="s">
        <v>179</v>
      </c>
      <c r="B164" s="581"/>
      <c r="C164" s="581"/>
      <c r="D164" s="582"/>
      <c r="E164" s="241">
        <f t="shared" ref="E164:F164" si="336">SUM(E166,E171)</f>
        <v>3460</v>
      </c>
      <c r="F164" s="241">
        <f t="shared" si="336"/>
        <v>6049</v>
      </c>
      <c r="G164" s="241">
        <f t="shared" ref="G164:S164" si="337">SUM(G166,G171)</f>
        <v>2589</v>
      </c>
      <c r="H164" s="241">
        <f t="shared" si="337"/>
        <v>2559</v>
      </c>
      <c r="I164" s="241">
        <f t="shared" si="337"/>
        <v>0</v>
      </c>
      <c r="J164" s="241">
        <f t="shared" si="337"/>
        <v>0</v>
      </c>
      <c r="K164" s="241">
        <f t="shared" si="337"/>
        <v>0</v>
      </c>
      <c r="L164" s="241">
        <f t="shared" si="337"/>
        <v>30</v>
      </c>
      <c r="M164" s="241">
        <f t="shared" si="337"/>
        <v>0</v>
      </c>
      <c r="N164" s="241">
        <f t="shared" si="337"/>
        <v>0</v>
      </c>
      <c r="O164" s="241">
        <f t="shared" si="337"/>
        <v>0</v>
      </c>
      <c r="P164" s="241">
        <f t="shared" si="337"/>
        <v>0</v>
      </c>
      <c r="Q164" s="241">
        <f t="shared" si="337"/>
        <v>0</v>
      </c>
      <c r="R164" s="241">
        <f t="shared" si="337"/>
        <v>0</v>
      </c>
      <c r="S164" s="241">
        <f t="shared" si="337"/>
        <v>0</v>
      </c>
      <c r="T164" s="241">
        <f t="shared" ref="T164:AG164" si="338">SUM(T166,T171)</f>
        <v>0</v>
      </c>
      <c r="U164" s="241">
        <f t="shared" si="338"/>
        <v>-3</v>
      </c>
      <c r="V164" s="241">
        <f t="shared" si="338"/>
        <v>-3</v>
      </c>
      <c r="W164" s="241">
        <f t="shared" si="338"/>
        <v>-3</v>
      </c>
      <c r="X164" s="241">
        <f t="shared" si="338"/>
        <v>0</v>
      </c>
      <c r="Y164" s="241">
        <f t="shared" si="338"/>
        <v>0</v>
      </c>
      <c r="Z164" s="241">
        <f t="shared" si="338"/>
        <v>0</v>
      </c>
      <c r="AA164" s="241">
        <f t="shared" si="338"/>
        <v>0</v>
      </c>
      <c r="AB164" s="241">
        <f t="shared" si="338"/>
        <v>0</v>
      </c>
      <c r="AC164" s="241">
        <f t="shared" si="338"/>
        <v>0</v>
      </c>
      <c r="AD164" s="241">
        <f t="shared" si="338"/>
        <v>0</v>
      </c>
      <c r="AE164" s="241">
        <f t="shared" si="338"/>
        <v>0</v>
      </c>
      <c r="AF164" s="241">
        <f t="shared" si="338"/>
        <v>0</v>
      </c>
      <c r="AG164" s="241">
        <f t="shared" si="338"/>
        <v>0</v>
      </c>
      <c r="AH164" s="241">
        <f t="shared" ref="AH164:AI164" si="339">SUM(AH166,AH171)</f>
        <v>3460</v>
      </c>
      <c r="AI164" s="241">
        <f t="shared" si="339"/>
        <v>6046</v>
      </c>
      <c r="AK164" s="355"/>
      <c r="AL164" s="355"/>
      <c r="AM164" s="355"/>
    </row>
    <row r="165" spans="1:42" x14ac:dyDescent="0.2">
      <c r="A165" s="90"/>
      <c r="B165" s="91"/>
      <c r="C165" s="92"/>
      <c r="D165" s="69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98"/>
      <c r="AF165" s="98"/>
      <c r="AG165" s="98"/>
      <c r="AH165" s="98"/>
      <c r="AI165" s="98"/>
      <c r="AK165" s="355"/>
      <c r="AL165" s="355"/>
      <c r="AM165" s="355"/>
    </row>
    <row r="166" spans="1:42" x14ac:dyDescent="0.2">
      <c r="A166" s="571" t="s">
        <v>117</v>
      </c>
      <c r="B166" s="572"/>
      <c r="C166" s="573"/>
      <c r="D166" s="101" t="s">
        <v>180</v>
      </c>
      <c r="E166" s="102">
        <f t="shared" ref="E166" si="340">SUM(E167:E168)</f>
        <v>300</v>
      </c>
      <c r="F166" s="102">
        <f t="shared" ref="F166:S166" si="341">SUM(F167:F168)</f>
        <v>333</v>
      </c>
      <c r="G166" s="102">
        <f t="shared" si="341"/>
        <v>33</v>
      </c>
      <c r="H166" s="102">
        <f t="shared" si="341"/>
        <v>3</v>
      </c>
      <c r="I166" s="102">
        <f t="shared" si="341"/>
        <v>0</v>
      </c>
      <c r="J166" s="102">
        <f t="shared" si="341"/>
        <v>0</v>
      </c>
      <c r="K166" s="102">
        <f t="shared" si="341"/>
        <v>0</v>
      </c>
      <c r="L166" s="102">
        <f t="shared" si="341"/>
        <v>30</v>
      </c>
      <c r="M166" s="102">
        <f t="shared" si="341"/>
        <v>0</v>
      </c>
      <c r="N166" s="102">
        <f t="shared" si="341"/>
        <v>0</v>
      </c>
      <c r="O166" s="102">
        <f t="shared" si="341"/>
        <v>0</v>
      </c>
      <c r="P166" s="102">
        <f t="shared" si="341"/>
        <v>0</v>
      </c>
      <c r="Q166" s="102">
        <f t="shared" si="341"/>
        <v>0</v>
      </c>
      <c r="R166" s="102">
        <f t="shared" si="341"/>
        <v>0</v>
      </c>
      <c r="S166" s="102">
        <f t="shared" si="341"/>
        <v>0</v>
      </c>
      <c r="T166" s="102">
        <f t="shared" ref="T166:AG166" si="342">SUM(T167:T168)</f>
        <v>0</v>
      </c>
      <c r="U166" s="102">
        <f t="shared" si="342"/>
        <v>0</v>
      </c>
      <c r="V166" s="102">
        <f t="shared" si="342"/>
        <v>0</v>
      </c>
      <c r="W166" s="102">
        <f t="shared" si="342"/>
        <v>0</v>
      </c>
      <c r="X166" s="102">
        <f t="shared" si="342"/>
        <v>0</v>
      </c>
      <c r="Y166" s="102">
        <f t="shared" si="342"/>
        <v>0</v>
      </c>
      <c r="Z166" s="102">
        <f t="shared" si="342"/>
        <v>0</v>
      </c>
      <c r="AA166" s="102">
        <f t="shared" si="342"/>
        <v>0</v>
      </c>
      <c r="AB166" s="102">
        <f t="shared" si="342"/>
        <v>0</v>
      </c>
      <c r="AC166" s="102">
        <f t="shared" si="342"/>
        <v>0</v>
      </c>
      <c r="AD166" s="102">
        <f t="shared" si="342"/>
        <v>0</v>
      </c>
      <c r="AE166" s="102">
        <f t="shared" si="342"/>
        <v>0</v>
      </c>
      <c r="AF166" s="102">
        <f t="shared" si="342"/>
        <v>0</v>
      </c>
      <c r="AG166" s="102">
        <f t="shared" si="342"/>
        <v>0</v>
      </c>
      <c r="AH166" s="102">
        <f t="shared" ref="AH166:AI166" si="343">SUM(AH167:AH168)</f>
        <v>300</v>
      </c>
      <c r="AI166" s="102">
        <f t="shared" si="343"/>
        <v>333</v>
      </c>
      <c r="AK166" s="355"/>
      <c r="AL166" s="355"/>
      <c r="AM166" s="355"/>
    </row>
    <row r="167" spans="1:42" s="174" customFormat="1" x14ac:dyDescent="0.2">
      <c r="A167" s="80"/>
      <c r="B167" s="551" t="s">
        <v>163</v>
      </c>
      <c r="C167" s="552"/>
      <c r="D167" s="69" t="s">
        <v>164</v>
      </c>
      <c r="E167" s="62">
        <v>150</v>
      </c>
      <c r="F167" s="62">
        <f t="shared" ref="F167:F168" si="344">E167+G167</f>
        <v>150</v>
      </c>
      <c r="G167" s="62">
        <f t="shared" ref="G167:G168" si="345">SUM(H167:S167)</f>
        <v>0</v>
      </c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>
        <f t="shared" ref="U167:U168" si="346">T167+V167</f>
        <v>0</v>
      </c>
      <c r="V167" s="62">
        <f t="shared" ref="V167:V168" si="347">SUM(W167:AG167)</f>
        <v>0</v>
      </c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>
        <f t="shared" ref="AH167:AH168" si="348">E167+T167</f>
        <v>150</v>
      </c>
      <c r="AI167" s="62">
        <f t="shared" ref="AI167:AI168" si="349">U167+F167</f>
        <v>150</v>
      </c>
      <c r="AK167" s="355"/>
      <c r="AL167" s="355"/>
      <c r="AM167" s="355"/>
      <c r="AN167" s="37"/>
      <c r="AO167" s="37"/>
      <c r="AP167" s="37"/>
    </row>
    <row r="168" spans="1:42" s="174" customFormat="1" ht="24" x14ac:dyDescent="0.2">
      <c r="A168" s="80"/>
      <c r="B168" s="551" t="s">
        <v>118</v>
      </c>
      <c r="C168" s="552"/>
      <c r="D168" s="69" t="s">
        <v>185</v>
      </c>
      <c r="E168" s="62">
        <v>150</v>
      </c>
      <c r="F168" s="62">
        <f t="shared" si="344"/>
        <v>183</v>
      </c>
      <c r="G168" s="62">
        <f t="shared" si="345"/>
        <v>33</v>
      </c>
      <c r="H168" s="62">
        <f>3</f>
        <v>3</v>
      </c>
      <c r="I168" s="62"/>
      <c r="J168" s="62"/>
      <c r="K168" s="62"/>
      <c r="L168" s="62">
        <v>30</v>
      </c>
      <c r="M168" s="62"/>
      <c r="N168" s="62"/>
      <c r="O168" s="62"/>
      <c r="P168" s="62"/>
      <c r="Q168" s="62"/>
      <c r="R168" s="62"/>
      <c r="S168" s="62"/>
      <c r="T168" s="62"/>
      <c r="U168" s="62">
        <f t="shared" si="346"/>
        <v>0</v>
      </c>
      <c r="V168" s="62">
        <f t="shared" si="347"/>
        <v>0</v>
      </c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>
        <f t="shared" si="348"/>
        <v>150</v>
      </c>
      <c r="AI168" s="62">
        <f t="shared" si="349"/>
        <v>183</v>
      </c>
      <c r="AK168" s="355"/>
      <c r="AL168" s="355"/>
      <c r="AM168" s="355"/>
      <c r="AN168" s="37"/>
      <c r="AO168" s="37"/>
      <c r="AP168" s="37"/>
    </row>
    <row r="169" spans="1:42" x14ac:dyDescent="0.2">
      <c r="A169" s="90"/>
      <c r="B169" s="91"/>
      <c r="C169" s="92"/>
      <c r="D169" s="69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/>
      <c r="AK169" s="355"/>
      <c r="AL169" s="355"/>
      <c r="AM169" s="355"/>
      <c r="AN169" s="174"/>
      <c r="AO169" s="174"/>
      <c r="AP169" s="174"/>
    </row>
    <row r="170" spans="1:42" x14ac:dyDescent="0.2">
      <c r="A170" s="90"/>
      <c r="B170" s="91"/>
      <c r="C170" s="92"/>
      <c r="D170" s="69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/>
      <c r="AK170" s="355"/>
      <c r="AL170" s="355"/>
      <c r="AM170" s="355"/>
      <c r="AN170" s="174"/>
      <c r="AO170" s="174"/>
      <c r="AP170" s="174"/>
    </row>
    <row r="171" spans="1:42" x14ac:dyDescent="0.2">
      <c r="A171" s="90"/>
      <c r="B171" s="91"/>
      <c r="C171" s="92"/>
      <c r="D171" s="81" t="s">
        <v>181</v>
      </c>
      <c r="E171" s="106">
        <f t="shared" ref="E171:AI171" si="350">SUM(E172)</f>
        <v>3160</v>
      </c>
      <c r="F171" s="106">
        <f t="shared" si="350"/>
        <v>5716</v>
      </c>
      <c r="G171" s="106">
        <f t="shared" si="350"/>
        <v>2556</v>
      </c>
      <c r="H171" s="106">
        <f t="shared" si="350"/>
        <v>2556</v>
      </c>
      <c r="I171" s="106">
        <f t="shared" si="350"/>
        <v>0</v>
      </c>
      <c r="J171" s="106">
        <f t="shared" si="350"/>
        <v>0</v>
      </c>
      <c r="K171" s="106">
        <f t="shared" si="350"/>
        <v>0</v>
      </c>
      <c r="L171" s="106">
        <f t="shared" si="350"/>
        <v>0</v>
      </c>
      <c r="M171" s="106">
        <f t="shared" si="350"/>
        <v>0</v>
      </c>
      <c r="N171" s="106">
        <f t="shared" si="350"/>
        <v>0</v>
      </c>
      <c r="O171" s="106">
        <f t="shared" si="350"/>
        <v>0</v>
      </c>
      <c r="P171" s="106">
        <f t="shared" si="350"/>
        <v>0</v>
      </c>
      <c r="Q171" s="106">
        <f t="shared" si="350"/>
        <v>0</v>
      </c>
      <c r="R171" s="106">
        <f t="shared" si="350"/>
        <v>0</v>
      </c>
      <c r="S171" s="106">
        <f t="shared" si="350"/>
        <v>0</v>
      </c>
      <c r="T171" s="106">
        <f t="shared" si="350"/>
        <v>0</v>
      </c>
      <c r="U171" s="106">
        <f t="shared" si="350"/>
        <v>-3</v>
      </c>
      <c r="V171" s="106">
        <f t="shared" si="350"/>
        <v>-3</v>
      </c>
      <c r="W171" s="106">
        <f t="shared" si="350"/>
        <v>-3</v>
      </c>
      <c r="X171" s="106">
        <f t="shared" si="350"/>
        <v>0</v>
      </c>
      <c r="Y171" s="106">
        <f t="shared" si="350"/>
        <v>0</v>
      </c>
      <c r="Z171" s="106">
        <f t="shared" si="350"/>
        <v>0</v>
      </c>
      <c r="AA171" s="106">
        <f t="shared" si="350"/>
        <v>0</v>
      </c>
      <c r="AB171" s="106">
        <f t="shared" si="350"/>
        <v>0</v>
      </c>
      <c r="AC171" s="106">
        <f t="shared" si="350"/>
        <v>0</v>
      </c>
      <c r="AD171" s="106">
        <f t="shared" si="350"/>
        <v>0</v>
      </c>
      <c r="AE171" s="106">
        <f t="shared" si="350"/>
        <v>0</v>
      </c>
      <c r="AF171" s="106">
        <f t="shared" si="350"/>
        <v>0</v>
      </c>
      <c r="AG171" s="106">
        <f t="shared" si="350"/>
        <v>0</v>
      </c>
      <c r="AH171" s="106">
        <f t="shared" si="350"/>
        <v>3160</v>
      </c>
      <c r="AI171" s="106">
        <f t="shared" si="350"/>
        <v>5713</v>
      </c>
      <c r="AK171" s="355"/>
      <c r="AL171" s="355"/>
      <c r="AM171" s="355"/>
    </row>
    <row r="172" spans="1:42" x14ac:dyDescent="0.2">
      <c r="A172" s="90"/>
      <c r="B172" s="91"/>
      <c r="C172" s="92"/>
      <c r="D172" s="69" t="s">
        <v>182</v>
      </c>
      <c r="E172" s="73">
        <f t="shared" ref="E172:F172" si="351">SUM(E173:E174)</f>
        <v>3160</v>
      </c>
      <c r="F172" s="73">
        <f t="shared" si="351"/>
        <v>5716</v>
      </c>
      <c r="G172" s="73">
        <f t="shared" ref="G172:S172" si="352">SUM(G173:G174)</f>
        <v>2556</v>
      </c>
      <c r="H172" s="73">
        <f t="shared" si="352"/>
        <v>2556</v>
      </c>
      <c r="I172" s="73">
        <f t="shared" si="352"/>
        <v>0</v>
      </c>
      <c r="J172" s="73">
        <f t="shared" si="352"/>
        <v>0</v>
      </c>
      <c r="K172" s="73">
        <f t="shared" si="352"/>
        <v>0</v>
      </c>
      <c r="L172" s="73">
        <f t="shared" si="352"/>
        <v>0</v>
      </c>
      <c r="M172" s="73">
        <f t="shared" si="352"/>
        <v>0</v>
      </c>
      <c r="N172" s="73">
        <f t="shared" si="352"/>
        <v>0</v>
      </c>
      <c r="O172" s="73">
        <f t="shared" si="352"/>
        <v>0</v>
      </c>
      <c r="P172" s="73">
        <f t="shared" si="352"/>
        <v>0</v>
      </c>
      <c r="Q172" s="73">
        <f t="shared" si="352"/>
        <v>0</v>
      </c>
      <c r="R172" s="73">
        <f t="shared" si="352"/>
        <v>0</v>
      </c>
      <c r="S172" s="73">
        <f t="shared" si="352"/>
        <v>0</v>
      </c>
      <c r="T172" s="73">
        <f t="shared" ref="T172:AG172" si="353">SUM(T173:T174)</f>
        <v>0</v>
      </c>
      <c r="U172" s="73">
        <f t="shared" si="353"/>
        <v>-3</v>
      </c>
      <c r="V172" s="73">
        <f t="shared" si="353"/>
        <v>-3</v>
      </c>
      <c r="W172" s="73">
        <f t="shared" si="353"/>
        <v>-3</v>
      </c>
      <c r="X172" s="73">
        <f t="shared" si="353"/>
        <v>0</v>
      </c>
      <c r="Y172" s="73">
        <f t="shared" si="353"/>
        <v>0</v>
      </c>
      <c r="Z172" s="73">
        <f t="shared" si="353"/>
        <v>0</v>
      </c>
      <c r="AA172" s="73">
        <f t="shared" si="353"/>
        <v>0</v>
      </c>
      <c r="AB172" s="73">
        <f t="shared" si="353"/>
        <v>0</v>
      </c>
      <c r="AC172" s="73">
        <f t="shared" si="353"/>
        <v>0</v>
      </c>
      <c r="AD172" s="73">
        <f t="shared" si="353"/>
        <v>0</v>
      </c>
      <c r="AE172" s="73">
        <f t="shared" si="353"/>
        <v>0</v>
      </c>
      <c r="AF172" s="73">
        <f t="shared" si="353"/>
        <v>0</v>
      </c>
      <c r="AG172" s="73">
        <f t="shared" si="353"/>
        <v>0</v>
      </c>
      <c r="AH172" s="73">
        <f t="shared" ref="AH172:AI172" si="354">SUM(AH173:AH174)</f>
        <v>3160</v>
      </c>
      <c r="AI172" s="73">
        <f t="shared" si="354"/>
        <v>5713</v>
      </c>
      <c r="AK172" s="355"/>
      <c r="AL172" s="355"/>
      <c r="AM172" s="355"/>
    </row>
    <row r="173" spans="1:42" ht="24" x14ac:dyDescent="0.2">
      <c r="A173" s="90"/>
      <c r="B173" s="91"/>
      <c r="C173" s="92"/>
      <c r="D173" s="103" t="s">
        <v>183</v>
      </c>
      <c r="E173" s="73">
        <v>2000</v>
      </c>
      <c r="F173" s="73">
        <f t="shared" ref="F173:F174" si="355">E173+G173</f>
        <v>3556</v>
      </c>
      <c r="G173" s="73">
        <f t="shared" ref="G173:G174" si="356">SUM(H173:S173)</f>
        <v>1556</v>
      </c>
      <c r="H173" s="73">
        <f>-104+1660</f>
        <v>1556</v>
      </c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>
        <f t="shared" ref="U173:U174" si="357">T173+V173</f>
        <v>-1</v>
      </c>
      <c r="V173" s="73">
        <f t="shared" ref="V173:V174" si="358">SUM(W173:AG173)</f>
        <v>-1</v>
      </c>
      <c r="W173" s="73">
        <v>-1</v>
      </c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>
        <f t="shared" ref="AH173:AH174" si="359">E173+T173</f>
        <v>2000</v>
      </c>
      <c r="AI173" s="73">
        <f t="shared" ref="AI173:AI174" si="360">U173+F173</f>
        <v>3555</v>
      </c>
      <c r="AK173" s="355"/>
      <c r="AL173" s="355"/>
      <c r="AM173" s="355"/>
    </row>
    <row r="174" spans="1:42" ht="24" x14ac:dyDescent="0.2">
      <c r="A174" s="90"/>
      <c r="B174" s="91"/>
      <c r="C174" s="92"/>
      <c r="D174" s="103" t="s">
        <v>184</v>
      </c>
      <c r="E174" s="73">
        <v>1160</v>
      </c>
      <c r="F174" s="73">
        <f t="shared" si="355"/>
        <v>2160</v>
      </c>
      <c r="G174" s="73">
        <f t="shared" si="356"/>
        <v>1000</v>
      </c>
      <c r="H174" s="73">
        <f>6+314+1+179+500</f>
        <v>1000</v>
      </c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>
        <f t="shared" si="357"/>
        <v>-2</v>
      </c>
      <c r="V174" s="73">
        <f t="shared" si="358"/>
        <v>-2</v>
      </c>
      <c r="W174" s="73">
        <v>-2</v>
      </c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>
        <f t="shared" si="359"/>
        <v>1160</v>
      </c>
      <c r="AI174" s="73">
        <f t="shared" si="360"/>
        <v>2158</v>
      </c>
      <c r="AK174" s="355"/>
      <c r="AL174" s="355"/>
      <c r="AM174" s="355"/>
    </row>
    <row r="175" spans="1:42" x14ac:dyDescent="0.2">
      <c r="A175" s="90"/>
      <c r="B175" s="91"/>
      <c r="C175" s="92"/>
      <c r="D175" s="69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K175" s="355"/>
      <c r="AL175" s="355"/>
      <c r="AM175" s="355"/>
    </row>
    <row r="176" spans="1:42" x14ac:dyDescent="0.2">
      <c r="A176" s="68"/>
      <c r="B176" s="86"/>
      <c r="C176" s="87"/>
      <c r="D176" s="69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K176" s="355"/>
      <c r="AL176" s="355"/>
      <c r="AM176" s="355"/>
    </row>
    <row r="177" spans="1:39" s="174" customFormat="1" ht="24.75" customHeight="1" thickBot="1" x14ac:dyDescent="0.25">
      <c r="A177" s="574" t="s">
        <v>138</v>
      </c>
      <c r="B177" s="575"/>
      <c r="C177" s="575"/>
      <c r="D177" s="576"/>
      <c r="E177" s="93">
        <f>SUM(E166,E112)</f>
        <v>78964532</v>
      </c>
      <c r="F177" s="93">
        <f t="shared" ref="F177:AI177" si="361">SUM(F166,F112)</f>
        <v>79415019</v>
      </c>
      <c r="G177" s="93">
        <f t="shared" si="361"/>
        <v>450487</v>
      </c>
      <c r="H177" s="93">
        <f t="shared" si="361"/>
        <v>77221</v>
      </c>
      <c r="I177" s="93">
        <f t="shared" si="361"/>
        <v>568622</v>
      </c>
      <c r="J177" s="93">
        <f t="shared" si="361"/>
        <v>-210175</v>
      </c>
      <c r="K177" s="93">
        <f t="shared" si="361"/>
        <v>17593</v>
      </c>
      <c r="L177" s="93">
        <f t="shared" si="361"/>
        <v>-2774</v>
      </c>
      <c r="M177" s="93">
        <f t="shared" si="361"/>
        <v>0</v>
      </c>
      <c r="N177" s="93">
        <f t="shared" si="361"/>
        <v>0</v>
      </c>
      <c r="O177" s="93">
        <f t="shared" si="361"/>
        <v>0</v>
      </c>
      <c r="P177" s="93">
        <f t="shared" si="361"/>
        <v>0</v>
      </c>
      <c r="Q177" s="93">
        <f t="shared" si="361"/>
        <v>0</v>
      </c>
      <c r="R177" s="93">
        <f t="shared" si="361"/>
        <v>0</v>
      </c>
      <c r="S177" s="93">
        <f t="shared" si="361"/>
        <v>0</v>
      </c>
      <c r="T177" s="93">
        <f t="shared" si="361"/>
        <v>-297778</v>
      </c>
      <c r="U177" s="93">
        <f t="shared" si="361"/>
        <v>-203642</v>
      </c>
      <c r="V177" s="93">
        <f t="shared" si="361"/>
        <v>94136</v>
      </c>
      <c r="W177" s="93">
        <f t="shared" si="361"/>
        <v>-8791</v>
      </c>
      <c r="X177" s="93">
        <f t="shared" si="361"/>
        <v>-13370</v>
      </c>
      <c r="Y177" s="93">
        <f t="shared" si="361"/>
        <v>116618</v>
      </c>
      <c r="Z177" s="93">
        <f t="shared" si="361"/>
        <v>-321</v>
      </c>
      <c r="AA177" s="93">
        <f t="shared" si="361"/>
        <v>0</v>
      </c>
      <c r="AB177" s="93">
        <f t="shared" si="361"/>
        <v>0</v>
      </c>
      <c r="AC177" s="93">
        <f t="shared" si="361"/>
        <v>0</v>
      </c>
      <c r="AD177" s="93">
        <f t="shared" si="361"/>
        <v>0</v>
      </c>
      <c r="AE177" s="93">
        <f t="shared" si="361"/>
        <v>0</v>
      </c>
      <c r="AF177" s="93">
        <f t="shared" si="361"/>
        <v>0</v>
      </c>
      <c r="AG177" s="93">
        <f t="shared" si="361"/>
        <v>0</v>
      </c>
      <c r="AH177" s="93">
        <f t="shared" si="361"/>
        <v>78666754</v>
      </c>
      <c r="AI177" s="93">
        <f t="shared" si="361"/>
        <v>79211377</v>
      </c>
      <c r="AK177" s="355"/>
      <c r="AL177" s="355"/>
      <c r="AM177" s="355"/>
    </row>
    <row r="178" spans="1:39" s="174" customFormat="1" ht="12.75" thickBot="1" x14ac:dyDescent="0.25">
      <c r="A178" s="577" t="s">
        <v>124</v>
      </c>
      <c r="B178" s="578"/>
      <c r="C178" s="578"/>
      <c r="D178" s="579"/>
      <c r="E178" s="93">
        <f>SUM(E9,E164)</f>
        <v>100579357</v>
      </c>
      <c r="F178" s="235">
        <f t="shared" ref="F178:AI178" si="362">SUM(F9,F164)</f>
        <v>100983582</v>
      </c>
      <c r="G178" s="235">
        <f t="shared" si="362"/>
        <v>404225</v>
      </c>
      <c r="H178" s="235">
        <f t="shared" si="362"/>
        <v>2538997</v>
      </c>
      <c r="I178" s="235">
        <f t="shared" si="362"/>
        <v>568622</v>
      </c>
      <c r="J178" s="235">
        <f t="shared" si="362"/>
        <v>-2702213</v>
      </c>
      <c r="K178" s="235">
        <f t="shared" si="362"/>
        <v>1593</v>
      </c>
      <c r="L178" s="235">
        <f t="shared" si="362"/>
        <v>-2774</v>
      </c>
      <c r="M178" s="235">
        <f t="shared" si="362"/>
        <v>0</v>
      </c>
      <c r="N178" s="235">
        <f t="shared" si="362"/>
        <v>0</v>
      </c>
      <c r="O178" s="235">
        <f t="shared" si="362"/>
        <v>0</v>
      </c>
      <c r="P178" s="235">
        <f t="shared" si="362"/>
        <v>0</v>
      </c>
      <c r="Q178" s="235">
        <f t="shared" si="362"/>
        <v>0</v>
      </c>
      <c r="R178" s="235">
        <f t="shared" si="362"/>
        <v>0</v>
      </c>
      <c r="S178" s="235">
        <f t="shared" si="362"/>
        <v>0</v>
      </c>
      <c r="T178" s="235">
        <f t="shared" si="362"/>
        <v>-297778</v>
      </c>
      <c r="U178" s="235">
        <f t="shared" si="362"/>
        <v>-203647</v>
      </c>
      <c r="V178" s="235">
        <f t="shared" si="362"/>
        <v>94131</v>
      </c>
      <c r="W178" s="235">
        <f t="shared" si="362"/>
        <v>-8796</v>
      </c>
      <c r="X178" s="235">
        <f t="shared" si="362"/>
        <v>-13370</v>
      </c>
      <c r="Y178" s="235">
        <f t="shared" si="362"/>
        <v>116618</v>
      </c>
      <c r="Z178" s="235">
        <f t="shared" si="362"/>
        <v>-321</v>
      </c>
      <c r="AA178" s="235">
        <f t="shared" si="362"/>
        <v>0</v>
      </c>
      <c r="AB178" s="235">
        <f t="shared" si="362"/>
        <v>0</v>
      </c>
      <c r="AC178" s="235">
        <f t="shared" si="362"/>
        <v>0</v>
      </c>
      <c r="AD178" s="235">
        <f t="shared" si="362"/>
        <v>0</v>
      </c>
      <c r="AE178" s="235">
        <f t="shared" si="362"/>
        <v>0</v>
      </c>
      <c r="AF178" s="235">
        <f t="shared" si="362"/>
        <v>0</v>
      </c>
      <c r="AG178" s="235">
        <f t="shared" si="362"/>
        <v>0</v>
      </c>
      <c r="AH178" s="235">
        <f t="shared" si="362"/>
        <v>100281579</v>
      </c>
      <c r="AI178" s="235">
        <f t="shared" si="362"/>
        <v>100779935</v>
      </c>
      <c r="AK178" s="355"/>
      <c r="AL178" s="355"/>
      <c r="AM178" s="355"/>
    </row>
    <row r="179" spans="1:39" x14ac:dyDescent="0.2">
      <c r="AK179" s="355"/>
      <c r="AL179" s="355"/>
      <c r="AM179" s="355"/>
    </row>
    <row r="180" spans="1:39" hidden="1" x14ac:dyDescent="0.2">
      <c r="AH180" s="295">
        <f>E178-AH178</f>
        <v>297778</v>
      </c>
      <c r="AK180" s="355"/>
      <c r="AL180" s="355"/>
      <c r="AM180" s="355"/>
    </row>
    <row r="181" spans="1:39" hidden="1" x14ac:dyDescent="0.2">
      <c r="A181" s="570"/>
      <c r="B181" s="570"/>
      <c r="C181" s="570"/>
      <c r="D181" s="570"/>
      <c r="E181" s="570"/>
      <c r="F181" s="570"/>
      <c r="G181" s="570"/>
      <c r="H181" s="570"/>
      <c r="I181" s="570"/>
      <c r="J181" s="570"/>
      <c r="K181" s="570"/>
      <c r="L181" s="570"/>
      <c r="M181" s="570"/>
      <c r="N181" s="570"/>
      <c r="O181" s="570"/>
      <c r="P181" s="570"/>
      <c r="Q181" s="570"/>
      <c r="R181" s="570"/>
      <c r="S181" s="570"/>
      <c r="T181" s="570"/>
      <c r="U181" s="570"/>
      <c r="V181" s="570"/>
      <c r="W181" s="570"/>
      <c r="X181" s="570"/>
      <c r="Y181" s="570"/>
      <c r="Z181" s="570"/>
      <c r="AA181" s="570"/>
      <c r="AB181" s="570"/>
      <c r="AC181" s="570"/>
      <c r="AD181" s="570"/>
      <c r="AE181" s="570"/>
      <c r="AF181" s="570"/>
      <c r="AG181" s="570"/>
      <c r="AH181" s="570"/>
      <c r="AK181" s="355"/>
      <c r="AL181" s="355"/>
      <c r="AM181" s="355"/>
    </row>
    <row r="182" spans="1:39" hidden="1" x14ac:dyDescent="0.2">
      <c r="A182" s="570"/>
      <c r="B182" s="570"/>
      <c r="C182" s="570"/>
      <c r="D182" s="570"/>
      <c r="E182" s="570"/>
      <c r="F182" s="570"/>
      <c r="G182" s="570"/>
      <c r="H182" s="570"/>
      <c r="I182" s="570"/>
      <c r="J182" s="570"/>
      <c r="K182" s="570"/>
      <c r="L182" s="570"/>
      <c r="M182" s="570"/>
      <c r="N182" s="570"/>
      <c r="O182" s="570"/>
      <c r="P182" s="570"/>
      <c r="Q182" s="570"/>
      <c r="R182" s="570"/>
      <c r="S182" s="570"/>
      <c r="T182" s="570"/>
      <c r="U182" s="570"/>
      <c r="V182" s="570"/>
      <c r="W182" s="570"/>
      <c r="X182" s="570"/>
      <c r="Y182" s="570"/>
      <c r="Z182" s="570"/>
      <c r="AA182" s="570"/>
      <c r="AB182" s="570"/>
      <c r="AC182" s="570"/>
      <c r="AD182" s="570"/>
      <c r="AE182" s="570"/>
      <c r="AF182" s="570"/>
      <c r="AG182" s="570"/>
      <c r="AH182" s="570"/>
      <c r="AK182" s="355"/>
      <c r="AL182" s="355"/>
      <c r="AM182" s="355"/>
    </row>
    <row r="183" spans="1:39" hidden="1" x14ac:dyDescent="0.2">
      <c r="AK183" s="355"/>
      <c r="AL183" s="355"/>
      <c r="AM183" s="355"/>
    </row>
    <row r="184" spans="1:39" x14ac:dyDescent="0.2">
      <c r="AK184" s="355"/>
      <c r="AL184" s="355"/>
      <c r="AM184" s="355"/>
    </row>
    <row r="185" spans="1:39" x14ac:dyDescent="0.2">
      <c r="AK185" s="355"/>
      <c r="AL185" s="355"/>
      <c r="AM185" s="355"/>
    </row>
    <row r="186" spans="1:39" x14ac:dyDescent="0.2">
      <c r="AK186" s="355"/>
      <c r="AL186" s="355"/>
      <c r="AM186" s="355"/>
    </row>
  </sheetData>
  <sheetProtection algorithmName="SHA-512" hashValue="tDPET3ZBUJKxXBqYYgJJkUYLkAHG/NSd1OjAVTGNomDNmYFj2Rzm3aOG7syiixeQZgEVwoYl74BZnlaY1496BA==" saltValue="MIyp0cZ4ynCRXpykqlrFSQ==" spinCount="100000" sheet="1" objects="1" scenarios="1" selectLockedCells="1" selectUnlockedCells="1"/>
  <autoFilter ref="A8:AI178">
    <filterColumn colId="0" showButton="0"/>
    <filterColumn colId="1" showButton="0"/>
  </autoFilter>
  <mergeCells count="119">
    <mergeCell ref="B123:C123"/>
    <mergeCell ref="B129:C129"/>
    <mergeCell ref="B130:C130"/>
    <mergeCell ref="B131:C131"/>
    <mergeCell ref="B133:C133"/>
    <mergeCell ref="B110:C110"/>
    <mergeCell ref="A112:D112"/>
    <mergeCell ref="B114:C114"/>
    <mergeCell ref="B117:C117"/>
    <mergeCell ref="B119:C119"/>
    <mergeCell ref="B120:C120"/>
    <mergeCell ref="A182:AH182"/>
    <mergeCell ref="A166:C166"/>
    <mergeCell ref="B167:C167"/>
    <mergeCell ref="B168:C168"/>
    <mergeCell ref="A177:D177"/>
    <mergeCell ref="A178:D178"/>
    <mergeCell ref="A181:AH181"/>
    <mergeCell ref="B136:C136"/>
    <mergeCell ref="B139:C139"/>
    <mergeCell ref="A164:D164"/>
    <mergeCell ref="B106:C106"/>
    <mergeCell ref="B107:C107"/>
    <mergeCell ref="B108:C108"/>
    <mergeCell ref="B109:C109"/>
    <mergeCell ref="B101:C101"/>
    <mergeCell ref="B102:C102"/>
    <mergeCell ref="B103:C103"/>
    <mergeCell ref="B104:C104"/>
    <mergeCell ref="B105:C105"/>
    <mergeCell ref="B95:C95"/>
    <mergeCell ref="B96:C96"/>
    <mergeCell ref="B97:C97"/>
    <mergeCell ref="B98:C98"/>
    <mergeCell ref="B99:C99"/>
    <mergeCell ref="B100:C100"/>
    <mergeCell ref="A89:C89"/>
    <mergeCell ref="B90:C90"/>
    <mergeCell ref="B93:C93"/>
    <mergeCell ref="B94:C94"/>
    <mergeCell ref="B91:C91"/>
    <mergeCell ref="B80:C80"/>
    <mergeCell ref="B81:C81"/>
    <mergeCell ref="B82:C82"/>
    <mergeCell ref="A83:C83"/>
    <mergeCell ref="B85:C85"/>
    <mergeCell ref="B86:C86"/>
    <mergeCell ref="B92:C92"/>
    <mergeCell ref="B72:C72"/>
    <mergeCell ref="B73:C73"/>
    <mergeCell ref="B74:C74"/>
    <mergeCell ref="B75:C75"/>
    <mergeCell ref="A78:C78"/>
    <mergeCell ref="B79:C79"/>
    <mergeCell ref="B84:C84"/>
    <mergeCell ref="B87:C87"/>
    <mergeCell ref="A76:C76"/>
    <mergeCell ref="B77:C77"/>
    <mergeCell ref="B70:C70"/>
    <mergeCell ref="A57:C57"/>
    <mergeCell ref="B58:C58"/>
    <mergeCell ref="B59:C59"/>
    <mergeCell ref="B60:C60"/>
    <mergeCell ref="B63:C63"/>
    <mergeCell ref="B64:C64"/>
    <mergeCell ref="B61:C61"/>
    <mergeCell ref="B62:C62"/>
    <mergeCell ref="B65:C65"/>
    <mergeCell ref="A66:C66"/>
    <mergeCell ref="B68:C68"/>
    <mergeCell ref="B69:C69"/>
    <mergeCell ref="B56:C56"/>
    <mergeCell ref="B46:C46"/>
    <mergeCell ref="B47:C47"/>
    <mergeCell ref="B48:C48"/>
    <mergeCell ref="B49:C49"/>
    <mergeCell ref="B51:C51"/>
    <mergeCell ref="B50:C50"/>
    <mergeCell ref="B52:C52"/>
    <mergeCell ref="A53:C53"/>
    <mergeCell ref="B54:C54"/>
    <mergeCell ref="B55:C55"/>
    <mergeCell ref="B36:C36"/>
    <mergeCell ref="B44:C44"/>
    <mergeCell ref="B45:C45"/>
    <mergeCell ref="B37:C37"/>
    <mergeCell ref="B38:C38"/>
    <mergeCell ref="A42:C42"/>
    <mergeCell ref="B43:C43"/>
    <mergeCell ref="B31:C31"/>
    <mergeCell ref="A33:C33"/>
    <mergeCell ref="B34:C34"/>
    <mergeCell ref="B35:C35"/>
    <mergeCell ref="B39:C39"/>
    <mergeCell ref="B41:C41"/>
    <mergeCell ref="A5:AI5"/>
    <mergeCell ref="A7:C7"/>
    <mergeCell ref="A8:C8"/>
    <mergeCell ref="B22:C22"/>
    <mergeCell ref="B23:C23"/>
    <mergeCell ref="A27:C27"/>
    <mergeCell ref="B28:C28"/>
    <mergeCell ref="B29:C29"/>
    <mergeCell ref="B30:C30"/>
    <mergeCell ref="A16:C16"/>
    <mergeCell ref="B17:C17"/>
    <mergeCell ref="B18:C18"/>
    <mergeCell ref="B19:C19"/>
    <mergeCell ref="B20:C20"/>
    <mergeCell ref="B21:C21"/>
    <mergeCell ref="B24:C24"/>
    <mergeCell ref="B25:C25"/>
    <mergeCell ref="B26:C26"/>
    <mergeCell ref="A9:D9"/>
    <mergeCell ref="A11:C11"/>
    <mergeCell ref="B12:C12"/>
    <mergeCell ref="B13:C13"/>
    <mergeCell ref="B14:C14"/>
    <mergeCell ref="B15:C15"/>
  </mergeCells>
  <pageMargins left="0.98425196850393704" right="0.39370078740157483" top="0.59055118110236227" bottom="0.39370078740157483" header="0.23622047244094491" footer="0.19685039370078741"/>
  <pageSetup paperSize="9" scale="70" orientation="portrait" r:id="rId1"/>
  <headerFooter differentFirst="1">
    <oddHeader xml:space="preserve">&amp;R&amp;"Times New Roman,Regular"&amp;8 </oddHeader>
    <oddFooter>&amp;L&amp;"Times New Roman,Regular"&amp;8&amp;D&amp;T&amp;R&amp;"Times New Roman,Regular"&amp;8&amp;P (&amp;N)</oddFooter>
    <firstHeader>&amp;R&amp;"Times New Roman,Regular"&amp;9 44.pielikums Jūrmalas pilsētas domes
2017.gada 20.jūlija saistošajiem noteikumiem Nr.24
(protokols Nr.14, 7.punkts)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13"/>
  <sheetViews>
    <sheetView showGridLines="0" workbookViewId="0">
      <selection activeCell="A2" sqref="A2:E13"/>
    </sheetView>
  </sheetViews>
  <sheetFormatPr defaultRowHeight="16.5" x14ac:dyDescent="0.25"/>
  <cols>
    <col min="1" max="1" width="44.7109375" style="242" bestFit="1" customWidth="1"/>
    <col min="2" max="2" width="14.5703125" style="242" customWidth="1"/>
    <col min="3" max="3" width="5.28515625" style="242" bestFit="1" customWidth="1"/>
    <col min="4" max="4" width="14.42578125" style="242" customWidth="1"/>
    <col min="5" max="5" width="6.140625" style="242" bestFit="1" customWidth="1"/>
    <col min="6" max="16384" width="9.140625" style="242"/>
  </cols>
  <sheetData>
    <row r="1" spans="1:5" x14ac:dyDescent="0.25">
      <c r="D1" s="243"/>
    </row>
    <row r="2" spans="1:5" ht="17.25" x14ac:dyDescent="0.3">
      <c r="A2" s="244"/>
      <c r="B2" s="588" t="s">
        <v>1</v>
      </c>
      <c r="C2" s="588"/>
      <c r="D2" s="589" t="s">
        <v>3</v>
      </c>
      <c r="E2" s="589"/>
    </row>
    <row r="3" spans="1:5" ht="11.25" customHeight="1" x14ac:dyDescent="0.25">
      <c r="A3" s="244"/>
      <c r="B3" s="245"/>
      <c r="C3" s="245"/>
      <c r="D3" s="246"/>
    </row>
    <row r="4" spans="1:5" ht="17.25" x14ac:dyDescent="0.3">
      <c r="A4" s="247" t="s">
        <v>591</v>
      </c>
      <c r="B4" s="248">
        <f>Ienemumi!AI112</f>
        <v>79211044</v>
      </c>
      <c r="C4" s="249" t="s">
        <v>595</v>
      </c>
      <c r="D4" s="248">
        <f>Ienemumi!AI166</f>
        <v>333</v>
      </c>
      <c r="E4" s="249" t="s">
        <v>595</v>
      </c>
    </row>
    <row r="5" spans="1:5" ht="17.25" x14ac:dyDescent="0.3">
      <c r="A5" s="247" t="s">
        <v>592</v>
      </c>
      <c r="B5" s="253">
        <f>Izdevumi!G257-B13-D5</f>
        <v>94072054</v>
      </c>
      <c r="C5" s="249" t="s">
        <v>595</v>
      </c>
      <c r="D5" s="248">
        <f>Izdevumi!AS257</f>
        <v>6046</v>
      </c>
      <c r="E5" s="249" t="s">
        <v>595</v>
      </c>
    </row>
    <row r="6" spans="1:5" ht="17.25" x14ac:dyDescent="0.3">
      <c r="A6" s="247"/>
      <c r="B6" s="248"/>
      <c r="C6" s="249"/>
      <c r="D6" s="248"/>
      <c r="E6" s="249"/>
    </row>
    <row r="7" spans="1:5" ht="17.25" x14ac:dyDescent="0.3">
      <c r="A7" s="252" t="s">
        <v>593</v>
      </c>
      <c r="B7" s="248">
        <f>B4-B5</f>
        <v>-14861010</v>
      </c>
      <c r="C7" s="249" t="s">
        <v>595</v>
      </c>
      <c r="D7" s="248">
        <f>D4-D5</f>
        <v>-5713</v>
      </c>
      <c r="E7" s="249" t="s">
        <v>595</v>
      </c>
    </row>
    <row r="8" spans="1:5" ht="17.25" x14ac:dyDescent="0.3">
      <c r="A8" s="247" t="s">
        <v>594</v>
      </c>
      <c r="B8" s="248">
        <f>B9-B10+B11-B12-B13</f>
        <v>14861010</v>
      </c>
      <c r="C8" s="249" t="s">
        <v>595</v>
      </c>
      <c r="D8" s="248">
        <f>D9-D10+D11-D12-D13</f>
        <v>5713</v>
      </c>
      <c r="E8" s="249" t="s">
        <v>595</v>
      </c>
    </row>
    <row r="9" spans="1:5" x14ac:dyDescent="0.25">
      <c r="A9" s="244" t="s">
        <v>596</v>
      </c>
      <c r="B9" s="250">
        <f>Ienemumi!AI140</f>
        <v>10080291</v>
      </c>
      <c r="C9" s="251" t="s">
        <v>595</v>
      </c>
      <c r="D9" s="250">
        <f>Ienemumi!AI171</f>
        <v>5713</v>
      </c>
      <c r="E9" s="251" t="s">
        <v>595</v>
      </c>
    </row>
    <row r="10" spans="1:5" x14ac:dyDescent="0.25">
      <c r="A10" s="244" t="s">
        <v>597</v>
      </c>
      <c r="B10" s="250">
        <f>Izdevumi!G256-D10</f>
        <v>1148837</v>
      </c>
      <c r="C10" s="251" t="s">
        <v>595</v>
      </c>
      <c r="D10" s="382">
        <f>Izdevumi!AS256</f>
        <v>0</v>
      </c>
      <c r="E10" s="383" t="s">
        <v>595</v>
      </c>
    </row>
    <row r="11" spans="1:5" x14ac:dyDescent="0.25">
      <c r="A11" s="244" t="s">
        <v>598</v>
      </c>
      <c r="B11" s="250">
        <f>Ienemumi!AI114</f>
        <v>11482554</v>
      </c>
      <c r="C11" s="251" t="s">
        <v>595</v>
      </c>
      <c r="D11" s="250"/>
    </row>
    <row r="12" spans="1:5" x14ac:dyDescent="0.25">
      <c r="A12" s="244" t="s">
        <v>599</v>
      </c>
      <c r="B12" s="250">
        <f>Izdevumi!AQ258</f>
        <v>5402383</v>
      </c>
      <c r="C12" s="251" t="s">
        <v>595</v>
      </c>
      <c r="D12" s="250"/>
    </row>
    <row r="13" spans="1:5" x14ac:dyDescent="0.25">
      <c r="A13" s="244" t="s">
        <v>600</v>
      </c>
      <c r="B13" s="297">
        <f>Izdevumi!F69+Izdevumi!F130+Izdevumi!F251</f>
        <v>150615</v>
      </c>
      <c r="C13" s="251" t="s">
        <v>595</v>
      </c>
      <c r="D13" s="250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Liene Zalkovska</cp:lastModifiedBy>
  <cp:lastPrinted>2017-07-20T12:49:25Z</cp:lastPrinted>
  <dcterms:created xsi:type="dcterms:W3CDTF">2006-10-31T12:58:11Z</dcterms:created>
  <dcterms:modified xsi:type="dcterms:W3CDTF">2017-07-20T12:50:29Z</dcterms:modified>
</cp:coreProperties>
</file>